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38.xml" ContentType="application/vnd.openxmlformats-officedocument.spreadsheetml.pivotTable+xml"/>
  <Override PartName="/xl/tables/table4.xml" ContentType="application/vnd.openxmlformats-officedocument.spreadsheetml.table+xml"/>
  <Override PartName="/xl/pivotTables/pivotTable39.xml" ContentType="application/vnd.openxmlformats-officedocument.spreadsheetml.pivotTable+xml"/>
  <Override PartName="/xl/tables/table5.xml" ContentType="application/vnd.openxmlformats-officedocument.spreadsheetml.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xml" ContentType="application/vnd.openxmlformats-officedocument.drawingml.chartshapes+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pivotTables/pivotTable43.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4.xml" ContentType="application/vnd.openxmlformats-officedocument.drawingml.chartshapes+xml"/>
  <Override PartName="/xl/pivotTables/pivotTable44.xml" ContentType="application/vnd.openxmlformats-officedocument.spreadsheetml.pivotTable+xml"/>
  <Override PartName="/xl/drawings/drawing15.xml" ContentType="application/vnd.openxmlformats-officedocument.drawing+xml"/>
  <Override PartName="/xl/slicers/slicer3.xml" ContentType="application/vnd.ms-excel.slicer+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pivotTables/pivotTable45.xml" ContentType="application/vnd.openxmlformats-officedocument.spreadsheetml.pivotTable+xml"/>
  <Override PartName="/xl/drawings/drawing16.xml" ContentType="application/vnd.openxmlformats-officedocument.drawing+xml"/>
  <Override PartName="/xl/slicers/slicer4.xml" ContentType="application/vnd.ms-excel.slicer+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7.xml" ContentType="application/vnd.openxmlformats-officedocument.drawing+xml"/>
  <Override PartName="/xl/tables/table12.xml" ContentType="application/vnd.openxmlformats-officedocument.spreadsheetml.tab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2/2022_Q2/"/>
    </mc:Choice>
  </mc:AlternateContent>
  <xr:revisionPtr revIDLastSave="19" documentId="6_{E1D54FFF-8323-4191-BBD1-3C71CB93C1EA}" xr6:coauthVersionLast="47" xr6:coauthVersionMax="47" xr10:uidLastSave="{859B08A4-CD07-4FCA-8C8B-80C334A986B7}"/>
  <bookViews>
    <workbookView xWindow="-108" yWindow="-108" windowWidth="23256" windowHeight="12576" tabRatio="831" activeTab="2" xr2:uid="{00000000-000D-0000-FFFF-FFFF00000000}"/>
  </bookViews>
  <sheets>
    <sheet name="Guide" sheetId="81" r:id="rId1"/>
    <sheet name="HWS" sheetId="128" state="hidden" r:id="rId2"/>
    <sheet name="DATABASE" sheetId="25" r:id="rId3"/>
    <sheet name="Site_DB" sheetId="91" r:id="rId4"/>
    <sheet name="Indicator Summary  Eng" sheetId="124" r:id="rId5"/>
    <sheet name="Indicator Summary  MM" sheetId="125" r:id="rId6"/>
    <sheet name="HRP Calculations" sheetId="126" r:id="rId7"/>
    <sheet name="HRP" sheetId="89" r:id="rId8"/>
    <sheet name="HRP ref" sheetId="129" state="hidden" r:id="rId9"/>
    <sheet name="Analysis" sheetId="92" r:id="rId10"/>
    <sheet name="Sheet2" sheetId="122" state="hidden" r:id="rId11"/>
    <sheet name="partners_Q1" sheetId="130" state="hidden" r:id="rId12"/>
    <sheet name="partners_Q2" sheetId="131" state="hidden" r:id="rId13"/>
    <sheet name="Kachin" sheetId="111" r:id="rId14"/>
    <sheet name="Shan(n)" sheetId="110" r:id="rId15"/>
    <sheet name="AAP-community Feedback" sheetId="121" state="hidden" r:id="rId16"/>
    <sheet name="Quarterly Dashboard" sheetId="100" r:id="rId17"/>
    <sheet name="By Camps" sheetId="102" r:id="rId18"/>
    <sheet name="Tracking Dashboard" sheetId="114" r:id="rId19"/>
    <sheet name="Lookup" sheetId="32" r:id="rId20"/>
  </sheets>
  <externalReferences>
    <externalReference r:id="rId21"/>
    <externalReference r:id="rId22"/>
    <externalReference r:id="rId23"/>
    <externalReference r:id="rId24"/>
    <externalReference r:id="rId25"/>
    <externalReference r:id="rId26"/>
  </externalReferences>
  <definedNames>
    <definedName name="_Fill" localSheetId="17" hidden="1">#REF!</definedName>
    <definedName name="_Fill" localSheetId="6" hidden="1">#REF!</definedName>
    <definedName name="_Fill" localSheetId="4" hidden="1">#REF!</definedName>
    <definedName name="_Fill" localSheetId="13" hidden="1">#REF!</definedName>
    <definedName name="_Fill" localSheetId="14" hidden="1">#REF!</definedName>
    <definedName name="_Fill" hidden="1">#REF!</definedName>
    <definedName name="_xlnm._FilterDatabase" localSheetId="2" hidden="1">DATABASE!$A$1:$EP$5</definedName>
    <definedName name="_xlnm._FilterDatabase" localSheetId="7" hidden="1">HRP!$C$22:$Y$164</definedName>
    <definedName name="_xlnm._FilterDatabase" localSheetId="4" hidden="1">'Indicator Summary  Eng'!$B$2:$H$73</definedName>
    <definedName name="_xlnm._FilterDatabase" localSheetId="19" hidden="1">Lookup!$A$3:$AA$457</definedName>
    <definedName name="_xlnm._FilterDatabase" localSheetId="11" hidden="1">partners_Q1!$I$1:$J$65</definedName>
    <definedName name="_Key1" localSheetId="15" hidden="1">[1]Data!#REF!</definedName>
    <definedName name="_Key1" localSheetId="17" hidden="1">[1]Data!#REF!</definedName>
    <definedName name="_Key1" localSheetId="6" hidden="1">[1]Data!#REF!</definedName>
    <definedName name="_Key1" localSheetId="4" hidden="1">[1]Data!#REF!</definedName>
    <definedName name="_Key1" localSheetId="13" hidden="1">[1]Data!#REF!</definedName>
    <definedName name="_Key1" localSheetId="14"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5" hidden="1">#REF!</definedName>
    <definedName name="a" hidden="1">#REF!</definedName>
    <definedName name="b">[2]!SiteDB6[[#Headers],[Township]]</definedName>
    <definedName name="_xlnm.Print_Area" localSheetId="6">'HRP Calculations'!$A$1:$F$11</definedName>
    <definedName name="_xlnm.Print_Area" localSheetId="4">'Indicator Summary  Eng'!$B$1:$G$73</definedName>
    <definedName name="_xlnm.Print_Area" localSheetId="5">'Indicator Summary  MM'!$B$2:$G$72</definedName>
    <definedName name="_xlnm.Print_Area" localSheetId="13">Kachin!$B$1:$T$109</definedName>
    <definedName name="_xlnm.Print_Area" localSheetId="14">'Shan(n)'!$A$1:$T$105</definedName>
    <definedName name="_xlnm.Print_Titles" localSheetId="4">'Indicator Summary  Eng'!$1:$2</definedName>
    <definedName name="_xlnm.Print_Titles" localSheetId="5">'Indicator Summary  MM'!$1:$2</definedName>
    <definedName name="Sasha" localSheetId="15" hidden="1">{#N/A,#N/A,FALSE,"Truck Rent"}</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15">[3]Lookup!$AB$4:$AB$83</definedName>
    <definedName name="State_list">Lookup!$AB$4:$AB$83</definedName>
    <definedName name="Statestart_1" localSheetId="15">[3]Lookup!$AB$3</definedName>
    <definedName name="Statestart_1">Lookup!$AB$3</definedName>
    <definedName name="Township_list" localSheetId="15">[3]!SiteDB6[Township]</definedName>
    <definedName name="Township_list" localSheetId="13">SiteDB6[Township]</definedName>
    <definedName name="Township_list" localSheetId="14">SiteDB6[Township]</definedName>
    <definedName name="Township_list">SiteDB6[Township]</definedName>
    <definedName name="Township_start" localSheetId="15">[3]!SiteDB6[[#Headers],[Township]]</definedName>
    <definedName name="Township_start" localSheetId="13">SiteDB6[[#Headers],[Township]]</definedName>
    <definedName name="Township_start" localSheetId="14">SiteDB6[[#Headers],[Township]]</definedName>
    <definedName name="Township_start">SiteDB6[[#Headers],[Township]]</definedName>
    <definedName name="TSps">Lookup!$AC$3:$AC$83</definedName>
    <definedName name="wrn.MUSA._.TRUCKS." localSheetId="15" hidden="1">{#N/A,#N/A,FALSE,"Truck Rent"}</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1" r:id="rId27"/>
    <pivotCache cacheId="2" r:id="rId28"/>
    <pivotCache cacheId="3" r:id="rId29"/>
    <pivotCache cacheId="4" r:id="rId30"/>
    <pivotCache cacheId="5" r:id="rId31"/>
    <pivotCache cacheId="6" r:id="rId32"/>
  </pivotCaches>
  <extLst>
    <ext xmlns:x14="http://schemas.microsoft.com/office/spreadsheetml/2009/9/main" uri="{BBE1A952-AA13-448e-AADC-164F8A28A991}">
      <x14:slicerCaches>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36" i="89" l="1"/>
  <c r="R235" i="89"/>
  <c r="R234" i="89"/>
  <c r="R233" i="89"/>
  <c r="R232" i="89"/>
  <c r="R231" i="89"/>
  <c r="D236" i="89"/>
  <c r="D235" i="89"/>
  <c r="D234" i="89"/>
  <c r="D233" i="89"/>
  <c r="D232" i="89"/>
  <c r="D231" i="89"/>
  <c r="M67" i="92"/>
  <c r="L67" i="92"/>
  <c r="M63" i="92"/>
  <c r="L63" i="92"/>
  <c r="C4" i="129"/>
  <c r="O155" i="89"/>
  <c r="O156" i="89"/>
  <c r="O157" i="89"/>
  <c r="O158" i="89"/>
  <c r="O159" i="89"/>
  <c r="O160" i="89"/>
  <c r="O161" i="89"/>
  <c r="O162" i="89"/>
  <c r="O163" i="89"/>
  <c r="O154" i="89"/>
  <c r="O146" i="89"/>
  <c r="O147" i="89"/>
  <c r="O148" i="89"/>
  <c r="O149" i="89"/>
  <c r="O150" i="89"/>
  <c r="O151" i="89"/>
  <c r="O152" i="89"/>
  <c r="O153" i="89"/>
  <c r="O128" i="89"/>
  <c r="O129" i="89"/>
  <c r="O130" i="89"/>
  <c r="O131" i="89"/>
  <c r="O132" i="89"/>
  <c r="O133" i="89"/>
  <c r="O134" i="89"/>
  <c r="O135" i="89"/>
  <c r="O136" i="89"/>
  <c r="O137" i="89"/>
  <c r="O138" i="89"/>
  <c r="O139" i="89"/>
  <c r="O140" i="89"/>
  <c r="O141" i="89"/>
  <c r="O142" i="89"/>
  <c r="O143" i="89"/>
  <c r="O144" i="89"/>
  <c r="O127" i="89"/>
  <c r="O115" i="89"/>
  <c r="O116" i="89"/>
  <c r="O117" i="89"/>
  <c r="O118" i="89"/>
  <c r="O119" i="89"/>
  <c r="O120" i="89"/>
  <c r="O121" i="89"/>
  <c r="O122" i="89"/>
  <c r="O123" i="89"/>
  <c r="O124" i="89"/>
  <c r="S231" i="89" s="1"/>
  <c r="O125" i="89"/>
  <c r="O114" i="89"/>
  <c r="E231" i="89" s="1"/>
  <c r="O102" i="89"/>
  <c r="O103" i="89"/>
  <c r="O104" i="89"/>
  <c r="O105" i="89"/>
  <c r="O106" i="89"/>
  <c r="O107" i="89"/>
  <c r="O108" i="89"/>
  <c r="O109" i="89"/>
  <c r="O110" i="89"/>
  <c r="O111" i="89"/>
  <c r="S232" i="89" s="1"/>
  <c r="O112" i="89"/>
  <c r="O101" i="89"/>
  <c r="E232" i="89" s="1"/>
  <c r="O82" i="89"/>
  <c r="E233" i="89" s="1"/>
  <c r="G100" i="89"/>
  <c r="O64" i="89"/>
  <c r="O65" i="89"/>
  <c r="O66" i="89"/>
  <c r="O68" i="89"/>
  <c r="O69" i="89"/>
  <c r="O70" i="89"/>
  <c r="O71" i="89"/>
  <c r="O72" i="89"/>
  <c r="O73" i="89"/>
  <c r="O74" i="89"/>
  <c r="O75" i="89"/>
  <c r="O76" i="89"/>
  <c r="O77" i="89"/>
  <c r="O78" i="89"/>
  <c r="S234" i="89" s="1"/>
  <c r="O79" i="89"/>
  <c r="O80" i="89"/>
  <c r="H62" i="89"/>
  <c r="I62" i="89"/>
  <c r="J62" i="89"/>
  <c r="K62" i="89"/>
  <c r="L62" i="89"/>
  <c r="M62" i="89"/>
  <c r="N62" i="89"/>
  <c r="O45" i="89"/>
  <c r="O46" i="89"/>
  <c r="O47" i="89"/>
  <c r="O48" i="89"/>
  <c r="O49" i="89"/>
  <c r="O50" i="89"/>
  <c r="O51" i="89"/>
  <c r="O52" i="89"/>
  <c r="O53" i="89"/>
  <c r="O54" i="89"/>
  <c r="O55" i="89"/>
  <c r="O56" i="89"/>
  <c r="O57" i="89"/>
  <c r="O58" i="89"/>
  <c r="O59" i="89"/>
  <c r="S235" i="89" s="1"/>
  <c r="O60" i="89"/>
  <c r="O61" i="89"/>
  <c r="O44" i="89"/>
  <c r="E235" i="89" s="1"/>
  <c r="O26" i="89"/>
  <c r="O27" i="89"/>
  <c r="O28" i="89"/>
  <c r="O29" i="89"/>
  <c r="O31" i="89"/>
  <c r="O32" i="89"/>
  <c r="O33" i="89"/>
  <c r="O34" i="89"/>
  <c r="O35" i="89"/>
  <c r="O36" i="89"/>
  <c r="O37" i="89"/>
  <c r="O38" i="89"/>
  <c r="O39" i="89"/>
  <c r="O40" i="89"/>
  <c r="S236" i="89" s="1"/>
  <c r="O41" i="89"/>
  <c r="O42" i="89"/>
  <c r="O25" i="89"/>
  <c r="E236" i="89" s="1"/>
  <c r="EB14" i="25"/>
  <c r="EB13" i="25"/>
  <c r="DB263" i="25"/>
  <c r="AA59" i="92"/>
  <c r="Z63" i="92"/>
  <c r="L65" i="92"/>
  <c r="L62" i="92"/>
  <c r="M61" i="92"/>
  <c r="L66" i="92"/>
  <c r="M66" i="92"/>
  <c r="M62" i="92"/>
  <c r="Z59" i="92"/>
  <c r="AA62" i="92"/>
  <c r="Z62" i="92"/>
  <c r="AA60" i="92"/>
  <c r="L61" i="92"/>
  <c r="Z60" i="92"/>
  <c r="AA63" i="92"/>
  <c r="M65" i="92"/>
  <c r="F236" i="89" l="1"/>
  <c r="T235" i="89"/>
  <c r="F231" i="89"/>
  <c r="T236" i="89"/>
  <c r="T234" i="89"/>
  <c r="T232" i="89"/>
  <c r="T231" i="89"/>
  <c r="F232" i="89"/>
  <c r="F235" i="89"/>
  <c r="F233" i="89"/>
  <c r="O62" i="89"/>
  <c r="O93" i="89"/>
  <c r="O89" i="89"/>
  <c r="M100" i="89"/>
  <c r="L58" i="89"/>
  <c r="K51" i="89"/>
  <c r="G323" i="25" l="1"/>
  <c r="CE323" i="25"/>
  <c r="CF323" i="25"/>
  <c r="CH323" i="25"/>
  <c r="CI323" i="25"/>
  <c r="CJ323" i="25"/>
  <c r="CK323" i="25"/>
  <c r="CL323" i="25"/>
  <c r="CM323" i="25"/>
  <c r="CN323" i="25"/>
  <c r="CS323" i="25"/>
  <c r="CT323" i="25" s="1"/>
  <c r="DA323" i="25"/>
  <c r="DB323" i="25"/>
  <c r="DF323" i="25"/>
  <c r="DG323" i="25"/>
  <c r="DK323" i="25"/>
  <c r="DL323" i="25"/>
  <c r="DS323" i="25" s="1"/>
  <c r="DM323" i="25"/>
  <c r="DN323" i="25"/>
  <c r="DU323" i="25"/>
  <c r="DV323" i="25"/>
  <c r="DW323" i="25" s="1"/>
  <c r="DX323" i="25"/>
  <c r="DZ323" i="25"/>
  <c r="EA323" i="25"/>
  <c r="EB323" i="25"/>
  <c r="EE323" i="25"/>
  <c r="EF323" i="25"/>
  <c r="EG323" i="25"/>
  <c r="DE323" i="25" s="1"/>
  <c r="EH323" i="25"/>
  <c r="EI323" i="25"/>
  <c r="DT323" i="25" s="1"/>
  <c r="EJ323" i="25"/>
  <c r="EK323" i="25"/>
  <c r="EL323" i="25"/>
  <c r="EM323" i="25"/>
  <c r="EO323" i="25"/>
  <c r="EP323" i="25"/>
  <c r="EC323" i="25" l="1"/>
  <c r="CG323" i="25"/>
  <c r="DD323" i="25"/>
  <c r="DC323" i="25" s="1"/>
  <c r="DJ323" i="25" s="1"/>
  <c r="CO323" i="25"/>
  <c r="CQ323" i="25" s="1"/>
  <c r="CR323" i="25" s="1"/>
  <c r="CV323" i="25" s="1"/>
  <c r="CW323" i="25" s="1"/>
  <c r="CZ323" i="25" s="1"/>
  <c r="DO323" i="25"/>
  <c r="DP323" i="25" s="1"/>
  <c r="DQ323" i="25" s="1"/>
  <c r="DR323" i="25" s="1"/>
  <c r="DY323" i="25"/>
  <c r="CP323" i="25"/>
  <c r="ED323" i="25"/>
  <c r="DH323" i="25"/>
  <c r="DI323" i="25" s="1"/>
  <c r="CU323" i="25" l="1"/>
  <c r="CX323" i="25" s="1"/>
  <c r="CY323" i="25" s="1"/>
  <c r="BO219" i="25" l="1"/>
  <c r="CE194" i="25"/>
  <c r="CF194" i="25"/>
  <c r="CH194" i="25"/>
  <c r="CI194" i="25"/>
  <c r="CJ194" i="25"/>
  <c r="CK194" i="25"/>
  <c r="CL194" i="25"/>
  <c r="CM194" i="25"/>
  <c r="CN194" i="25"/>
  <c r="CS194" i="25"/>
  <c r="CT194" i="25" s="1"/>
  <c r="DA194" i="25"/>
  <c r="DB194" i="25"/>
  <c r="DD194" i="25" s="1"/>
  <c r="DC194" i="25" s="1"/>
  <c r="DJ194" i="25" s="1"/>
  <c r="DF194" i="25"/>
  <c r="DG194" i="25"/>
  <c r="DH194" i="25"/>
  <c r="DI194" i="25" s="1"/>
  <c r="DK194" i="25"/>
  <c r="DL194" i="25"/>
  <c r="DM194" i="25"/>
  <c r="DN194" i="25"/>
  <c r="DU194" i="25"/>
  <c r="DV194" i="25"/>
  <c r="DW194" i="25" s="1"/>
  <c r="DX194" i="25"/>
  <c r="DZ194" i="25"/>
  <c r="EA194" i="25"/>
  <c r="EB194" i="25"/>
  <c r="EE194" i="25"/>
  <c r="EF194" i="25"/>
  <c r="DT194" i="25"/>
  <c r="EJ194" i="25"/>
  <c r="EK194" i="25"/>
  <c r="EL194" i="25"/>
  <c r="EM194" i="25"/>
  <c r="EO194" i="25"/>
  <c r="EP194" i="25"/>
  <c r="DY194" i="25" l="1"/>
  <c r="DO194" i="25"/>
  <c r="DP194" i="25" s="1"/>
  <c r="DQ194" i="25" s="1"/>
  <c r="DR194" i="25" s="1"/>
  <c r="EC194" i="25"/>
  <c r="DS194" i="25"/>
  <c r="ED194" i="25"/>
  <c r="CO194" i="25"/>
  <c r="CQ194" i="25" s="1"/>
  <c r="CG194" i="25"/>
  <c r="CP194" i="25"/>
  <c r="DE194" i="25"/>
  <c r="CU194" i="25" l="1"/>
  <c r="CX194" i="25" s="1"/>
  <c r="CY194" i="25" s="1"/>
  <c r="CR194" i="25"/>
  <c r="CV194" i="25" s="1"/>
  <c r="CW194" i="25" s="1"/>
  <c r="CZ194" i="25" s="1"/>
  <c r="K150" i="89" l="1"/>
  <c r="K80" i="89"/>
  <c r="K67" i="89"/>
  <c r="O67" i="89" s="1"/>
  <c r="G131" i="25"/>
  <c r="CE131" i="25"/>
  <c r="CF131" i="25"/>
  <c r="CH131" i="25"/>
  <c r="CI131" i="25"/>
  <c r="CJ131" i="25"/>
  <c r="CK131" i="25"/>
  <c r="CL131" i="25"/>
  <c r="CM131" i="25"/>
  <c r="CN131" i="25"/>
  <c r="CS131" i="25"/>
  <c r="CT131" i="25" s="1"/>
  <c r="DA131" i="25"/>
  <c r="DB131" i="25"/>
  <c r="DF131" i="25"/>
  <c r="DG131" i="25"/>
  <c r="DK131" i="25"/>
  <c r="DL131" i="25"/>
  <c r="DS131" i="25" s="1"/>
  <c r="DM131" i="25"/>
  <c r="DN131" i="25"/>
  <c r="DU131" i="25"/>
  <c r="DV131" i="25"/>
  <c r="DW131" i="25" s="1"/>
  <c r="DX131" i="25"/>
  <c r="DZ131" i="25"/>
  <c r="EA131" i="25"/>
  <c r="EB131" i="25"/>
  <c r="EE131" i="25"/>
  <c r="EF131" i="25"/>
  <c r="EG131" i="25"/>
  <c r="EH131" i="25"/>
  <c r="EI131" i="25"/>
  <c r="DT131" i="25" s="1"/>
  <c r="EJ131" i="25"/>
  <c r="EK131" i="25"/>
  <c r="EL131" i="25"/>
  <c r="EM131" i="25"/>
  <c r="EO131" i="25"/>
  <c r="EP131" i="25"/>
  <c r="G156" i="25"/>
  <c r="CE156" i="25"/>
  <c r="CF156" i="25"/>
  <c r="CH156" i="25"/>
  <c r="CI156" i="25"/>
  <c r="CJ156" i="25"/>
  <c r="CK156" i="25"/>
  <c r="CL156" i="25"/>
  <c r="CM156" i="25"/>
  <c r="CN156" i="25"/>
  <c r="CS156" i="25"/>
  <c r="CT156" i="25" s="1"/>
  <c r="DA156" i="25"/>
  <c r="DB156" i="25"/>
  <c r="DF156" i="25"/>
  <c r="DG156" i="25"/>
  <c r="DK156" i="25"/>
  <c r="DL156" i="25"/>
  <c r="DS156" i="25" s="1"/>
  <c r="DM156" i="25"/>
  <c r="DN156" i="25"/>
  <c r="DU156" i="25"/>
  <c r="DV156" i="25"/>
  <c r="DY156" i="25" s="1"/>
  <c r="DX156" i="25"/>
  <c r="DZ156" i="25"/>
  <c r="EA156" i="25"/>
  <c r="EB156" i="25"/>
  <c r="EE156" i="25"/>
  <c r="EF156" i="25"/>
  <c r="EG156" i="25"/>
  <c r="EH156" i="25"/>
  <c r="EI156" i="25"/>
  <c r="DT156" i="25" s="1"/>
  <c r="EJ156" i="25"/>
  <c r="EK156" i="25"/>
  <c r="EL156" i="25"/>
  <c r="EM156" i="25"/>
  <c r="EO156" i="25"/>
  <c r="EP156" i="25"/>
  <c r="G322" i="25"/>
  <c r="G321" i="25"/>
  <c r="CE322" i="25"/>
  <c r="CE321" i="25"/>
  <c r="CF322" i="25"/>
  <c r="CF321" i="25"/>
  <c r="CH322" i="25"/>
  <c r="CH321" i="25"/>
  <c r="CI322" i="25"/>
  <c r="CI321" i="25"/>
  <c r="CJ322" i="25"/>
  <c r="CJ321" i="25"/>
  <c r="CK322" i="25"/>
  <c r="CK321" i="25"/>
  <c r="CL322" i="25"/>
  <c r="CL321" i="25"/>
  <c r="CM322" i="25"/>
  <c r="CM321" i="25"/>
  <c r="CN322" i="25"/>
  <c r="CN321" i="25"/>
  <c r="CS322" i="25"/>
  <c r="CT322" i="25" s="1"/>
  <c r="CS321" i="25"/>
  <c r="CT321" i="25" s="1"/>
  <c r="DA322" i="25"/>
  <c r="DA321" i="25"/>
  <c r="DB322" i="25"/>
  <c r="DB321" i="25"/>
  <c r="DF322" i="25"/>
  <c r="DF321" i="25"/>
  <c r="DG322" i="25"/>
  <c r="DG321" i="25"/>
  <c r="DK322" i="25"/>
  <c r="DK321" i="25"/>
  <c r="DL322" i="25"/>
  <c r="DS322" i="25" s="1"/>
  <c r="DL321" i="25"/>
  <c r="DS321" i="25" s="1"/>
  <c r="DM322" i="25"/>
  <c r="DM321" i="25"/>
  <c r="DN322" i="25"/>
  <c r="DN321" i="25"/>
  <c r="DU322" i="25"/>
  <c r="DU321" i="25"/>
  <c r="DV322" i="25"/>
  <c r="DW322" i="25" s="1"/>
  <c r="DV321" i="25"/>
  <c r="DW321" i="25" s="1"/>
  <c r="DX322" i="25"/>
  <c r="DX321" i="25"/>
  <c r="DZ322" i="25"/>
  <c r="DZ321" i="25"/>
  <c r="EA322" i="25"/>
  <c r="EA321" i="25"/>
  <c r="EB322" i="25"/>
  <c r="EB321" i="25"/>
  <c r="EE322" i="25"/>
  <c r="EE321" i="25"/>
  <c r="EF322" i="25"/>
  <c r="EF321" i="25"/>
  <c r="EG322" i="25"/>
  <c r="EG321" i="25"/>
  <c r="EH322" i="25"/>
  <c r="EH321" i="25"/>
  <c r="EI322" i="25"/>
  <c r="DT322" i="25" s="1"/>
  <c r="EI321" i="25"/>
  <c r="DT321" i="25" s="1"/>
  <c r="EJ322" i="25"/>
  <c r="EJ321" i="25"/>
  <c r="EK322" i="25"/>
  <c r="EK321" i="25"/>
  <c r="EL322" i="25"/>
  <c r="EL321" i="25"/>
  <c r="EM322" i="25"/>
  <c r="EM321" i="25"/>
  <c r="EO322" i="25"/>
  <c r="EO321" i="25"/>
  <c r="EP322" i="25"/>
  <c r="EP321" i="25"/>
  <c r="EI290" i="25"/>
  <c r="DT290" i="25" s="1"/>
  <c r="EI291" i="25"/>
  <c r="DT291" i="25" s="1"/>
  <c r="EI292" i="25"/>
  <c r="DT292" i="25" s="1"/>
  <c r="EI293" i="25"/>
  <c r="DT293" i="25" s="1"/>
  <c r="EI299" i="25"/>
  <c r="DT299" i="25" s="1"/>
  <c r="G289" i="25"/>
  <c r="G290" i="25"/>
  <c r="G291" i="25"/>
  <c r="G292" i="25"/>
  <c r="G293" i="25"/>
  <c r="G299" i="25"/>
  <c r="CE289" i="25"/>
  <c r="CE290" i="25"/>
  <c r="CE291" i="25"/>
  <c r="CE292" i="25"/>
  <c r="CE293" i="25"/>
  <c r="CE299" i="25"/>
  <c r="CF289" i="25"/>
  <c r="CF290" i="25"/>
  <c r="CF291" i="25"/>
  <c r="CF292" i="25"/>
  <c r="CF293" i="25"/>
  <c r="CF299" i="25"/>
  <c r="CH289" i="25"/>
  <c r="CH290" i="25"/>
  <c r="CH291" i="25"/>
  <c r="CH292" i="25"/>
  <c r="CH293" i="25"/>
  <c r="CH299" i="25"/>
  <c r="CI289" i="25"/>
  <c r="CI290" i="25"/>
  <c r="CI291" i="25"/>
  <c r="CI292" i="25"/>
  <c r="CI293" i="25"/>
  <c r="CI299" i="25"/>
  <c r="CJ289" i="25"/>
  <c r="CJ290" i="25"/>
  <c r="CJ291" i="25"/>
  <c r="CJ292" i="25"/>
  <c r="CJ293" i="25"/>
  <c r="CJ299" i="25"/>
  <c r="CK289" i="25"/>
  <c r="CK290" i="25"/>
  <c r="CK291" i="25"/>
  <c r="CK292" i="25"/>
  <c r="CK293" i="25"/>
  <c r="CK299" i="25"/>
  <c r="CL289" i="25"/>
  <c r="CL290" i="25"/>
  <c r="CL291" i="25"/>
  <c r="CL292" i="25"/>
  <c r="CL293" i="25"/>
  <c r="CL299" i="25"/>
  <c r="CM289" i="25"/>
  <c r="CM290" i="25"/>
  <c r="CM291" i="25"/>
  <c r="CM292" i="25"/>
  <c r="CM293" i="25"/>
  <c r="CM299" i="25"/>
  <c r="CN289" i="25"/>
  <c r="CN290" i="25"/>
  <c r="CN291" i="25"/>
  <c r="CN292" i="25"/>
  <c r="CN293" i="25"/>
  <c r="CN299" i="25"/>
  <c r="CS289" i="25"/>
  <c r="CT289" i="25" s="1"/>
  <c r="CS290" i="25"/>
  <c r="CT290" i="25" s="1"/>
  <c r="CS291" i="25"/>
  <c r="CS292" i="25"/>
  <c r="CT292" i="25" s="1"/>
  <c r="CS293" i="25"/>
  <c r="CT293" i="25" s="1"/>
  <c r="CS299" i="25"/>
  <c r="DA289" i="25"/>
  <c r="DA290" i="25"/>
  <c r="DA291" i="25"/>
  <c r="DA292" i="25"/>
  <c r="DA293" i="25"/>
  <c r="DA299" i="25"/>
  <c r="DB289" i="25"/>
  <c r="DB290" i="25"/>
  <c r="DB291" i="25"/>
  <c r="DB292" i="25"/>
  <c r="DB293" i="25"/>
  <c r="DB299" i="25"/>
  <c r="DF289" i="25"/>
  <c r="DF290" i="25"/>
  <c r="DF291" i="25"/>
  <c r="DF292" i="25"/>
  <c r="DF293" i="25"/>
  <c r="DF299" i="25"/>
  <c r="DG289" i="25"/>
  <c r="DG290" i="25"/>
  <c r="DG291" i="25"/>
  <c r="DG292" i="25"/>
  <c r="DG293" i="25"/>
  <c r="DG299" i="25"/>
  <c r="DK289" i="25"/>
  <c r="DK290" i="25"/>
  <c r="DK291" i="25"/>
  <c r="DK292" i="25"/>
  <c r="DK293" i="25"/>
  <c r="DK299" i="25"/>
  <c r="DL289" i="25"/>
  <c r="DS289" i="25" s="1"/>
  <c r="DL290" i="25"/>
  <c r="DS290" i="25" s="1"/>
  <c r="DL291" i="25"/>
  <c r="DS291" i="25" s="1"/>
  <c r="DL292" i="25"/>
  <c r="DS292" i="25" s="1"/>
  <c r="DL293" i="25"/>
  <c r="DS293" i="25" s="1"/>
  <c r="DL299" i="25"/>
  <c r="DS299" i="25" s="1"/>
  <c r="DM289" i="25"/>
  <c r="DM290" i="25"/>
  <c r="DM291" i="25"/>
  <c r="DM292" i="25"/>
  <c r="DM293" i="25"/>
  <c r="DM299" i="25"/>
  <c r="DN289" i="25"/>
  <c r="DN290" i="25"/>
  <c r="DN291" i="25"/>
  <c r="DN292" i="25"/>
  <c r="DN293" i="25"/>
  <c r="DN299" i="25"/>
  <c r="DU289" i="25"/>
  <c r="DU290" i="25"/>
  <c r="DU291" i="25"/>
  <c r="DU292" i="25"/>
  <c r="DU293" i="25"/>
  <c r="DU299" i="25"/>
  <c r="DV289" i="25"/>
  <c r="DY289" i="25" s="1"/>
  <c r="DV290" i="25"/>
  <c r="DY290" i="25" s="1"/>
  <c r="DV291" i="25"/>
  <c r="DY291" i="25" s="1"/>
  <c r="DV292" i="25"/>
  <c r="DY292" i="25" s="1"/>
  <c r="DV293" i="25"/>
  <c r="DW293" i="25" s="1"/>
  <c r="DV299" i="25"/>
  <c r="DW299" i="25" s="1"/>
  <c r="DX289" i="25"/>
  <c r="DX290" i="25"/>
  <c r="DX291" i="25"/>
  <c r="DX292" i="25"/>
  <c r="DX293" i="25"/>
  <c r="DX299" i="25"/>
  <c r="DZ289" i="25"/>
  <c r="DZ290" i="25"/>
  <c r="DZ291" i="25"/>
  <c r="DZ292" i="25"/>
  <c r="DZ293" i="25"/>
  <c r="DZ299" i="25"/>
  <c r="EA289" i="25"/>
  <c r="EA290" i="25"/>
  <c r="EA291" i="25"/>
  <c r="EA292" i="25"/>
  <c r="EA293" i="25"/>
  <c r="EA299" i="25"/>
  <c r="EB289" i="25"/>
  <c r="EB290" i="25"/>
  <c r="EB291" i="25"/>
  <c r="EB292" i="25"/>
  <c r="EB293" i="25"/>
  <c r="EB299" i="25"/>
  <c r="EE289" i="25"/>
  <c r="EE290" i="25"/>
  <c r="EE291" i="25"/>
  <c r="EE292" i="25"/>
  <c r="EE293" i="25"/>
  <c r="EE299" i="25"/>
  <c r="EF289" i="25"/>
  <c r="EF290" i="25"/>
  <c r="EF291" i="25"/>
  <c r="EF292" i="25"/>
  <c r="EF293" i="25"/>
  <c r="EF299" i="25"/>
  <c r="EG289" i="25"/>
  <c r="DE289" i="25" s="1"/>
  <c r="EG290" i="25"/>
  <c r="DE290" i="25" s="1"/>
  <c r="EG291" i="25"/>
  <c r="EG292" i="25"/>
  <c r="DE292" i="25" s="1"/>
  <c r="EG293" i="25"/>
  <c r="EG299" i="25"/>
  <c r="EH289" i="25"/>
  <c r="EH290" i="25"/>
  <c r="EH291" i="25"/>
  <c r="EH292" i="25"/>
  <c r="EH293" i="25"/>
  <c r="EH299" i="25"/>
  <c r="EI289" i="25"/>
  <c r="DT289" i="25" s="1"/>
  <c r="EJ289" i="25"/>
  <c r="EJ290" i="25"/>
  <c r="EJ291" i="25"/>
  <c r="EJ292" i="25"/>
  <c r="EJ293" i="25"/>
  <c r="EJ299" i="25"/>
  <c r="EK289" i="25"/>
  <c r="EK290" i="25"/>
  <c r="EK291" i="25"/>
  <c r="EK292" i="25"/>
  <c r="EK293" i="25"/>
  <c r="EK299" i="25"/>
  <c r="EL289" i="25"/>
  <c r="EL290" i="25"/>
  <c r="EL291" i="25"/>
  <c r="EL292" i="25"/>
  <c r="EL293" i="25"/>
  <c r="EL299" i="25"/>
  <c r="EM289" i="25"/>
  <c r="EM290" i="25"/>
  <c r="EM291" i="25"/>
  <c r="EM292" i="25"/>
  <c r="EM293" i="25"/>
  <c r="EM299" i="25"/>
  <c r="EO289" i="25"/>
  <c r="EO290" i="25"/>
  <c r="EO291" i="25"/>
  <c r="EO292" i="25"/>
  <c r="EO293" i="25"/>
  <c r="EO299" i="25"/>
  <c r="EP289" i="25"/>
  <c r="EP290" i="25"/>
  <c r="EP291" i="25"/>
  <c r="EP292" i="25"/>
  <c r="EP293" i="25"/>
  <c r="EP299" i="25"/>
  <c r="EC131" i="25" l="1"/>
  <c r="DD131" i="25"/>
  <c r="DC131" i="25" s="1"/>
  <c r="DJ131" i="25" s="1"/>
  <c r="EC156" i="25"/>
  <c r="DD156" i="25"/>
  <c r="DC156" i="25" s="1"/>
  <c r="DJ156" i="25" s="1"/>
  <c r="DO156" i="25"/>
  <c r="DP156" i="25" s="1"/>
  <c r="DQ156" i="25" s="1"/>
  <c r="DR156" i="25" s="1"/>
  <c r="CG156" i="25"/>
  <c r="DY131" i="25"/>
  <c r="DO131" i="25"/>
  <c r="DP131" i="25" s="1"/>
  <c r="DQ131" i="25" s="1"/>
  <c r="DR131" i="25" s="1"/>
  <c r="CG131" i="25"/>
  <c r="DW156" i="25"/>
  <c r="ED131" i="25"/>
  <c r="CO131" i="25"/>
  <c r="CQ131" i="25" s="1"/>
  <c r="CR131" i="25" s="1"/>
  <c r="CV131" i="25" s="1"/>
  <c r="CW131" i="25" s="1"/>
  <c r="CZ131" i="25" s="1"/>
  <c r="DH131" i="25"/>
  <c r="DI131" i="25" s="1"/>
  <c r="CP156" i="25"/>
  <c r="CP131" i="25"/>
  <c r="CO156" i="25"/>
  <c r="CQ156" i="25" s="1"/>
  <c r="CR156" i="25" s="1"/>
  <c r="CV156" i="25" s="1"/>
  <c r="CW156" i="25" s="1"/>
  <c r="CZ156" i="25" s="1"/>
  <c r="DE131" i="25"/>
  <c r="ED156" i="25"/>
  <c r="DH156" i="25"/>
  <c r="DI156" i="25" s="1"/>
  <c r="DE156" i="25"/>
  <c r="ED322" i="25"/>
  <c r="CG322" i="25"/>
  <c r="DD322" i="25"/>
  <c r="DC322" i="25" s="1"/>
  <c r="DJ322" i="25" s="1"/>
  <c r="CO322" i="25"/>
  <c r="CQ322" i="25" s="1"/>
  <c r="CU322" i="25" s="1"/>
  <c r="CX322" i="25" s="1"/>
  <c r="CY322" i="25" s="1"/>
  <c r="DD321" i="25"/>
  <c r="DC321" i="25" s="1"/>
  <c r="DJ321" i="25" s="1"/>
  <c r="CG321" i="25"/>
  <c r="CO321" i="25"/>
  <c r="CQ321" i="25" s="1"/>
  <c r="CR321" i="25" s="1"/>
  <c r="CV321" i="25" s="1"/>
  <c r="CW321" i="25" s="1"/>
  <c r="CZ321" i="25" s="1"/>
  <c r="CP321" i="25"/>
  <c r="ED321" i="25"/>
  <c r="CP322" i="25"/>
  <c r="DO321" i="25"/>
  <c r="DP321" i="25" s="1"/>
  <c r="DQ321" i="25" s="1"/>
  <c r="DR321" i="25" s="1"/>
  <c r="DH321" i="25"/>
  <c r="DI321" i="25" s="1"/>
  <c r="DO322" i="25"/>
  <c r="DP322" i="25" s="1"/>
  <c r="DQ322" i="25" s="1"/>
  <c r="DR322" i="25" s="1"/>
  <c r="EC321" i="25"/>
  <c r="EC322" i="25"/>
  <c r="DY321" i="25"/>
  <c r="DE321" i="25"/>
  <c r="DY322" i="25"/>
  <c r="DE322" i="25"/>
  <c r="DH322" i="25"/>
  <c r="DI322" i="25" s="1"/>
  <c r="DD291" i="25"/>
  <c r="DC291" i="25" s="1"/>
  <c r="DJ291" i="25" s="1"/>
  <c r="CG289" i="25"/>
  <c r="CG291" i="25"/>
  <c r="ED290" i="25"/>
  <c r="ED291" i="25"/>
  <c r="EC289" i="25"/>
  <c r="EC293" i="25"/>
  <c r="DO293" i="25"/>
  <c r="DP293" i="25" s="1"/>
  <c r="DQ293" i="25" s="1"/>
  <c r="DR293" i="25" s="1"/>
  <c r="ED293" i="25"/>
  <c r="EC291" i="25"/>
  <c r="CO291" i="25"/>
  <c r="CQ291" i="25" s="1"/>
  <c r="CR291" i="25" s="1"/>
  <c r="DO290" i="25"/>
  <c r="DP290" i="25" s="1"/>
  <c r="DQ290" i="25" s="1"/>
  <c r="DR290" i="25" s="1"/>
  <c r="CP293" i="25"/>
  <c r="DO292" i="25"/>
  <c r="DP292" i="25" s="1"/>
  <c r="DQ292" i="25" s="1"/>
  <c r="DR292" i="25" s="1"/>
  <c r="CO292" i="25"/>
  <c r="CQ292" i="25" s="1"/>
  <c r="DD290" i="25"/>
  <c r="DC290" i="25" s="1"/>
  <c r="DJ290" i="25" s="1"/>
  <c r="DW291" i="25"/>
  <c r="CP290" i="25"/>
  <c r="CG299" i="25"/>
  <c r="DO291" i="25"/>
  <c r="DP291" i="25" s="1"/>
  <c r="DQ291" i="25" s="1"/>
  <c r="DR291" i="25" s="1"/>
  <c r="CO299" i="25"/>
  <c r="CQ299" i="25" s="1"/>
  <c r="CR299" i="25" s="1"/>
  <c r="CG290" i="25"/>
  <c r="ED289" i="25"/>
  <c r="CP291" i="25"/>
  <c r="CO289" i="25"/>
  <c r="CQ289" i="25" s="1"/>
  <c r="CR289" i="25" s="1"/>
  <c r="CV289" i="25" s="1"/>
  <c r="CW289" i="25" s="1"/>
  <c r="CZ289" i="25" s="1"/>
  <c r="CO293" i="25"/>
  <c r="CQ293" i="25" s="1"/>
  <c r="DD292" i="25"/>
  <c r="DC292" i="25" s="1"/>
  <c r="DJ292" i="25" s="1"/>
  <c r="CP292" i="25"/>
  <c r="CO290" i="25"/>
  <c r="CQ290" i="25" s="1"/>
  <c r="EC299" i="25"/>
  <c r="DW292" i="25"/>
  <c r="CP299" i="25"/>
  <c r="CP289" i="25"/>
  <c r="DY299" i="25"/>
  <c r="DD289" i="25"/>
  <c r="DC289" i="25" s="1"/>
  <c r="DJ289" i="25" s="1"/>
  <c r="ED299" i="25"/>
  <c r="EC292" i="25"/>
  <c r="DO289" i="25"/>
  <c r="DP289" i="25" s="1"/>
  <c r="DQ289" i="25" s="1"/>
  <c r="DR289" i="25" s="1"/>
  <c r="ED292" i="25"/>
  <c r="EC290" i="25"/>
  <c r="CG293" i="25"/>
  <c r="DD299" i="25"/>
  <c r="DC299" i="25" s="1"/>
  <c r="DJ299" i="25" s="1"/>
  <c r="CG292" i="25"/>
  <c r="DD293" i="25"/>
  <c r="DC293" i="25" s="1"/>
  <c r="DJ293" i="25" s="1"/>
  <c r="DO299" i="25"/>
  <c r="DP299" i="25" s="1"/>
  <c r="DQ299" i="25" s="1"/>
  <c r="DR299" i="25" s="1"/>
  <c r="DH299" i="25"/>
  <c r="DI299" i="25" s="1"/>
  <c r="DH293" i="25"/>
  <c r="DI293" i="25" s="1"/>
  <c r="DH292" i="25"/>
  <c r="DI292" i="25" s="1"/>
  <c r="DH289" i="25"/>
  <c r="DI289" i="25" s="1"/>
  <c r="DW290" i="25"/>
  <c r="DY293" i="25"/>
  <c r="DW289" i="25"/>
  <c r="DH291" i="25"/>
  <c r="DI291" i="25" s="1"/>
  <c r="DE293" i="25"/>
  <c r="DE299" i="25"/>
  <c r="DH290" i="25"/>
  <c r="DI290" i="25" s="1"/>
  <c r="CT299" i="25"/>
  <c r="DE291" i="25"/>
  <c r="CT291" i="25"/>
  <c r="CU131" i="25" l="1"/>
  <c r="CX131" i="25" s="1"/>
  <c r="CY131" i="25" s="1"/>
  <c r="CU156" i="25"/>
  <c r="CX156" i="25" s="1"/>
  <c r="CY156" i="25" s="1"/>
  <c r="CR322" i="25"/>
  <c r="CV322" i="25" s="1"/>
  <c r="CW322" i="25" s="1"/>
  <c r="CZ322" i="25" s="1"/>
  <c r="CU321" i="25"/>
  <c r="CX321" i="25" s="1"/>
  <c r="CY321" i="25" s="1"/>
  <c r="CU293" i="25"/>
  <c r="CX293" i="25" s="1"/>
  <c r="CY293" i="25" s="1"/>
  <c r="CR293" i="25"/>
  <c r="CV293" i="25" s="1"/>
  <c r="CW293" i="25" s="1"/>
  <c r="CZ293" i="25" s="1"/>
  <c r="CU299" i="25"/>
  <c r="CX299" i="25" s="1"/>
  <c r="CY299" i="25" s="1"/>
  <c r="CV299" i="25"/>
  <c r="CW299" i="25" s="1"/>
  <c r="CZ299" i="25" s="1"/>
  <c r="CV291" i="25"/>
  <c r="CW291" i="25" s="1"/>
  <c r="CZ291" i="25" s="1"/>
  <c r="CU291" i="25"/>
  <c r="CX291" i="25" s="1"/>
  <c r="CY291" i="25" s="1"/>
  <c r="CR290" i="25"/>
  <c r="CV290" i="25" s="1"/>
  <c r="CW290" i="25" s="1"/>
  <c r="CZ290" i="25" s="1"/>
  <c r="CU290" i="25"/>
  <c r="CX290" i="25" s="1"/>
  <c r="CY290" i="25" s="1"/>
  <c r="CR292" i="25"/>
  <c r="CV292" i="25" s="1"/>
  <c r="CW292" i="25" s="1"/>
  <c r="CZ292" i="25" s="1"/>
  <c r="CU292" i="25"/>
  <c r="CX292" i="25" s="1"/>
  <c r="CY292" i="25" s="1"/>
  <c r="CU289" i="25"/>
  <c r="CX289" i="25" s="1"/>
  <c r="CY289" i="25" s="1"/>
  <c r="G62" i="25" l="1"/>
  <c r="G63" i="25"/>
  <c r="G55" i="25"/>
  <c r="G59" i="25"/>
  <c r="G56" i="25"/>
  <c r="G71" i="25"/>
  <c r="G58" i="25"/>
  <c r="G64" i="25"/>
  <c r="G57" i="25"/>
  <c r="G65" i="25"/>
  <c r="G66" i="25"/>
  <c r="G67" i="25"/>
  <c r="G72" i="25"/>
  <c r="G68" i="25"/>
  <c r="G60" i="25"/>
  <c r="G69" i="25"/>
  <c r="G73" i="25"/>
  <c r="G74" i="25"/>
  <c r="G75" i="25"/>
  <c r="G76" i="25"/>
  <c r="G102" i="25"/>
  <c r="G77" i="25"/>
  <c r="G83" i="25"/>
  <c r="G98" i="25"/>
  <c r="G84" i="25"/>
  <c r="G108" i="25"/>
  <c r="G103" i="25"/>
  <c r="G112" i="25"/>
  <c r="G78" i="25"/>
  <c r="G86" i="25"/>
  <c r="G118" i="25"/>
  <c r="G104" i="25"/>
  <c r="G105" i="25"/>
  <c r="G87" i="25"/>
  <c r="G88" i="25"/>
  <c r="G85" i="25"/>
  <c r="G113" i="25"/>
  <c r="G79" i="25"/>
  <c r="G114" i="25"/>
  <c r="G89" i="25"/>
  <c r="G106" i="25"/>
  <c r="G90" i="25"/>
  <c r="G99" i="25"/>
  <c r="G101" i="25"/>
  <c r="G100" i="25"/>
  <c r="G91" i="25"/>
  <c r="G107" i="25"/>
  <c r="G109" i="25"/>
  <c r="G92" i="25"/>
  <c r="G110" i="25"/>
  <c r="G111" i="25"/>
  <c r="G93" i="25"/>
  <c r="G94" i="25"/>
  <c r="G81" i="25"/>
  <c r="G115" i="25"/>
  <c r="G95" i="25"/>
  <c r="G96" i="25"/>
  <c r="G116" i="25"/>
  <c r="G80" i="25"/>
  <c r="G117" i="25"/>
  <c r="G82" i="25"/>
  <c r="G119" i="25"/>
  <c r="G120" i="25"/>
  <c r="G121" i="25"/>
  <c r="G97" i="25"/>
  <c r="G122" i="25"/>
  <c r="G123" i="25"/>
  <c r="G124" i="25"/>
  <c r="G125" i="25"/>
  <c r="G133" i="25"/>
  <c r="G127" i="25"/>
  <c r="G148" i="25"/>
  <c r="G149" i="25"/>
  <c r="G139" i="25"/>
  <c r="G134" i="25"/>
  <c r="G147" i="25"/>
  <c r="G140" i="25"/>
  <c r="G136" i="25"/>
  <c r="G150" i="25"/>
  <c r="G151" i="25"/>
  <c r="G137" i="25"/>
  <c r="G135" i="25"/>
  <c r="G145" i="25"/>
  <c r="G138" i="25"/>
  <c r="G132" i="25"/>
  <c r="G141" i="25"/>
  <c r="G143" i="25"/>
  <c r="G144" i="25"/>
  <c r="G128" i="25"/>
  <c r="G152" i="25"/>
  <c r="G153" i="25"/>
  <c r="G130" i="25"/>
  <c r="G154" i="25"/>
  <c r="G155" i="25"/>
  <c r="G146" i="25"/>
  <c r="G157" i="25"/>
  <c r="G158" i="25"/>
  <c r="G24" i="25"/>
  <c r="G41" i="25"/>
  <c r="G44" i="25"/>
  <c r="G159" i="25"/>
  <c r="G160" i="25"/>
  <c r="G161" i="25"/>
  <c r="G162" i="25"/>
  <c r="G163" i="25"/>
  <c r="G164" i="25"/>
  <c r="G165" i="25"/>
  <c r="G166" i="25"/>
  <c r="G167" i="25"/>
  <c r="G168" i="25"/>
  <c r="G169" i="25"/>
  <c r="G170" i="25"/>
  <c r="G171" i="25"/>
  <c r="G172" i="25"/>
  <c r="G173" i="25"/>
  <c r="G174" i="25"/>
  <c r="G175" i="25"/>
  <c r="G177" i="25"/>
  <c r="G178" i="25"/>
  <c r="G176" i="25"/>
  <c r="G179" i="25"/>
  <c r="G180" i="25"/>
  <c r="G181" i="25"/>
  <c r="G182" i="25"/>
  <c r="G183" i="25"/>
  <c r="G184" i="25"/>
  <c r="G185" i="25"/>
  <c r="G126" i="25"/>
  <c r="G186" i="25"/>
  <c r="G187" i="25"/>
  <c r="G189" i="25"/>
  <c r="G190" i="25"/>
  <c r="G191" i="25"/>
  <c r="G192" i="25"/>
  <c r="G142" i="25"/>
  <c r="G193" i="25"/>
  <c r="G195" i="25"/>
  <c r="G188" i="25"/>
  <c r="G129" i="25"/>
  <c r="G196" i="25"/>
  <c r="G197" i="25"/>
  <c r="G198" i="25"/>
  <c r="G199" i="25"/>
  <c r="G200" i="25"/>
  <c r="G201" i="25"/>
  <c r="G202" i="25"/>
  <c r="G203" i="25"/>
  <c r="G220" i="25"/>
  <c r="G206" i="25"/>
  <c r="G205" i="25"/>
  <c r="G217" i="25"/>
  <c r="G210" i="25"/>
  <c r="G218" i="25"/>
  <c r="G224" i="25"/>
  <c r="G211" i="25"/>
  <c r="G239" i="25"/>
  <c r="G241" i="25"/>
  <c r="G242" i="25"/>
  <c r="G225" i="25"/>
  <c r="G226" i="25"/>
  <c r="G204" i="25"/>
  <c r="G207" i="25"/>
  <c r="G212" i="25"/>
  <c r="G213" i="25"/>
  <c r="G214" i="25"/>
  <c r="G216" i="25"/>
  <c r="G235" i="25"/>
  <c r="G244" i="25"/>
  <c r="G236" i="25"/>
  <c r="G215" i="25"/>
  <c r="G208" i="25"/>
  <c r="G246" i="25"/>
  <c r="G229" i="25"/>
  <c r="G230" i="25"/>
  <c r="G231" i="25"/>
  <c r="G232" i="25"/>
  <c r="G238" i="25"/>
  <c r="G221" i="25"/>
  <c r="G222" i="25"/>
  <c r="G223" i="25"/>
  <c r="G240" i="25"/>
  <c r="G209" i="25"/>
  <c r="G227" i="25"/>
  <c r="G243" i="25"/>
  <c r="G245" i="25"/>
  <c r="G228" i="25"/>
  <c r="G233" i="25"/>
  <c r="G247" i="25"/>
  <c r="G234" i="25"/>
  <c r="G265" i="25"/>
  <c r="G256" i="25"/>
  <c r="G257" i="25"/>
  <c r="G258" i="25"/>
  <c r="G249" i="25"/>
  <c r="G254" i="25"/>
  <c r="G250" i="25"/>
  <c r="G266" i="25"/>
  <c r="G253" i="25"/>
  <c r="G259" i="25"/>
  <c r="G251" i="25"/>
  <c r="G260" i="25"/>
  <c r="G261" i="25"/>
  <c r="G262" i="25"/>
  <c r="G267" i="25"/>
  <c r="G263" i="25"/>
  <c r="G255" i="25"/>
  <c r="G264" i="25"/>
  <c r="G268" i="25"/>
  <c r="G269" i="25"/>
  <c r="G270" i="25"/>
  <c r="G271" i="25"/>
  <c r="G376" i="25"/>
  <c r="G368" i="25"/>
  <c r="G274" i="25"/>
  <c r="G294" i="25"/>
  <c r="G275" i="25"/>
  <c r="G297" i="25"/>
  <c r="G296" i="25"/>
  <c r="G303" i="25"/>
  <c r="G369" i="25"/>
  <c r="G277" i="25"/>
  <c r="G307" i="25"/>
  <c r="G378" i="25"/>
  <c r="G379" i="25"/>
  <c r="G278" i="25"/>
  <c r="G279" i="25"/>
  <c r="G276" i="25"/>
  <c r="G304" i="25"/>
  <c r="G370" i="25"/>
  <c r="G305" i="25"/>
  <c r="G280" i="25"/>
  <c r="G384" i="25"/>
  <c r="G281" i="25"/>
  <c r="G396" i="25"/>
  <c r="G295" i="25"/>
  <c r="G375" i="25"/>
  <c r="G282" i="25"/>
  <c r="G386" i="25"/>
  <c r="G300" i="25"/>
  <c r="G283" i="25"/>
  <c r="G301" i="25"/>
  <c r="G302" i="25"/>
  <c r="G284" i="25"/>
  <c r="G285" i="25"/>
  <c r="G272" i="25"/>
  <c r="G306" i="25"/>
  <c r="G286" i="25"/>
  <c r="G287" i="25"/>
  <c r="G372" i="25"/>
  <c r="G389" i="25"/>
  <c r="G273" i="25"/>
  <c r="G308" i="25"/>
  <c r="G309" i="25"/>
  <c r="G310" i="25"/>
  <c r="G288" i="25"/>
  <c r="G311" i="25"/>
  <c r="G312" i="25"/>
  <c r="G313" i="25"/>
  <c r="G314" i="25"/>
  <c r="G318" i="25"/>
  <c r="G315" i="25"/>
  <c r="G332" i="25"/>
  <c r="G333" i="25"/>
  <c r="G325" i="25"/>
  <c r="G331" i="25"/>
  <c r="G326" i="25"/>
  <c r="G320" i="25"/>
  <c r="G334" i="25"/>
  <c r="G335" i="25"/>
  <c r="G252" i="25"/>
  <c r="G319" i="25"/>
  <c r="G298" i="25"/>
  <c r="G324" i="25"/>
  <c r="G317" i="25"/>
  <c r="G327" i="25"/>
  <c r="G328" i="25"/>
  <c r="G329" i="25"/>
  <c r="G371" i="25"/>
  <c r="G336" i="25"/>
  <c r="G337" i="25"/>
  <c r="G316" i="25"/>
  <c r="G338" i="25"/>
  <c r="G330" i="25"/>
  <c r="G339" i="25"/>
  <c r="G219" i="25"/>
  <c r="G248" i="25"/>
  <c r="G237" i="25"/>
  <c r="G340" i="25"/>
  <c r="G341" i="25"/>
  <c r="G342" i="25"/>
  <c r="G343" i="25"/>
  <c r="G344" i="25"/>
  <c r="G345" i="25"/>
  <c r="G346" i="25"/>
  <c r="G347" i="25"/>
  <c r="G348" i="25"/>
  <c r="G349" i="25"/>
  <c r="G350" i="25"/>
  <c r="G351" i="25"/>
  <c r="G352" i="25"/>
  <c r="G353" i="25"/>
  <c r="G354" i="25"/>
  <c r="G355" i="25"/>
  <c r="G356" i="25"/>
  <c r="G358" i="25"/>
  <c r="G359" i="25"/>
  <c r="G357" i="25"/>
  <c r="G360" i="25"/>
  <c r="G361" i="25"/>
  <c r="G363" i="25"/>
  <c r="G364" i="25"/>
  <c r="G362" i="25"/>
  <c r="G365" i="25"/>
  <c r="G366" i="25"/>
  <c r="G367" i="25"/>
  <c r="G377" i="25"/>
  <c r="G380" i="25"/>
  <c r="G381" i="25"/>
  <c r="G382" i="25"/>
  <c r="G383" i="25"/>
  <c r="G385" i="25"/>
  <c r="G387" i="25"/>
  <c r="G373" i="25"/>
  <c r="G374" i="25"/>
  <c r="G388" i="25"/>
  <c r="G390" i="25"/>
  <c r="G391" i="25"/>
  <c r="G392" i="25"/>
  <c r="G394" i="25"/>
  <c r="G395" i="25"/>
  <c r="G393" i="25"/>
  <c r="CE203" i="25"/>
  <c r="CE220" i="25"/>
  <c r="CE206" i="25"/>
  <c r="CE205" i="25"/>
  <c r="CE217" i="25"/>
  <c r="CE210" i="25"/>
  <c r="CE218" i="25"/>
  <c r="CE224" i="25"/>
  <c r="CE211" i="25"/>
  <c r="CE239" i="25"/>
  <c r="CE241" i="25"/>
  <c r="CE242" i="25"/>
  <c r="CE225" i="25"/>
  <c r="CE226" i="25"/>
  <c r="CE204" i="25"/>
  <c r="CE207" i="25"/>
  <c r="CE212" i="25"/>
  <c r="CE213" i="25"/>
  <c r="CE214" i="25"/>
  <c r="CE216" i="25"/>
  <c r="CE235" i="25"/>
  <c r="CE244" i="25"/>
  <c r="CE236" i="25"/>
  <c r="CE215" i="25"/>
  <c r="CE208" i="25"/>
  <c r="CE246" i="25"/>
  <c r="CE229" i="25"/>
  <c r="CE230" i="25"/>
  <c r="CE231" i="25"/>
  <c r="CE232" i="25"/>
  <c r="CE238" i="25"/>
  <c r="CE221" i="25"/>
  <c r="CE222" i="25"/>
  <c r="CE223" i="25"/>
  <c r="CE240" i="25"/>
  <c r="CE209" i="25"/>
  <c r="CE227" i="25"/>
  <c r="CE243" i="25"/>
  <c r="CE245" i="25"/>
  <c r="CE228" i="25"/>
  <c r="CE233" i="25"/>
  <c r="CE247" i="25"/>
  <c r="CE234" i="25"/>
  <c r="CE265" i="25"/>
  <c r="CE256" i="25"/>
  <c r="CE257" i="25"/>
  <c r="CE258" i="25"/>
  <c r="CE249" i="25"/>
  <c r="CE254" i="25"/>
  <c r="CE250" i="25"/>
  <c r="CE266" i="25"/>
  <c r="CE253" i="25"/>
  <c r="CE259" i="25"/>
  <c r="CE251" i="25"/>
  <c r="CE260" i="25"/>
  <c r="CE261" i="25"/>
  <c r="CE262" i="25"/>
  <c r="CE267" i="25"/>
  <c r="CE263" i="25"/>
  <c r="CE255" i="25"/>
  <c r="CE264" i="25"/>
  <c r="CE268" i="25"/>
  <c r="CE269" i="25"/>
  <c r="CE270" i="25"/>
  <c r="CE271" i="25"/>
  <c r="CE376" i="25"/>
  <c r="CE368" i="25"/>
  <c r="CE274" i="25"/>
  <c r="CE294" i="25"/>
  <c r="CE275" i="25"/>
  <c r="CE297" i="25"/>
  <c r="CE296" i="25"/>
  <c r="CE303" i="25"/>
  <c r="CE369" i="25"/>
  <c r="CE277" i="25"/>
  <c r="CE307" i="25"/>
  <c r="CE378" i="25"/>
  <c r="CE379" i="25"/>
  <c r="CE278" i="25"/>
  <c r="CE279" i="25"/>
  <c r="CE276" i="25"/>
  <c r="CE304" i="25"/>
  <c r="CE370" i="25"/>
  <c r="CE305" i="25"/>
  <c r="CE280" i="25"/>
  <c r="CE384" i="25"/>
  <c r="CE281" i="25"/>
  <c r="CE396" i="25"/>
  <c r="CE295" i="25"/>
  <c r="CE375" i="25"/>
  <c r="CE282" i="25"/>
  <c r="CE386" i="25"/>
  <c r="CE300" i="25"/>
  <c r="CE283" i="25"/>
  <c r="CE301" i="25"/>
  <c r="CE302" i="25"/>
  <c r="CE284" i="25"/>
  <c r="CE285" i="25"/>
  <c r="CE272" i="25"/>
  <c r="CE306" i="25"/>
  <c r="CE286" i="25"/>
  <c r="CE287" i="25"/>
  <c r="CE372" i="25"/>
  <c r="CE389" i="25"/>
  <c r="CE273" i="25"/>
  <c r="CE308" i="25"/>
  <c r="CE309" i="25"/>
  <c r="CE310" i="25"/>
  <c r="CE288" i="25"/>
  <c r="CE311" i="25"/>
  <c r="CE312" i="25"/>
  <c r="CE313" i="25"/>
  <c r="CE314" i="25"/>
  <c r="CE318" i="25"/>
  <c r="CE315" i="25"/>
  <c r="CE332" i="25"/>
  <c r="CE333" i="25"/>
  <c r="CE325" i="25"/>
  <c r="CE331" i="25"/>
  <c r="CE326" i="25"/>
  <c r="CE320" i="25"/>
  <c r="CE334" i="25"/>
  <c r="CE335" i="25"/>
  <c r="CE252" i="25"/>
  <c r="CE319" i="25"/>
  <c r="CE298" i="25"/>
  <c r="CE324" i="25"/>
  <c r="CE317" i="25"/>
  <c r="CE327" i="25"/>
  <c r="CE328" i="25"/>
  <c r="CE329" i="25"/>
  <c r="CE371" i="25"/>
  <c r="CE336" i="25"/>
  <c r="CE337" i="25"/>
  <c r="CE316" i="25"/>
  <c r="CE338" i="25"/>
  <c r="CE330" i="25"/>
  <c r="CE339" i="25"/>
  <c r="CE219" i="25"/>
  <c r="CE248" i="25"/>
  <c r="CE237" i="25"/>
  <c r="CE340" i="25"/>
  <c r="CE341" i="25"/>
  <c r="CE342" i="25"/>
  <c r="CE343" i="25"/>
  <c r="CE344" i="25"/>
  <c r="CE345" i="25"/>
  <c r="CE346" i="25"/>
  <c r="CE347" i="25"/>
  <c r="CE348" i="25"/>
  <c r="CE349" i="25"/>
  <c r="CE350" i="25"/>
  <c r="CE351" i="25"/>
  <c r="CE352" i="25"/>
  <c r="CE353" i="25"/>
  <c r="CE354" i="25"/>
  <c r="CE355" i="25"/>
  <c r="CE356" i="25"/>
  <c r="CE358" i="25"/>
  <c r="CE359" i="25"/>
  <c r="CE357" i="25"/>
  <c r="CE360" i="25"/>
  <c r="CE361" i="25"/>
  <c r="CE363" i="25"/>
  <c r="CE364" i="25"/>
  <c r="CE362" i="25"/>
  <c r="CE365" i="25"/>
  <c r="CE366" i="25"/>
  <c r="CE367" i="25"/>
  <c r="CE377" i="25"/>
  <c r="CE380" i="25"/>
  <c r="CE381" i="25"/>
  <c r="CE382" i="25"/>
  <c r="CE383" i="25"/>
  <c r="CE385" i="25"/>
  <c r="CE387" i="25"/>
  <c r="CE373" i="25"/>
  <c r="CE374" i="25"/>
  <c r="CE388" i="25"/>
  <c r="CE390" i="25"/>
  <c r="CE391" i="25"/>
  <c r="CE392" i="25"/>
  <c r="CE394" i="25"/>
  <c r="CE395" i="25"/>
  <c r="CE393" i="25"/>
  <c r="CF203" i="25"/>
  <c r="CF220" i="25"/>
  <c r="CF206" i="25"/>
  <c r="CF205" i="25"/>
  <c r="CF217" i="25"/>
  <c r="CF210" i="25"/>
  <c r="CF218" i="25"/>
  <c r="CF224" i="25"/>
  <c r="CF211" i="25"/>
  <c r="CF239" i="25"/>
  <c r="CF241" i="25"/>
  <c r="CF242" i="25"/>
  <c r="CF225" i="25"/>
  <c r="CF226" i="25"/>
  <c r="CF204" i="25"/>
  <c r="CF207" i="25"/>
  <c r="CF212" i="25"/>
  <c r="CF213" i="25"/>
  <c r="CF214" i="25"/>
  <c r="CF216" i="25"/>
  <c r="CF235" i="25"/>
  <c r="CF244" i="25"/>
  <c r="CF236" i="25"/>
  <c r="CF215" i="25"/>
  <c r="CF208" i="25"/>
  <c r="CF246" i="25"/>
  <c r="CF229" i="25"/>
  <c r="CF230" i="25"/>
  <c r="CF231" i="25"/>
  <c r="CF232" i="25"/>
  <c r="CF238" i="25"/>
  <c r="CF221" i="25"/>
  <c r="CF222" i="25"/>
  <c r="CF223" i="25"/>
  <c r="CF240" i="25"/>
  <c r="CF209" i="25"/>
  <c r="CF227" i="25"/>
  <c r="CF243" i="25"/>
  <c r="CF245" i="25"/>
  <c r="CF228" i="25"/>
  <c r="CF233" i="25"/>
  <c r="CF247" i="25"/>
  <c r="CF234" i="25"/>
  <c r="CF265" i="25"/>
  <c r="CF256" i="25"/>
  <c r="CF257" i="25"/>
  <c r="CF258" i="25"/>
  <c r="CF249" i="25"/>
  <c r="CF254" i="25"/>
  <c r="CF250" i="25"/>
  <c r="CF266" i="25"/>
  <c r="CF253" i="25"/>
  <c r="CF259" i="25"/>
  <c r="CF251" i="25"/>
  <c r="CF260" i="25"/>
  <c r="CF261" i="25"/>
  <c r="CF262" i="25"/>
  <c r="CF267" i="25"/>
  <c r="CF263" i="25"/>
  <c r="CF255" i="25"/>
  <c r="CF264" i="25"/>
  <c r="CF268" i="25"/>
  <c r="CF269" i="25"/>
  <c r="CF270" i="25"/>
  <c r="CF271" i="25"/>
  <c r="CF376" i="25"/>
  <c r="CF368" i="25"/>
  <c r="CF274" i="25"/>
  <c r="CF294" i="25"/>
  <c r="CF275" i="25"/>
  <c r="CF297" i="25"/>
  <c r="CF296" i="25"/>
  <c r="CF303" i="25"/>
  <c r="CF369" i="25"/>
  <c r="CF277" i="25"/>
  <c r="CF307" i="25"/>
  <c r="CF378" i="25"/>
  <c r="CF379" i="25"/>
  <c r="CF278" i="25"/>
  <c r="CF279" i="25"/>
  <c r="CF276" i="25"/>
  <c r="CF304" i="25"/>
  <c r="CF370" i="25"/>
  <c r="CF305" i="25"/>
  <c r="CF280" i="25"/>
  <c r="CF384" i="25"/>
  <c r="CF281" i="25"/>
  <c r="CF396" i="25"/>
  <c r="CF295" i="25"/>
  <c r="CF375" i="25"/>
  <c r="CF282" i="25"/>
  <c r="CF386" i="25"/>
  <c r="CF300" i="25"/>
  <c r="CF283" i="25"/>
  <c r="CF301" i="25"/>
  <c r="CF302" i="25"/>
  <c r="CF284" i="25"/>
  <c r="CF285" i="25"/>
  <c r="CF272" i="25"/>
  <c r="CF306" i="25"/>
  <c r="CF286" i="25"/>
  <c r="CF287" i="25"/>
  <c r="CF372" i="25"/>
  <c r="CF389" i="25"/>
  <c r="CF273" i="25"/>
  <c r="CF308" i="25"/>
  <c r="CF309" i="25"/>
  <c r="CF310" i="25"/>
  <c r="CF288" i="25"/>
  <c r="CF311" i="25"/>
  <c r="CF312" i="25"/>
  <c r="CF313" i="25"/>
  <c r="CF314" i="25"/>
  <c r="CF318" i="25"/>
  <c r="CF315" i="25"/>
  <c r="CF332" i="25"/>
  <c r="CF333" i="25"/>
  <c r="CF325" i="25"/>
  <c r="CF331" i="25"/>
  <c r="CF326" i="25"/>
  <c r="CF320" i="25"/>
  <c r="CF334" i="25"/>
  <c r="CF335" i="25"/>
  <c r="CF252" i="25"/>
  <c r="CF319" i="25"/>
  <c r="CF298" i="25"/>
  <c r="CF324" i="25"/>
  <c r="CF317" i="25"/>
  <c r="CF327" i="25"/>
  <c r="CF328" i="25"/>
  <c r="CF329" i="25"/>
  <c r="CF371" i="25"/>
  <c r="CF336" i="25"/>
  <c r="CF337" i="25"/>
  <c r="CF316" i="25"/>
  <c r="CF338" i="25"/>
  <c r="CF330" i="25"/>
  <c r="CF339" i="25"/>
  <c r="CF219" i="25"/>
  <c r="CF248" i="25"/>
  <c r="CF237" i="25"/>
  <c r="CF340" i="25"/>
  <c r="CF341" i="25"/>
  <c r="CF342" i="25"/>
  <c r="CF343" i="25"/>
  <c r="CF344" i="25"/>
  <c r="CF345" i="25"/>
  <c r="CF346" i="25"/>
  <c r="CF347" i="25"/>
  <c r="CF348" i="25"/>
  <c r="CF349" i="25"/>
  <c r="CF350" i="25"/>
  <c r="CF351" i="25"/>
  <c r="CF352" i="25"/>
  <c r="CF353" i="25"/>
  <c r="CF354" i="25"/>
  <c r="CF355" i="25"/>
  <c r="CF356" i="25"/>
  <c r="CF358" i="25"/>
  <c r="CF359" i="25"/>
  <c r="CF357" i="25"/>
  <c r="CF360" i="25"/>
  <c r="CF361" i="25"/>
  <c r="CF363" i="25"/>
  <c r="CF364" i="25"/>
  <c r="CF362" i="25"/>
  <c r="CF365" i="25"/>
  <c r="CF366" i="25"/>
  <c r="CF367" i="25"/>
  <c r="CF377" i="25"/>
  <c r="CF380" i="25"/>
  <c r="CF381" i="25"/>
  <c r="CF382" i="25"/>
  <c r="CF383" i="25"/>
  <c r="CF385" i="25"/>
  <c r="CF387" i="25"/>
  <c r="CF373" i="25"/>
  <c r="CF374" i="25"/>
  <c r="CF388" i="25"/>
  <c r="CF390" i="25"/>
  <c r="CF391" i="25"/>
  <c r="CF392" i="25"/>
  <c r="CF394" i="25"/>
  <c r="CF395" i="25"/>
  <c r="CF393" i="25"/>
  <c r="CH203" i="25"/>
  <c r="CH220" i="25"/>
  <c r="CH206" i="25"/>
  <c r="CH205" i="25"/>
  <c r="CH217" i="25"/>
  <c r="CH210" i="25"/>
  <c r="CH218" i="25"/>
  <c r="CH224" i="25"/>
  <c r="CH211" i="25"/>
  <c r="CH239" i="25"/>
  <c r="CH241" i="25"/>
  <c r="CH242" i="25"/>
  <c r="CH225" i="25"/>
  <c r="CH226" i="25"/>
  <c r="CH204" i="25"/>
  <c r="CH207" i="25"/>
  <c r="CH212" i="25"/>
  <c r="CH213" i="25"/>
  <c r="CH214" i="25"/>
  <c r="CH216" i="25"/>
  <c r="CH235" i="25"/>
  <c r="CH244" i="25"/>
  <c r="CH236" i="25"/>
  <c r="CH215" i="25"/>
  <c r="CH208" i="25"/>
  <c r="CH246" i="25"/>
  <c r="CH229" i="25"/>
  <c r="CH230" i="25"/>
  <c r="CH231" i="25"/>
  <c r="CH232" i="25"/>
  <c r="CH238" i="25"/>
  <c r="CH221" i="25"/>
  <c r="CH222" i="25"/>
  <c r="CH223" i="25"/>
  <c r="CH240" i="25"/>
  <c r="CH209" i="25"/>
  <c r="CH227" i="25"/>
  <c r="CH243" i="25"/>
  <c r="CH245" i="25"/>
  <c r="CH228" i="25"/>
  <c r="CH233" i="25"/>
  <c r="CH247" i="25"/>
  <c r="CH234" i="25"/>
  <c r="CH265" i="25"/>
  <c r="CH256" i="25"/>
  <c r="CH257" i="25"/>
  <c r="CH258" i="25"/>
  <c r="CH249" i="25"/>
  <c r="CH254" i="25"/>
  <c r="CH250" i="25"/>
  <c r="CH266" i="25"/>
  <c r="CH253" i="25"/>
  <c r="CH259" i="25"/>
  <c r="CH251" i="25"/>
  <c r="CH260" i="25"/>
  <c r="CH261" i="25"/>
  <c r="CH262" i="25"/>
  <c r="CH267" i="25"/>
  <c r="CH263" i="25"/>
  <c r="CH255" i="25"/>
  <c r="CH264" i="25"/>
  <c r="CH268" i="25"/>
  <c r="CH269" i="25"/>
  <c r="CH270" i="25"/>
  <c r="CH271" i="25"/>
  <c r="CH376" i="25"/>
  <c r="CH368" i="25"/>
  <c r="CH274" i="25"/>
  <c r="CH294" i="25"/>
  <c r="CH275" i="25"/>
  <c r="CH297" i="25"/>
  <c r="CH296" i="25"/>
  <c r="CH303" i="25"/>
  <c r="CH369" i="25"/>
  <c r="CH277" i="25"/>
  <c r="CH307" i="25"/>
  <c r="CH378" i="25"/>
  <c r="CH379" i="25"/>
  <c r="CH278" i="25"/>
  <c r="CH279" i="25"/>
  <c r="CH276" i="25"/>
  <c r="CH304" i="25"/>
  <c r="CH370" i="25"/>
  <c r="CH305" i="25"/>
  <c r="CH280" i="25"/>
  <c r="CH384" i="25"/>
  <c r="CH281" i="25"/>
  <c r="CH396" i="25"/>
  <c r="CH295" i="25"/>
  <c r="CH375" i="25"/>
  <c r="CH282" i="25"/>
  <c r="CH386" i="25"/>
  <c r="CH300" i="25"/>
  <c r="CH283" i="25"/>
  <c r="CH301" i="25"/>
  <c r="CH302" i="25"/>
  <c r="CH284" i="25"/>
  <c r="CH285" i="25"/>
  <c r="CH272" i="25"/>
  <c r="CH306" i="25"/>
  <c r="CH286" i="25"/>
  <c r="CH287" i="25"/>
  <c r="CH372" i="25"/>
  <c r="CH389" i="25"/>
  <c r="CH273" i="25"/>
  <c r="CH308" i="25"/>
  <c r="CH309" i="25"/>
  <c r="CH310" i="25"/>
  <c r="CH288" i="25"/>
  <c r="CH311" i="25"/>
  <c r="CH312" i="25"/>
  <c r="CH313" i="25"/>
  <c r="CH314" i="25"/>
  <c r="CH318" i="25"/>
  <c r="CH315" i="25"/>
  <c r="CH332" i="25"/>
  <c r="CH333" i="25"/>
  <c r="CH325" i="25"/>
  <c r="CH331" i="25"/>
  <c r="CH326" i="25"/>
  <c r="CH320" i="25"/>
  <c r="CH334" i="25"/>
  <c r="CH335" i="25"/>
  <c r="CH252" i="25"/>
  <c r="CH319" i="25"/>
  <c r="CH298" i="25"/>
  <c r="CH324" i="25"/>
  <c r="CH317" i="25"/>
  <c r="CH327" i="25"/>
  <c r="CH328" i="25"/>
  <c r="CH329" i="25"/>
  <c r="CH371" i="25"/>
  <c r="CH336" i="25"/>
  <c r="CH337" i="25"/>
  <c r="CH316" i="25"/>
  <c r="CH338" i="25"/>
  <c r="CH330" i="25"/>
  <c r="CH339" i="25"/>
  <c r="CH219" i="25"/>
  <c r="CH248" i="25"/>
  <c r="CH237" i="25"/>
  <c r="CH340" i="25"/>
  <c r="CH341" i="25"/>
  <c r="CH342" i="25"/>
  <c r="CH343" i="25"/>
  <c r="CH344" i="25"/>
  <c r="CH345" i="25"/>
  <c r="CH346" i="25"/>
  <c r="CH347" i="25"/>
  <c r="CH348" i="25"/>
  <c r="CH349" i="25"/>
  <c r="CH350" i="25"/>
  <c r="CH351" i="25"/>
  <c r="CH352" i="25"/>
  <c r="CH353" i="25"/>
  <c r="CH354" i="25"/>
  <c r="CH355" i="25"/>
  <c r="CH356" i="25"/>
  <c r="CH358" i="25"/>
  <c r="CH359" i="25"/>
  <c r="CH357" i="25"/>
  <c r="CH360" i="25"/>
  <c r="CH361" i="25"/>
  <c r="CH363" i="25"/>
  <c r="CH364" i="25"/>
  <c r="CH362" i="25"/>
  <c r="CH365" i="25"/>
  <c r="CH366" i="25"/>
  <c r="CH367" i="25"/>
  <c r="CH377" i="25"/>
  <c r="CH380" i="25"/>
  <c r="CH381" i="25"/>
  <c r="CH382" i="25"/>
  <c r="CH383" i="25"/>
  <c r="CH385" i="25"/>
  <c r="CH387" i="25"/>
  <c r="CH373" i="25"/>
  <c r="CH374" i="25"/>
  <c r="CH388" i="25"/>
  <c r="CH390" i="25"/>
  <c r="CH391" i="25"/>
  <c r="CH392" i="25"/>
  <c r="CH394" i="25"/>
  <c r="CH395" i="25"/>
  <c r="CH393" i="25"/>
  <c r="CI203" i="25"/>
  <c r="CI220" i="25"/>
  <c r="CI206" i="25"/>
  <c r="CI205" i="25"/>
  <c r="CI217" i="25"/>
  <c r="CI210" i="25"/>
  <c r="CI218" i="25"/>
  <c r="CI224" i="25"/>
  <c r="CI211" i="25"/>
  <c r="CI239" i="25"/>
  <c r="CI241" i="25"/>
  <c r="CI242" i="25"/>
  <c r="CI225" i="25"/>
  <c r="CI226" i="25"/>
  <c r="CI204" i="25"/>
  <c r="CI207" i="25"/>
  <c r="CI212" i="25"/>
  <c r="CI213" i="25"/>
  <c r="CI214" i="25"/>
  <c r="CI216" i="25"/>
  <c r="CI235" i="25"/>
  <c r="CI244" i="25"/>
  <c r="CI236" i="25"/>
  <c r="CI215" i="25"/>
  <c r="CI208" i="25"/>
  <c r="CI246" i="25"/>
  <c r="CI229" i="25"/>
  <c r="CI230" i="25"/>
  <c r="CI231" i="25"/>
  <c r="CI232" i="25"/>
  <c r="CI238" i="25"/>
  <c r="CI221" i="25"/>
  <c r="CI222" i="25"/>
  <c r="CI223" i="25"/>
  <c r="CI240" i="25"/>
  <c r="CI209" i="25"/>
  <c r="CI227" i="25"/>
  <c r="CI243" i="25"/>
  <c r="CI245" i="25"/>
  <c r="CI228" i="25"/>
  <c r="CI233" i="25"/>
  <c r="CI247" i="25"/>
  <c r="CI234" i="25"/>
  <c r="CI265" i="25"/>
  <c r="CI256" i="25"/>
  <c r="CI257" i="25"/>
  <c r="CI258" i="25"/>
  <c r="CI249" i="25"/>
  <c r="CI254" i="25"/>
  <c r="CI250" i="25"/>
  <c r="CI266" i="25"/>
  <c r="CI253" i="25"/>
  <c r="CI259" i="25"/>
  <c r="CI251" i="25"/>
  <c r="CI260" i="25"/>
  <c r="CI261" i="25"/>
  <c r="CI262" i="25"/>
  <c r="CI267" i="25"/>
  <c r="CI263" i="25"/>
  <c r="CI255" i="25"/>
  <c r="CI264" i="25"/>
  <c r="CI268" i="25"/>
  <c r="CI269" i="25"/>
  <c r="CI270" i="25"/>
  <c r="CI271" i="25"/>
  <c r="CI376" i="25"/>
  <c r="CI368" i="25"/>
  <c r="CI274" i="25"/>
  <c r="CI294" i="25"/>
  <c r="CI275" i="25"/>
  <c r="CI297" i="25"/>
  <c r="CI296" i="25"/>
  <c r="CI303" i="25"/>
  <c r="CI369" i="25"/>
  <c r="CI277" i="25"/>
  <c r="CI307" i="25"/>
  <c r="CI378" i="25"/>
  <c r="CI379" i="25"/>
  <c r="CI278" i="25"/>
  <c r="CI279" i="25"/>
  <c r="CI276" i="25"/>
  <c r="CI304" i="25"/>
  <c r="CI370" i="25"/>
  <c r="CI305" i="25"/>
  <c r="CI280" i="25"/>
  <c r="CI384" i="25"/>
  <c r="CI281" i="25"/>
  <c r="CI396" i="25"/>
  <c r="CI295" i="25"/>
  <c r="CI375" i="25"/>
  <c r="CI282" i="25"/>
  <c r="CI386" i="25"/>
  <c r="CI300" i="25"/>
  <c r="CI283" i="25"/>
  <c r="CI301" i="25"/>
  <c r="CI302" i="25"/>
  <c r="CI284" i="25"/>
  <c r="CI285" i="25"/>
  <c r="CI272" i="25"/>
  <c r="CI306" i="25"/>
  <c r="CI286" i="25"/>
  <c r="CI287" i="25"/>
  <c r="CI372" i="25"/>
  <c r="CI389" i="25"/>
  <c r="CI273" i="25"/>
  <c r="CI308" i="25"/>
  <c r="CI309" i="25"/>
  <c r="CI310" i="25"/>
  <c r="CI288" i="25"/>
  <c r="CI311" i="25"/>
  <c r="CI312" i="25"/>
  <c r="CI313" i="25"/>
  <c r="CI314" i="25"/>
  <c r="CI318" i="25"/>
  <c r="CI315" i="25"/>
  <c r="CI332" i="25"/>
  <c r="CI333" i="25"/>
  <c r="CI325" i="25"/>
  <c r="CI331" i="25"/>
  <c r="CI326" i="25"/>
  <c r="CI320" i="25"/>
  <c r="CI334" i="25"/>
  <c r="CI335" i="25"/>
  <c r="CI252" i="25"/>
  <c r="CI319" i="25"/>
  <c r="CI298" i="25"/>
  <c r="CI324" i="25"/>
  <c r="CI317" i="25"/>
  <c r="CI327" i="25"/>
  <c r="CI328" i="25"/>
  <c r="CI329" i="25"/>
  <c r="CI371" i="25"/>
  <c r="CI336" i="25"/>
  <c r="CI337" i="25"/>
  <c r="CI316" i="25"/>
  <c r="CI338" i="25"/>
  <c r="CI330" i="25"/>
  <c r="CI339" i="25"/>
  <c r="CI219" i="25"/>
  <c r="CI248" i="25"/>
  <c r="CI237" i="25"/>
  <c r="CI340" i="25"/>
  <c r="CI341" i="25"/>
  <c r="CI342" i="25"/>
  <c r="CI343" i="25"/>
  <c r="CI344" i="25"/>
  <c r="CI345" i="25"/>
  <c r="CI346" i="25"/>
  <c r="CI347" i="25"/>
  <c r="CI348" i="25"/>
  <c r="CI349" i="25"/>
  <c r="CI350" i="25"/>
  <c r="CI351" i="25"/>
  <c r="CI352" i="25"/>
  <c r="CI353" i="25"/>
  <c r="CI354" i="25"/>
  <c r="CI355" i="25"/>
  <c r="CI356" i="25"/>
  <c r="CI358" i="25"/>
  <c r="CI359" i="25"/>
  <c r="CI357" i="25"/>
  <c r="CI360" i="25"/>
  <c r="CI361" i="25"/>
  <c r="CI363" i="25"/>
  <c r="CI364" i="25"/>
  <c r="CI362" i="25"/>
  <c r="CI365" i="25"/>
  <c r="CI366" i="25"/>
  <c r="CI367" i="25"/>
  <c r="CI377" i="25"/>
  <c r="CI380" i="25"/>
  <c r="CI381" i="25"/>
  <c r="CI382" i="25"/>
  <c r="CI383" i="25"/>
  <c r="CI385" i="25"/>
  <c r="CI387" i="25"/>
  <c r="CI373" i="25"/>
  <c r="CI374" i="25"/>
  <c r="CI388" i="25"/>
  <c r="CI390" i="25"/>
  <c r="CI391" i="25"/>
  <c r="CI392" i="25"/>
  <c r="CI394" i="25"/>
  <c r="CI395" i="25"/>
  <c r="CI393" i="25"/>
  <c r="CJ203" i="25"/>
  <c r="CJ220" i="25"/>
  <c r="CJ206" i="25"/>
  <c r="CJ205" i="25"/>
  <c r="CJ217" i="25"/>
  <c r="CJ210" i="25"/>
  <c r="CJ218" i="25"/>
  <c r="CJ224" i="25"/>
  <c r="CJ211" i="25"/>
  <c r="CJ239" i="25"/>
  <c r="CJ241" i="25"/>
  <c r="CJ242" i="25"/>
  <c r="CJ225" i="25"/>
  <c r="CJ226" i="25"/>
  <c r="CJ204" i="25"/>
  <c r="CJ207" i="25"/>
  <c r="CJ212" i="25"/>
  <c r="CJ213" i="25"/>
  <c r="CJ214" i="25"/>
  <c r="CJ216" i="25"/>
  <c r="CJ235" i="25"/>
  <c r="CJ244" i="25"/>
  <c r="CJ236" i="25"/>
  <c r="CJ215" i="25"/>
  <c r="CJ208" i="25"/>
  <c r="CJ246" i="25"/>
  <c r="CJ229" i="25"/>
  <c r="CJ230" i="25"/>
  <c r="CJ231" i="25"/>
  <c r="CJ232" i="25"/>
  <c r="CJ238" i="25"/>
  <c r="CJ221" i="25"/>
  <c r="CJ222" i="25"/>
  <c r="CJ223" i="25"/>
  <c r="CJ240" i="25"/>
  <c r="CJ209" i="25"/>
  <c r="CJ227" i="25"/>
  <c r="CJ243" i="25"/>
  <c r="CJ245" i="25"/>
  <c r="CJ228" i="25"/>
  <c r="CJ233" i="25"/>
  <c r="CJ247" i="25"/>
  <c r="CJ234" i="25"/>
  <c r="CJ265" i="25"/>
  <c r="CJ256" i="25"/>
  <c r="CJ257" i="25"/>
  <c r="CJ258" i="25"/>
  <c r="CJ249" i="25"/>
  <c r="CJ254" i="25"/>
  <c r="CJ250" i="25"/>
  <c r="CJ266" i="25"/>
  <c r="CJ253" i="25"/>
  <c r="CJ259" i="25"/>
  <c r="CJ251" i="25"/>
  <c r="CJ260" i="25"/>
  <c r="CJ261" i="25"/>
  <c r="CJ262" i="25"/>
  <c r="CJ267" i="25"/>
  <c r="CJ263" i="25"/>
  <c r="CJ255" i="25"/>
  <c r="CJ264" i="25"/>
  <c r="CJ268" i="25"/>
  <c r="CJ269" i="25"/>
  <c r="CJ270" i="25"/>
  <c r="CJ271" i="25"/>
  <c r="CJ376" i="25"/>
  <c r="CJ368" i="25"/>
  <c r="CJ274" i="25"/>
  <c r="CJ294" i="25"/>
  <c r="CJ275" i="25"/>
  <c r="CJ297" i="25"/>
  <c r="CJ296" i="25"/>
  <c r="CJ303" i="25"/>
  <c r="CJ369" i="25"/>
  <c r="CJ277" i="25"/>
  <c r="CJ307" i="25"/>
  <c r="CJ378" i="25"/>
  <c r="CJ379" i="25"/>
  <c r="CJ278" i="25"/>
  <c r="CJ279" i="25"/>
  <c r="CJ276" i="25"/>
  <c r="CJ304" i="25"/>
  <c r="CJ370" i="25"/>
  <c r="CJ305" i="25"/>
  <c r="CJ280" i="25"/>
  <c r="CJ384" i="25"/>
  <c r="CJ281" i="25"/>
  <c r="CJ396" i="25"/>
  <c r="CJ295" i="25"/>
  <c r="CJ375" i="25"/>
  <c r="CJ282" i="25"/>
  <c r="CJ386" i="25"/>
  <c r="CJ300" i="25"/>
  <c r="CJ283" i="25"/>
  <c r="CJ301" i="25"/>
  <c r="CJ302" i="25"/>
  <c r="CJ284" i="25"/>
  <c r="CJ285" i="25"/>
  <c r="CJ272" i="25"/>
  <c r="CJ306" i="25"/>
  <c r="CJ286" i="25"/>
  <c r="CJ287" i="25"/>
  <c r="CJ372" i="25"/>
  <c r="CJ389" i="25"/>
  <c r="CJ273" i="25"/>
  <c r="CJ308" i="25"/>
  <c r="CJ309" i="25"/>
  <c r="CJ310" i="25"/>
  <c r="CJ288" i="25"/>
  <c r="CJ311" i="25"/>
  <c r="CJ312" i="25"/>
  <c r="CJ313" i="25"/>
  <c r="CJ314" i="25"/>
  <c r="CJ318" i="25"/>
  <c r="CJ315" i="25"/>
  <c r="CJ332" i="25"/>
  <c r="CJ333" i="25"/>
  <c r="CJ325" i="25"/>
  <c r="CJ331" i="25"/>
  <c r="CJ326" i="25"/>
  <c r="CJ320" i="25"/>
  <c r="CJ334" i="25"/>
  <c r="CJ335" i="25"/>
  <c r="CJ252" i="25"/>
  <c r="CJ319" i="25"/>
  <c r="CJ298" i="25"/>
  <c r="CJ324" i="25"/>
  <c r="CJ317" i="25"/>
  <c r="CJ327" i="25"/>
  <c r="CJ328" i="25"/>
  <c r="CJ329" i="25"/>
  <c r="CJ371" i="25"/>
  <c r="CJ336" i="25"/>
  <c r="CJ337" i="25"/>
  <c r="CJ316" i="25"/>
  <c r="CJ338" i="25"/>
  <c r="CJ330" i="25"/>
  <c r="CJ339" i="25"/>
  <c r="CJ219" i="25"/>
  <c r="CJ248" i="25"/>
  <c r="CJ237" i="25"/>
  <c r="CJ340" i="25"/>
  <c r="CJ341" i="25"/>
  <c r="CJ342" i="25"/>
  <c r="CJ343" i="25"/>
  <c r="CJ344" i="25"/>
  <c r="CJ345" i="25"/>
  <c r="CJ346" i="25"/>
  <c r="CJ347" i="25"/>
  <c r="CJ348" i="25"/>
  <c r="CJ349" i="25"/>
  <c r="CJ350" i="25"/>
  <c r="CJ351" i="25"/>
  <c r="CJ352" i="25"/>
  <c r="CJ353" i="25"/>
  <c r="CJ354" i="25"/>
  <c r="CJ355" i="25"/>
  <c r="CJ356" i="25"/>
  <c r="CJ358" i="25"/>
  <c r="CJ359" i="25"/>
  <c r="CJ357" i="25"/>
  <c r="CJ360" i="25"/>
  <c r="CJ361" i="25"/>
  <c r="CJ363" i="25"/>
  <c r="CJ364" i="25"/>
  <c r="CJ362" i="25"/>
  <c r="CJ365" i="25"/>
  <c r="CJ366" i="25"/>
  <c r="CJ367" i="25"/>
  <c r="CJ377" i="25"/>
  <c r="CJ380" i="25"/>
  <c r="CJ381" i="25"/>
  <c r="CJ382" i="25"/>
  <c r="CJ383" i="25"/>
  <c r="CJ385" i="25"/>
  <c r="CJ387" i="25"/>
  <c r="CJ373" i="25"/>
  <c r="CJ374" i="25"/>
  <c r="CJ388" i="25"/>
  <c r="CJ390" i="25"/>
  <c r="CJ391" i="25"/>
  <c r="CJ392" i="25"/>
  <c r="CJ394" i="25"/>
  <c r="CJ395" i="25"/>
  <c r="CJ393" i="25"/>
  <c r="CK203" i="25"/>
  <c r="CK220" i="25"/>
  <c r="CK206" i="25"/>
  <c r="CK205" i="25"/>
  <c r="CK217" i="25"/>
  <c r="CK210" i="25"/>
  <c r="CK218" i="25"/>
  <c r="CK224" i="25"/>
  <c r="CK211" i="25"/>
  <c r="CK239" i="25"/>
  <c r="CK241" i="25"/>
  <c r="CK242" i="25"/>
  <c r="CK225" i="25"/>
  <c r="CK226" i="25"/>
  <c r="CK204" i="25"/>
  <c r="CK207" i="25"/>
  <c r="CK212" i="25"/>
  <c r="CK213" i="25"/>
  <c r="CK214" i="25"/>
  <c r="CK216" i="25"/>
  <c r="CK235" i="25"/>
  <c r="CK244" i="25"/>
  <c r="CK236" i="25"/>
  <c r="CK215" i="25"/>
  <c r="CK208" i="25"/>
  <c r="CK246" i="25"/>
  <c r="CK229" i="25"/>
  <c r="CK230" i="25"/>
  <c r="CK231" i="25"/>
  <c r="CK232" i="25"/>
  <c r="CK238" i="25"/>
  <c r="CK221" i="25"/>
  <c r="CK222" i="25"/>
  <c r="CK223" i="25"/>
  <c r="CK240" i="25"/>
  <c r="CK209" i="25"/>
  <c r="CK227" i="25"/>
  <c r="CK243" i="25"/>
  <c r="CK245" i="25"/>
  <c r="CK228" i="25"/>
  <c r="CK233" i="25"/>
  <c r="CK247" i="25"/>
  <c r="CK234" i="25"/>
  <c r="CK265" i="25"/>
  <c r="CK256" i="25"/>
  <c r="CK257" i="25"/>
  <c r="CK258" i="25"/>
  <c r="CK249" i="25"/>
  <c r="CK254" i="25"/>
  <c r="CK250" i="25"/>
  <c r="CK266" i="25"/>
  <c r="CK253" i="25"/>
  <c r="CK259" i="25"/>
  <c r="CK251" i="25"/>
  <c r="CK260" i="25"/>
  <c r="CK261" i="25"/>
  <c r="CK262" i="25"/>
  <c r="CK267" i="25"/>
  <c r="CK263" i="25"/>
  <c r="CK255" i="25"/>
  <c r="CK264" i="25"/>
  <c r="CK268" i="25"/>
  <c r="CK269" i="25"/>
  <c r="CK270" i="25"/>
  <c r="CK271" i="25"/>
  <c r="CK376" i="25"/>
  <c r="CK368" i="25"/>
  <c r="CK274" i="25"/>
  <c r="CK294" i="25"/>
  <c r="CK275" i="25"/>
  <c r="CK297" i="25"/>
  <c r="CK296" i="25"/>
  <c r="CK303" i="25"/>
  <c r="CK369" i="25"/>
  <c r="CK277" i="25"/>
  <c r="CK307" i="25"/>
  <c r="CK378" i="25"/>
  <c r="CK379" i="25"/>
  <c r="CK278" i="25"/>
  <c r="CK279" i="25"/>
  <c r="CK276" i="25"/>
  <c r="CK304" i="25"/>
  <c r="CK370" i="25"/>
  <c r="CK305" i="25"/>
  <c r="CK280" i="25"/>
  <c r="CK384" i="25"/>
  <c r="CK281" i="25"/>
  <c r="CK396" i="25"/>
  <c r="CK295" i="25"/>
  <c r="CK375" i="25"/>
  <c r="CK282" i="25"/>
  <c r="CK386" i="25"/>
  <c r="CK300" i="25"/>
  <c r="CK283" i="25"/>
  <c r="CK301" i="25"/>
  <c r="CK302" i="25"/>
  <c r="CK284" i="25"/>
  <c r="CK285" i="25"/>
  <c r="CK272" i="25"/>
  <c r="CK306" i="25"/>
  <c r="CK286" i="25"/>
  <c r="CK287" i="25"/>
  <c r="CK372" i="25"/>
  <c r="CK389" i="25"/>
  <c r="CK273" i="25"/>
  <c r="CK308" i="25"/>
  <c r="CK309" i="25"/>
  <c r="CK310" i="25"/>
  <c r="CK288" i="25"/>
  <c r="CK311" i="25"/>
  <c r="CK312" i="25"/>
  <c r="CK313" i="25"/>
  <c r="CK314" i="25"/>
  <c r="CK318" i="25"/>
  <c r="CK315" i="25"/>
  <c r="CK332" i="25"/>
  <c r="CK333" i="25"/>
  <c r="CK325" i="25"/>
  <c r="CK331" i="25"/>
  <c r="CK326" i="25"/>
  <c r="CK320" i="25"/>
  <c r="CK334" i="25"/>
  <c r="CK335" i="25"/>
  <c r="CK252" i="25"/>
  <c r="CK319" i="25"/>
  <c r="CK298" i="25"/>
  <c r="CK324" i="25"/>
  <c r="CK317" i="25"/>
  <c r="CK327" i="25"/>
  <c r="CK328" i="25"/>
  <c r="CK329" i="25"/>
  <c r="CK371" i="25"/>
  <c r="CK336" i="25"/>
  <c r="CK337" i="25"/>
  <c r="CK316" i="25"/>
  <c r="CK338" i="25"/>
  <c r="CK330" i="25"/>
  <c r="CK339" i="25"/>
  <c r="CK219" i="25"/>
  <c r="CK248" i="25"/>
  <c r="CK237" i="25"/>
  <c r="CK340" i="25"/>
  <c r="CK341" i="25"/>
  <c r="CK342" i="25"/>
  <c r="CK343" i="25"/>
  <c r="CK344" i="25"/>
  <c r="CK345" i="25"/>
  <c r="CK346" i="25"/>
  <c r="CK347" i="25"/>
  <c r="CK348" i="25"/>
  <c r="CK349" i="25"/>
  <c r="CK350" i="25"/>
  <c r="CK351" i="25"/>
  <c r="CK352" i="25"/>
  <c r="CK353" i="25"/>
  <c r="CK354" i="25"/>
  <c r="CK355" i="25"/>
  <c r="CK356" i="25"/>
  <c r="CK358" i="25"/>
  <c r="CK359" i="25"/>
  <c r="CK357" i="25"/>
  <c r="CK360" i="25"/>
  <c r="CK361" i="25"/>
  <c r="CK363" i="25"/>
  <c r="CK364" i="25"/>
  <c r="CK362" i="25"/>
  <c r="CK365" i="25"/>
  <c r="CK366" i="25"/>
  <c r="CK367" i="25"/>
  <c r="CK377" i="25"/>
  <c r="CK380" i="25"/>
  <c r="CK381" i="25"/>
  <c r="CK382" i="25"/>
  <c r="CK383" i="25"/>
  <c r="CK385" i="25"/>
  <c r="CK387" i="25"/>
  <c r="CK373" i="25"/>
  <c r="CK374" i="25"/>
  <c r="CK388" i="25"/>
  <c r="CK390" i="25"/>
  <c r="CK391" i="25"/>
  <c r="CK392" i="25"/>
  <c r="CK394" i="25"/>
  <c r="CK395" i="25"/>
  <c r="CK393" i="25"/>
  <c r="CL203" i="25"/>
  <c r="CL220" i="25"/>
  <c r="CL206" i="25"/>
  <c r="CL205" i="25"/>
  <c r="CL217" i="25"/>
  <c r="CL210" i="25"/>
  <c r="CL218" i="25"/>
  <c r="CL224" i="25"/>
  <c r="CL211" i="25"/>
  <c r="CL239" i="25"/>
  <c r="CL241" i="25"/>
  <c r="CL242" i="25"/>
  <c r="CL225" i="25"/>
  <c r="CL226" i="25"/>
  <c r="CL204" i="25"/>
  <c r="CL207" i="25"/>
  <c r="CL212" i="25"/>
  <c r="CL213" i="25"/>
  <c r="CL214" i="25"/>
  <c r="CL216" i="25"/>
  <c r="CL235" i="25"/>
  <c r="CL244" i="25"/>
  <c r="CL236" i="25"/>
  <c r="CL215" i="25"/>
  <c r="CL208" i="25"/>
  <c r="CL246" i="25"/>
  <c r="CL229" i="25"/>
  <c r="CL230" i="25"/>
  <c r="CL231" i="25"/>
  <c r="CL232" i="25"/>
  <c r="CL238" i="25"/>
  <c r="CL221" i="25"/>
  <c r="CL222" i="25"/>
  <c r="CL223" i="25"/>
  <c r="CL240" i="25"/>
  <c r="CL209" i="25"/>
  <c r="CL227" i="25"/>
  <c r="CL243" i="25"/>
  <c r="CL245" i="25"/>
  <c r="CL228" i="25"/>
  <c r="CL233" i="25"/>
  <c r="CL247" i="25"/>
  <c r="CL234" i="25"/>
  <c r="CL265" i="25"/>
  <c r="CL256" i="25"/>
  <c r="CL257" i="25"/>
  <c r="CL258" i="25"/>
  <c r="CL249" i="25"/>
  <c r="CL254" i="25"/>
  <c r="CL250" i="25"/>
  <c r="CL266" i="25"/>
  <c r="CL253" i="25"/>
  <c r="CL259" i="25"/>
  <c r="CL251" i="25"/>
  <c r="CL260" i="25"/>
  <c r="CL261" i="25"/>
  <c r="CL262" i="25"/>
  <c r="CL267" i="25"/>
  <c r="CL263" i="25"/>
  <c r="CL255" i="25"/>
  <c r="CL264" i="25"/>
  <c r="CL268" i="25"/>
  <c r="CL269" i="25"/>
  <c r="CL270" i="25"/>
  <c r="CL271" i="25"/>
  <c r="CL376" i="25"/>
  <c r="CL368" i="25"/>
  <c r="CL274" i="25"/>
  <c r="CL294" i="25"/>
  <c r="CL275" i="25"/>
  <c r="CL297" i="25"/>
  <c r="CL296" i="25"/>
  <c r="CL303" i="25"/>
  <c r="CL369" i="25"/>
  <c r="CL277" i="25"/>
  <c r="CL307" i="25"/>
  <c r="CL378" i="25"/>
  <c r="CL379" i="25"/>
  <c r="CL278" i="25"/>
  <c r="CL279" i="25"/>
  <c r="CL276" i="25"/>
  <c r="CL304" i="25"/>
  <c r="CL370" i="25"/>
  <c r="CL305" i="25"/>
  <c r="CL280" i="25"/>
  <c r="CL384" i="25"/>
  <c r="CL281" i="25"/>
  <c r="CL396" i="25"/>
  <c r="CL295" i="25"/>
  <c r="CL375" i="25"/>
  <c r="CL282" i="25"/>
  <c r="CL386" i="25"/>
  <c r="CL300" i="25"/>
  <c r="CL283" i="25"/>
  <c r="CL301" i="25"/>
  <c r="CL302" i="25"/>
  <c r="CL284" i="25"/>
  <c r="CL285" i="25"/>
  <c r="CL272" i="25"/>
  <c r="CL306" i="25"/>
  <c r="CL286" i="25"/>
  <c r="CL287" i="25"/>
  <c r="CL372" i="25"/>
  <c r="CL389" i="25"/>
  <c r="CL273" i="25"/>
  <c r="CL308" i="25"/>
  <c r="CL309" i="25"/>
  <c r="CL310" i="25"/>
  <c r="CL288" i="25"/>
  <c r="CL311" i="25"/>
  <c r="CL312" i="25"/>
  <c r="CL313" i="25"/>
  <c r="CL314" i="25"/>
  <c r="CL318" i="25"/>
  <c r="CL315" i="25"/>
  <c r="CL332" i="25"/>
  <c r="CL333" i="25"/>
  <c r="CL325" i="25"/>
  <c r="CL331" i="25"/>
  <c r="CL326" i="25"/>
  <c r="CL320" i="25"/>
  <c r="CL334" i="25"/>
  <c r="CL335" i="25"/>
  <c r="CL252" i="25"/>
  <c r="CL319" i="25"/>
  <c r="CL298" i="25"/>
  <c r="CL324" i="25"/>
  <c r="CL317" i="25"/>
  <c r="CL327" i="25"/>
  <c r="CL328" i="25"/>
  <c r="CL329" i="25"/>
  <c r="CL371" i="25"/>
  <c r="CL336" i="25"/>
  <c r="CL337" i="25"/>
  <c r="CL316" i="25"/>
  <c r="CL338" i="25"/>
  <c r="CL330" i="25"/>
  <c r="CL339" i="25"/>
  <c r="CL219" i="25"/>
  <c r="CL248" i="25"/>
  <c r="CL237" i="25"/>
  <c r="CL340" i="25"/>
  <c r="CL341" i="25"/>
  <c r="CL342" i="25"/>
  <c r="CL343" i="25"/>
  <c r="CL344" i="25"/>
  <c r="CL345" i="25"/>
  <c r="CL346" i="25"/>
  <c r="CL347" i="25"/>
  <c r="CL348" i="25"/>
  <c r="CL349" i="25"/>
  <c r="CL350" i="25"/>
  <c r="CL351" i="25"/>
  <c r="CL352" i="25"/>
  <c r="CL353" i="25"/>
  <c r="CL354" i="25"/>
  <c r="CL355" i="25"/>
  <c r="CL356" i="25"/>
  <c r="CL358" i="25"/>
  <c r="CL359" i="25"/>
  <c r="CL357" i="25"/>
  <c r="CL360" i="25"/>
  <c r="CL361" i="25"/>
  <c r="CL363" i="25"/>
  <c r="CL364" i="25"/>
  <c r="CL362" i="25"/>
  <c r="CL365" i="25"/>
  <c r="CL366" i="25"/>
  <c r="CL367" i="25"/>
  <c r="CL377" i="25"/>
  <c r="CL380" i="25"/>
  <c r="CL381" i="25"/>
  <c r="CL382" i="25"/>
  <c r="CL383" i="25"/>
  <c r="CL385" i="25"/>
  <c r="CL387" i="25"/>
  <c r="CL373" i="25"/>
  <c r="CL374" i="25"/>
  <c r="CL388" i="25"/>
  <c r="CL390" i="25"/>
  <c r="CL391" i="25"/>
  <c r="CL392" i="25"/>
  <c r="CL394" i="25"/>
  <c r="CL395" i="25"/>
  <c r="CL393" i="25"/>
  <c r="CM203" i="25"/>
  <c r="CM220" i="25"/>
  <c r="CM206" i="25"/>
  <c r="CM205" i="25"/>
  <c r="CM217" i="25"/>
  <c r="CM210" i="25"/>
  <c r="CM218" i="25"/>
  <c r="CM224" i="25"/>
  <c r="CM211" i="25"/>
  <c r="CM239" i="25"/>
  <c r="CM241" i="25"/>
  <c r="CM242" i="25"/>
  <c r="CM225" i="25"/>
  <c r="CM226" i="25"/>
  <c r="CM204" i="25"/>
  <c r="CM207" i="25"/>
  <c r="CM212" i="25"/>
  <c r="CM213" i="25"/>
  <c r="CM214" i="25"/>
  <c r="CM216" i="25"/>
  <c r="CM235" i="25"/>
  <c r="CM244" i="25"/>
  <c r="CM236" i="25"/>
  <c r="CM215" i="25"/>
  <c r="CM208" i="25"/>
  <c r="CM246" i="25"/>
  <c r="CM229" i="25"/>
  <c r="CM230" i="25"/>
  <c r="CM231" i="25"/>
  <c r="CM232" i="25"/>
  <c r="CM238" i="25"/>
  <c r="CM221" i="25"/>
  <c r="CM222" i="25"/>
  <c r="CM223" i="25"/>
  <c r="CM240" i="25"/>
  <c r="CM209" i="25"/>
  <c r="CM227" i="25"/>
  <c r="CM243" i="25"/>
  <c r="CM245" i="25"/>
  <c r="CM228" i="25"/>
  <c r="CM233" i="25"/>
  <c r="CM247" i="25"/>
  <c r="CM234" i="25"/>
  <c r="CM265" i="25"/>
  <c r="CM256" i="25"/>
  <c r="CM257" i="25"/>
  <c r="CM258" i="25"/>
  <c r="CM249" i="25"/>
  <c r="CM254" i="25"/>
  <c r="CM250" i="25"/>
  <c r="CM266" i="25"/>
  <c r="CM253" i="25"/>
  <c r="CM259" i="25"/>
  <c r="CM251" i="25"/>
  <c r="CM260" i="25"/>
  <c r="CM261" i="25"/>
  <c r="CM262" i="25"/>
  <c r="CM267" i="25"/>
  <c r="CM263" i="25"/>
  <c r="CM255" i="25"/>
  <c r="CM264" i="25"/>
  <c r="CM268" i="25"/>
  <c r="CM269" i="25"/>
  <c r="CM270" i="25"/>
  <c r="CM271" i="25"/>
  <c r="CM376" i="25"/>
  <c r="CM368" i="25"/>
  <c r="CM274" i="25"/>
  <c r="CM294" i="25"/>
  <c r="CM275" i="25"/>
  <c r="CM297" i="25"/>
  <c r="CM296" i="25"/>
  <c r="CM303" i="25"/>
  <c r="CM369" i="25"/>
  <c r="CM277" i="25"/>
  <c r="CM307" i="25"/>
  <c r="CM378" i="25"/>
  <c r="CM379" i="25"/>
  <c r="CM278" i="25"/>
  <c r="CM279" i="25"/>
  <c r="CM276" i="25"/>
  <c r="CM304" i="25"/>
  <c r="CM370" i="25"/>
  <c r="CM305" i="25"/>
  <c r="CM280" i="25"/>
  <c r="CM384" i="25"/>
  <c r="CM281" i="25"/>
  <c r="CM396" i="25"/>
  <c r="CM295" i="25"/>
  <c r="CM375" i="25"/>
  <c r="CM282" i="25"/>
  <c r="CM386" i="25"/>
  <c r="CM300" i="25"/>
  <c r="CM283" i="25"/>
  <c r="CM301" i="25"/>
  <c r="CM302" i="25"/>
  <c r="CM284" i="25"/>
  <c r="CM285" i="25"/>
  <c r="CM272" i="25"/>
  <c r="CM306" i="25"/>
  <c r="CM286" i="25"/>
  <c r="CM287" i="25"/>
  <c r="CM372" i="25"/>
  <c r="CM389" i="25"/>
  <c r="CM273" i="25"/>
  <c r="CM308" i="25"/>
  <c r="CM309" i="25"/>
  <c r="CM310" i="25"/>
  <c r="CM288" i="25"/>
  <c r="CM311" i="25"/>
  <c r="CM312" i="25"/>
  <c r="CM313" i="25"/>
  <c r="CM314" i="25"/>
  <c r="CM318" i="25"/>
  <c r="CM315" i="25"/>
  <c r="CM332" i="25"/>
  <c r="CM333" i="25"/>
  <c r="CM325" i="25"/>
  <c r="CM331" i="25"/>
  <c r="CM326" i="25"/>
  <c r="CM320" i="25"/>
  <c r="CM334" i="25"/>
  <c r="CM335" i="25"/>
  <c r="CM252" i="25"/>
  <c r="CM319" i="25"/>
  <c r="CM298" i="25"/>
  <c r="CM324" i="25"/>
  <c r="CM317" i="25"/>
  <c r="CM327" i="25"/>
  <c r="CM328" i="25"/>
  <c r="CM329" i="25"/>
  <c r="CM371" i="25"/>
  <c r="CM336" i="25"/>
  <c r="CM337" i="25"/>
  <c r="CM316" i="25"/>
  <c r="CM338" i="25"/>
  <c r="CM330" i="25"/>
  <c r="CM339" i="25"/>
  <c r="CM219" i="25"/>
  <c r="CM248" i="25"/>
  <c r="CM237" i="25"/>
  <c r="CM340" i="25"/>
  <c r="CM341" i="25"/>
  <c r="CM342" i="25"/>
  <c r="CM343" i="25"/>
  <c r="CM344" i="25"/>
  <c r="CM345" i="25"/>
  <c r="CM346" i="25"/>
  <c r="CM347" i="25"/>
  <c r="CM348" i="25"/>
  <c r="CM349" i="25"/>
  <c r="CM350" i="25"/>
  <c r="CM351" i="25"/>
  <c r="CM352" i="25"/>
  <c r="CM353" i="25"/>
  <c r="CM354" i="25"/>
  <c r="CM355" i="25"/>
  <c r="CM356" i="25"/>
  <c r="CM358" i="25"/>
  <c r="CM359" i="25"/>
  <c r="CM357" i="25"/>
  <c r="CM360" i="25"/>
  <c r="CM361" i="25"/>
  <c r="CM363" i="25"/>
  <c r="CM364" i="25"/>
  <c r="CM362" i="25"/>
  <c r="CM365" i="25"/>
  <c r="CM366" i="25"/>
  <c r="CM367" i="25"/>
  <c r="CM377" i="25"/>
  <c r="CM380" i="25"/>
  <c r="CM381" i="25"/>
  <c r="CM382" i="25"/>
  <c r="CM383" i="25"/>
  <c r="CM385" i="25"/>
  <c r="CM387" i="25"/>
  <c r="CM373" i="25"/>
  <c r="CM374" i="25"/>
  <c r="CM388" i="25"/>
  <c r="CM390" i="25"/>
  <c r="CM391" i="25"/>
  <c r="CM392" i="25"/>
  <c r="CM394" i="25"/>
  <c r="CM395" i="25"/>
  <c r="CM393" i="25"/>
  <c r="CN203" i="25"/>
  <c r="CN220" i="25"/>
  <c r="CN206" i="25"/>
  <c r="CN205" i="25"/>
  <c r="CN217" i="25"/>
  <c r="CN210" i="25"/>
  <c r="CN218" i="25"/>
  <c r="CN224" i="25"/>
  <c r="CN211" i="25"/>
  <c r="CN239" i="25"/>
  <c r="CN241" i="25"/>
  <c r="CN242" i="25"/>
  <c r="CN225" i="25"/>
  <c r="CN226" i="25"/>
  <c r="CN204" i="25"/>
  <c r="CN207" i="25"/>
  <c r="CN212" i="25"/>
  <c r="CN213" i="25"/>
  <c r="CN214" i="25"/>
  <c r="CN216" i="25"/>
  <c r="CN235" i="25"/>
  <c r="CN244" i="25"/>
  <c r="CN236" i="25"/>
  <c r="CN215" i="25"/>
  <c r="CN208" i="25"/>
  <c r="CN246" i="25"/>
  <c r="CN229" i="25"/>
  <c r="CN230" i="25"/>
  <c r="CN231" i="25"/>
  <c r="CN232" i="25"/>
  <c r="CN238" i="25"/>
  <c r="CN221" i="25"/>
  <c r="CN222" i="25"/>
  <c r="CN223" i="25"/>
  <c r="CN240" i="25"/>
  <c r="CN209" i="25"/>
  <c r="CN227" i="25"/>
  <c r="CN243" i="25"/>
  <c r="CN245" i="25"/>
  <c r="CN228" i="25"/>
  <c r="CN233" i="25"/>
  <c r="CN247" i="25"/>
  <c r="CN234" i="25"/>
  <c r="CN265" i="25"/>
  <c r="CN256" i="25"/>
  <c r="CN257" i="25"/>
  <c r="CN258" i="25"/>
  <c r="CN249" i="25"/>
  <c r="CN254" i="25"/>
  <c r="CN250" i="25"/>
  <c r="CN266" i="25"/>
  <c r="CN253" i="25"/>
  <c r="CN259" i="25"/>
  <c r="CN251" i="25"/>
  <c r="CN260" i="25"/>
  <c r="CN261" i="25"/>
  <c r="CN262" i="25"/>
  <c r="CN267" i="25"/>
  <c r="CN263" i="25"/>
  <c r="CN255" i="25"/>
  <c r="CN264" i="25"/>
  <c r="CN268" i="25"/>
  <c r="CN269" i="25"/>
  <c r="CN270" i="25"/>
  <c r="CN271" i="25"/>
  <c r="CN376" i="25"/>
  <c r="CN368" i="25"/>
  <c r="CN274" i="25"/>
  <c r="CN294" i="25"/>
  <c r="CN275" i="25"/>
  <c r="CN297" i="25"/>
  <c r="CN296" i="25"/>
  <c r="CN303" i="25"/>
  <c r="CN369" i="25"/>
  <c r="CN277" i="25"/>
  <c r="CN307" i="25"/>
  <c r="CN378" i="25"/>
  <c r="CN379" i="25"/>
  <c r="CN278" i="25"/>
  <c r="CN279" i="25"/>
  <c r="CN276" i="25"/>
  <c r="CN304" i="25"/>
  <c r="CN370" i="25"/>
  <c r="CN305" i="25"/>
  <c r="CN280" i="25"/>
  <c r="CN384" i="25"/>
  <c r="CN281" i="25"/>
  <c r="CN396" i="25"/>
  <c r="CN295" i="25"/>
  <c r="CN375" i="25"/>
  <c r="CN282" i="25"/>
  <c r="CN386" i="25"/>
  <c r="CN300" i="25"/>
  <c r="CN283" i="25"/>
  <c r="CN301" i="25"/>
  <c r="CN302" i="25"/>
  <c r="CN284" i="25"/>
  <c r="CN285" i="25"/>
  <c r="CN272" i="25"/>
  <c r="CN306" i="25"/>
  <c r="CN286" i="25"/>
  <c r="CN287" i="25"/>
  <c r="CN372" i="25"/>
  <c r="CN389" i="25"/>
  <c r="CN273" i="25"/>
  <c r="CN308" i="25"/>
  <c r="CN309" i="25"/>
  <c r="CN310" i="25"/>
  <c r="CN288" i="25"/>
  <c r="CN311" i="25"/>
  <c r="CN312" i="25"/>
  <c r="CN313" i="25"/>
  <c r="CN314" i="25"/>
  <c r="CN318" i="25"/>
  <c r="CN315" i="25"/>
  <c r="CN332" i="25"/>
  <c r="CN333" i="25"/>
  <c r="CN325" i="25"/>
  <c r="CN331" i="25"/>
  <c r="CN326" i="25"/>
  <c r="CN320" i="25"/>
  <c r="CN334" i="25"/>
  <c r="CN335" i="25"/>
  <c r="CN252" i="25"/>
  <c r="CN319" i="25"/>
  <c r="CN298" i="25"/>
  <c r="CN324" i="25"/>
  <c r="CN317" i="25"/>
  <c r="CN327" i="25"/>
  <c r="CN328" i="25"/>
  <c r="CN329" i="25"/>
  <c r="CN371" i="25"/>
  <c r="CN336" i="25"/>
  <c r="CN337" i="25"/>
  <c r="CN316" i="25"/>
  <c r="CN338" i="25"/>
  <c r="CN330" i="25"/>
  <c r="CN339" i="25"/>
  <c r="CN219" i="25"/>
  <c r="CN248" i="25"/>
  <c r="CN237" i="25"/>
  <c r="CN340" i="25"/>
  <c r="CN341" i="25"/>
  <c r="CN342" i="25"/>
  <c r="CN343" i="25"/>
  <c r="CN344" i="25"/>
  <c r="CN345" i="25"/>
  <c r="CN346" i="25"/>
  <c r="CN347" i="25"/>
  <c r="CN348" i="25"/>
  <c r="CN349" i="25"/>
  <c r="CN350" i="25"/>
  <c r="CN351" i="25"/>
  <c r="CN352" i="25"/>
  <c r="CN353" i="25"/>
  <c r="CN354" i="25"/>
  <c r="CN355" i="25"/>
  <c r="CN356" i="25"/>
  <c r="CN358" i="25"/>
  <c r="CN359" i="25"/>
  <c r="CN357" i="25"/>
  <c r="CN360" i="25"/>
  <c r="CN361" i="25"/>
  <c r="CN363" i="25"/>
  <c r="CN364" i="25"/>
  <c r="CN362" i="25"/>
  <c r="CN365" i="25"/>
  <c r="CN366" i="25"/>
  <c r="CN367" i="25"/>
  <c r="CN377" i="25"/>
  <c r="CN380" i="25"/>
  <c r="CN381" i="25"/>
  <c r="CN382" i="25"/>
  <c r="CN383" i="25"/>
  <c r="CN385" i="25"/>
  <c r="CN387" i="25"/>
  <c r="CN373" i="25"/>
  <c r="CN374" i="25"/>
  <c r="CN388" i="25"/>
  <c r="CN390" i="25"/>
  <c r="CN391" i="25"/>
  <c r="CN392" i="25"/>
  <c r="CN394" i="25"/>
  <c r="CN395" i="25"/>
  <c r="CN393" i="25"/>
  <c r="CO383" i="25"/>
  <c r="CO374" i="25"/>
  <c r="CP383" i="25"/>
  <c r="CP374" i="25"/>
  <c r="CS203" i="25"/>
  <c r="CT203" i="25" s="1"/>
  <c r="CS220" i="25"/>
  <c r="CT220" i="25" s="1"/>
  <c r="CS206" i="25"/>
  <c r="CT206" i="25" s="1"/>
  <c r="CS205" i="25"/>
  <c r="CS217" i="25"/>
  <c r="CT217" i="25" s="1"/>
  <c r="CS210" i="25"/>
  <c r="CT210" i="25" s="1"/>
  <c r="CS218" i="25"/>
  <c r="CT218" i="25" s="1"/>
  <c r="CS224" i="25"/>
  <c r="CT224" i="25" s="1"/>
  <c r="CS211" i="25"/>
  <c r="CS239" i="25"/>
  <c r="CT239" i="25" s="1"/>
  <c r="CS241" i="25"/>
  <c r="CS242" i="25"/>
  <c r="CT242" i="25" s="1"/>
  <c r="CS225" i="25"/>
  <c r="CT225" i="25" s="1"/>
  <c r="CS226" i="25"/>
  <c r="CT226" i="25" s="1"/>
  <c r="CS204" i="25"/>
  <c r="CT204" i="25" s="1"/>
  <c r="CS207" i="25"/>
  <c r="CT207" i="25" s="1"/>
  <c r="CS212" i="25"/>
  <c r="CT212" i="25" s="1"/>
  <c r="CS213" i="25"/>
  <c r="CT213" i="25" s="1"/>
  <c r="CS214" i="25"/>
  <c r="CS216" i="25"/>
  <c r="CT216" i="25" s="1"/>
  <c r="CS235" i="25"/>
  <c r="CT235" i="25" s="1"/>
  <c r="CS244" i="25"/>
  <c r="CT244" i="25" s="1"/>
  <c r="CS236" i="25"/>
  <c r="CT236" i="25" s="1"/>
  <c r="CS215" i="25"/>
  <c r="CT215" i="25" s="1"/>
  <c r="CS208" i="25"/>
  <c r="CT208" i="25" s="1"/>
  <c r="CS246" i="25"/>
  <c r="CT246" i="25" s="1"/>
  <c r="CS229" i="25"/>
  <c r="CS230" i="25"/>
  <c r="CT230" i="25" s="1"/>
  <c r="CS231" i="25"/>
  <c r="CT231" i="25" s="1"/>
  <c r="CS232" i="25"/>
  <c r="CT232" i="25" s="1"/>
  <c r="CS238" i="25"/>
  <c r="CT238" i="25" s="1"/>
  <c r="CS221" i="25"/>
  <c r="CT221" i="25" s="1"/>
  <c r="CS222" i="25"/>
  <c r="CT222" i="25" s="1"/>
  <c r="CS223" i="25"/>
  <c r="CT223" i="25" s="1"/>
  <c r="CS240" i="25"/>
  <c r="CS209" i="25"/>
  <c r="CT209" i="25" s="1"/>
  <c r="CS227" i="25"/>
  <c r="CT227" i="25" s="1"/>
  <c r="CS243" i="25"/>
  <c r="CT243" i="25" s="1"/>
  <c r="CS245" i="25"/>
  <c r="CT245" i="25" s="1"/>
  <c r="CS228" i="25"/>
  <c r="CT228" i="25" s="1"/>
  <c r="CS233" i="25"/>
  <c r="CS247" i="25"/>
  <c r="CT247" i="25" s="1"/>
  <c r="CS234" i="25"/>
  <c r="CS265" i="25"/>
  <c r="CT265" i="25" s="1"/>
  <c r="CS256" i="25"/>
  <c r="CT256" i="25" s="1"/>
  <c r="CS257" i="25"/>
  <c r="CT257" i="25" s="1"/>
  <c r="CS258" i="25"/>
  <c r="CT258" i="25" s="1"/>
  <c r="CS249" i="25"/>
  <c r="CT249" i="25" s="1"/>
  <c r="CS254" i="25"/>
  <c r="CS250" i="25"/>
  <c r="CT250" i="25" s="1"/>
  <c r="CS266" i="25"/>
  <c r="CS253" i="25"/>
  <c r="CT253" i="25" s="1"/>
  <c r="CS259" i="25"/>
  <c r="CT259" i="25" s="1"/>
  <c r="CS251" i="25"/>
  <c r="CT251" i="25" s="1"/>
  <c r="CS260" i="25"/>
  <c r="CT260" i="25" s="1"/>
  <c r="CS261" i="25"/>
  <c r="CT261" i="25" s="1"/>
  <c r="CS262" i="25"/>
  <c r="CT262" i="25" s="1"/>
  <c r="CS267" i="25"/>
  <c r="CT267" i="25" s="1"/>
  <c r="CS263" i="25"/>
  <c r="CS255" i="25"/>
  <c r="CT255" i="25" s="1"/>
  <c r="CS264" i="25"/>
  <c r="CT264" i="25" s="1"/>
  <c r="CS268" i="25"/>
  <c r="CT268" i="25" s="1"/>
  <c r="CS269" i="25"/>
  <c r="CT269" i="25" s="1"/>
  <c r="CS270" i="25"/>
  <c r="CT270" i="25" s="1"/>
  <c r="CS271" i="25"/>
  <c r="CT271" i="25" s="1"/>
  <c r="CS376" i="25"/>
  <c r="CT376" i="25" s="1"/>
  <c r="CS368" i="25"/>
  <c r="CS274" i="25"/>
  <c r="CT274" i="25" s="1"/>
  <c r="CS294" i="25"/>
  <c r="CT294" i="25" s="1"/>
  <c r="CS275" i="25"/>
  <c r="CT275" i="25" s="1"/>
  <c r="CS297" i="25"/>
  <c r="CT297" i="25" s="1"/>
  <c r="CS296" i="25"/>
  <c r="CT296" i="25" s="1"/>
  <c r="CS303" i="25"/>
  <c r="CS369" i="25"/>
  <c r="CT369" i="25" s="1"/>
  <c r="CS277" i="25"/>
  <c r="CS307" i="25"/>
  <c r="CT307" i="25" s="1"/>
  <c r="CS378" i="25"/>
  <c r="CT378" i="25" s="1"/>
  <c r="CS379" i="25"/>
  <c r="CT379" i="25" s="1"/>
  <c r="CS278" i="25"/>
  <c r="CT278" i="25" s="1"/>
  <c r="CS279" i="25"/>
  <c r="CT279" i="25" s="1"/>
  <c r="CS276" i="25"/>
  <c r="CT276" i="25" s="1"/>
  <c r="CS304" i="25"/>
  <c r="CT304" i="25" s="1"/>
  <c r="CS370" i="25"/>
  <c r="CS305" i="25"/>
  <c r="CT305" i="25" s="1"/>
  <c r="CS280" i="25"/>
  <c r="CT280" i="25" s="1"/>
  <c r="CS384" i="25"/>
  <c r="CT384" i="25" s="1"/>
  <c r="CS281" i="25"/>
  <c r="CT281" i="25" s="1"/>
  <c r="CS396" i="25"/>
  <c r="CT396" i="25" s="1"/>
  <c r="CS295" i="25"/>
  <c r="CT295" i="25" s="1"/>
  <c r="CS375" i="25"/>
  <c r="CT375" i="25" s="1"/>
  <c r="CS282" i="25"/>
  <c r="CS386" i="25"/>
  <c r="CT386" i="25" s="1"/>
  <c r="CS300" i="25"/>
  <c r="CT300" i="25" s="1"/>
  <c r="CS283" i="25"/>
  <c r="CT283" i="25" s="1"/>
  <c r="CS301" i="25"/>
  <c r="CT301" i="25" s="1"/>
  <c r="CS302" i="25"/>
  <c r="CT302" i="25" s="1"/>
  <c r="CS284" i="25"/>
  <c r="CT284" i="25" s="1"/>
  <c r="CS285" i="25"/>
  <c r="CT285" i="25" s="1"/>
  <c r="CS272" i="25"/>
  <c r="CS306" i="25"/>
  <c r="CT306" i="25" s="1"/>
  <c r="CS286" i="25"/>
  <c r="CT286" i="25" s="1"/>
  <c r="CS287" i="25"/>
  <c r="CT287" i="25" s="1"/>
  <c r="CS372" i="25"/>
  <c r="CT372" i="25" s="1"/>
  <c r="CS389" i="25"/>
  <c r="CS273" i="25"/>
  <c r="CT273" i="25" s="1"/>
  <c r="CS308" i="25"/>
  <c r="CS309" i="25"/>
  <c r="CT309" i="25" s="1"/>
  <c r="CS310" i="25"/>
  <c r="CT310" i="25" s="1"/>
  <c r="CS288" i="25"/>
  <c r="CT288" i="25" s="1"/>
  <c r="CS311" i="25"/>
  <c r="CT311" i="25" s="1"/>
  <c r="CS312" i="25"/>
  <c r="CT312" i="25" s="1"/>
  <c r="CS313" i="25"/>
  <c r="CS314" i="25"/>
  <c r="CT314" i="25" s="1"/>
  <c r="CS318" i="25"/>
  <c r="CT318" i="25" s="1"/>
  <c r="CS315" i="25"/>
  <c r="CT315" i="25" s="1"/>
  <c r="CS332" i="25"/>
  <c r="CT332" i="25" s="1"/>
  <c r="CS333" i="25"/>
  <c r="CT333" i="25" s="1"/>
  <c r="CS325" i="25"/>
  <c r="CT325" i="25" s="1"/>
  <c r="CS331" i="25"/>
  <c r="CT331" i="25" s="1"/>
  <c r="CS326" i="25"/>
  <c r="CT326" i="25" s="1"/>
  <c r="CS320" i="25"/>
  <c r="CT320" i="25" s="1"/>
  <c r="CS334" i="25"/>
  <c r="CT334" i="25" s="1"/>
  <c r="CS335" i="25"/>
  <c r="CT335" i="25" s="1"/>
  <c r="CS252" i="25"/>
  <c r="CT252" i="25" s="1"/>
  <c r="CS319" i="25"/>
  <c r="CT319" i="25" s="1"/>
  <c r="CS298" i="25"/>
  <c r="CS324" i="25"/>
  <c r="CT324" i="25" s="1"/>
  <c r="CS317" i="25"/>
  <c r="CT317" i="25" s="1"/>
  <c r="CS327" i="25"/>
  <c r="CT327" i="25" s="1"/>
  <c r="CS328" i="25"/>
  <c r="CT328" i="25" s="1"/>
  <c r="CS329" i="25"/>
  <c r="CT329" i="25" s="1"/>
  <c r="CS371" i="25"/>
  <c r="CT371" i="25" s="1"/>
  <c r="CS336" i="25"/>
  <c r="CT336" i="25" s="1"/>
  <c r="CS337" i="25"/>
  <c r="CT337" i="25" s="1"/>
  <c r="CS316" i="25"/>
  <c r="CT316" i="25" s="1"/>
  <c r="CS338" i="25"/>
  <c r="CT338" i="25" s="1"/>
  <c r="CS330" i="25"/>
  <c r="CT330" i="25" s="1"/>
  <c r="CS339" i="25"/>
  <c r="CT339" i="25" s="1"/>
  <c r="CS219" i="25"/>
  <c r="CT219" i="25" s="1"/>
  <c r="CS248" i="25"/>
  <c r="CT248" i="25" s="1"/>
  <c r="CS237" i="25"/>
  <c r="CT237" i="25" s="1"/>
  <c r="CS340" i="25"/>
  <c r="CT340" i="25" s="1"/>
  <c r="CS341" i="25"/>
  <c r="CT341" i="25" s="1"/>
  <c r="CS342" i="25"/>
  <c r="CT342" i="25" s="1"/>
  <c r="CS343" i="25"/>
  <c r="CT343" i="25" s="1"/>
  <c r="CS344" i="25"/>
  <c r="CS345" i="25"/>
  <c r="CT345" i="25" s="1"/>
  <c r="CS346" i="25"/>
  <c r="CT346" i="25" s="1"/>
  <c r="CS347" i="25"/>
  <c r="CT347" i="25" s="1"/>
  <c r="CS348" i="25"/>
  <c r="CT348" i="25" s="1"/>
  <c r="CS349" i="25"/>
  <c r="CT349" i="25" s="1"/>
  <c r="CS350" i="25"/>
  <c r="CT350" i="25" s="1"/>
  <c r="CS351" i="25"/>
  <c r="CT351" i="25" s="1"/>
  <c r="CS352" i="25"/>
  <c r="CS353" i="25"/>
  <c r="CS354" i="25"/>
  <c r="CT354" i="25" s="1"/>
  <c r="CS355" i="25"/>
  <c r="CT355" i="25" s="1"/>
  <c r="CS356" i="25"/>
  <c r="CT356" i="25" s="1"/>
  <c r="CS358" i="25"/>
  <c r="CT358" i="25" s="1"/>
  <c r="CS359" i="25"/>
  <c r="CT359" i="25" s="1"/>
  <c r="CS357" i="25"/>
  <c r="CT357" i="25" s="1"/>
  <c r="CS360" i="25"/>
  <c r="CT360" i="25" s="1"/>
  <c r="CS361" i="25"/>
  <c r="CS363" i="25"/>
  <c r="CS364" i="25"/>
  <c r="CT364" i="25" s="1"/>
  <c r="CS362" i="25"/>
  <c r="CT362" i="25" s="1"/>
  <c r="CS365" i="25"/>
  <c r="CT365" i="25" s="1"/>
  <c r="CS366" i="25"/>
  <c r="CT366" i="25" s="1"/>
  <c r="CS367" i="25"/>
  <c r="CS377" i="25"/>
  <c r="CT377" i="25" s="1"/>
  <c r="CS380" i="25"/>
  <c r="CT380" i="25" s="1"/>
  <c r="CS381" i="25"/>
  <c r="CT381" i="25" s="1"/>
  <c r="CS382" i="25"/>
  <c r="CT382" i="25" s="1"/>
  <c r="CT383" i="25"/>
  <c r="CS385" i="25"/>
  <c r="CT385" i="25" s="1"/>
  <c r="CS387" i="25"/>
  <c r="CT387" i="25" s="1"/>
  <c r="CS373" i="25"/>
  <c r="CT373" i="25" s="1"/>
  <c r="CT374" i="25"/>
  <c r="CS388" i="25"/>
  <c r="CT388" i="25" s="1"/>
  <c r="CS390" i="25"/>
  <c r="CT390" i="25" s="1"/>
  <c r="CS391" i="25"/>
  <c r="CT391" i="25" s="1"/>
  <c r="CS392" i="25"/>
  <c r="CT392" i="25" s="1"/>
  <c r="CS394" i="25"/>
  <c r="CT394" i="25" s="1"/>
  <c r="CS395" i="25"/>
  <c r="CS393" i="25"/>
  <c r="CT393" i="25" s="1"/>
  <c r="DA203" i="25"/>
  <c r="DA220" i="25"/>
  <c r="DA206" i="25"/>
  <c r="DA205" i="25"/>
  <c r="DA217" i="25"/>
  <c r="DA210" i="25"/>
  <c r="DA218" i="25"/>
  <c r="DA224" i="25"/>
  <c r="DA211" i="25"/>
  <c r="DA239" i="25"/>
  <c r="DA241" i="25"/>
  <c r="DA242" i="25"/>
  <c r="DA225" i="25"/>
  <c r="DA226" i="25"/>
  <c r="DA204" i="25"/>
  <c r="DA207" i="25"/>
  <c r="DA212" i="25"/>
  <c r="DA213" i="25"/>
  <c r="DA214" i="25"/>
  <c r="DA216" i="25"/>
  <c r="DA235" i="25"/>
  <c r="DA244" i="25"/>
  <c r="DA236" i="25"/>
  <c r="DA215" i="25"/>
  <c r="DA208" i="25"/>
  <c r="DA246" i="25"/>
  <c r="DA229" i="25"/>
  <c r="DA230" i="25"/>
  <c r="DA231" i="25"/>
  <c r="DA232" i="25"/>
  <c r="DA238" i="25"/>
  <c r="DA221" i="25"/>
  <c r="DA222" i="25"/>
  <c r="DA223" i="25"/>
  <c r="DA240" i="25"/>
  <c r="DA209" i="25"/>
  <c r="DA227" i="25"/>
  <c r="DA243" i="25"/>
  <c r="DA245" i="25"/>
  <c r="DA228" i="25"/>
  <c r="DA233" i="25"/>
  <c r="DA247" i="25"/>
  <c r="DA234" i="25"/>
  <c r="DA265" i="25"/>
  <c r="DA256" i="25"/>
  <c r="DA257" i="25"/>
  <c r="DA258" i="25"/>
  <c r="DA249" i="25"/>
  <c r="DA254" i="25"/>
  <c r="DA250" i="25"/>
  <c r="DA266" i="25"/>
  <c r="DA253" i="25"/>
  <c r="DA259" i="25"/>
  <c r="DA251" i="25"/>
  <c r="DA260" i="25"/>
  <c r="DA261" i="25"/>
  <c r="DA262" i="25"/>
  <c r="DA267" i="25"/>
  <c r="DA263" i="25"/>
  <c r="DA255" i="25"/>
  <c r="DA264" i="25"/>
  <c r="DA268" i="25"/>
  <c r="DA269" i="25"/>
  <c r="DA270" i="25"/>
  <c r="DA271" i="25"/>
  <c r="DA376" i="25"/>
  <c r="DA368" i="25"/>
  <c r="DA274" i="25"/>
  <c r="DA294" i="25"/>
  <c r="DA275" i="25"/>
  <c r="DA297" i="25"/>
  <c r="DA296" i="25"/>
  <c r="DA303" i="25"/>
  <c r="DA369" i="25"/>
  <c r="DA277" i="25"/>
  <c r="DA307" i="25"/>
  <c r="DA378" i="25"/>
  <c r="DA379" i="25"/>
  <c r="DA278" i="25"/>
  <c r="DA279" i="25"/>
  <c r="DA276" i="25"/>
  <c r="DA304" i="25"/>
  <c r="DA370" i="25"/>
  <c r="DA305" i="25"/>
  <c r="DA280" i="25"/>
  <c r="DA384" i="25"/>
  <c r="DA281" i="25"/>
  <c r="DA396" i="25"/>
  <c r="DA295" i="25"/>
  <c r="DA375" i="25"/>
  <c r="DA282" i="25"/>
  <c r="DA386" i="25"/>
  <c r="DA300" i="25"/>
  <c r="DA283" i="25"/>
  <c r="DA301" i="25"/>
  <c r="DA302" i="25"/>
  <c r="DA284" i="25"/>
  <c r="DA285" i="25"/>
  <c r="DA272" i="25"/>
  <c r="DA306" i="25"/>
  <c r="DA286" i="25"/>
  <c r="DA287" i="25"/>
  <c r="DA372" i="25"/>
  <c r="DA389" i="25"/>
  <c r="DA273" i="25"/>
  <c r="DA308" i="25"/>
  <c r="DA309" i="25"/>
  <c r="DA310" i="25"/>
  <c r="DA288" i="25"/>
  <c r="DA311" i="25"/>
  <c r="DA312" i="25"/>
  <c r="DA313" i="25"/>
  <c r="DA314" i="25"/>
  <c r="DA318" i="25"/>
  <c r="DA315" i="25"/>
  <c r="DA332" i="25"/>
  <c r="DA333" i="25"/>
  <c r="DA325" i="25"/>
  <c r="DA331" i="25"/>
  <c r="DA326" i="25"/>
  <c r="DA320" i="25"/>
  <c r="DA334" i="25"/>
  <c r="DA335" i="25"/>
  <c r="DA252" i="25"/>
  <c r="DA319" i="25"/>
  <c r="DA298" i="25"/>
  <c r="DA324" i="25"/>
  <c r="DA317" i="25"/>
  <c r="DA327" i="25"/>
  <c r="DA328" i="25"/>
  <c r="DA329" i="25"/>
  <c r="DA371" i="25"/>
  <c r="DA336" i="25"/>
  <c r="DA337" i="25"/>
  <c r="DA316" i="25"/>
  <c r="DA338" i="25"/>
  <c r="DA330" i="25"/>
  <c r="DA339" i="25"/>
  <c r="DA219" i="25"/>
  <c r="DA248" i="25"/>
  <c r="DA237" i="25"/>
  <c r="DA340" i="25"/>
  <c r="DA341" i="25"/>
  <c r="DA342" i="25"/>
  <c r="DA343" i="25"/>
  <c r="DA344" i="25"/>
  <c r="DA345" i="25"/>
  <c r="DA346" i="25"/>
  <c r="DA347" i="25"/>
  <c r="DA348" i="25"/>
  <c r="DA349" i="25"/>
  <c r="DA350" i="25"/>
  <c r="DA351" i="25"/>
  <c r="DA352" i="25"/>
  <c r="DA353" i="25"/>
  <c r="DA354" i="25"/>
  <c r="DA355" i="25"/>
  <c r="DA356" i="25"/>
  <c r="DA358" i="25"/>
  <c r="DA359" i="25"/>
  <c r="DA357" i="25"/>
  <c r="DA360" i="25"/>
  <c r="DA361" i="25"/>
  <c r="DA363" i="25"/>
  <c r="DA364" i="25"/>
  <c r="DA362" i="25"/>
  <c r="DA365" i="25"/>
  <c r="DA366" i="25"/>
  <c r="DA367" i="25"/>
  <c r="DA377" i="25"/>
  <c r="DA380" i="25"/>
  <c r="DA381" i="25"/>
  <c r="DA382" i="25"/>
  <c r="DA383" i="25"/>
  <c r="DA385" i="25"/>
  <c r="DA387" i="25"/>
  <c r="DA373" i="25"/>
  <c r="DA374" i="25"/>
  <c r="DA388" i="25"/>
  <c r="DA390" i="25"/>
  <c r="DA391" i="25"/>
  <c r="DA392" i="25"/>
  <c r="DA394" i="25"/>
  <c r="DA395" i="25"/>
  <c r="DA393" i="25"/>
  <c r="DB203" i="25"/>
  <c r="DB220" i="25"/>
  <c r="DB206" i="25"/>
  <c r="DB205" i="25"/>
  <c r="DB217" i="25"/>
  <c r="DB210" i="25"/>
  <c r="DB218" i="25"/>
  <c r="DB224" i="25"/>
  <c r="DB211" i="25"/>
  <c r="DB239" i="25"/>
  <c r="DB241" i="25"/>
  <c r="DB242" i="25"/>
  <c r="DB225" i="25"/>
  <c r="DB226" i="25"/>
  <c r="DB204" i="25"/>
  <c r="DB207" i="25"/>
  <c r="DB212" i="25"/>
  <c r="DB213" i="25"/>
  <c r="DB214" i="25"/>
  <c r="DB216" i="25"/>
  <c r="DB235" i="25"/>
  <c r="DB244" i="25"/>
  <c r="DB236" i="25"/>
  <c r="DB215" i="25"/>
  <c r="DB208" i="25"/>
  <c r="DB246" i="25"/>
  <c r="DB229" i="25"/>
  <c r="DB230" i="25"/>
  <c r="DB231" i="25"/>
  <c r="DB232" i="25"/>
  <c r="DB238" i="25"/>
  <c r="DB221" i="25"/>
  <c r="DB222" i="25"/>
  <c r="DB223" i="25"/>
  <c r="DB240" i="25"/>
  <c r="DB209" i="25"/>
  <c r="DB227" i="25"/>
  <c r="DB243" i="25"/>
  <c r="DB245" i="25"/>
  <c r="DB228" i="25"/>
  <c r="DB233" i="25"/>
  <c r="DB247" i="25"/>
  <c r="DB234" i="25"/>
  <c r="DB265" i="25"/>
  <c r="DB256" i="25"/>
  <c r="DB257" i="25"/>
  <c r="DB258" i="25"/>
  <c r="DB249" i="25"/>
  <c r="DB254" i="25"/>
  <c r="DB250" i="25"/>
  <c r="DB266" i="25"/>
  <c r="DB253" i="25"/>
  <c r="DB259" i="25"/>
  <c r="DB251" i="25"/>
  <c r="DB260" i="25"/>
  <c r="DB261" i="25"/>
  <c r="DB262" i="25"/>
  <c r="DB267" i="25"/>
  <c r="DB255" i="25"/>
  <c r="DB264" i="25"/>
  <c r="DB268" i="25"/>
  <c r="DB269" i="25"/>
  <c r="DB270" i="25"/>
  <c r="DB271" i="25"/>
  <c r="DB376" i="25"/>
  <c r="DB368" i="25"/>
  <c r="DB274" i="25"/>
  <c r="DB294" i="25"/>
  <c r="DB275" i="25"/>
  <c r="DB297" i="25"/>
  <c r="DB296" i="25"/>
  <c r="DB303" i="25"/>
  <c r="DB369" i="25"/>
  <c r="DB277" i="25"/>
  <c r="DB307" i="25"/>
  <c r="DB378" i="25"/>
  <c r="DB379" i="25"/>
  <c r="DB278" i="25"/>
  <c r="DB279" i="25"/>
  <c r="DB276" i="25"/>
  <c r="DB304" i="25"/>
  <c r="DB370" i="25"/>
  <c r="DB305" i="25"/>
  <c r="DB280" i="25"/>
  <c r="DB384" i="25"/>
  <c r="DB281" i="25"/>
  <c r="DB396" i="25"/>
  <c r="DB295" i="25"/>
  <c r="DB375" i="25"/>
  <c r="DB282" i="25"/>
  <c r="DB386" i="25"/>
  <c r="DB300" i="25"/>
  <c r="DB283" i="25"/>
  <c r="DB301" i="25"/>
  <c r="DB302" i="25"/>
  <c r="DB284" i="25"/>
  <c r="DB285" i="25"/>
  <c r="DB272" i="25"/>
  <c r="DB306" i="25"/>
  <c r="DB286" i="25"/>
  <c r="DB287" i="25"/>
  <c r="DB372" i="25"/>
  <c r="DB389" i="25"/>
  <c r="DB273" i="25"/>
  <c r="DB308" i="25"/>
  <c r="DB309" i="25"/>
  <c r="DB310" i="25"/>
  <c r="DB288" i="25"/>
  <c r="DB311" i="25"/>
  <c r="DB312" i="25"/>
  <c r="DB313" i="25"/>
  <c r="DB314" i="25"/>
  <c r="DB318" i="25"/>
  <c r="DB315" i="25"/>
  <c r="DB332" i="25"/>
  <c r="DB333" i="25"/>
  <c r="DB325" i="25"/>
  <c r="DB331" i="25"/>
  <c r="DB326" i="25"/>
  <c r="DB320" i="25"/>
  <c r="DB334" i="25"/>
  <c r="DB335" i="25"/>
  <c r="DB252" i="25"/>
  <c r="DB319" i="25"/>
  <c r="DB298" i="25"/>
  <c r="DB324" i="25"/>
  <c r="DB317" i="25"/>
  <c r="DB327" i="25"/>
  <c r="DB328" i="25"/>
  <c r="DB329" i="25"/>
  <c r="DB371" i="25"/>
  <c r="DB336" i="25"/>
  <c r="DB337" i="25"/>
  <c r="DB316" i="25"/>
  <c r="DB338" i="25"/>
  <c r="DB330" i="25"/>
  <c r="DB339" i="25"/>
  <c r="DB219" i="25"/>
  <c r="DB248" i="25"/>
  <c r="DB237" i="25"/>
  <c r="DB340" i="25"/>
  <c r="DB341" i="25"/>
  <c r="DB342" i="25"/>
  <c r="DB343" i="25"/>
  <c r="DB344" i="25"/>
  <c r="DB345" i="25"/>
  <c r="DB346" i="25"/>
  <c r="DB347" i="25"/>
  <c r="DB348" i="25"/>
  <c r="DB349" i="25"/>
  <c r="DB350" i="25"/>
  <c r="DB351" i="25"/>
  <c r="DB352" i="25"/>
  <c r="DB353" i="25"/>
  <c r="DB354" i="25"/>
  <c r="DB355" i="25"/>
  <c r="DB356" i="25"/>
  <c r="DB358" i="25"/>
  <c r="DB359" i="25"/>
  <c r="DB357" i="25"/>
  <c r="DB360" i="25"/>
  <c r="DB361" i="25"/>
  <c r="DB363" i="25"/>
  <c r="DB364" i="25"/>
  <c r="DB362" i="25"/>
  <c r="DB365" i="25"/>
  <c r="DB366" i="25"/>
  <c r="DB367" i="25"/>
  <c r="DB377" i="25"/>
  <c r="DB380" i="25"/>
  <c r="DB381" i="25"/>
  <c r="DB382" i="25"/>
  <c r="DB383" i="25"/>
  <c r="DB385" i="25"/>
  <c r="DB387" i="25"/>
  <c r="DB373" i="25"/>
  <c r="DB374" i="25"/>
  <c r="DB388" i="25"/>
  <c r="DB390" i="25"/>
  <c r="DB391" i="25"/>
  <c r="DB392" i="25"/>
  <c r="DB394" i="25"/>
  <c r="DB395" i="25"/>
  <c r="DB393" i="25"/>
  <c r="DD383" i="25"/>
  <c r="DD374" i="25"/>
  <c r="DF203" i="25"/>
  <c r="DF220" i="25"/>
  <c r="DF206" i="25"/>
  <c r="DF205" i="25"/>
  <c r="DF217" i="25"/>
  <c r="DF210" i="25"/>
  <c r="DF218" i="25"/>
  <c r="DF224" i="25"/>
  <c r="DF211" i="25"/>
  <c r="DF239" i="25"/>
  <c r="DF241" i="25"/>
  <c r="DF242" i="25"/>
  <c r="DF225" i="25"/>
  <c r="DF226" i="25"/>
  <c r="DF204" i="25"/>
  <c r="DF207" i="25"/>
  <c r="DF212" i="25"/>
  <c r="DF213" i="25"/>
  <c r="DF214" i="25"/>
  <c r="DF216" i="25"/>
  <c r="DF235" i="25"/>
  <c r="DF244" i="25"/>
  <c r="DF236" i="25"/>
  <c r="DF215" i="25"/>
  <c r="DF208" i="25"/>
  <c r="DF246" i="25"/>
  <c r="DF229" i="25"/>
  <c r="DF230" i="25"/>
  <c r="DF231" i="25"/>
  <c r="DF232" i="25"/>
  <c r="DF238" i="25"/>
  <c r="DF221" i="25"/>
  <c r="DF222" i="25"/>
  <c r="DF223" i="25"/>
  <c r="DF240" i="25"/>
  <c r="DF209" i="25"/>
  <c r="DF227" i="25"/>
  <c r="DF243" i="25"/>
  <c r="DF245" i="25"/>
  <c r="DF228" i="25"/>
  <c r="DF233" i="25"/>
  <c r="DF247" i="25"/>
  <c r="DF234" i="25"/>
  <c r="DF265" i="25"/>
  <c r="DF256" i="25"/>
  <c r="DF257" i="25"/>
  <c r="DF258" i="25"/>
  <c r="DF249" i="25"/>
  <c r="DF254" i="25"/>
  <c r="DF250" i="25"/>
  <c r="DF266" i="25"/>
  <c r="DF253" i="25"/>
  <c r="DF259" i="25"/>
  <c r="DF251" i="25"/>
  <c r="DF260" i="25"/>
  <c r="DF261" i="25"/>
  <c r="DF262" i="25"/>
  <c r="DF267" i="25"/>
  <c r="DF263" i="25"/>
  <c r="DF255" i="25"/>
  <c r="DF264" i="25"/>
  <c r="DF268" i="25"/>
  <c r="DF269" i="25"/>
  <c r="DF270" i="25"/>
  <c r="DF271" i="25"/>
  <c r="DF376" i="25"/>
  <c r="DF368" i="25"/>
  <c r="DF274" i="25"/>
  <c r="DF294" i="25"/>
  <c r="DF275" i="25"/>
  <c r="DF297" i="25"/>
  <c r="DF296" i="25"/>
  <c r="DF303" i="25"/>
  <c r="DF369" i="25"/>
  <c r="DF277" i="25"/>
  <c r="DF307" i="25"/>
  <c r="DF378" i="25"/>
  <c r="DF379" i="25"/>
  <c r="DF278" i="25"/>
  <c r="DF279" i="25"/>
  <c r="DF276" i="25"/>
  <c r="DF304" i="25"/>
  <c r="DF370" i="25"/>
  <c r="DF305" i="25"/>
  <c r="DF280" i="25"/>
  <c r="DF384" i="25"/>
  <c r="DF281" i="25"/>
  <c r="DF396" i="25"/>
  <c r="DF295" i="25"/>
  <c r="DF375" i="25"/>
  <c r="DF282" i="25"/>
  <c r="DF386" i="25"/>
  <c r="DF300" i="25"/>
  <c r="DF283" i="25"/>
  <c r="DF301" i="25"/>
  <c r="DF302" i="25"/>
  <c r="DF284" i="25"/>
  <c r="DF285" i="25"/>
  <c r="DF272" i="25"/>
  <c r="DF306" i="25"/>
  <c r="DF286" i="25"/>
  <c r="DF287" i="25"/>
  <c r="DF372" i="25"/>
  <c r="DF389" i="25"/>
  <c r="DF273" i="25"/>
  <c r="DF308" i="25"/>
  <c r="DF309" i="25"/>
  <c r="DF310" i="25"/>
  <c r="DF288" i="25"/>
  <c r="DF311" i="25"/>
  <c r="DF312" i="25"/>
  <c r="DF313" i="25"/>
  <c r="DF314" i="25"/>
  <c r="DF318" i="25"/>
  <c r="DF315" i="25"/>
  <c r="DF332" i="25"/>
  <c r="DF333" i="25"/>
  <c r="DF325" i="25"/>
  <c r="DF331" i="25"/>
  <c r="DF326" i="25"/>
  <c r="DF320" i="25"/>
  <c r="DF334" i="25"/>
  <c r="DF335" i="25"/>
  <c r="DF252" i="25"/>
  <c r="DF319" i="25"/>
  <c r="DF298" i="25"/>
  <c r="DF324" i="25"/>
  <c r="DF317" i="25"/>
  <c r="DF327" i="25"/>
  <c r="DF328" i="25"/>
  <c r="DF329" i="25"/>
  <c r="DF371" i="25"/>
  <c r="DF336" i="25"/>
  <c r="DF337" i="25"/>
  <c r="DF316" i="25"/>
  <c r="DF338" i="25"/>
  <c r="DF330" i="25"/>
  <c r="DF339" i="25"/>
  <c r="DF219" i="25"/>
  <c r="DF248" i="25"/>
  <c r="DF237" i="25"/>
  <c r="DF340" i="25"/>
  <c r="DF341" i="25"/>
  <c r="DF342" i="25"/>
  <c r="DF343" i="25"/>
  <c r="DF344" i="25"/>
  <c r="DF345" i="25"/>
  <c r="DF346" i="25"/>
  <c r="DF347" i="25"/>
  <c r="DF348" i="25"/>
  <c r="DF349" i="25"/>
  <c r="DF350" i="25"/>
  <c r="DF351" i="25"/>
  <c r="DF352" i="25"/>
  <c r="DF353" i="25"/>
  <c r="DF354" i="25"/>
  <c r="DF355" i="25"/>
  <c r="DF356" i="25"/>
  <c r="DF358" i="25"/>
  <c r="DF359" i="25"/>
  <c r="DF357" i="25"/>
  <c r="DF360" i="25"/>
  <c r="DF361" i="25"/>
  <c r="DF363" i="25"/>
  <c r="DF364" i="25"/>
  <c r="DF362" i="25"/>
  <c r="DF365" i="25"/>
  <c r="DF366" i="25"/>
  <c r="DF367" i="25"/>
  <c r="DF377" i="25"/>
  <c r="DF380" i="25"/>
  <c r="DF381" i="25"/>
  <c r="DF382" i="25"/>
  <c r="DF383" i="25"/>
  <c r="DF385" i="25"/>
  <c r="DF387" i="25"/>
  <c r="DF373" i="25"/>
  <c r="DF374" i="25"/>
  <c r="DF388" i="25"/>
  <c r="DF390" i="25"/>
  <c r="DF391" i="25"/>
  <c r="DF392" i="25"/>
  <c r="DF394" i="25"/>
  <c r="DF395" i="25"/>
  <c r="DF393" i="25"/>
  <c r="DG203" i="25"/>
  <c r="DG220" i="25"/>
  <c r="DG206" i="25"/>
  <c r="DG205" i="25"/>
  <c r="DG217" i="25"/>
  <c r="DG210" i="25"/>
  <c r="DG218" i="25"/>
  <c r="DG224" i="25"/>
  <c r="DG211" i="25"/>
  <c r="DG239" i="25"/>
  <c r="DG241" i="25"/>
  <c r="DG242" i="25"/>
  <c r="DG225" i="25"/>
  <c r="DG226" i="25"/>
  <c r="DG204" i="25"/>
  <c r="DG207" i="25"/>
  <c r="DG212" i="25"/>
  <c r="DG213" i="25"/>
  <c r="DG214" i="25"/>
  <c r="DG216" i="25"/>
  <c r="DG235" i="25"/>
  <c r="DG244" i="25"/>
  <c r="DG236" i="25"/>
  <c r="DG215" i="25"/>
  <c r="DG208" i="25"/>
  <c r="DG246" i="25"/>
  <c r="DG229" i="25"/>
  <c r="DG230" i="25"/>
  <c r="DG231" i="25"/>
  <c r="DG232" i="25"/>
  <c r="DG238" i="25"/>
  <c r="DG221" i="25"/>
  <c r="DG222" i="25"/>
  <c r="DG223" i="25"/>
  <c r="DG240" i="25"/>
  <c r="DG209" i="25"/>
  <c r="DG227" i="25"/>
  <c r="DG243" i="25"/>
  <c r="DG245" i="25"/>
  <c r="DG228" i="25"/>
  <c r="DG233" i="25"/>
  <c r="DG247" i="25"/>
  <c r="DG234" i="25"/>
  <c r="DG265" i="25"/>
  <c r="DG256" i="25"/>
  <c r="DG257" i="25"/>
  <c r="DG258" i="25"/>
  <c r="DG249" i="25"/>
  <c r="DG254" i="25"/>
  <c r="DG250" i="25"/>
  <c r="DG266" i="25"/>
  <c r="DG253" i="25"/>
  <c r="DG259" i="25"/>
  <c r="DG251" i="25"/>
  <c r="DG260" i="25"/>
  <c r="DG261" i="25"/>
  <c r="DG262" i="25"/>
  <c r="DG267" i="25"/>
  <c r="DG263" i="25"/>
  <c r="DG255" i="25"/>
  <c r="DG264" i="25"/>
  <c r="DG268" i="25"/>
  <c r="DG269" i="25"/>
  <c r="DG270" i="25"/>
  <c r="DG271" i="25"/>
  <c r="DG376" i="25"/>
  <c r="DG368" i="25"/>
  <c r="DG274" i="25"/>
  <c r="DG294" i="25"/>
  <c r="DG275" i="25"/>
  <c r="DG297" i="25"/>
  <c r="DG296" i="25"/>
  <c r="DG303" i="25"/>
  <c r="DG369" i="25"/>
  <c r="DG277" i="25"/>
  <c r="DG307" i="25"/>
  <c r="DG378" i="25"/>
  <c r="DG379" i="25"/>
  <c r="DG278" i="25"/>
  <c r="DG279" i="25"/>
  <c r="DG276" i="25"/>
  <c r="DG304" i="25"/>
  <c r="DG370" i="25"/>
  <c r="DG305" i="25"/>
  <c r="DG280" i="25"/>
  <c r="DG384" i="25"/>
  <c r="DG281" i="25"/>
  <c r="DG396" i="25"/>
  <c r="DG295" i="25"/>
  <c r="DG375" i="25"/>
  <c r="DG282" i="25"/>
  <c r="DG386" i="25"/>
  <c r="DG300" i="25"/>
  <c r="DG283" i="25"/>
  <c r="DG301" i="25"/>
  <c r="DG302" i="25"/>
  <c r="DG284" i="25"/>
  <c r="DG285" i="25"/>
  <c r="DG272" i="25"/>
  <c r="DG306" i="25"/>
  <c r="DG286" i="25"/>
  <c r="DG287" i="25"/>
  <c r="DG372" i="25"/>
  <c r="DG389" i="25"/>
  <c r="DG273" i="25"/>
  <c r="DG308" i="25"/>
  <c r="DG309" i="25"/>
  <c r="DG310" i="25"/>
  <c r="DG288" i="25"/>
  <c r="DG311" i="25"/>
  <c r="DG312" i="25"/>
  <c r="DG313" i="25"/>
  <c r="DG314" i="25"/>
  <c r="DG318" i="25"/>
  <c r="DG315" i="25"/>
  <c r="DG332" i="25"/>
  <c r="DG333" i="25"/>
  <c r="DG325" i="25"/>
  <c r="DG331" i="25"/>
  <c r="DG326" i="25"/>
  <c r="DG320" i="25"/>
  <c r="DG334" i="25"/>
  <c r="DG335" i="25"/>
  <c r="DG252" i="25"/>
  <c r="DG319" i="25"/>
  <c r="DG298" i="25"/>
  <c r="DG324" i="25"/>
  <c r="DG317" i="25"/>
  <c r="DG327" i="25"/>
  <c r="DG328" i="25"/>
  <c r="DG329" i="25"/>
  <c r="DG371" i="25"/>
  <c r="DG336" i="25"/>
  <c r="DG337" i="25"/>
  <c r="DG316" i="25"/>
  <c r="DG338" i="25"/>
  <c r="DG330" i="25"/>
  <c r="DG339" i="25"/>
  <c r="DG219" i="25"/>
  <c r="DG248" i="25"/>
  <c r="DG237" i="25"/>
  <c r="DG340" i="25"/>
  <c r="DG341" i="25"/>
  <c r="DG342" i="25"/>
  <c r="DG343" i="25"/>
  <c r="DG344" i="25"/>
  <c r="DG345" i="25"/>
  <c r="DG346" i="25"/>
  <c r="DG347" i="25"/>
  <c r="DG348" i="25"/>
  <c r="DG349" i="25"/>
  <c r="DG350" i="25"/>
  <c r="DG351" i="25"/>
  <c r="DG352" i="25"/>
  <c r="DG353" i="25"/>
  <c r="DG354" i="25"/>
  <c r="DG355" i="25"/>
  <c r="DG356" i="25"/>
  <c r="DG358" i="25"/>
  <c r="DG359" i="25"/>
  <c r="DG357" i="25"/>
  <c r="DG360" i="25"/>
  <c r="DG361" i="25"/>
  <c r="DG363" i="25"/>
  <c r="DG364" i="25"/>
  <c r="DG362" i="25"/>
  <c r="DG365" i="25"/>
  <c r="DG366" i="25"/>
  <c r="DG367" i="25"/>
  <c r="DG377" i="25"/>
  <c r="DG380" i="25"/>
  <c r="DG381" i="25"/>
  <c r="DG382" i="25"/>
  <c r="DG383" i="25"/>
  <c r="DG385" i="25"/>
  <c r="DG387" i="25"/>
  <c r="DG373" i="25"/>
  <c r="DG374" i="25"/>
  <c r="DG388" i="25"/>
  <c r="DG390" i="25"/>
  <c r="DG391" i="25"/>
  <c r="DG392" i="25"/>
  <c r="DG394" i="25"/>
  <c r="DG395" i="25"/>
  <c r="DG393" i="25"/>
  <c r="DK203" i="25"/>
  <c r="DK220" i="25"/>
  <c r="DK206" i="25"/>
  <c r="DK205" i="25"/>
  <c r="DK217" i="25"/>
  <c r="DK210" i="25"/>
  <c r="DK218" i="25"/>
  <c r="DK224" i="25"/>
  <c r="DK211" i="25"/>
  <c r="DK239" i="25"/>
  <c r="DK241" i="25"/>
  <c r="DK242" i="25"/>
  <c r="DK225" i="25"/>
  <c r="DK226" i="25"/>
  <c r="DK204" i="25"/>
  <c r="DK207" i="25"/>
  <c r="DK212" i="25"/>
  <c r="DK213" i="25"/>
  <c r="DK214" i="25"/>
  <c r="DK216" i="25"/>
  <c r="DK235" i="25"/>
  <c r="DK244" i="25"/>
  <c r="DK236" i="25"/>
  <c r="DK215" i="25"/>
  <c r="DK208" i="25"/>
  <c r="DK246" i="25"/>
  <c r="DK229" i="25"/>
  <c r="DK230" i="25"/>
  <c r="DK231" i="25"/>
  <c r="DK232" i="25"/>
  <c r="DK238" i="25"/>
  <c r="DK221" i="25"/>
  <c r="DK222" i="25"/>
  <c r="DK223" i="25"/>
  <c r="DK240" i="25"/>
  <c r="DK209" i="25"/>
  <c r="DK227" i="25"/>
  <c r="DK243" i="25"/>
  <c r="DK245" i="25"/>
  <c r="DK228" i="25"/>
  <c r="DK233" i="25"/>
  <c r="DK247" i="25"/>
  <c r="DK234" i="25"/>
  <c r="DK265" i="25"/>
  <c r="DK256" i="25"/>
  <c r="DK257" i="25"/>
  <c r="DK258" i="25"/>
  <c r="DK249" i="25"/>
  <c r="DK254" i="25"/>
  <c r="DK250" i="25"/>
  <c r="DK266" i="25"/>
  <c r="DK253" i="25"/>
  <c r="DK259" i="25"/>
  <c r="DK251" i="25"/>
  <c r="DK260" i="25"/>
  <c r="DK261" i="25"/>
  <c r="DK262" i="25"/>
  <c r="DK267" i="25"/>
  <c r="DK263" i="25"/>
  <c r="DK255" i="25"/>
  <c r="DK264" i="25"/>
  <c r="DK268" i="25"/>
  <c r="DK269" i="25"/>
  <c r="DK270" i="25"/>
  <c r="DK271" i="25"/>
  <c r="DK376" i="25"/>
  <c r="DK368" i="25"/>
  <c r="DK274" i="25"/>
  <c r="DK294" i="25"/>
  <c r="DK275" i="25"/>
  <c r="DK297" i="25"/>
  <c r="DK296" i="25"/>
  <c r="DK303" i="25"/>
  <c r="DK369" i="25"/>
  <c r="DK277" i="25"/>
  <c r="DK307" i="25"/>
  <c r="DK378" i="25"/>
  <c r="DK379" i="25"/>
  <c r="DK278" i="25"/>
  <c r="DK279" i="25"/>
  <c r="DK276" i="25"/>
  <c r="DK304" i="25"/>
  <c r="DK370" i="25"/>
  <c r="DK305" i="25"/>
  <c r="DK280" i="25"/>
  <c r="DK384" i="25"/>
  <c r="DK281" i="25"/>
  <c r="DK396" i="25"/>
  <c r="DK295" i="25"/>
  <c r="DK375" i="25"/>
  <c r="DK282" i="25"/>
  <c r="DK386" i="25"/>
  <c r="DK300" i="25"/>
  <c r="DK283" i="25"/>
  <c r="DK301" i="25"/>
  <c r="DK302" i="25"/>
  <c r="DK284" i="25"/>
  <c r="DK285" i="25"/>
  <c r="DK272" i="25"/>
  <c r="DK306" i="25"/>
  <c r="DK286" i="25"/>
  <c r="DK287" i="25"/>
  <c r="DK372" i="25"/>
  <c r="DK389" i="25"/>
  <c r="DK273" i="25"/>
  <c r="DK308" i="25"/>
  <c r="DK309" i="25"/>
  <c r="DK310" i="25"/>
  <c r="DK288" i="25"/>
  <c r="DK311" i="25"/>
  <c r="DK312" i="25"/>
  <c r="DK313" i="25"/>
  <c r="DK314" i="25"/>
  <c r="DK318" i="25"/>
  <c r="DK315" i="25"/>
  <c r="DK332" i="25"/>
  <c r="DK333" i="25"/>
  <c r="DK325" i="25"/>
  <c r="DK331" i="25"/>
  <c r="DK326" i="25"/>
  <c r="DK320" i="25"/>
  <c r="DK334" i="25"/>
  <c r="DK335" i="25"/>
  <c r="DK252" i="25"/>
  <c r="DK319" i="25"/>
  <c r="DK298" i="25"/>
  <c r="DK324" i="25"/>
  <c r="DK317" i="25"/>
  <c r="DK327" i="25"/>
  <c r="DK328" i="25"/>
  <c r="DK329" i="25"/>
  <c r="DK371" i="25"/>
  <c r="DK336" i="25"/>
  <c r="DK337" i="25"/>
  <c r="DK316" i="25"/>
  <c r="DK338" i="25"/>
  <c r="DK330" i="25"/>
  <c r="DK339" i="25"/>
  <c r="DK219" i="25"/>
  <c r="DK248" i="25"/>
  <c r="DK237" i="25"/>
  <c r="DK340" i="25"/>
  <c r="DK341" i="25"/>
  <c r="DK342" i="25"/>
  <c r="DK343" i="25"/>
  <c r="DK344" i="25"/>
  <c r="DK345" i="25"/>
  <c r="DK346" i="25"/>
  <c r="DK347" i="25"/>
  <c r="DK348" i="25"/>
  <c r="DK349" i="25"/>
  <c r="DK350" i="25"/>
  <c r="DK351" i="25"/>
  <c r="DK352" i="25"/>
  <c r="DK353" i="25"/>
  <c r="DK354" i="25"/>
  <c r="DK355" i="25"/>
  <c r="DK356" i="25"/>
  <c r="DK358" i="25"/>
  <c r="DK359" i="25"/>
  <c r="DK357" i="25"/>
  <c r="DK360" i="25"/>
  <c r="DK361" i="25"/>
  <c r="DK363" i="25"/>
  <c r="DK364" i="25"/>
  <c r="DK362" i="25"/>
  <c r="DK365" i="25"/>
  <c r="DK366" i="25"/>
  <c r="DK367" i="25"/>
  <c r="DK377" i="25"/>
  <c r="DK380" i="25"/>
  <c r="DK381" i="25"/>
  <c r="DK382" i="25"/>
  <c r="DK383" i="25"/>
  <c r="DK385" i="25"/>
  <c r="DK387" i="25"/>
  <c r="DK373" i="25"/>
  <c r="DK374" i="25"/>
  <c r="DK388" i="25"/>
  <c r="DK390" i="25"/>
  <c r="DK391" i="25"/>
  <c r="DK392" i="25"/>
  <c r="DK394" i="25"/>
  <c r="DK395" i="25"/>
  <c r="DK393" i="25"/>
  <c r="DL203" i="25"/>
  <c r="DS203" i="25" s="1"/>
  <c r="DL220" i="25"/>
  <c r="DS220" i="25" s="1"/>
  <c r="DL206" i="25"/>
  <c r="DS206" i="25" s="1"/>
  <c r="DL205" i="25"/>
  <c r="DS205" i="25" s="1"/>
  <c r="DL217" i="25"/>
  <c r="DL210" i="25"/>
  <c r="DS210" i="25" s="1"/>
  <c r="DL218" i="25"/>
  <c r="DS218" i="25" s="1"/>
  <c r="DL224" i="25"/>
  <c r="DL211" i="25"/>
  <c r="DS211" i="25" s="1"/>
  <c r="DL239" i="25"/>
  <c r="DS239" i="25" s="1"/>
  <c r="DL241" i="25"/>
  <c r="DS241" i="25" s="1"/>
  <c r="DL242" i="25"/>
  <c r="DL225" i="25"/>
  <c r="DL226" i="25"/>
  <c r="DS226" i="25" s="1"/>
  <c r="DL204" i="25"/>
  <c r="DL207" i="25"/>
  <c r="DS207" i="25" s="1"/>
  <c r="DL212" i="25"/>
  <c r="DS212" i="25" s="1"/>
  <c r="DL213" i="25"/>
  <c r="DS213" i="25" s="1"/>
  <c r="DL214" i="25"/>
  <c r="DS214" i="25" s="1"/>
  <c r="DL216" i="25"/>
  <c r="DS216" i="25" s="1"/>
  <c r="DL235" i="25"/>
  <c r="DS235" i="25" s="1"/>
  <c r="DL244" i="25"/>
  <c r="DS244" i="25" s="1"/>
  <c r="DL236" i="25"/>
  <c r="DL215" i="25"/>
  <c r="DS215" i="25" s="1"/>
  <c r="DL208" i="25"/>
  <c r="DS208" i="25" s="1"/>
  <c r="DL246" i="25"/>
  <c r="DS246" i="25" s="1"/>
  <c r="DL229" i="25"/>
  <c r="DS229" i="25" s="1"/>
  <c r="DL230" i="25"/>
  <c r="DS230" i="25" s="1"/>
  <c r="DL231" i="25"/>
  <c r="DL232" i="25"/>
  <c r="DS232" i="25" s="1"/>
  <c r="DL238" i="25"/>
  <c r="DS238" i="25" s="1"/>
  <c r="DL221" i="25"/>
  <c r="DS221" i="25" s="1"/>
  <c r="DL222" i="25"/>
  <c r="DS222" i="25" s="1"/>
  <c r="DL223" i="25"/>
  <c r="DS223" i="25" s="1"/>
  <c r="DL240" i="25"/>
  <c r="DS240" i="25" s="1"/>
  <c r="DL209" i="25"/>
  <c r="DS209" i="25" s="1"/>
  <c r="DL227" i="25"/>
  <c r="DS227" i="25" s="1"/>
  <c r="DL243" i="25"/>
  <c r="DS243" i="25" s="1"/>
  <c r="DL245" i="25"/>
  <c r="DL228" i="25"/>
  <c r="DS228" i="25" s="1"/>
  <c r="DL233" i="25"/>
  <c r="DS233" i="25" s="1"/>
  <c r="DL247" i="25"/>
  <c r="DS247" i="25" s="1"/>
  <c r="DL234" i="25"/>
  <c r="DS234" i="25" s="1"/>
  <c r="DL265" i="25"/>
  <c r="DS265" i="25" s="1"/>
  <c r="DL256" i="25"/>
  <c r="DL257" i="25"/>
  <c r="DS257" i="25" s="1"/>
  <c r="DL258" i="25"/>
  <c r="DL249" i="25"/>
  <c r="DS249" i="25" s="1"/>
  <c r="DL254" i="25"/>
  <c r="DS254" i="25" s="1"/>
  <c r="DL250" i="25"/>
  <c r="DS250" i="25" s="1"/>
  <c r="DL266" i="25"/>
  <c r="DS266" i="25" s="1"/>
  <c r="DL253" i="25"/>
  <c r="DL259" i="25"/>
  <c r="DS259" i="25" s="1"/>
  <c r="DL251" i="25"/>
  <c r="DS251" i="25" s="1"/>
  <c r="DL260" i="25"/>
  <c r="DL261" i="25"/>
  <c r="DS261" i="25" s="1"/>
  <c r="DL262" i="25"/>
  <c r="DS262" i="25" s="1"/>
  <c r="DL267" i="25"/>
  <c r="DS267" i="25" s="1"/>
  <c r="DL263" i="25"/>
  <c r="DS263" i="25" s="1"/>
  <c r="DL255" i="25"/>
  <c r="DL264" i="25"/>
  <c r="DS264" i="25" s="1"/>
  <c r="DL268" i="25"/>
  <c r="DS268" i="25" s="1"/>
  <c r="DL269" i="25"/>
  <c r="DS269" i="25" s="1"/>
  <c r="DL270" i="25"/>
  <c r="DS270" i="25" s="1"/>
  <c r="DL271" i="25"/>
  <c r="DS271" i="25" s="1"/>
  <c r="DL376" i="25"/>
  <c r="DS376" i="25" s="1"/>
  <c r="DL368" i="25"/>
  <c r="DS368" i="25" s="1"/>
  <c r="DL274" i="25"/>
  <c r="DL294" i="25"/>
  <c r="DS294" i="25" s="1"/>
  <c r="DL275" i="25"/>
  <c r="DS275" i="25" s="1"/>
  <c r="DL297" i="25"/>
  <c r="DL296" i="25"/>
  <c r="DS296" i="25" s="1"/>
  <c r="DL303" i="25"/>
  <c r="DS303" i="25" s="1"/>
  <c r="DL369" i="25"/>
  <c r="DS369" i="25" s="1"/>
  <c r="DL277" i="25"/>
  <c r="DS277" i="25" s="1"/>
  <c r="DL307" i="25"/>
  <c r="DL378" i="25"/>
  <c r="DS378" i="25" s="1"/>
  <c r="DL379" i="25"/>
  <c r="DS379" i="25" s="1"/>
  <c r="DL278" i="25"/>
  <c r="DL279" i="25"/>
  <c r="DS279" i="25" s="1"/>
  <c r="DL276" i="25"/>
  <c r="DS276" i="25" s="1"/>
  <c r="DL304" i="25"/>
  <c r="DS304" i="25" s="1"/>
  <c r="DL370" i="25"/>
  <c r="DS370" i="25" s="1"/>
  <c r="DL305" i="25"/>
  <c r="DS305" i="25" s="1"/>
  <c r="DL280" i="25"/>
  <c r="DL384" i="25"/>
  <c r="DS384" i="25" s="1"/>
  <c r="DL281" i="25"/>
  <c r="DL396" i="25"/>
  <c r="DS396" i="25" s="1"/>
  <c r="DL295" i="25"/>
  <c r="DS295" i="25" s="1"/>
  <c r="DL375" i="25"/>
  <c r="DS375" i="25" s="1"/>
  <c r="DL282" i="25"/>
  <c r="DS282" i="25" s="1"/>
  <c r="DL386" i="25"/>
  <c r="DS386" i="25" s="1"/>
  <c r="DL300" i="25"/>
  <c r="DL283" i="25"/>
  <c r="DS283" i="25" s="1"/>
  <c r="DL301" i="25"/>
  <c r="DL302" i="25"/>
  <c r="DS302" i="25" s="1"/>
  <c r="DL284" i="25"/>
  <c r="DS284" i="25" s="1"/>
  <c r="DL285" i="25"/>
  <c r="DS285" i="25" s="1"/>
  <c r="DL272" i="25"/>
  <c r="DS272" i="25" s="1"/>
  <c r="DL306" i="25"/>
  <c r="DS306" i="25" s="1"/>
  <c r="DL286" i="25"/>
  <c r="DS286" i="25" s="1"/>
  <c r="DL287" i="25"/>
  <c r="DS287" i="25" s="1"/>
  <c r="DL372" i="25"/>
  <c r="DS372" i="25" s="1"/>
  <c r="DL389" i="25"/>
  <c r="DS389" i="25" s="1"/>
  <c r="DL273" i="25"/>
  <c r="DS273" i="25" s="1"/>
  <c r="DL308" i="25"/>
  <c r="DS308" i="25" s="1"/>
  <c r="DL309" i="25"/>
  <c r="DS309" i="25" s="1"/>
  <c r="DL310" i="25"/>
  <c r="DS310" i="25" s="1"/>
  <c r="DL288" i="25"/>
  <c r="DS288" i="25" s="1"/>
  <c r="DL311" i="25"/>
  <c r="DL312" i="25"/>
  <c r="DS312" i="25" s="1"/>
  <c r="DL313" i="25"/>
  <c r="DS313" i="25" s="1"/>
  <c r="DL314" i="25"/>
  <c r="DS314" i="25" s="1"/>
  <c r="DL318" i="25"/>
  <c r="DS318" i="25" s="1"/>
  <c r="DL315" i="25"/>
  <c r="DS315" i="25" s="1"/>
  <c r="DL332" i="25"/>
  <c r="DL333" i="25"/>
  <c r="DS333" i="25" s="1"/>
  <c r="DL325" i="25"/>
  <c r="DL331" i="25"/>
  <c r="DS331" i="25" s="1"/>
  <c r="DL326" i="25"/>
  <c r="DS326" i="25" s="1"/>
  <c r="DL320" i="25"/>
  <c r="DS320" i="25" s="1"/>
  <c r="DL334" i="25"/>
  <c r="DS334" i="25" s="1"/>
  <c r="DL335" i="25"/>
  <c r="DS335" i="25" s="1"/>
  <c r="DL252" i="25"/>
  <c r="DL319" i="25"/>
  <c r="DS319" i="25" s="1"/>
  <c r="DL298" i="25"/>
  <c r="DS298" i="25" s="1"/>
  <c r="DL324" i="25"/>
  <c r="DS324" i="25" s="1"/>
  <c r="DL317" i="25"/>
  <c r="DS317" i="25" s="1"/>
  <c r="DL327" i="25"/>
  <c r="DS327" i="25" s="1"/>
  <c r="DL328" i="25"/>
  <c r="DS328" i="25" s="1"/>
  <c r="DL329" i="25"/>
  <c r="DS329" i="25" s="1"/>
  <c r="DL371" i="25"/>
  <c r="DS371" i="25" s="1"/>
  <c r="DL336" i="25"/>
  <c r="DS336" i="25" s="1"/>
  <c r="DL337" i="25"/>
  <c r="DS337" i="25" s="1"/>
  <c r="DL316" i="25"/>
  <c r="DS316" i="25" s="1"/>
  <c r="DL338" i="25"/>
  <c r="DS338" i="25" s="1"/>
  <c r="DL330" i="25"/>
  <c r="DS330" i="25" s="1"/>
  <c r="DL339" i="25"/>
  <c r="DS339" i="25" s="1"/>
  <c r="DL219" i="25"/>
  <c r="DS219" i="25" s="1"/>
  <c r="DL248" i="25"/>
  <c r="DS248" i="25" s="1"/>
  <c r="DL237" i="25"/>
  <c r="DL340" i="25"/>
  <c r="DL341" i="25"/>
  <c r="DS341" i="25" s="1"/>
  <c r="DL342" i="25"/>
  <c r="DL343" i="25"/>
  <c r="DS343" i="25" s="1"/>
  <c r="DL344" i="25"/>
  <c r="DS344" i="25" s="1"/>
  <c r="DL345" i="25"/>
  <c r="DS345" i="25" s="1"/>
  <c r="DL346" i="25"/>
  <c r="DS346" i="25" s="1"/>
  <c r="DL347" i="25"/>
  <c r="DS347" i="25" s="1"/>
  <c r="DL348" i="25"/>
  <c r="DL349" i="25"/>
  <c r="DS349" i="25" s="1"/>
  <c r="DL350" i="25"/>
  <c r="DL351" i="25"/>
  <c r="DS351" i="25" s="1"/>
  <c r="DL352" i="25"/>
  <c r="DS352" i="25" s="1"/>
  <c r="DL353" i="25"/>
  <c r="DS353" i="25" s="1"/>
  <c r="DL354" i="25"/>
  <c r="DS354" i="25" s="1"/>
  <c r="DL355" i="25"/>
  <c r="DS355" i="25" s="1"/>
  <c r="DL356" i="25"/>
  <c r="DS356" i="25" s="1"/>
  <c r="DL358" i="25"/>
  <c r="DS358" i="25" s="1"/>
  <c r="DL359" i="25"/>
  <c r="DL357" i="25"/>
  <c r="DS357" i="25" s="1"/>
  <c r="DL360" i="25"/>
  <c r="DS360" i="25" s="1"/>
  <c r="DL361" i="25"/>
  <c r="DS361" i="25" s="1"/>
  <c r="DL363" i="25"/>
  <c r="DS363" i="25" s="1"/>
  <c r="DL364" i="25"/>
  <c r="DL362" i="25"/>
  <c r="DS362" i="25" s="1"/>
  <c r="DL365" i="25"/>
  <c r="DS365" i="25" s="1"/>
  <c r="DL366" i="25"/>
  <c r="DL367" i="25"/>
  <c r="DS367" i="25" s="1"/>
  <c r="DL377" i="25"/>
  <c r="DS377" i="25" s="1"/>
  <c r="DL380" i="25"/>
  <c r="DS380" i="25" s="1"/>
  <c r="DL381" i="25"/>
  <c r="DL382" i="25"/>
  <c r="DS382" i="25" s="1"/>
  <c r="DL383" i="25"/>
  <c r="DL385" i="25"/>
  <c r="DS385" i="25" s="1"/>
  <c r="DL387" i="25"/>
  <c r="DS387" i="25" s="1"/>
  <c r="DL373" i="25"/>
  <c r="DS373" i="25" s="1"/>
  <c r="DL374" i="25"/>
  <c r="DL388" i="25"/>
  <c r="DS388" i="25" s="1"/>
  <c r="DL390" i="25"/>
  <c r="DS390" i="25" s="1"/>
  <c r="DL391" i="25"/>
  <c r="DS391" i="25" s="1"/>
  <c r="DL392" i="25"/>
  <c r="DL394" i="25"/>
  <c r="DS394" i="25" s="1"/>
  <c r="DL395" i="25"/>
  <c r="DS395" i="25" s="1"/>
  <c r="DL393" i="25"/>
  <c r="DS393" i="25" s="1"/>
  <c r="DM203" i="25"/>
  <c r="DM220" i="25"/>
  <c r="DM206" i="25"/>
  <c r="DM205" i="25"/>
  <c r="DM217" i="25"/>
  <c r="DM210" i="25"/>
  <c r="DM218" i="25"/>
  <c r="DM224" i="25"/>
  <c r="DM211" i="25"/>
  <c r="DM239" i="25"/>
  <c r="DM241" i="25"/>
  <c r="DM242" i="25"/>
  <c r="DM225" i="25"/>
  <c r="DM226" i="25"/>
  <c r="DM204" i="25"/>
  <c r="DM207" i="25"/>
  <c r="DM212" i="25"/>
  <c r="DM213" i="25"/>
  <c r="DM214" i="25"/>
  <c r="DM216" i="25"/>
  <c r="DM235" i="25"/>
  <c r="DM244" i="25"/>
  <c r="DM236" i="25"/>
  <c r="DM215" i="25"/>
  <c r="DM208" i="25"/>
  <c r="DM246" i="25"/>
  <c r="DM229" i="25"/>
  <c r="DM230" i="25"/>
  <c r="DM231" i="25"/>
  <c r="DM232" i="25"/>
  <c r="DM238" i="25"/>
  <c r="DM221" i="25"/>
  <c r="DM222" i="25"/>
  <c r="DM223" i="25"/>
  <c r="DM240" i="25"/>
  <c r="DM209" i="25"/>
  <c r="DM227" i="25"/>
  <c r="DM243" i="25"/>
  <c r="DM245" i="25"/>
  <c r="DM228" i="25"/>
  <c r="DM233" i="25"/>
  <c r="DM247" i="25"/>
  <c r="DM234" i="25"/>
  <c r="DM265" i="25"/>
  <c r="DM256" i="25"/>
  <c r="DM257" i="25"/>
  <c r="DM258" i="25"/>
  <c r="DM249" i="25"/>
  <c r="DM254" i="25"/>
  <c r="DM250" i="25"/>
  <c r="DM266" i="25"/>
  <c r="DM253" i="25"/>
  <c r="DM259" i="25"/>
  <c r="DM251" i="25"/>
  <c r="DM260" i="25"/>
  <c r="DM261" i="25"/>
  <c r="DM262" i="25"/>
  <c r="DM267" i="25"/>
  <c r="DM263" i="25"/>
  <c r="DM255" i="25"/>
  <c r="DM264" i="25"/>
  <c r="DM268" i="25"/>
  <c r="DM269" i="25"/>
  <c r="DM270" i="25"/>
  <c r="DM271" i="25"/>
  <c r="DM376" i="25"/>
  <c r="DM368" i="25"/>
  <c r="DM274" i="25"/>
  <c r="DM294" i="25"/>
  <c r="DM275" i="25"/>
  <c r="DM297" i="25"/>
  <c r="DM296" i="25"/>
  <c r="DM303" i="25"/>
  <c r="DM369" i="25"/>
  <c r="DM277" i="25"/>
  <c r="DM307" i="25"/>
  <c r="DM378" i="25"/>
  <c r="DM379" i="25"/>
  <c r="DM278" i="25"/>
  <c r="DM279" i="25"/>
  <c r="DM276" i="25"/>
  <c r="DM304" i="25"/>
  <c r="DM370" i="25"/>
  <c r="DM305" i="25"/>
  <c r="DM280" i="25"/>
  <c r="DM384" i="25"/>
  <c r="DM281" i="25"/>
  <c r="DM396" i="25"/>
  <c r="DM295" i="25"/>
  <c r="DM375" i="25"/>
  <c r="DM282" i="25"/>
  <c r="DM386" i="25"/>
  <c r="DM300" i="25"/>
  <c r="DM283" i="25"/>
  <c r="DM301" i="25"/>
  <c r="DM302" i="25"/>
  <c r="DM284" i="25"/>
  <c r="DM285" i="25"/>
  <c r="DM272" i="25"/>
  <c r="DM306" i="25"/>
  <c r="DM286" i="25"/>
  <c r="DM287" i="25"/>
  <c r="DM372" i="25"/>
  <c r="DM389" i="25"/>
  <c r="DM273" i="25"/>
  <c r="DM308" i="25"/>
  <c r="DM309" i="25"/>
  <c r="DM310" i="25"/>
  <c r="DM288" i="25"/>
  <c r="DM311" i="25"/>
  <c r="DM312" i="25"/>
  <c r="DM313" i="25"/>
  <c r="DM314" i="25"/>
  <c r="DM318" i="25"/>
  <c r="DM315" i="25"/>
  <c r="DM332" i="25"/>
  <c r="DM333" i="25"/>
  <c r="DM325" i="25"/>
  <c r="DM331" i="25"/>
  <c r="DM326" i="25"/>
  <c r="DM320" i="25"/>
  <c r="DM334" i="25"/>
  <c r="DM335" i="25"/>
  <c r="DM252" i="25"/>
  <c r="DM319" i="25"/>
  <c r="DM298" i="25"/>
  <c r="DM324" i="25"/>
  <c r="DM317" i="25"/>
  <c r="DM327" i="25"/>
  <c r="DM328" i="25"/>
  <c r="DM329" i="25"/>
  <c r="DM371" i="25"/>
  <c r="DM336" i="25"/>
  <c r="DM337" i="25"/>
  <c r="DM316" i="25"/>
  <c r="DM338" i="25"/>
  <c r="DM330" i="25"/>
  <c r="DM339" i="25"/>
  <c r="DM219" i="25"/>
  <c r="DM248" i="25"/>
  <c r="DM237" i="25"/>
  <c r="DM340" i="25"/>
  <c r="DM341" i="25"/>
  <c r="DM342" i="25"/>
  <c r="DM343" i="25"/>
  <c r="DM344" i="25"/>
  <c r="DM345" i="25"/>
  <c r="DM346" i="25"/>
  <c r="DM347" i="25"/>
  <c r="DM348" i="25"/>
  <c r="DM349" i="25"/>
  <c r="DM350" i="25"/>
  <c r="DM351" i="25"/>
  <c r="DM352" i="25"/>
  <c r="DM353" i="25"/>
  <c r="DM354" i="25"/>
  <c r="DM355" i="25"/>
  <c r="DM356" i="25"/>
  <c r="DM358" i="25"/>
  <c r="DM359" i="25"/>
  <c r="DM357" i="25"/>
  <c r="DM360" i="25"/>
  <c r="DM361" i="25"/>
  <c r="DM363" i="25"/>
  <c r="DM364" i="25"/>
  <c r="DM362" i="25"/>
  <c r="DM365" i="25"/>
  <c r="DM366" i="25"/>
  <c r="DM367" i="25"/>
  <c r="DM377" i="25"/>
  <c r="DM380" i="25"/>
  <c r="DM381" i="25"/>
  <c r="DM382" i="25"/>
  <c r="DM383" i="25"/>
  <c r="DM385" i="25"/>
  <c r="DM387" i="25"/>
  <c r="DM373" i="25"/>
  <c r="DM374" i="25"/>
  <c r="DM388" i="25"/>
  <c r="DM390" i="25"/>
  <c r="DM391" i="25"/>
  <c r="DM392" i="25"/>
  <c r="DM394" i="25"/>
  <c r="DM395" i="25"/>
  <c r="DM393" i="25"/>
  <c r="DN203" i="25"/>
  <c r="DN220" i="25"/>
  <c r="DN206" i="25"/>
  <c r="DN205" i="25"/>
  <c r="DN217" i="25"/>
  <c r="DN210" i="25"/>
  <c r="DN218" i="25"/>
  <c r="DN224" i="25"/>
  <c r="DN211" i="25"/>
  <c r="DN239" i="25"/>
  <c r="DN241" i="25"/>
  <c r="DN242" i="25"/>
  <c r="DN225" i="25"/>
  <c r="DN226" i="25"/>
  <c r="DN204" i="25"/>
  <c r="DN207" i="25"/>
  <c r="DN212" i="25"/>
  <c r="DN213" i="25"/>
  <c r="DN214" i="25"/>
  <c r="DN216" i="25"/>
  <c r="DN235" i="25"/>
  <c r="DN244" i="25"/>
  <c r="DN236" i="25"/>
  <c r="DN215" i="25"/>
  <c r="DN208" i="25"/>
  <c r="DN246" i="25"/>
  <c r="DN229" i="25"/>
  <c r="DN230" i="25"/>
  <c r="DN231" i="25"/>
  <c r="DN232" i="25"/>
  <c r="DN238" i="25"/>
  <c r="DN221" i="25"/>
  <c r="DN222" i="25"/>
  <c r="DN223" i="25"/>
  <c r="DN240" i="25"/>
  <c r="DN209" i="25"/>
  <c r="DN227" i="25"/>
  <c r="DN243" i="25"/>
  <c r="DN245" i="25"/>
  <c r="DN228" i="25"/>
  <c r="DN233" i="25"/>
  <c r="DN247" i="25"/>
  <c r="DN234" i="25"/>
  <c r="DN265" i="25"/>
  <c r="DN256" i="25"/>
  <c r="DN257" i="25"/>
  <c r="DN258" i="25"/>
  <c r="DN249" i="25"/>
  <c r="DN254" i="25"/>
  <c r="DN250" i="25"/>
  <c r="DN266" i="25"/>
  <c r="DN253" i="25"/>
  <c r="DN259" i="25"/>
  <c r="DN251" i="25"/>
  <c r="DN260" i="25"/>
  <c r="DN261" i="25"/>
  <c r="DN262" i="25"/>
  <c r="DN267" i="25"/>
  <c r="DN263" i="25"/>
  <c r="DN255" i="25"/>
  <c r="DN264" i="25"/>
  <c r="DN268" i="25"/>
  <c r="DN269" i="25"/>
  <c r="DN270" i="25"/>
  <c r="DN271" i="25"/>
  <c r="DN376" i="25"/>
  <c r="DN368" i="25"/>
  <c r="DN274" i="25"/>
  <c r="DN294" i="25"/>
  <c r="DN275" i="25"/>
  <c r="DN297" i="25"/>
  <c r="DN296" i="25"/>
  <c r="DN303" i="25"/>
  <c r="DN369" i="25"/>
  <c r="DN277" i="25"/>
  <c r="DN307" i="25"/>
  <c r="DN378" i="25"/>
  <c r="DN379" i="25"/>
  <c r="DN278" i="25"/>
  <c r="DN279" i="25"/>
  <c r="DN276" i="25"/>
  <c r="DN304" i="25"/>
  <c r="DN370" i="25"/>
  <c r="DN305" i="25"/>
  <c r="DN280" i="25"/>
  <c r="DN384" i="25"/>
  <c r="DN281" i="25"/>
  <c r="DN396" i="25"/>
  <c r="DN295" i="25"/>
  <c r="DN375" i="25"/>
  <c r="DN282" i="25"/>
  <c r="DN386" i="25"/>
  <c r="DN300" i="25"/>
  <c r="DN283" i="25"/>
  <c r="DN301" i="25"/>
  <c r="DN302" i="25"/>
  <c r="DN284" i="25"/>
  <c r="DN285" i="25"/>
  <c r="DN272" i="25"/>
  <c r="DN306" i="25"/>
  <c r="DN286" i="25"/>
  <c r="DN287" i="25"/>
  <c r="DN372" i="25"/>
  <c r="DN389" i="25"/>
  <c r="DN273" i="25"/>
  <c r="DN308" i="25"/>
  <c r="DN309" i="25"/>
  <c r="DN310" i="25"/>
  <c r="DN288" i="25"/>
  <c r="DN311" i="25"/>
  <c r="DN312" i="25"/>
  <c r="DN313" i="25"/>
  <c r="DN314" i="25"/>
  <c r="DN318" i="25"/>
  <c r="DN315" i="25"/>
  <c r="DN332" i="25"/>
  <c r="DN333" i="25"/>
  <c r="DN325" i="25"/>
  <c r="DN331" i="25"/>
  <c r="DN326" i="25"/>
  <c r="DN320" i="25"/>
  <c r="DN334" i="25"/>
  <c r="DN335" i="25"/>
  <c r="DN252" i="25"/>
  <c r="DN319" i="25"/>
  <c r="DN298" i="25"/>
  <c r="DN324" i="25"/>
  <c r="DN317" i="25"/>
  <c r="DN327" i="25"/>
  <c r="DN328" i="25"/>
  <c r="DN329" i="25"/>
  <c r="DN371" i="25"/>
  <c r="DN336" i="25"/>
  <c r="DN337" i="25"/>
  <c r="DN316" i="25"/>
  <c r="DN338" i="25"/>
  <c r="DN330" i="25"/>
  <c r="DN339" i="25"/>
  <c r="DN219" i="25"/>
  <c r="DN248" i="25"/>
  <c r="DN237" i="25"/>
  <c r="DN340" i="25"/>
  <c r="DN341" i="25"/>
  <c r="DN342" i="25"/>
  <c r="DN343" i="25"/>
  <c r="DN344" i="25"/>
  <c r="DN345" i="25"/>
  <c r="DN346" i="25"/>
  <c r="DN347" i="25"/>
  <c r="DN348" i="25"/>
  <c r="DN349" i="25"/>
  <c r="DN350" i="25"/>
  <c r="DN351" i="25"/>
  <c r="DN352" i="25"/>
  <c r="DN353" i="25"/>
  <c r="DN354" i="25"/>
  <c r="DN355" i="25"/>
  <c r="DN356" i="25"/>
  <c r="DN358" i="25"/>
  <c r="DN359" i="25"/>
  <c r="DN357" i="25"/>
  <c r="DN360" i="25"/>
  <c r="DN361" i="25"/>
  <c r="DN363" i="25"/>
  <c r="DN364" i="25"/>
  <c r="DN362" i="25"/>
  <c r="DN365" i="25"/>
  <c r="DN366" i="25"/>
  <c r="DN367" i="25"/>
  <c r="DN377" i="25"/>
  <c r="DN380" i="25"/>
  <c r="DN381" i="25"/>
  <c r="DN382" i="25"/>
  <c r="DN383" i="25"/>
  <c r="DN385" i="25"/>
  <c r="DN387" i="25"/>
  <c r="DN373" i="25"/>
  <c r="DN374" i="25"/>
  <c r="DN388" i="25"/>
  <c r="DN390" i="25"/>
  <c r="DN391" i="25"/>
  <c r="DN392" i="25"/>
  <c r="DN394" i="25"/>
  <c r="DN395" i="25"/>
  <c r="DN393" i="25"/>
  <c r="DU203" i="25"/>
  <c r="DU220" i="25"/>
  <c r="DU206" i="25"/>
  <c r="DU205" i="25"/>
  <c r="DU217" i="25"/>
  <c r="DU210" i="25"/>
  <c r="DU218" i="25"/>
  <c r="DU224" i="25"/>
  <c r="DU211" i="25"/>
  <c r="DU239" i="25"/>
  <c r="DU241" i="25"/>
  <c r="DU242" i="25"/>
  <c r="DU225" i="25"/>
  <c r="DU226" i="25"/>
  <c r="DU204" i="25"/>
  <c r="DU207" i="25"/>
  <c r="DU212" i="25"/>
  <c r="DU213" i="25"/>
  <c r="DU214" i="25"/>
  <c r="DU216" i="25"/>
  <c r="DU235" i="25"/>
  <c r="DU244" i="25"/>
  <c r="DU236" i="25"/>
  <c r="DU215" i="25"/>
  <c r="DU208" i="25"/>
  <c r="DU246" i="25"/>
  <c r="DU229" i="25"/>
  <c r="DU230" i="25"/>
  <c r="DU231" i="25"/>
  <c r="DU232" i="25"/>
  <c r="DU238" i="25"/>
  <c r="DU221" i="25"/>
  <c r="DU222" i="25"/>
  <c r="DU223" i="25"/>
  <c r="DU240" i="25"/>
  <c r="DU209" i="25"/>
  <c r="DU227" i="25"/>
  <c r="DU243" i="25"/>
  <c r="DU245" i="25"/>
  <c r="DU228" i="25"/>
  <c r="DU233" i="25"/>
  <c r="DU247" i="25"/>
  <c r="DU234" i="25"/>
  <c r="DU265" i="25"/>
  <c r="DU256" i="25"/>
  <c r="DU257" i="25"/>
  <c r="DU258" i="25"/>
  <c r="DU249" i="25"/>
  <c r="DU254" i="25"/>
  <c r="DU250" i="25"/>
  <c r="DU266" i="25"/>
  <c r="DU253" i="25"/>
  <c r="DU259" i="25"/>
  <c r="DU251" i="25"/>
  <c r="DU260" i="25"/>
  <c r="DU261" i="25"/>
  <c r="DU262" i="25"/>
  <c r="DU267" i="25"/>
  <c r="DU263" i="25"/>
  <c r="DU255" i="25"/>
  <c r="DU264" i="25"/>
  <c r="DU268" i="25"/>
  <c r="DU269" i="25"/>
  <c r="DU270" i="25"/>
  <c r="DU271" i="25"/>
  <c r="DU376" i="25"/>
  <c r="DU368" i="25"/>
  <c r="DU274" i="25"/>
  <c r="DU294" i="25"/>
  <c r="DU275" i="25"/>
  <c r="DU297" i="25"/>
  <c r="DU296" i="25"/>
  <c r="DU303" i="25"/>
  <c r="DU369" i="25"/>
  <c r="DU277" i="25"/>
  <c r="DU307" i="25"/>
  <c r="DU378" i="25"/>
  <c r="DU379" i="25"/>
  <c r="DU278" i="25"/>
  <c r="DU279" i="25"/>
  <c r="DU276" i="25"/>
  <c r="DU304" i="25"/>
  <c r="DU370" i="25"/>
  <c r="DU305" i="25"/>
  <c r="DU280" i="25"/>
  <c r="DU384" i="25"/>
  <c r="DU281" i="25"/>
  <c r="DU396" i="25"/>
  <c r="DU295" i="25"/>
  <c r="DU375" i="25"/>
  <c r="DU282" i="25"/>
  <c r="DU386" i="25"/>
  <c r="DU300" i="25"/>
  <c r="DU283" i="25"/>
  <c r="DU301" i="25"/>
  <c r="DU302" i="25"/>
  <c r="DU284" i="25"/>
  <c r="DU285" i="25"/>
  <c r="DU272" i="25"/>
  <c r="DU306" i="25"/>
  <c r="DU286" i="25"/>
  <c r="DU287" i="25"/>
  <c r="DU372" i="25"/>
  <c r="DU389" i="25"/>
  <c r="DU273" i="25"/>
  <c r="DU308" i="25"/>
  <c r="DU309" i="25"/>
  <c r="DU310" i="25"/>
  <c r="DU288" i="25"/>
  <c r="DU311" i="25"/>
  <c r="DU312" i="25"/>
  <c r="DU313" i="25"/>
  <c r="DU314" i="25"/>
  <c r="DU318" i="25"/>
  <c r="DU315" i="25"/>
  <c r="DU332" i="25"/>
  <c r="DU333" i="25"/>
  <c r="DU325" i="25"/>
  <c r="DU331" i="25"/>
  <c r="DU326" i="25"/>
  <c r="DU320" i="25"/>
  <c r="DU334" i="25"/>
  <c r="DU335" i="25"/>
  <c r="DU252" i="25"/>
  <c r="DU319" i="25"/>
  <c r="DU298" i="25"/>
  <c r="DU324" i="25"/>
  <c r="DU317" i="25"/>
  <c r="DU327" i="25"/>
  <c r="DU328" i="25"/>
  <c r="DU329" i="25"/>
  <c r="DU371" i="25"/>
  <c r="DU336" i="25"/>
  <c r="DU337" i="25"/>
  <c r="DU316" i="25"/>
  <c r="DU338" i="25"/>
  <c r="DU330" i="25"/>
  <c r="DU339" i="25"/>
  <c r="DU219" i="25"/>
  <c r="DU248" i="25"/>
  <c r="DU237" i="25"/>
  <c r="DU340" i="25"/>
  <c r="DU341" i="25"/>
  <c r="DU342" i="25"/>
  <c r="DU343" i="25"/>
  <c r="DU344" i="25"/>
  <c r="DU345" i="25"/>
  <c r="DU346" i="25"/>
  <c r="DU347" i="25"/>
  <c r="DU348" i="25"/>
  <c r="DU349" i="25"/>
  <c r="DU350" i="25"/>
  <c r="DU351" i="25"/>
  <c r="DU352" i="25"/>
  <c r="DU353" i="25"/>
  <c r="DU354" i="25"/>
  <c r="DU355" i="25"/>
  <c r="DU356" i="25"/>
  <c r="DU358" i="25"/>
  <c r="DU359" i="25"/>
  <c r="DU357" i="25"/>
  <c r="DU360" i="25"/>
  <c r="DU361" i="25"/>
  <c r="DU363" i="25"/>
  <c r="DU364" i="25"/>
  <c r="DU362" i="25"/>
  <c r="DU365" i="25"/>
  <c r="DU366" i="25"/>
  <c r="DU367" i="25"/>
  <c r="DU377" i="25"/>
  <c r="DU380" i="25"/>
  <c r="DU381" i="25"/>
  <c r="DU382" i="25"/>
  <c r="DU385" i="25"/>
  <c r="DU387" i="25"/>
  <c r="DU373" i="25"/>
  <c r="DU388" i="25"/>
  <c r="DU390" i="25"/>
  <c r="DU391" i="25"/>
  <c r="DU392" i="25"/>
  <c r="DU394" i="25"/>
  <c r="DU395" i="25"/>
  <c r="DU393" i="25"/>
  <c r="DV203" i="25"/>
  <c r="DW203" i="25" s="1"/>
  <c r="DV220" i="25"/>
  <c r="DW220" i="25" s="1"/>
  <c r="DV206" i="25"/>
  <c r="DW206" i="25" s="1"/>
  <c r="DV205" i="25"/>
  <c r="DW205" i="25" s="1"/>
  <c r="DV217" i="25"/>
  <c r="DW217" i="25" s="1"/>
  <c r="DV210" i="25"/>
  <c r="DV218" i="25"/>
  <c r="DW218" i="25" s="1"/>
  <c r="DV224" i="25"/>
  <c r="DW224" i="25" s="1"/>
  <c r="DV211" i="25"/>
  <c r="DY211" i="25" s="1"/>
  <c r="DV239" i="25"/>
  <c r="DY239" i="25" s="1"/>
  <c r="DV241" i="25"/>
  <c r="DY241" i="25" s="1"/>
  <c r="DV242" i="25"/>
  <c r="DW242" i="25" s="1"/>
  <c r="DV225" i="25"/>
  <c r="DV226" i="25"/>
  <c r="DW226" i="25" s="1"/>
  <c r="DV204" i="25"/>
  <c r="DW204" i="25" s="1"/>
  <c r="DV207" i="25"/>
  <c r="DW207" i="25" s="1"/>
  <c r="DV212" i="25"/>
  <c r="DW212" i="25" s="1"/>
  <c r="DV213" i="25"/>
  <c r="DY213" i="25" s="1"/>
  <c r="DV214" i="25"/>
  <c r="DW214" i="25" s="1"/>
  <c r="DV216" i="25"/>
  <c r="DW216" i="25" s="1"/>
  <c r="DV235" i="25"/>
  <c r="DV244" i="25"/>
  <c r="DW244" i="25" s="1"/>
  <c r="DV236" i="25"/>
  <c r="DW236" i="25" s="1"/>
  <c r="DV215" i="25"/>
  <c r="DW215" i="25" s="1"/>
  <c r="DV208" i="25"/>
  <c r="DY208" i="25" s="1"/>
  <c r="DV246" i="25"/>
  <c r="DW246" i="25" s="1"/>
  <c r="DV229" i="25"/>
  <c r="DW229" i="25" s="1"/>
  <c r="DV230" i="25"/>
  <c r="DW230" i="25" s="1"/>
  <c r="DV231" i="25"/>
  <c r="DV232" i="25"/>
  <c r="DW232" i="25" s="1"/>
  <c r="DV238" i="25"/>
  <c r="DW238" i="25" s="1"/>
  <c r="DV221" i="25"/>
  <c r="DW221" i="25" s="1"/>
  <c r="DV222" i="25"/>
  <c r="DW222" i="25" s="1"/>
  <c r="DV223" i="25"/>
  <c r="DY223" i="25" s="1"/>
  <c r="DV240" i="25"/>
  <c r="DW240" i="25" s="1"/>
  <c r="DV209" i="25"/>
  <c r="DW209" i="25" s="1"/>
  <c r="DV227" i="25"/>
  <c r="DV243" i="25"/>
  <c r="DY243" i="25" s="1"/>
  <c r="DV245" i="25"/>
  <c r="DW245" i="25" s="1"/>
  <c r="DV228" i="25"/>
  <c r="DY228" i="25" s="1"/>
  <c r="DV233" i="25"/>
  <c r="DY233" i="25" s="1"/>
  <c r="DV247" i="25"/>
  <c r="DW247" i="25" s="1"/>
  <c r="DV234" i="25"/>
  <c r="DY234" i="25" s="1"/>
  <c r="DV265" i="25"/>
  <c r="DW265" i="25" s="1"/>
  <c r="DV256" i="25"/>
  <c r="DV257" i="25"/>
  <c r="DW257" i="25" s="1"/>
  <c r="DV258" i="25"/>
  <c r="DW258" i="25" s="1"/>
  <c r="DV249" i="25"/>
  <c r="DW249" i="25" s="1"/>
  <c r="DV254" i="25"/>
  <c r="DW254" i="25" s="1"/>
  <c r="DV250" i="25"/>
  <c r="DY250" i="25" s="1"/>
  <c r="DV266" i="25"/>
  <c r="DY266" i="25" s="1"/>
  <c r="DV253" i="25"/>
  <c r="DW253" i="25" s="1"/>
  <c r="DV259" i="25"/>
  <c r="DV251" i="25"/>
  <c r="DW251" i="25" s="1"/>
  <c r="DV260" i="25"/>
  <c r="DW260" i="25" s="1"/>
  <c r="DV261" i="25"/>
  <c r="DW261" i="25" s="1"/>
  <c r="DV262" i="25"/>
  <c r="DW262" i="25" s="1"/>
  <c r="DV267" i="25"/>
  <c r="DW267" i="25" s="1"/>
  <c r="DV263" i="25"/>
  <c r="DW263" i="25" s="1"/>
  <c r="DV255" i="25"/>
  <c r="DW255" i="25" s="1"/>
  <c r="DV264" i="25"/>
  <c r="DV268" i="25"/>
  <c r="DW268" i="25" s="1"/>
  <c r="DV269" i="25"/>
  <c r="DW269" i="25" s="1"/>
  <c r="DV270" i="25"/>
  <c r="DY270" i="25" s="1"/>
  <c r="DV271" i="25"/>
  <c r="DY271" i="25" s="1"/>
  <c r="DV376" i="25"/>
  <c r="DY376" i="25" s="1"/>
  <c r="DV368" i="25"/>
  <c r="DY368" i="25" s="1"/>
  <c r="DV274" i="25"/>
  <c r="DW274" i="25" s="1"/>
  <c r="DV294" i="25"/>
  <c r="DV275" i="25"/>
  <c r="DW275" i="25" s="1"/>
  <c r="DV297" i="25"/>
  <c r="DW297" i="25" s="1"/>
  <c r="DV296" i="25"/>
  <c r="DW296" i="25" s="1"/>
  <c r="DV303" i="25"/>
  <c r="DW303" i="25" s="1"/>
  <c r="DV369" i="25"/>
  <c r="DY369" i="25" s="1"/>
  <c r="DV277" i="25"/>
  <c r="DY277" i="25" s="1"/>
  <c r="DV307" i="25"/>
  <c r="DW307" i="25" s="1"/>
  <c r="DV378" i="25"/>
  <c r="DV379" i="25"/>
  <c r="DW379" i="25" s="1"/>
  <c r="DV278" i="25"/>
  <c r="DW278" i="25" s="1"/>
  <c r="DV279" i="25"/>
  <c r="DW279" i="25" s="1"/>
  <c r="DV276" i="25"/>
  <c r="DW276" i="25" s="1"/>
  <c r="DV304" i="25"/>
  <c r="DW304" i="25" s="1"/>
  <c r="DV370" i="25"/>
  <c r="DW370" i="25" s="1"/>
  <c r="DV305" i="25"/>
  <c r="DW305" i="25" s="1"/>
  <c r="DV280" i="25"/>
  <c r="DV384" i="25"/>
  <c r="DW384" i="25" s="1"/>
  <c r="DV281" i="25"/>
  <c r="DW281" i="25" s="1"/>
  <c r="DV396" i="25"/>
  <c r="DW396" i="25" s="1"/>
  <c r="DV295" i="25"/>
  <c r="DY295" i="25" s="1"/>
  <c r="DV375" i="25"/>
  <c r="DY375" i="25" s="1"/>
  <c r="DV282" i="25"/>
  <c r="DW282" i="25" s="1"/>
  <c r="DV386" i="25"/>
  <c r="DW386" i="25" s="1"/>
  <c r="DV300" i="25"/>
  <c r="DV283" i="25"/>
  <c r="DY283" i="25" s="1"/>
  <c r="DV301" i="25"/>
  <c r="DW301" i="25" s="1"/>
  <c r="DV302" i="25"/>
  <c r="DV284" i="25"/>
  <c r="DY284" i="25" s="1"/>
  <c r="DV285" i="25"/>
  <c r="DW285" i="25" s="1"/>
  <c r="DV272" i="25"/>
  <c r="DW272" i="25" s="1"/>
  <c r="DV306" i="25"/>
  <c r="DW306" i="25" s="1"/>
  <c r="DV286" i="25"/>
  <c r="DV287" i="25"/>
  <c r="DY287" i="25" s="1"/>
  <c r="DV372" i="25"/>
  <c r="DW372" i="25" s="1"/>
  <c r="DV389" i="25"/>
  <c r="DW389" i="25" s="1"/>
  <c r="DV273" i="25"/>
  <c r="DW273" i="25" s="1"/>
  <c r="DV308" i="25"/>
  <c r="DY308" i="25" s="1"/>
  <c r="DV309" i="25"/>
  <c r="DW309" i="25" s="1"/>
  <c r="DV310" i="25"/>
  <c r="DV288" i="25"/>
  <c r="DW288" i="25" s="1"/>
  <c r="DV311" i="25"/>
  <c r="DW311" i="25" s="1"/>
  <c r="DV312" i="25"/>
  <c r="DW312" i="25" s="1"/>
  <c r="DV313" i="25"/>
  <c r="DW313" i="25" s="1"/>
  <c r="DV314" i="25"/>
  <c r="DW314" i="25" s="1"/>
  <c r="DV318" i="25"/>
  <c r="DY318" i="25" s="1"/>
  <c r="DV315" i="25"/>
  <c r="DW315" i="25" s="1"/>
  <c r="DV332" i="25"/>
  <c r="DV333" i="25"/>
  <c r="DY333" i="25" s="1"/>
  <c r="DV325" i="25"/>
  <c r="DW325" i="25" s="1"/>
  <c r="DV331" i="25"/>
  <c r="DW331" i="25" s="1"/>
  <c r="DV326" i="25"/>
  <c r="DW326" i="25" s="1"/>
  <c r="DV320" i="25"/>
  <c r="DY320" i="25" s="1"/>
  <c r="DV334" i="25"/>
  <c r="DV335" i="25"/>
  <c r="DW335" i="25" s="1"/>
  <c r="DV252" i="25"/>
  <c r="DW252" i="25" s="1"/>
  <c r="DV319" i="25"/>
  <c r="DY319" i="25" s="1"/>
  <c r="DV298" i="25"/>
  <c r="DW298" i="25" s="1"/>
  <c r="DV324" i="25"/>
  <c r="DY324" i="25" s="1"/>
  <c r="DV317" i="25"/>
  <c r="DW317" i="25" s="1"/>
  <c r="DV327" i="25"/>
  <c r="DW327" i="25" s="1"/>
  <c r="DV328" i="25"/>
  <c r="DV329" i="25"/>
  <c r="DW329" i="25" s="1"/>
  <c r="DV371" i="25"/>
  <c r="DW371" i="25" s="1"/>
  <c r="DV336" i="25"/>
  <c r="DW336" i="25" s="1"/>
  <c r="DV337" i="25"/>
  <c r="DW337" i="25" s="1"/>
  <c r="DV316" i="25"/>
  <c r="DW316" i="25" s="1"/>
  <c r="DV338" i="25"/>
  <c r="DV330" i="25"/>
  <c r="DW330" i="25" s="1"/>
  <c r="DV339" i="25"/>
  <c r="DW339" i="25" s="1"/>
  <c r="DV219" i="25"/>
  <c r="DY219" i="25" s="1"/>
  <c r="DV248" i="25"/>
  <c r="DY248" i="25" s="1"/>
  <c r="DV237" i="25"/>
  <c r="DW237" i="25" s="1"/>
  <c r="DV340" i="25"/>
  <c r="DV341" i="25"/>
  <c r="DW341" i="25" s="1"/>
  <c r="DV342" i="25"/>
  <c r="DW342" i="25" s="1"/>
  <c r="DV343" i="25"/>
  <c r="DW343" i="25" s="1"/>
  <c r="DV344" i="25"/>
  <c r="DW344" i="25" s="1"/>
  <c r="DV345" i="25"/>
  <c r="DW345" i="25" s="1"/>
  <c r="DV346" i="25"/>
  <c r="DW346" i="25" s="1"/>
  <c r="DV347" i="25"/>
  <c r="DW347" i="25" s="1"/>
  <c r="DV348" i="25"/>
  <c r="DV349" i="25"/>
  <c r="DW349" i="25" s="1"/>
  <c r="DV350" i="25"/>
  <c r="DW350" i="25" s="1"/>
  <c r="DV351" i="25"/>
  <c r="DW351" i="25" s="1"/>
  <c r="DV352" i="25"/>
  <c r="DW352" i="25" s="1"/>
  <c r="DV353" i="25"/>
  <c r="DY353" i="25" s="1"/>
  <c r="DV354" i="25"/>
  <c r="DW354" i="25" s="1"/>
  <c r="DV355" i="25"/>
  <c r="DW355" i="25" s="1"/>
  <c r="DV356" i="25"/>
  <c r="DV358" i="25"/>
  <c r="DW358" i="25" s="1"/>
  <c r="DV359" i="25"/>
  <c r="DW359" i="25" s="1"/>
  <c r="DV357" i="25"/>
  <c r="DV360" i="25"/>
  <c r="DY360" i="25" s="1"/>
  <c r="DV361" i="25"/>
  <c r="DY361" i="25" s="1"/>
  <c r="DV363" i="25"/>
  <c r="DW363" i="25" s="1"/>
  <c r="DV364" i="25"/>
  <c r="DW364" i="25" s="1"/>
  <c r="DV362" i="25"/>
  <c r="DV365" i="25"/>
  <c r="DW365" i="25" s="1"/>
  <c r="DV366" i="25"/>
  <c r="DW366" i="25" s="1"/>
  <c r="DV367" i="25"/>
  <c r="DY367" i="25" s="1"/>
  <c r="DV377" i="25"/>
  <c r="DY377" i="25" s="1"/>
  <c r="DV380" i="25"/>
  <c r="DW380" i="25" s="1"/>
  <c r="DV381" i="25"/>
  <c r="DV382" i="25"/>
  <c r="DW382" i="25" s="1"/>
  <c r="DV383" i="25"/>
  <c r="DW383" i="25" s="1"/>
  <c r="DV385" i="25"/>
  <c r="DW385" i="25" s="1"/>
  <c r="DV387" i="25"/>
  <c r="DW387" i="25" s="1"/>
  <c r="DV373" i="25"/>
  <c r="DY373" i="25" s="1"/>
  <c r="DV374" i="25"/>
  <c r="DW374" i="25" s="1"/>
  <c r="DV388" i="25"/>
  <c r="DW388" i="25" s="1"/>
  <c r="DV390" i="25"/>
  <c r="DV391" i="25"/>
  <c r="DW391" i="25" s="1"/>
  <c r="DV392" i="25"/>
  <c r="DW392" i="25" s="1"/>
  <c r="DV394" i="25"/>
  <c r="DY394" i="25" s="1"/>
  <c r="DV395" i="25"/>
  <c r="DY395" i="25" s="1"/>
  <c r="DV393" i="25"/>
  <c r="DW393" i="25" s="1"/>
  <c r="DX203" i="25"/>
  <c r="DX220" i="25"/>
  <c r="DX206" i="25"/>
  <c r="DX205" i="25"/>
  <c r="DX217" i="25"/>
  <c r="DX210" i="25"/>
  <c r="DX218" i="25"/>
  <c r="DX224" i="25"/>
  <c r="DX211" i="25"/>
  <c r="DX239" i="25"/>
  <c r="DX241" i="25"/>
  <c r="DX242" i="25"/>
  <c r="DX225" i="25"/>
  <c r="DX226" i="25"/>
  <c r="DX204" i="25"/>
  <c r="DX207" i="25"/>
  <c r="DX212" i="25"/>
  <c r="DX213" i="25"/>
  <c r="DX214" i="25"/>
  <c r="DX216" i="25"/>
  <c r="DX235" i="25"/>
  <c r="DX244" i="25"/>
  <c r="DX236" i="25"/>
  <c r="DX215" i="25"/>
  <c r="DX208" i="25"/>
  <c r="DX246" i="25"/>
  <c r="DX229" i="25"/>
  <c r="DX230" i="25"/>
  <c r="DX231" i="25"/>
  <c r="DX232" i="25"/>
  <c r="DX238" i="25"/>
  <c r="DX221" i="25"/>
  <c r="DX222" i="25"/>
  <c r="DX223" i="25"/>
  <c r="DX240" i="25"/>
  <c r="DX209" i="25"/>
  <c r="DX227" i="25"/>
  <c r="DX243" i="25"/>
  <c r="DX245" i="25"/>
  <c r="DX228" i="25"/>
  <c r="DX233" i="25"/>
  <c r="DX247" i="25"/>
  <c r="DX234" i="25"/>
  <c r="DX265" i="25"/>
  <c r="DX256" i="25"/>
  <c r="DX257" i="25"/>
  <c r="DX258" i="25"/>
  <c r="DX249" i="25"/>
  <c r="DX254" i="25"/>
  <c r="DX250" i="25"/>
  <c r="DX266" i="25"/>
  <c r="DX253" i="25"/>
  <c r="DX259" i="25"/>
  <c r="DX251" i="25"/>
  <c r="DX260" i="25"/>
  <c r="DX261" i="25"/>
  <c r="DX262" i="25"/>
  <c r="DX267" i="25"/>
  <c r="DX263" i="25"/>
  <c r="DX255" i="25"/>
  <c r="DX264" i="25"/>
  <c r="DX268" i="25"/>
  <c r="DX269" i="25"/>
  <c r="DX270" i="25"/>
  <c r="DX271" i="25"/>
  <c r="DX376" i="25"/>
  <c r="DX368" i="25"/>
  <c r="DX274" i="25"/>
  <c r="DX294" i="25"/>
  <c r="DX275" i="25"/>
  <c r="DX297" i="25"/>
  <c r="DX296" i="25"/>
  <c r="DX303" i="25"/>
  <c r="DX369" i="25"/>
  <c r="DX277" i="25"/>
  <c r="DX307" i="25"/>
  <c r="DX378" i="25"/>
  <c r="DX379" i="25"/>
  <c r="DX278" i="25"/>
  <c r="DX279" i="25"/>
  <c r="DX276" i="25"/>
  <c r="DX304" i="25"/>
  <c r="DX370" i="25"/>
  <c r="DX305" i="25"/>
  <c r="DX280" i="25"/>
  <c r="DX384" i="25"/>
  <c r="DX281" i="25"/>
  <c r="DX396" i="25"/>
  <c r="DX295" i="25"/>
  <c r="DX375" i="25"/>
  <c r="DX282" i="25"/>
  <c r="DX386" i="25"/>
  <c r="DX300" i="25"/>
  <c r="DX283" i="25"/>
  <c r="DX301" i="25"/>
  <c r="DX302" i="25"/>
  <c r="DX284" i="25"/>
  <c r="DX285" i="25"/>
  <c r="DX272" i="25"/>
  <c r="DX306" i="25"/>
  <c r="DX286" i="25"/>
  <c r="DX287" i="25"/>
  <c r="DX372" i="25"/>
  <c r="DX389" i="25"/>
  <c r="DX273" i="25"/>
  <c r="DX308" i="25"/>
  <c r="DX309" i="25"/>
  <c r="DX310" i="25"/>
  <c r="DX288" i="25"/>
  <c r="DX311" i="25"/>
  <c r="DX312" i="25"/>
  <c r="DX313" i="25"/>
  <c r="DX314" i="25"/>
  <c r="DX318" i="25"/>
  <c r="DX315" i="25"/>
  <c r="DX332" i="25"/>
  <c r="DX333" i="25"/>
  <c r="DX325" i="25"/>
  <c r="DX331" i="25"/>
  <c r="DX326" i="25"/>
  <c r="DX320" i="25"/>
  <c r="DX334" i="25"/>
  <c r="DX335" i="25"/>
  <c r="DX252" i="25"/>
  <c r="DX319" i="25"/>
  <c r="DX298" i="25"/>
  <c r="DX324" i="25"/>
  <c r="DX317" i="25"/>
  <c r="DX327" i="25"/>
  <c r="DX328" i="25"/>
  <c r="DX329" i="25"/>
  <c r="DX371" i="25"/>
  <c r="DX336" i="25"/>
  <c r="DX337" i="25"/>
  <c r="DX316" i="25"/>
  <c r="DX338" i="25"/>
  <c r="DX330" i="25"/>
  <c r="DX339" i="25"/>
  <c r="DX219" i="25"/>
  <c r="DX248" i="25"/>
  <c r="DX237" i="25"/>
  <c r="DX340" i="25"/>
  <c r="DX341" i="25"/>
  <c r="DX342" i="25"/>
  <c r="DX343" i="25"/>
  <c r="DX344" i="25"/>
  <c r="DX345" i="25"/>
  <c r="DX346" i="25"/>
  <c r="DX347" i="25"/>
  <c r="DX348" i="25"/>
  <c r="DX349" i="25"/>
  <c r="DX350" i="25"/>
  <c r="DX351" i="25"/>
  <c r="DX352" i="25"/>
  <c r="DX353" i="25"/>
  <c r="DX354" i="25"/>
  <c r="DX355" i="25"/>
  <c r="DX356" i="25"/>
  <c r="DX358" i="25"/>
  <c r="DX359" i="25"/>
  <c r="DX357" i="25"/>
  <c r="DX360" i="25"/>
  <c r="DX361" i="25"/>
  <c r="DX363" i="25"/>
  <c r="DX364" i="25"/>
  <c r="DX362" i="25"/>
  <c r="DX365" i="25"/>
  <c r="DX366" i="25"/>
  <c r="DX367" i="25"/>
  <c r="DX377" i="25"/>
  <c r="DX380" i="25"/>
  <c r="DX381" i="25"/>
  <c r="DX382" i="25"/>
  <c r="DX383" i="25"/>
  <c r="DX385" i="25"/>
  <c r="DX387" i="25"/>
  <c r="DX373" i="25"/>
  <c r="DX374" i="25"/>
  <c r="DX388" i="25"/>
  <c r="DX390" i="25"/>
  <c r="DX391" i="25"/>
  <c r="DX392" i="25"/>
  <c r="DX394" i="25"/>
  <c r="DX395" i="25"/>
  <c r="DX393" i="25"/>
  <c r="DZ203" i="25"/>
  <c r="DZ220" i="25"/>
  <c r="DZ206" i="25"/>
  <c r="DZ205" i="25"/>
  <c r="DZ217" i="25"/>
  <c r="DZ210" i="25"/>
  <c r="DZ218" i="25"/>
  <c r="DZ224" i="25"/>
  <c r="DZ211" i="25"/>
  <c r="DZ239" i="25"/>
  <c r="DZ241" i="25"/>
  <c r="DZ242" i="25"/>
  <c r="DZ225" i="25"/>
  <c r="DZ226" i="25"/>
  <c r="DZ204" i="25"/>
  <c r="DZ207" i="25"/>
  <c r="DZ212" i="25"/>
  <c r="DZ213" i="25"/>
  <c r="DZ214" i="25"/>
  <c r="DZ216" i="25"/>
  <c r="DZ235" i="25"/>
  <c r="DZ244" i="25"/>
  <c r="DZ236" i="25"/>
  <c r="DZ215" i="25"/>
  <c r="DZ208" i="25"/>
  <c r="DZ246" i="25"/>
  <c r="DZ229" i="25"/>
  <c r="DZ230" i="25"/>
  <c r="DZ231" i="25"/>
  <c r="DZ232" i="25"/>
  <c r="DZ238" i="25"/>
  <c r="DZ221" i="25"/>
  <c r="DZ222" i="25"/>
  <c r="DZ223" i="25"/>
  <c r="DZ240" i="25"/>
  <c r="DZ209" i="25"/>
  <c r="DZ227" i="25"/>
  <c r="DZ243" i="25"/>
  <c r="DZ245" i="25"/>
  <c r="DZ228" i="25"/>
  <c r="DZ233" i="25"/>
  <c r="DZ247" i="25"/>
  <c r="DZ234" i="25"/>
  <c r="DZ265" i="25"/>
  <c r="DZ256" i="25"/>
  <c r="DZ257" i="25"/>
  <c r="DZ258" i="25"/>
  <c r="DZ249" i="25"/>
  <c r="DZ254" i="25"/>
  <c r="DZ250" i="25"/>
  <c r="DZ266" i="25"/>
  <c r="DZ253" i="25"/>
  <c r="DZ259" i="25"/>
  <c r="DZ251" i="25"/>
  <c r="DZ260" i="25"/>
  <c r="DZ261" i="25"/>
  <c r="DZ262" i="25"/>
  <c r="DZ267" i="25"/>
  <c r="DZ263" i="25"/>
  <c r="DZ255" i="25"/>
  <c r="DZ264" i="25"/>
  <c r="DZ268" i="25"/>
  <c r="DZ269" i="25"/>
  <c r="DZ270" i="25"/>
  <c r="DZ271" i="25"/>
  <c r="DZ376" i="25"/>
  <c r="DZ368" i="25"/>
  <c r="DZ274" i="25"/>
  <c r="DZ294" i="25"/>
  <c r="DZ275" i="25"/>
  <c r="DZ297" i="25"/>
  <c r="DZ296" i="25"/>
  <c r="DZ303" i="25"/>
  <c r="DZ369" i="25"/>
  <c r="DZ277" i="25"/>
  <c r="DZ307" i="25"/>
  <c r="DZ378" i="25"/>
  <c r="DZ379" i="25"/>
  <c r="DZ278" i="25"/>
  <c r="DZ279" i="25"/>
  <c r="DZ276" i="25"/>
  <c r="DZ304" i="25"/>
  <c r="DZ370" i="25"/>
  <c r="DZ305" i="25"/>
  <c r="DZ280" i="25"/>
  <c r="DZ384" i="25"/>
  <c r="DZ281" i="25"/>
  <c r="DZ396" i="25"/>
  <c r="DZ295" i="25"/>
  <c r="DZ375" i="25"/>
  <c r="DZ282" i="25"/>
  <c r="DZ386" i="25"/>
  <c r="DZ300" i="25"/>
  <c r="DZ283" i="25"/>
  <c r="DZ301" i="25"/>
  <c r="DZ302" i="25"/>
  <c r="DZ284" i="25"/>
  <c r="DZ285" i="25"/>
  <c r="DZ272" i="25"/>
  <c r="DZ306" i="25"/>
  <c r="DZ286" i="25"/>
  <c r="DZ287" i="25"/>
  <c r="DZ372" i="25"/>
  <c r="DZ389" i="25"/>
  <c r="DZ273" i="25"/>
  <c r="DZ308" i="25"/>
  <c r="DZ309" i="25"/>
  <c r="DZ310" i="25"/>
  <c r="DZ288" i="25"/>
  <c r="DZ311" i="25"/>
  <c r="DZ312" i="25"/>
  <c r="DZ313" i="25"/>
  <c r="DZ314" i="25"/>
  <c r="DZ318" i="25"/>
  <c r="DZ315" i="25"/>
  <c r="DZ332" i="25"/>
  <c r="DZ333" i="25"/>
  <c r="DZ325" i="25"/>
  <c r="DZ331" i="25"/>
  <c r="DZ326" i="25"/>
  <c r="DZ320" i="25"/>
  <c r="DZ334" i="25"/>
  <c r="DZ335" i="25"/>
  <c r="DZ252" i="25"/>
  <c r="DZ319" i="25"/>
  <c r="DZ298" i="25"/>
  <c r="DZ324" i="25"/>
  <c r="DZ317" i="25"/>
  <c r="DZ327" i="25"/>
  <c r="DZ328" i="25"/>
  <c r="DZ329" i="25"/>
  <c r="DZ371" i="25"/>
  <c r="DZ336" i="25"/>
  <c r="DZ337" i="25"/>
  <c r="DZ316" i="25"/>
  <c r="DZ338" i="25"/>
  <c r="DZ330" i="25"/>
  <c r="DZ339" i="25"/>
  <c r="DZ219" i="25"/>
  <c r="DZ248" i="25"/>
  <c r="DZ237" i="25"/>
  <c r="DZ340" i="25"/>
  <c r="DZ341" i="25"/>
  <c r="DZ342" i="25"/>
  <c r="DZ343" i="25"/>
  <c r="DZ344" i="25"/>
  <c r="DZ345" i="25"/>
  <c r="DZ346" i="25"/>
  <c r="DZ347" i="25"/>
  <c r="DZ348" i="25"/>
  <c r="DZ349" i="25"/>
  <c r="DZ350" i="25"/>
  <c r="DZ351" i="25"/>
  <c r="DZ352" i="25"/>
  <c r="DZ353" i="25"/>
  <c r="DZ354" i="25"/>
  <c r="DZ355" i="25"/>
  <c r="DZ356" i="25"/>
  <c r="DZ358" i="25"/>
  <c r="DZ359" i="25"/>
  <c r="DZ357" i="25"/>
  <c r="DZ360" i="25"/>
  <c r="DZ361" i="25"/>
  <c r="DZ363" i="25"/>
  <c r="DZ364" i="25"/>
  <c r="DZ362" i="25"/>
  <c r="DZ365" i="25"/>
  <c r="DZ366" i="25"/>
  <c r="DZ367" i="25"/>
  <c r="DZ377" i="25"/>
  <c r="DZ380" i="25"/>
  <c r="DZ381" i="25"/>
  <c r="DZ382" i="25"/>
  <c r="DZ383" i="25"/>
  <c r="DZ385" i="25"/>
  <c r="DZ387" i="25"/>
  <c r="DZ373" i="25"/>
  <c r="DZ374" i="25"/>
  <c r="DZ388" i="25"/>
  <c r="DZ390" i="25"/>
  <c r="DZ391" i="25"/>
  <c r="DZ392" i="25"/>
  <c r="DZ394" i="25"/>
  <c r="DZ395" i="25"/>
  <c r="DZ393" i="25"/>
  <c r="EA203" i="25"/>
  <c r="EA220" i="25"/>
  <c r="EA206" i="25"/>
  <c r="EA205" i="25"/>
  <c r="EA217" i="25"/>
  <c r="EA210" i="25"/>
  <c r="EA218" i="25"/>
  <c r="EA224" i="25"/>
  <c r="EA211" i="25"/>
  <c r="EA239" i="25"/>
  <c r="EA241" i="25"/>
  <c r="EA242" i="25"/>
  <c r="EA225" i="25"/>
  <c r="EA226" i="25"/>
  <c r="EA204" i="25"/>
  <c r="EA207" i="25"/>
  <c r="EA212" i="25"/>
  <c r="EA213" i="25"/>
  <c r="EA214" i="25"/>
  <c r="EA216" i="25"/>
  <c r="EA235" i="25"/>
  <c r="EA244" i="25"/>
  <c r="EA236" i="25"/>
  <c r="EA215" i="25"/>
  <c r="EA208" i="25"/>
  <c r="EA246" i="25"/>
  <c r="EA229" i="25"/>
  <c r="EA230" i="25"/>
  <c r="EA231" i="25"/>
  <c r="EA232" i="25"/>
  <c r="EA238" i="25"/>
  <c r="EA221" i="25"/>
  <c r="EA222" i="25"/>
  <c r="EA223" i="25"/>
  <c r="EA240" i="25"/>
  <c r="EA209" i="25"/>
  <c r="EA227" i="25"/>
  <c r="EA243" i="25"/>
  <c r="EA245" i="25"/>
  <c r="EA228" i="25"/>
  <c r="EA233" i="25"/>
  <c r="EA247" i="25"/>
  <c r="EA234" i="25"/>
  <c r="EA265" i="25"/>
  <c r="EA256" i="25"/>
  <c r="EA257" i="25"/>
  <c r="EA258" i="25"/>
  <c r="EA249" i="25"/>
  <c r="EA254" i="25"/>
  <c r="EA250" i="25"/>
  <c r="EA266" i="25"/>
  <c r="EA253" i="25"/>
  <c r="EA259" i="25"/>
  <c r="EA251" i="25"/>
  <c r="EA260" i="25"/>
  <c r="EA261" i="25"/>
  <c r="EA262" i="25"/>
  <c r="EA267" i="25"/>
  <c r="EA263" i="25"/>
  <c r="EA255" i="25"/>
  <c r="EA264" i="25"/>
  <c r="EA268" i="25"/>
  <c r="EA269" i="25"/>
  <c r="EA270" i="25"/>
  <c r="EA271" i="25"/>
  <c r="EA376" i="25"/>
  <c r="EA368" i="25"/>
  <c r="EA274" i="25"/>
  <c r="EA294" i="25"/>
  <c r="EA275" i="25"/>
  <c r="EA297" i="25"/>
  <c r="EA296" i="25"/>
  <c r="EA303" i="25"/>
  <c r="EA369" i="25"/>
  <c r="EA277" i="25"/>
  <c r="EA307" i="25"/>
  <c r="EA378" i="25"/>
  <c r="EA379" i="25"/>
  <c r="EA278" i="25"/>
  <c r="EA279" i="25"/>
  <c r="EA276" i="25"/>
  <c r="EA304" i="25"/>
  <c r="EA370" i="25"/>
  <c r="EA305" i="25"/>
  <c r="EA280" i="25"/>
  <c r="EA384" i="25"/>
  <c r="EA281" i="25"/>
  <c r="EA396" i="25"/>
  <c r="EA295" i="25"/>
  <c r="EA375" i="25"/>
  <c r="EA282" i="25"/>
  <c r="EA386" i="25"/>
  <c r="EA300" i="25"/>
  <c r="EA283" i="25"/>
  <c r="EA301" i="25"/>
  <c r="EA302" i="25"/>
  <c r="EA284" i="25"/>
  <c r="EA285" i="25"/>
  <c r="EA272" i="25"/>
  <c r="EA306" i="25"/>
  <c r="EA286" i="25"/>
  <c r="EA287" i="25"/>
  <c r="EA372" i="25"/>
  <c r="EA389" i="25"/>
  <c r="EA273" i="25"/>
  <c r="EA308" i="25"/>
  <c r="EA309" i="25"/>
  <c r="EA310" i="25"/>
  <c r="EA288" i="25"/>
  <c r="EA311" i="25"/>
  <c r="EA312" i="25"/>
  <c r="EA313" i="25"/>
  <c r="EA314" i="25"/>
  <c r="EA318" i="25"/>
  <c r="EA315" i="25"/>
  <c r="EA332" i="25"/>
  <c r="EA333" i="25"/>
  <c r="EA325" i="25"/>
  <c r="EA331" i="25"/>
  <c r="EA326" i="25"/>
  <c r="EA320" i="25"/>
  <c r="EA334" i="25"/>
  <c r="EA335" i="25"/>
  <c r="EA252" i="25"/>
  <c r="EA319" i="25"/>
  <c r="EA298" i="25"/>
  <c r="EA324" i="25"/>
  <c r="EA317" i="25"/>
  <c r="EA327" i="25"/>
  <c r="EA328" i="25"/>
  <c r="EA329" i="25"/>
  <c r="EA371" i="25"/>
  <c r="EA336" i="25"/>
  <c r="EA337" i="25"/>
  <c r="EA316" i="25"/>
  <c r="EA338" i="25"/>
  <c r="EA330" i="25"/>
  <c r="EA339" i="25"/>
  <c r="EA219" i="25"/>
  <c r="EA248" i="25"/>
  <c r="EA237" i="25"/>
  <c r="EA340" i="25"/>
  <c r="EA341" i="25"/>
  <c r="EA342" i="25"/>
  <c r="EA343" i="25"/>
  <c r="EA344" i="25"/>
  <c r="EA345" i="25"/>
  <c r="EA346" i="25"/>
  <c r="EA347" i="25"/>
  <c r="EA348" i="25"/>
  <c r="EA349" i="25"/>
  <c r="EA350" i="25"/>
  <c r="EA351" i="25"/>
  <c r="EA352" i="25"/>
  <c r="EA353" i="25"/>
  <c r="EA354" i="25"/>
  <c r="EA355" i="25"/>
  <c r="EA356" i="25"/>
  <c r="EA358" i="25"/>
  <c r="EA359" i="25"/>
  <c r="EA357" i="25"/>
  <c r="EA360" i="25"/>
  <c r="EA361" i="25"/>
  <c r="EA363" i="25"/>
  <c r="EA364" i="25"/>
  <c r="EA362" i="25"/>
  <c r="EA365" i="25"/>
  <c r="EA366" i="25"/>
  <c r="EA367" i="25"/>
  <c r="EA377" i="25"/>
  <c r="EA380" i="25"/>
  <c r="EA381" i="25"/>
  <c r="EA382" i="25"/>
  <c r="EA383" i="25"/>
  <c r="EA385" i="25"/>
  <c r="EA387" i="25"/>
  <c r="EA373" i="25"/>
  <c r="EA374" i="25"/>
  <c r="EA388" i="25"/>
  <c r="EA390" i="25"/>
  <c r="EA391" i="25"/>
  <c r="EA392" i="25"/>
  <c r="EA394" i="25"/>
  <c r="EA395" i="25"/>
  <c r="EA393" i="25"/>
  <c r="EB203" i="25"/>
  <c r="EB220" i="25"/>
  <c r="EB206" i="25"/>
  <c r="EB205" i="25"/>
  <c r="EB217" i="25"/>
  <c r="EB210" i="25"/>
  <c r="EB218" i="25"/>
  <c r="EB224" i="25"/>
  <c r="EB211" i="25"/>
  <c r="EB239" i="25"/>
  <c r="EB241" i="25"/>
  <c r="EB242" i="25"/>
  <c r="EB225" i="25"/>
  <c r="EB226" i="25"/>
  <c r="EB204" i="25"/>
  <c r="EB207" i="25"/>
  <c r="EB212" i="25"/>
  <c r="EB213" i="25"/>
  <c r="EB214" i="25"/>
  <c r="EB216" i="25"/>
  <c r="EB235" i="25"/>
  <c r="EB244" i="25"/>
  <c r="EB236" i="25"/>
  <c r="EB215" i="25"/>
  <c r="EB208" i="25"/>
  <c r="EB246" i="25"/>
  <c r="EB229" i="25"/>
  <c r="EB230" i="25"/>
  <c r="EB231" i="25"/>
  <c r="EB232" i="25"/>
  <c r="EB238" i="25"/>
  <c r="EB221" i="25"/>
  <c r="EB222" i="25"/>
  <c r="EB223" i="25"/>
  <c r="EB240" i="25"/>
  <c r="EB209" i="25"/>
  <c r="EB227" i="25"/>
  <c r="EB243" i="25"/>
  <c r="EB245" i="25"/>
  <c r="EB228" i="25"/>
  <c r="EB233" i="25"/>
  <c r="EB247" i="25"/>
  <c r="EB234" i="25"/>
  <c r="EB265" i="25"/>
  <c r="EB256" i="25"/>
  <c r="EB257" i="25"/>
  <c r="EB258" i="25"/>
  <c r="EB249" i="25"/>
  <c r="EB254" i="25"/>
  <c r="EB250" i="25"/>
  <c r="EB266" i="25"/>
  <c r="EB253" i="25"/>
  <c r="EB259" i="25"/>
  <c r="EB251" i="25"/>
  <c r="EB260" i="25"/>
  <c r="EB261" i="25"/>
  <c r="EB262" i="25"/>
  <c r="EB267" i="25"/>
  <c r="EB263" i="25"/>
  <c r="EB255" i="25"/>
  <c r="EB264" i="25"/>
  <c r="EB268" i="25"/>
  <c r="EB269" i="25"/>
  <c r="EB270" i="25"/>
  <c r="EB271" i="25"/>
  <c r="EB376" i="25"/>
  <c r="EB368" i="25"/>
  <c r="EB274" i="25"/>
  <c r="EB294" i="25"/>
  <c r="EB275" i="25"/>
  <c r="EB297" i="25"/>
  <c r="EB296" i="25"/>
  <c r="EB303" i="25"/>
  <c r="EB369" i="25"/>
  <c r="EB277" i="25"/>
  <c r="EB307" i="25"/>
  <c r="EB378" i="25"/>
  <c r="EB379" i="25"/>
  <c r="EB278" i="25"/>
  <c r="EB279" i="25"/>
  <c r="EB276" i="25"/>
  <c r="EB304" i="25"/>
  <c r="EB370" i="25"/>
  <c r="EB305" i="25"/>
  <c r="EB280" i="25"/>
  <c r="EB384" i="25"/>
  <c r="EB281" i="25"/>
  <c r="EB396" i="25"/>
  <c r="EB295" i="25"/>
  <c r="EB375" i="25"/>
  <c r="EB282" i="25"/>
  <c r="EB386" i="25"/>
  <c r="EB300" i="25"/>
  <c r="EB283" i="25"/>
  <c r="EB301" i="25"/>
  <c r="EB302" i="25"/>
  <c r="EB284" i="25"/>
  <c r="EB285" i="25"/>
  <c r="EB272" i="25"/>
  <c r="EB306" i="25"/>
  <c r="EB286" i="25"/>
  <c r="EB287" i="25"/>
  <c r="EB372" i="25"/>
  <c r="EB389" i="25"/>
  <c r="EB273" i="25"/>
  <c r="EB308" i="25"/>
  <c r="EB309" i="25"/>
  <c r="EB310" i="25"/>
  <c r="EB288" i="25"/>
  <c r="EB311" i="25"/>
  <c r="EB312" i="25"/>
  <c r="EB313" i="25"/>
  <c r="EB314" i="25"/>
  <c r="EB318" i="25"/>
  <c r="EB315" i="25"/>
  <c r="EB332" i="25"/>
  <c r="EB333" i="25"/>
  <c r="EB325" i="25"/>
  <c r="EB331" i="25"/>
  <c r="EB326" i="25"/>
  <c r="EB320" i="25"/>
  <c r="EB334" i="25"/>
  <c r="EB335" i="25"/>
  <c r="EB252" i="25"/>
  <c r="EB319" i="25"/>
  <c r="EB298" i="25"/>
  <c r="EB324" i="25"/>
  <c r="EB317" i="25"/>
  <c r="EB327" i="25"/>
  <c r="EB328" i="25"/>
  <c r="EB329" i="25"/>
  <c r="EB371" i="25"/>
  <c r="EB336" i="25"/>
  <c r="EB337" i="25"/>
  <c r="EB316" i="25"/>
  <c r="EB338" i="25"/>
  <c r="EB330" i="25"/>
  <c r="EB339" i="25"/>
  <c r="EB219" i="25"/>
  <c r="EB248" i="25"/>
  <c r="EB237" i="25"/>
  <c r="EB340" i="25"/>
  <c r="EB341" i="25"/>
  <c r="EB342" i="25"/>
  <c r="EB343" i="25"/>
  <c r="EB344" i="25"/>
  <c r="EB345" i="25"/>
  <c r="EB346" i="25"/>
  <c r="EB347" i="25"/>
  <c r="EB348" i="25"/>
  <c r="EB349" i="25"/>
  <c r="EB350" i="25"/>
  <c r="EB351" i="25"/>
  <c r="EB352" i="25"/>
  <c r="EB353" i="25"/>
  <c r="EB354" i="25"/>
  <c r="EB355" i="25"/>
  <c r="EB356" i="25"/>
  <c r="EB358" i="25"/>
  <c r="EB359" i="25"/>
  <c r="EB357" i="25"/>
  <c r="EB360" i="25"/>
  <c r="EB361" i="25"/>
  <c r="EB363" i="25"/>
  <c r="EB364" i="25"/>
  <c r="EB362" i="25"/>
  <c r="EB365" i="25"/>
  <c r="EB366" i="25"/>
  <c r="EB367" i="25"/>
  <c r="EB377" i="25"/>
  <c r="EB380" i="25"/>
  <c r="EB381" i="25"/>
  <c r="EB382" i="25"/>
  <c r="EB383" i="25"/>
  <c r="EB385" i="25"/>
  <c r="EB387" i="25"/>
  <c r="EB373" i="25"/>
  <c r="EB374" i="25"/>
  <c r="EB388" i="25"/>
  <c r="EB390" i="25"/>
  <c r="EB391" i="25"/>
  <c r="EB392" i="25"/>
  <c r="EB394" i="25"/>
  <c r="EB395" i="25"/>
  <c r="EB393" i="25"/>
  <c r="EE203" i="25"/>
  <c r="EE220" i="25"/>
  <c r="EE206" i="25"/>
  <c r="EE205" i="25"/>
  <c r="EE217" i="25"/>
  <c r="EE210" i="25"/>
  <c r="EE218" i="25"/>
  <c r="EE224" i="25"/>
  <c r="EE211" i="25"/>
  <c r="EE239" i="25"/>
  <c r="EE241" i="25"/>
  <c r="EE242" i="25"/>
  <c r="EE225" i="25"/>
  <c r="EE226" i="25"/>
  <c r="EE204" i="25"/>
  <c r="EE207" i="25"/>
  <c r="EE212" i="25"/>
  <c r="EE213" i="25"/>
  <c r="EE214" i="25"/>
  <c r="EE216" i="25"/>
  <c r="EE235" i="25"/>
  <c r="EE244" i="25"/>
  <c r="EE236" i="25"/>
  <c r="EE215" i="25"/>
  <c r="EE208" i="25"/>
  <c r="EE246" i="25"/>
  <c r="EE229" i="25"/>
  <c r="EE230" i="25"/>
  <c r="EE231" i="25"/>
  <c r="EE232" i="25"/>
  <c r="EE238" i="25"/>
  <c r="EE221" i="25"/>
  <c r="EE222" i="25"/>
  <c r="EE223" i="25"/>
  <c r="EE240" i="25"/>
  <c r="EE209" i="25"/>
  <c r="EE227" i="25"/>
  <c r="EE243" i="25"/>
  <c r="EE245" i="25"/>
  <c r="EE228" i="25"/>
  <c r="EE233" i="25"/>
  <c r="EE247" i="25"/>
  <c r="EE234" i="25"/>
  <c r="EE265" i="25"/>
  <c r="EE256" i="25"/>
  <c r="EE257" i="25"/>
  <c r="EE258" i="25"/>
  <c r="EE249" i="25"/>
  <c r="EE254" i="25"/>
  <c r="EE250" i="25"/>
  <c r="EE266" i="25"/>
  <c r="EE253" i="25"/>
  <c r="EE259" i="25"/>
  <c r="EE251" i="25"/>
  <c r="EE260" i="25"/>
  <c r="EE261" i="25"/>
  <c r="EE262" i="25"/>
  <c r="EE267" i="25"/>
  <c r="EE263" i="25"/>
  <c r="EE255" i="25"/>
  <c r="EE264" i="25"/>
  <c r="EE268" i="25"/>
  <c r="EE269" i="25"/>
  <c r="EE270" i="25"/>
  <c r="EE271" i="25"/>
  <c r="EE376" i="25"/>
  <c r="EE368" i="25"/>
  <c r="EE274" i="25"/>
  <c r="EE294" i="25"/>
  <c r="EE275" i="25"/>
  <c r="EE297" i="25"/>
  <c r="EE296" i="25"/>
  <c r="EE303" i="25"/>
  <c r="EE369" i="25"/>
  <c r="EE277" i="25"/>
  <c r="EE307" i="25"/>
  <c r="EE378" i="25"/>
  <c r="EE379" i="25"/>
  <c r="EE278" i="25"/>
  <c r="EE279" i="25"/>
  <c r="EE276" i="25"/>
  <c r="EE304" i="25"/>
  <c r="EE370" i="25"/>
  <c r="EE305" i="25"/>
  <c r="EE280" i="25"/>
  <c r="EE384" i="25"/>
  <c r="EE281" i="25"/>
  <c r="EE396" i="25"/>
  <c r="EE295" i="25"/>
  <c r="EE375" i="25"/>
  <c r="EE282" i="25"/>
  <c r="EE386" i="25"/>
  <c r="EE300" i="25"/>
  <c r="EE283" i="25"/>
  <c r="EE301" i="25"/>
  <c r="EE302" i="25"/>
  <c r="EE284" i="25"/>
  <c r="EE285" i="25"/>
  <c r="EE272" i="25"/>
  <c r="EE306" i="25"/>
  <c r="EE286" i="25"/>
  <c r="EE287" i="25"/>
  <c r="EE372" i="25"/>
  <c r="EE389" i="25"/>
  <c r="EE273" i="25"/>
  <c r="EE308" i="25"/>
  <c r="EE309" i="25"/>
  <c r="EE310" i="25"/>
  <c r="EE288" i="25"/>
  <c r="EE311" i="25"/>
  <c r="EE312" i="25"/>
  <c r="EE313" i="25"/>
  <c r="EE314" i="25"/>
  <c r="EE318" i="25"/>
  <c r="EE315" i="25"/>
  <c r="EE332" i="25"/>
  <c r="EE333" i="25"/>
  <c r="EE325" i="25"/>
  <c r="EE331" i="25"/>
  <c r="EE326" i="25"/>
  <c r="EE320" i="25"/>
  <c r="EE334" i="25"/>
  <c r="EE335" i="25"/>
  <c r="EE252" i="25"/>
  <c r="EE319" i="25"/>
  <c r="EE298" i="25"/>
  <c r="EE324" i="25"/>
  <c r="EE317" i="25"/>
  <c r="EE327" i="25"/>
  <c r="EE328" i="25"/>
  <c r="EE329" i="25"/>
  <c r="EE371" i="25"/>
  <c r="EE336" i="25"/>
  <c r="EE337" i="25"/>
  <c r="EE316" i="25"/>
  <c r="EE338" i="25"/>
  <c r="EE330" i="25"/>
  <c r="EE339" i="25"/>
  <c r="EE219" i="25"/>
  <c r="EE248" i="25"/>
  <c r="EE237" i="25"/>
  <c r="EE340" i="25"/>
  <c r="EE341" i="25"/>
  <c r="EE342" i="25"/>
  <c r="EE343" i="25"/>
  <c r="EE344" i="25"/>
  <c r="EE345" i="25"/>
  <c r="EE346" i="25"/>
  <c r="EE347" i="25"/>
  <c r="EE348" i="25"/>
  <c r="EE349" i="25"/>
  <c r="EE350" i="25"/>
  <c r="EE351" i="25"/>
  <c r="EE352" i="25"/>
  <c r="EE353" i="25"/>
  <c r="EE354" i="25"/>
  <c r="EE355" i="25"/>
  <c r="EE356" i="25"/>
  <c r="EE358" i="25"/>
  <c r="EE359" i="25"/>
  <c r="EE357" i="25"/>
  <c r="EE360" i="25"/>
  <c r="EE361" i="25"/>
  <c r="EE363" i="25"/>
  <c r="EE364" i="25"/>
  <c r="EE362" i="25"/>
  <c r="EE365" i="25"/>
  <c r="EE366" i="25"/>
  <c r="EE367" i="25"/>
  <c r="EE377" i="25"/>
  <c r="EE380" i="25"/>
  <c r="EE381" i="25"/>
  <c r="EE382" i="25"/>
  <c r="EE383" i="25"/>
  <c r="EE385" i="25"/>
  <c r="EE387" i="25"/>
  <c r="EE373" i="25"/>
  <c r="EE374" i="25"/>
  <c r="EE388" i="25"/>
  <c r="EE390" i="25"/>
  <c r="EE391" i="25"/>
  <c r="EE392" i="25"/>
  <c r="EE394" i="25"/>
  <c r="EE395" i="25"/>
  <c r="EE393" i="25"/>
  <c r="EF203" i="25"/>
  <c r="EF220" i="25"/>
  <c r="EF206" i="25"/>
  <c r="EF205" i="25"/>
  <c r="EF217" i="25"/>
  <c r="EF210" i="25"/>
  <c r="EF218" i="25"/>
  <c r="EF224" i="25"/>
  <c r="EF211" i="25"/>
  <c r="EF239" i="25"/>
  <c r="EF241" i="25"/>
  <c r="EF242" i="25"/>
  <c r="EF225" i="25"/>
  <c r="EF226" i="25"/>
  <c r="EF204" i="25"/>
  <c r="EF207" i="25"/>
  <c r="EF212" i="25"/>
  <c r="EF213" i="25"/>
  <c r="EF214" i="25"/>
  <c r="EF216" i="25"/>
  <c r="EF235" i="25"/>
  <c r="EF244" i="25"/>
  <c r="EF236" i="25"/>
  <c r="EF215" i="25"/>
  <c r="EF208" i="25"/>
  <c r="EF246" i="25"/>
  <c r="EF229" i="25"/>
  <c r="EF230" i="25"/>
  <c r="EF231" i="25"/>
  <c r="EF232" i="25"/>
  <c r="EF238" i="25"/>
  <c r="EF221" i="25"/>
  <c r="EF222" i="25"/>
  <c r="EF223" i="25"/>
  <c r="EF240" i="25"/>
  <c r="EF209" i="25"/>
  <c r="EF227" i="25"/>
  <c r="EF243" i="25"/>
  <c r="EF245" i="25"/>
  <c r="EF228" i="25"/>
  <c r="EF233" i="25"/>
  <c r="EF247" i="25"/>
  <c r="EF234" i="25"/>
  <c r="EF265" i="25"/>
  <c r="EF256" i="25"/>
  <c r="EF257" i="25"/>
  <c r="EF258" i="25"/>
  <c r="EF249" i="25"/>
  <c r="EF254" i="25"/>
  <c r="EF250" i="25"/>
  <c r="EF266" i="25"/>
  <c r="EF253" i="25"/>
  <c r="EF259" i="25"/>
  <c r="EF251" i="25"/>
  <c r="EF260" i="25"/>
  <c r="EF261" i="25"/>
  <c r="EF262" i="25"/>
  <c r="EF267" i="25"/>
  <c r="EF263" i="25"/>
  <c r="EF255" i="25"/>
  <c r="EF264" i="25"/>
  <c r="EF268" i="25"/>
  <c r="EF269" i="25"/>
  <c r="EF270" i="25"/>
  <c r="EF271" i="25"/>
  <c r="EF376" i="25"/>
  <c r="EF368" i="25"/>
  <c r="EF274" i="25"/>
  <c r="EF294" i="25"/>
  <c r="EF275" i="25"/>
  <c r="EF297" i="25"/>
  <c r="EF296" i="25"/>
  <c r="EF303" i="25"/>
  <c r="EF369" i="25"/>
  <c r="EF277" i="25"/>
  <c r="EF307" i="25"/>
  <c r="EF378" i="25"/>
  <c r="EF379" i="25"/>
  <c r="EF278" i="25"/>
  <c r="EF279" i="25"/>
  <c r="EF276" i="25"/>
  <c r="EF304" i="25"/>
  <c r="EF370" i="25"/>
  <c r="EF305" i="25"/>
  <c r="EF280" i="25"/>
  <c r="EF384" i="25"/>
  <c r="EF281" i="25"/>
  <c r="EF396" i="25"/>
  <c r="EF295" i="25"/>
  <c r="EF375" i="25"/>
  <c r="EF282" i="25"/>
  <c r="EF386" i="25"/>
  <c r="EF300" i="25"/>
  <c r="EF283" i="25"/>
  <c r="EF301" i="25"/>
  <c r="EF302" i="25"/>
  <c r="EF284" i="25"/>
  <c r="EF285" i="25"/>
  <c r="EF272" i="25"/>
  <c r="EF306" i="25"/>
  <c r="EF286" i="25"/>
  <c r="EF287" i="25"/>
  <c r="EF372" i="25"/>
  <c r="EF389" i="25"/>
  <c r="EF273" i="25"/>
  <c r="EF308" i="25"/>
  <c r="EF309" i="25"/>
  <c r="EF310" i="25"/>
  <c r="EF288" i="25"/>
  <c r="EF311" i="25"/>
  <c r="EF312" i="25"/>
  <c r="EF313" i="25"/>
  <c r="EF314" i="25"/>
  <c r="EF318" i="25"/>
  <c r="EF315" i="25"/>
  <c r="EF332" i="25"/>
  <c r="EF333" i="25"/>
  <c r="EF325" i="25"/>
  <c r="EF331" i="25"/>
  <c r="EF326" i="25"/>
  <c r="EF320" i="25"/>
  <c r="EF334" i="25"/>
  <c r="EF335" i="25"/>
  <c r="EF252" i="25"/>
  <c r="EF319" i="25"/>
  <c r="EF298" i="25"/>
  <c r="EF324" i="25"/>
  <c r="EF317" i="25"/>
  <c r="EF327" i="25"/>
  <c r="EF328" i="25"/>
  <c r="EF329" i="25"/>
  <c r="EF371" i="25"/>
  <c r="EF336" i="25"/>
  <c r="EF337" i="25"/>
  <c r="EF316" i="25"/>
  <c r="EF338" i="25"/>
  <c r="EF330" i="25"/>
  <c r="EF339" i="25"/>
  <c r="EF219" i="25"/>
  <c r="EF248" i="25"/>
  <c r="EF237" i="25"/>
  <c r="EF340" i="25"/>
  <c r="EF341" i="25"/>
  <c r="EF342" i="25"/>
  <c r="EF343" i="25"/>
  <c r="EF344" i="25"/>
  <c r="EF345" i="25"/>
  <c r="EF346" i="25"/>
  <c r="EF347" i="25"/>
  <c r="EF348" i="25"/>
  <c r="EF349" i="25"/>
  <c r="EF350" i="25"/>
  <c r="EF351" i="25"/>
  <c r="EF352" i="25"/>
  <c r="EF353" i="25"/>
  <c r="EF354" i="25"/>
  <c r="EF355" i="25"/>
  <c r="EF356" i="25"/>
  <c r="EF358" i="25"/>
  <c r="EF359" i="25"/>
  <c r="EF357" i="25"/>
  <c r="EF360" i="25"/>
  <c r="EF361" i="25"/>
  <c r="EF363" i="25"/>
  <c r="EF364" i="25"/>
  <c r="EF362" i="25"/>
  <c r="EF365" i="25"/>
  <c r="EF366" i="25"/>
  <c r="EF367" i="25"/>
  <c r="EF377" i="25"/>
  <c r="EF380" i="25"/>
  <c r="EF381" i="25"/>
  <c r="EF382" i="25"/>
  <c r="EF383" i="25"/>
  <c r="EF385" i="25"/>
  <c r="EF387" i="25"/>
  <c r="EF373" i="25"/>
  <c r="EF374" i="25"/>
  <c r="EF388" i="25"/>
  <c r="EF390" i="25"/>
  <c r="EF391" i="25"/>
  <c r="EF392" i="25"/>
  <c r="EF394" i="25"/>
  <c r="EF395" i="25"/>
  <c r="EF393" i="25"/>
  <c r="EG203" i="25"/>
  <c r="EG220" i="25"/>
  <c r="EG206" i="25"/>
  <c r="EG205" i="25"/>
  <c r="EG217" i="25"/>
  <c r="DH217" i="25" s="1"/>
  <c r="DI217" i="25" s="1"/>
  <c r="EG210" i="25"/>
  <c r="EG218" i="25"/>
  <c r="EG224" i="25"/>
  <c r="EG211" i="25"/>
  <c r="EG239" i="25"/>
  <c r="EG241" i="25"/>
  <c r="EG242" i="25"/>
  <c r="DE242" i="25" s="1"/>
  <c r="EG225" i="25"/>
  <c r="DH225" i="25" s="1"/>
  <c r="DI225" i="25" s="1"/>
  <c r="EG226" i="25"/>
  <c r="EG204" i="25"/>
  <c r="DH204" i="25" s="1"/>
  <c r="DI204" i="25" s="1"/>
  <c r="EG207" i="25"/>
  <c r="EG212" i="25"/>
  <c r="EG213" i="25"/>
  <c r="EG214" i="25"/>
  <c r="EG216" i="25"/>
  <c r="EG235" i="25"/>
  <c r="EG244" i="25"/>
  <c r="EG236" i="25"/>
  <c r="EG215" i="25"/>
  <c r="EG208" i="25"/>
  <c r="EG246" i="25"/>
  <c r="EG229" i="25"/>
  <c r="EG230" i="25"/>
  <c r="EG231" i="25"/>
  <c r="EG232" i="25"/>
  <c r="EG238" i="25"/>
  <c r="EG221" i="25"/>
  <c r="EG222" i="25"/>
  <c r="EG223" i="25"/>
  <c r="EG240" i="25"/>
  <c r="EG209" i="25"/>
  <c r="EG227" i="25"/>
  <c r="EG243" i="25"/>
  <c r="DE243" i="25" s="1"/>
  <c r="EG245" i="25"/>
  <c r="EG228" i="25"/>
  <c r="EG233" i="25"/>
  <c r="EG247" i="25"/>
  <c r="DE247" i="25" s="1"/>
  <c r="EG234" i="25"/>
  <c r="EG265" i="25"/>
  <c r="EG256" i="25"/>
  <c r="EG257" i="25"/>
  <c r="EG258" i="25"/>
  <c r="EG249" i="25"/>
  <c r="EG254" i="25"/>
  <c r="EG250" i="25"/>
  <c r="EG266" i="25"/>
  <c r="EG253" i="25"/>
  <c r="DH253" i="25" s="1"/>
  <c r="DI253" i="25" s="1"/>
  <c r="EG259" i="25"/>
  <c r="EG251" i="25"/>
  <c r="EG260" i="25"/>
  <c r="EG261" i="25"/>
  <c r="EG262" i="25"/>
  <c r="EG267" i="25"/>
  <c r="EG263" i="25"/>
  <c r="EG255" i="25"/>
  <c r="EG264" i="25"/>
  <c r="DH264" i="25" s="1"/>
  <c r="DI264" i="25" s="1"/>
  <c r="EG268" i="25"/>
  <c r="EG269" i="25"/>
  <c r="DH269" i="25" s="1"/>
  <c r="DI269" i="25" s="1"/>
  <c r="EG270" i="25"/>
  <c r="EG271" i="25"/>
  <c r="EG376" i="25"/>
  <c r="EG368" i="25"/>
  <c r="EG274" i="25"/>
  <c r="DH274" i="25" s="1"/>
  <c r="DI274" i="25" s="1"/>
  <c r="EG294" i="25"/>
  <c r="EG275" i="25"/>
  <c r="EG297" i="25"/>
  <c r="EG296" i="25"/>
  <c r="EG303" i="25"/>
  <c r="EG369" i="25"/>
  <c r="EG277" i="25"/>
  <c r="EG307" i="25"/>
  <c r="EG378" i="25"/>
  <c r="DH378" i="25" s="1"/>
  <c r="DI378" i="25" s="1"/>
  <c r="EG379" i="25"/>
  <c r="EG278" i="25"/>
  <c r="EG279" i="25"/>
  <c r="EG276" i="25"/>
  <c r="EG304" i="25"/>
  <c r="EG370" i="25"/>
  <c r="EG305" i="25"/>
  <c r="DH305" i="25" s="1"/>
  <c r="DI305" i="25" s="1"/>
  <c r="EG280" i="25"/>
  <c r="EG384" i="25"/>
  <c r="EG281" i="25"/>
  <c r="EG396" i="25"/>
  <c r="DE396" i="25" s="1"/>
  <c r="EG295" i="25"/>
  <c r="EG375" i="25"/>
  <c r="EG282" i="25"/>
  <c r="EG386" i="25"/>
  <c r="EG300" i="25"/>
  <c r="DH300" i="25" s="1"/>
  <c r="DI300" i="25" s="1"/>
  <c r="EG283" i="25"/>
  <c r="EG301" i="25"/>
  <c r="EG302" i="25"/>
  <c r="EG284" i="25"/>
  <c r="EG285" i="25"/>
  <c r="EG272" i="25"/>
  <c r="EG306" i="25"/>
  <c r="DH306" i="25" s="1"/>
  <c r="DI306" i="25" s="1"/>
  <c r="EG286" i="25"/>
  <c r="EG287" i="25"/>
  <c r="EG372" i="25"/>
  <c r="EG389" i="25"/>
  <c r="EG273" i="25"/>
  <c r="EG308" i="25"/>
  <c r="EG309" i="25"/>
  <c r="EG310" i="25"/>
  <c r="DH310" i="25" s="1"/>
  <c r="DI310" i="25" s="1"/>
  <c r="EG288" i="25"/>
  <c r="EG311" i="25"/>
  <c r="DH311" i="25" s="1"/>
  <c r="DI311" i="25" s="1"/>
  <c r="EG312" i="25"/>
  <c r="EG313" i="25"/>
  <c r="EG314" i="25"/>
  <c r="EG318" i="25"/>
  <c r="EG315" i="25"/>
  <c r="DH315" i="25" s="1"/>
  <c r="DI315" i="25" s="1"/>
  <c r="EG332" i="25"/>
  <c r="EG333" i="25"/>
  <c r="EG325" i="25"/>
  <c r="EG331" i="25"/>
  <c r="EG326" i="25"/>
  <c r="EG320" i="25"/>
  <c r="EG334" i="25"/>
  <c r="EG335" i="25"/>
  <c r="EG252" i="25"/>
  <c r="EG319" i="25"/>
  <c r="EG298" i="25"/>
  <c r="EG324" i="25"/>
  <c r="EG317" i="25"/>
  <c r="DE317" i="25" s="1"/>
  <c r="EG327" i="25"/>
  <c r="DH327" i="25" s="1"/>
  <c r="DI327" i="25" s="1"/>
  <c r="EG328" i="25"/>
  <c r="EG329" i="25"/>
  <c r="EG371" i="25"/>
  <c r="DE371" i="25" s="1"/>
  <c r="EG336" i="25"/>
  <c r="EG337" i="25"/>
  <c r="EG316" i="25"/>
  <c r="EG338" i="25"/>
  <c r="DH338" i="25" s="1"/>
  <c r="DI338" i="25" s="1"/>
  <c r="EG330" i="25"/>
  <c r="EG339" i="25"/>
  <c r="EG219" i="25"/>
  <c r="EG248" i="25"/>
  <c r="EG237" i="25"/>
  <c r="DH237" i="25" s="1"/>
  <c r="DI237" i="25" s="1"/>
  <c r="EG340" i="25"/>
  <c r="EG341" i="25"/>
  <c r="EG342" i="25"/>
  <c r="EG343" i="25"/>
  <c r="EG344" i="25"/>
  <c r="EG345" i="25"/>
  <c r="EG346" i="25"/>
  <c r="EG347" i="25"/>
  <c r="EG348" i="25"/>
  <c r="DH348" i="25" s="1"/>
  <c r="DI348" i="25" s="1"/>
  <c r="EG349" i="25"/>
  <c r="EG350" i="25"/>
  <c r="DH350" i="25" s="1"/>
  <c r="DI350" i="25" s="1"/>
  <c r="EG351" i="25"/>
  <c r="EG352" i="25"/>
  <c r="EG353" i="25"/>
  <c r="EG354" i="25"/>
  <c r="EG355" i="25"/>
  <c r="EG356" i="25"/>
  <c r="DD356" i="25" s="1"/>
  <c r="EG358" i="25"/>
  <c r="EG359" i="25"/>
  <c r="EG357" i="25"/>
  <c r="EG360" i="25"/>
  <c r="EG361" i="25"/>
  <c r="EG363" i="25"/>
  <c r="EG364" i="25"/>
  <c r="EG362" i="25"/>
  <c r="EG365" i="25"/>
  <c r="EG366" i="25"/>
  <c r="EG367" i="25"/>
  <c r="EG377" i="25"/>
  <c r="EG380" i="25"/>
  <c r="DH380" i="25" s="1"/>
  <c r="DI380" i="25" s="1"/>
  <c r="EG381" i="25"/>
  <c r="EG382" i="25"/>
  <c r="EG383" i="25"/>
  <c r="EG385" i="25"/>
  <c r="DE385" i="25" s="1"/>
  <c r="EG387" i="25"/>
  <c r="EG373" i="25"/>
  <c r="EG374" i="25"/>
  <c r="EG388" i="25"/>
  <c r="EG390" i="25"/>
  <c r="DH390" i="25" s="1"/>
  <c r="DI390" i="25" s="1"/>
  <c r="EG391" i="25"/>
  <c r="EG392" i="25"/>
  <c r="DH392" i="25" s="1"/>
  <c r="DI392" i="25" s="1"/>
  <c r="EG394" i="25"/>
  <c r="EG395" i="25"/>
  <c r="EG393" i="25"/>
  <c r="EH203" i="25"/>
  <c r="EH220" i="25"/>
  <c r="EH206" i="25"/>
  <c r="EH205" i="25"/>
  <c r="EH217" i="25"/>
  <c r="EH210" i="25"/>
  <c r="EH218" i="25"/>
  <c r="EH224" i="25"/>
  <c r="EH211" i="25"/>
  <c r="EH239" i="25"/>
  <c r="EH241" i="25"/>
  <c r="EH242" i="25"/>
  <c r="EH225" i="25"/>
  <c r="EH226" i="25"/>
  <c r="EH204" i="25"/>
  <c r="EH207" i="25"/>
  <c r="EH212" i="25"/>
  <c r="EH213" i="25"/>
  <c r="EH214" i="25"/>
  <c r="EH216" i="25"/>
  <c r="EH235" i="25"/>
  <c r="EH244" i="25"/>
  <c r="EH236" i="25"/>
  <c r="EH215" i="25"/>
  <c r="EH208" i="25"/>
  <c r="EH246" i="25"/>
  <c r="EH229" i="25"/>
  <c r="EH230" i="25"/>
  <c r="EH231" i="25"/>
  <c r="EH232" i="25"/>
  <c r="EH238" i="25"/>
  <c r="EH221" i="25"/>
  <c r="EH222" i="25"/>
  <c r="EH223" i="25"/>
  <c r="EH240" i="25"/>
  <c r="EH209" i="25"/>
  <c r="EH227" i="25"/>
  <c r="EH243" i="25"/>
  <c r="EH245" i="25"/>
  <c r="EH228" i="25"/>
  <c r="EH233" i="25"/>
  <c r="EH247" i="25"/>
  <c r="EH234" i="25"/>
  <c r="EH265" i="25"/>
  <c r="EH256" i="25"/>
  <c r="EH257" i="25"/>
  <c r="EH258" i="25"/>
  <c r="EH249" i="25"/>
  <c r="EH254" i="25"/>
  <c r="EH250" i="25"/>
  <c r="EH266" i="25"/>
  <c r="EH253" i="25"/>
  <c r="EH259" i="25"/>
  <c r="EH251" i="25"/>
  <c r="EH260" i="25"/>
  <c r="EH261" i="25"/>
  <c r="EH262" i="25"/>
  <c r="EH267" i="25"/>
  <c r="EH263" i="25"/>
  <c r="EH255" i="25"/>
  <c r="EH264" i="25"/>
  <c r="EH268" i="25"/>
  <c r="EH269" i="25"/>
  <c r="EH270" i="25"/>
  <c r="EH271" i="25"/>
  <c r="EH376" i="25"/>
  <c r="EH368" i="25"/>
  <c r="EH274" i="25"/>
  <c r="EH294" i="25"/>
  <c r="EH275" i="25"/>
  <c r="EH297" i="25"/>
  <c r="EH296" i="25"/>
  <c r="EH303" i="25"/>
  <c r="EH369" i="25"/>
  <c r="EH277" i="25"/>
  <c r="EH307" i="25"/>
  <c r="EH378" i="25"/>
  <c r="EH379" i="25"/>
  <c r="EH278" i="25"/>
  <c r="EH279" i="25"/>
  <c r="EH276" i="25"/>
  <c r="EH304" i="25"/>
  <c r="EH370" i="25"/>
  <c r="EH305" i="25"/>
  <c r="EH280" i="25"/>
  <c r="EH384" i="25"/>
  <c r="EH281" i="25"/>
  <c r="EH396" i="25"/>
  <c r="EH295" i="25"/>
  <c r="EH375" i="25"/>
  <c r="EH282" i="25"/>
  <c r="EH386" i="25"/>
  <c r="EH300" i="25"/>
  <c r="EH283" i="25"/>
  <c r="EH301" i="25"/>
  <c r="EH302" i="25"/>
  <c r="EH284" i="25"/>
  <c r="EH285" i="25"/>
  <c r="EH272" i="25"/>
  <c r="EH306" i="25"/>
  <c r="EH286" i="25"/>
  <c r="EH287" i="25"/>
  <c r="EH372" i="25"/>
  <c r="EH389" i="25"/>
  <c r="EH273" i="25"/>
  <c r="EH308" i="25"/>
  <c r="EH309" i="25"/>
  <c r="EH310" i="25"/>
  <c r="EH288" i="25"/>
  <c r="EH311" i="25"/>
  <c r="EH312" i="25"/>
  <c r="EH313" i="25"/>
  <c r="EH314" i="25"/>
  <c r="EH318" i="25"/>
  <c r="EH315" i="25"/>
  <c r="EH332" i="25"/>
  <c r="EH333" i="25"/>
  <c r="EH325" i="25"/>
  <c r="EH331" i="25"/>
  <c r="EH326" i="25"/>
  <c r="EH320" i="25"/>
  <c r="EH334" i="25"/>
  <c r="EH335" i="25"/>
  <c r="EH252" i="25"/>
  <c r="EH319" i="25"/>
  <c r="EH298" i="25"/>
  <c r="EH324" i="25"/>
  <c r="EH317" i="25"/>
  <c r="EH327" i="25"/>
  <c r="EH328" i="25"/>
  <c r="EH329" i="25"/>
  <c r="EH371" i="25"/>
  <c r="EH336" i="25"/>
  <c r="EH337" i="25"/>
  <c r="EH316" i="25"/>
  <c r="EH338" i="25"/>
  <c r="EH330" i="25"/>
  <c r="EH339" i="25"/>
  <c r="EH219" i="25"/>
  <c r="EH248" i="25"/>
  <c r="EH237" i="25"/>
  <c r="EH340" i="25"/>
  <c r="EH341" i="25"/>
  <c r="EH342" i="25"/>
  <c r="EH343" i="25"/>
  <c r="EH344" i="25"/>
  <c r="EH345" i="25"/>
  <c r="EH346" i="25"/>
  <c r="EH347" i="25"/>
  <c r="EH348" i="25"/>
  <c r="EH349" i="25"/>
  <c r="EH350" i="25"/>
  <c r="EH351" i="25"/>
  <c r="EH352" i="25"/>
  <c r="EH353" i="25"/>
  <c r="EH354" i="25"/>
  <c r="EH355" i="25"/>
  <c r="EH356" i="25"/>
  <c r="EH358" i="25"/>
  <c r="EH359" i="25"/>
  <c r="EH357" i="25"/>
  <c r="EH360" i="25"/>
  <c r="EH361" i="25"/>
  <c r="EH363" i="25"/>
  <c r="EH364" i="25"/>
  <c r="EH362" i="25"/>
  <c r="EH365" i="25"/>
  <c r="EH366" i="25"/>
  <c r="EH367" i="25"/>
  <c r="EH377" i="25"/>
  <c r="EH380" i="25"/>
  <c r="EH381" i="25"/>
  <c r="EH382" i="25"/>
  <c r="EH383" i="25"/>
  <c r="EH385" i="25"/>
  <c r="EH387" i="25"/>
  <c r="EH373" i="25"/>
  <c r="EH374" i="25"/>
  <c r="EH388" i="25"/>
  <c r="EH390" i="25"/>
  <c r="EH391" i="25"/>
  <c r="EH392" i="25"/>
  <c r="EH394" i="25"/>
  <c r="EH395" i="25"/>
  <c r="EH393" i="25"/>
  <c r="EI203" i="25"/>
  <c r="DT203" i="25" s="1"/>
  <c r="EI220" i="25"/>
  <c r="DT220" i="25" s="1"/>
  <c r="EI206" i="25"/>
  <c r="DT206" i="25" s="1"/>
  <c r="EI205" i="25"/>
  <c r="DT205" i="25" s="1"/>
  <c r="EI217" i="25"/>
  <c r="DT217" i="25" s="1"/>
  <c r="EI210" i="25"/>
  <c r="DT210" i="25" s="1"/>
  <c r="EI218" i="25"/>
  <c r="DT218" i="25" s="1"/>
  <c r="EI224" i="25"/>
  <c r="DT224" i="25" s="1"/>
  <c r="EI211" i="25"/>
  <c r="DT211" i="25" s="1"/>
  <c r="EI239" i="25"/>
  <c r="DT239" i="25" s="1"/>
  <c r="EI241" i="25"/>
  <c r="DT241" i="25" s="1"/>
  <c r="EI242" i="25"/>
  <c r="DT242" i="25" s="1"/>
  <c r="EI225" i="25"/>
  <c r="DT225" i="25" s="1"/>
  <c r="EI226" i="25"/>
  <c r="DT226" i="25" s="1"/>
  <c r="EI204" i="25"/>
  <c r="DT204" i="25" s="1"/>
  <c r="EI207" i="25"/>
  <c r="DT207" i="25" s="1"/>
  <c r="EI212" i="25"/>
  <c r="DT212" i="25" s="1"/>
  <c r="EI213" i="25"/>
  <c r="DT213" i="25" s="1"/>
  <c r="EI214" i="25"/>
  <c r="DT214" i="25" s="1"/>
  <c r="EI216" i="25"/>
  <c r="DT216" i="25" s="1"/>
  <c r="EI235" i="25"/>
  <c r="DT235" i="25" s="1"/>
  <c r="EI244" i="25"/>
  <c r="DT244" i="25" s="1"/>
  <c r="EI236" i="25"/>
  <c r="DT236" i="25" s="1"/>
  <c r="EI215" i="25"/>
  <c r="DT215" i="25" s="1"/>
  <c r="EI208" i="25"/>
  <c r="DT208" i="25" s="1"/>
  <c r="EI246" i="25"/>
  <c r="DT246" i="25" s="1"/>
  <c r="EI229" i="25"/>
  <c r="DT229" i="25" s="1"/>
  <c r="EI230" i="25"/>
  <c r="DT230" i="25" s="1"/>
  <c r="EI231" i="25"/>
  <c r="DT231" i="25" s="1"/>
  <c r="EI232" i="25"/>
  <c r="DT232" i="25" s="1"/>
  <c r="EI238" i="25"/>
  <c r="DT238" i="25" s="1"/>
  <c r="EI221" i="25"/>
  <c r="DT221" i="25" s="1"/>
  <c r="EI222" i="25"/>
  <c r="DT222" i="25" s="1"/>
  <c r="EI223" i="25"/>
  <c r="DT223" i="25" s="1"/>
  <c r="EI240" i="25"/>
  <c r="DT240" i="25" s="1"/>
  <c r="EI209" i="25"/>
  <c r="DT209" i="25" s="1"/>
  <c r="EI227" i="25"/>
  <c r="DT227" i="25" s="1"/>
  <c r="EI243" i="25"/>
  <c r="DT243" i="25" s="1"/>
  <c r="EI245" i="25"/>
  <c r="DT245" i="25" s="1"/>
  <c r="EI228" i="25"/>
  <c r="DT228" i="25" s="1"/>
  <c r="EI233" i="25"/>
  <c r="DT233" i="25" s="1"/>
  <c r="EI247" i="25"/>
  <c r="DT247" i="25" s="1"/>
  <c r="EI234" i="25"/>
  <c r="DT234" i="25" s="1"/>
  <c r="EI265" i="25"/>
  <c r="DT265" i="25" s="1"/>
  <c r="EI256" i="25"/>
  <c r="DT256" i="25" s="1"/>
  <c r="EI257" i="25"/>
  <c r="DT257" i="25" s="1"/>
  <c r="EI258" i="25"/>
  <c r="DT258" i="25" s="1"/>
  <c r="EI249" i="25"/>
  <c r="DT249" i="25" s="1"/>
  <c r="EI254" i="25"/>
  <c r="DT254" i="25" s="1"/>
  <c r="EI250" i="25"/>
  <c r="DT250" i="25" s="1"/>
  <c r="EI266" i="25"/>
  <c r="DT266" i="25" s="1"/>
  <c r="EI253" i="25"/>
  <c r="DT253" i="25" s="1"/>
  <c r="EI259" i="25"/>
  <c r="DT259" i="25" s="1"/>
  <c r="EI251" i="25"/>
  <c r="DT251" i="25" s="1"/>
  <c r="EI260" i="25"/>
  <c r="DT260" i="25" s="1"/>
  <c r="EI261" i="25"/>
  <c r="DT261" i="25" s="1"/>
  <c r="EI262" i="25"/>
  <c r="DT262" i="25" s="1"/>
  <c r="EI267" i="25"/>
  <c r="DT267" i="25" s="1"/>
  <c r="EI263" i="25"/>
  <c r="DT263" i="25" s="1"/>
  <c r="EI255" i="25"/>
  <c r="DT255" i="25" s="1"/>
  <c r="EI264" i="25"/>
  <c r="DT264" i="25" s="1"/>
  <c r="EI268" i="25"/>
  <c r="DT268" i="25" s="1"/>
  <c r="EI269" i="25"/>
  <c r="DT269" i="25" s="1"/>
  <c r="EI270" i="25"/>
  <c r="DT270" i="25" s="1"/>
  <c r="EI271" i="25"/>
  <c r="DT271" i="25" s="1"/>
  <c r="EI376" i="25"/>
  <c r="DT376" i="25" s="1"/>
  <c r="EI368" i="25"/>
  <c r="DT368" i="25" s="1"/>
  <c r="EI274" i="25"/>
  <c r="DT274" i="25" s="1"/>
  <c r="EI294" i="25"/>
  <c r="DT294" i="25" s="1"/>
  <c r="EI275" i="25"/>
  <c r="DT275" i="25" s="1"/>
  <c r="EI297" i="25"/>
  <c r="DT297" i="25" s="1"/>
  <c r="EI296" i="25"/>
  <c r="DT296" i="25" s="1"/>
  <c r="EI303" i="25"/>
  <c r="DT303" i="25" s="1"/>
  <c r="EI369" i="25"/>
  <c r="DT369" i="25" s="1"/>
  <c r="EI277" i="25"/>
  <c r="DT277" i="25" s="1"/>
  <c r="EI307" i="25"/>
  <c r="DT307" i="25" s="1"/>
  <c r="EI378" i="25"/>
  <c r="DT378" i="25" s="1"/>
  <c r="EI379" i="25"/>
  <c r="DT379" i="25" s="1"/>
  <c r="EI278" i="25"/>
  <c r="DT278" i="25" s="1"/>
  <c r="EI279" i="25"/>
  <c r="DT279" i="25" s="1"/>
  <c r="EI276" i="25"/>
  <c r="DT276" i="25" s="1"/>
  <c r="EI304" i="25"/>
  <c r="DT304" i="25" s="1"/>
  <c r="EI370" i="25"/>
  <c r="DT370" i="25" s="1"/>
  <c r="EI305" i="25"/>
  <c r="DT305" i="25" s="1"/>
  <c r="EI280" i="25"/>
  <c r="DT280" i="25" s="1"/>
  <c r="EI384" i="25"/>
  <c r="DT384" i="25" s="1"/>
  <c r="EI281" i="25"/>
  <c r="DT281" i="25" s="1"/>
  <c r="EI396" i="25"/>
  <c r="DT396" i="25" s="1"/>
  <c r="EI295" i="25"/>
  <c r="DT295" i="25" s="1"/>
  <c r="EI375" i="25"/>
  <c r="DT375" i="25" s="1"/>
  <c r="EI282" i="25"/>
  <c r="DT282" i="25" s="1"/>
  <c r="EI386" i="25"/>
  <c r="DT386" i="25" s="1"/>
  <c r="EI300" i="25"/>
  <c r="DT300" i="25" s="1"/>
  <c r="EI283" i="25"/>
  <c r="DT283" i="25" s="1"/>
  <c r="EI301" i="25"/>
  <c r="DT301" i="25" s="1"/>
  <c r="EI302" i="25"/>
  <c r="DT302" i="25" s="1"/>
  <c r="EI284" i="25"/>
  <c r="DT284" i="25" s="1"/>
  <c r="EI285" i="25"/>
  <c r="DT285" i="25" s="1"/>
  <c r="EI272" i="25"/>
  <c r="DT272" i="25" s="1"/>
  <c r="EI306" i="25"/>
  <c r="DT306" i="25" s="1"/>
  <c r="EI286" i="25"/>
  <c r="DT286" i="25" s="1"/>
  <c r="EI287" i="25"/>
  <c r="DT287" i="25" s="1"/>
  <c r="EI372" i="25"/>
  <c r="DT372" i="25" s="1"/>
  <c r="EI389" i="25"/>
  <c r="DT389" i="25" s="1"/>
  <c r="EI273" i="25"/>
  <c r="DT273" i="25" s="1"/>
  <c r="EI308" i="25"/>
  <c r="DT308" i="25" s="1"/>
  <c r="EI309" i="25"/>
  <c r="DT309" i="25" s="1"/>
  <c r="EI310" i="25"/>
  <c r="DT310" i="25" s="1"/>
  <c r="EI288" i="25"/>
  <c r="DT288" i="25" s="1"/>
  <c r="EI311" i="25"/>
  <c r="DT311" i="25" s="1"/>
  <c r="EI312" i="25"/>
  <c r="DT312" i="25" s="1"/>
  <c r="EI313" i="25"/>
  <c r="DT313" i="25" s="1"/>
  <c r="EI314" i="25"/>
  <c r="DT314" i="25" s="1"/>
  <c r="EI318" i="25"/>
  <c r="DT318" i="25" s="1"/>
  <c r="EI315" i="25"/>
  <c r="DT315" i="25" s="1"/>
  <c r="EI332" i="25"/>
  <c r="DT332" i="25" s="1"/>
  <c r="EI333" i="25"/>
  <c r="DT333" i="25" s="1"/>
  <c r="EI325" i="25"/>
  <c r="DT325" i="25" s="1"/>
  <c r="EI331" i="25"/>
  <c r="DT331" i="25" s="1"/>
  <c r="EI326" i="25"/>
  <c r="DT326" i="25" s="1"/>
  <c r="EI320" i="25"/>
  <c r="DT320" i="25" s="1"/>
  <c r="EI334" i="25"/>
  <c r="DT334" i="25" s="1"/>
  <c r="EI335" i="25"/>
  <c r="DT335" i="25" s="1"/>
  <c r="EI252" i="25"/>
  <c r="DT252" i="25" s="1"/>
  <c r="EI319" i="25"/>
  <c r="DT319" i="25" s="1"/>
  <c r="EI298" i="25"/>
  <c r="DT298" i="25" s="1"/>
  <c r="EI324" i="25"/>
  <c r="DT324" i="25" s="1"/>
  <c r="EI317" i="25"/>
  <c r="DT317" i="25" s="1"/>
  <c r="EI327" i="25"/>
  <c r="DT327" i="25" s="1"/>
  <c r="EI328" i="25"/>
  <c r="DT328" i="25" s="1"/>
  <c r="EI329" i="25"/>
  <c r="DT329" i="25" s="1"/>
  <c r="EI371" i="25"/>
  <c r="DT371" i="25" s="1"/>
  <c r="EI336" i="25"/>
  <c r="DT336" i="25" s="1"/>
  <c r="EI337" i="25"/>
  <c r="DT337" i="25" s="1"/>
  <c r="EI316" i="25"/>
  <c r="DT316" i="25" s="1"/>
  <c r="EI338" i="25"/>
  <c r="DT338" i="25" s="1"/>
  <c r="EI330" i="25"/>
  <c r="DT330" i="25" s="1"/>
  <c r="EI339" i="25"/>
  <c r="DT339" i="25" s="1"/>
  <c r="EI219" i="25"/>
  <c r="DT219" i="25" s="1"/>
  <c r="EI248" i="25"/>
  <c r="DT248" i="25" s="1"/>
  <c r="EI237" i="25"/>
  <c r="DT237" i="25" s="1"/>
  <c r="EI340" i="25"/>
  <c r="DT340" i="25" s="1"/>
  <c r="EI341" i="25"/>
  <c r="DT341" i="25" s="1"/>
  <c r="EI342" i="25"/>
  <c r="DT342" i="25" s="1"/>
  <c r="EI343" i="25"/>
  <c r="DT343" i="25" s="1"/>
  <c r="EI344" i="25"/>
  <c r="DT344" i="25" s="1"/>
  <c r="EI345" i="25"/>
  <c r="DT345" i="25" s="1"/>
  <c r="EI346" i="25"/>
  <c r="DT346" i="25" s="1"/>
  <c r="EI347" i="25"/>
  <c r="DT347" i="25" s="1"/>
  <c r="EI348" i="25"/>
  <c r="DT348" i="25" s="1"/>
  <c r="EI349" i="25"/>
  <c r="DT349" i="25" s="1"/>
  <c r="EI350" i="25"/>
  <c r="DT350" i="25" s="1"/>
  <c r="EI351" i="25"/>
  <c r="DT351" i="25" s="1"/>
  <c r="EI352" i="25"/>
  <c r="DT352" i="25" s="1"/>
  <c r="EI353" i="25"/>
  <c r="DT353" i="25" s="1"/>
  <c r="EI354" i="25"/>
  <c r="DT354" i="25" s="1"/>
  <c r="EI355" i="25"/>
  <c r="DT355" i="25" s="1"/>
  <c r="EI356" i="25"/>
  <c r="DT356" i="25" s="1"/>
  <c r="EI358" i="25"/>
  <c r="DT358" i="25" s="1"/>
  <c r="EI359" i="25"/>
  <c r="DT359" i="25" s="1"/>
  <c r="EI357" i="25"/>
  <c r="DT357" i="25" s="1"/>
  <c r="EI360" i="25"/>
  <c r="DT360" i="25" s="1"/>
  <c r="EI361" i="25"/>
  <c r="DT361" i="25" s="1"/>
  <c r="EI363" i="25"/>
  <c r="DT363" i="25" s="1"/>
  <c r="EI364" i="25"/>
  <c r="DT364" i="25" s="1"/>
  <c r="EI362" i="25"/>
  <c r="DT362" i="25" s="1"/>
  <c r="EI365" i="25"/>
  <c r="DT365" i="25" s="1"/>
  <c r="EI366" i="25"/>
  <c r="DT366" i="25" s="1"/>
  <c r="EI367" i="25"/>
  <c r="DT367" i="25" s="1"/>
  <c r="EI377" i="25"/>
  <c r="DT377" i="25" s="1"/>
  <c r="EI380" i="25"/>
  <c r="DT380" i="25" s="1"/>
  <c r="EI381" i="25"/>
  <c r="DT381" i="25" s="1"/>
  <c r="EI382" i="25"/>
  <c r="DT382" i="25" s="1"/>
  <c r="EI383" i="25"/>
  <c r="EI385" i="25"/>
  <c r="DT385" i="25" s="1"/>
  <c r="EI387" i="25"/>
  <c r="DT387" i="25" s="1"/>
  <c r="EI373" i="25"/>
  <c r="DT373" i="25" s="1"/>
  <c r="EI374" i="25"/>
  <c r="EI388" i="25"/>
  <c r="DT388" i="25" s="1"/>
  <c r="EI390" i="25"/>
  <c r="DT390" i="25" s="1"/>
  <c r="EI391" i="25"/>
  <c r="DT391" i="25" s="1"/>
  <c r="EI392" i="25"/>
  <c r="DT392" i="25" s="1"/>
  <c r="EI394" i="25"/>
  <c r="DT394" i="25" s="1"/>
  <c r="EI395" i="25"/>
  <c r="DT395" i="25" s="1"/>
  <c r="EI393" i="25"/>
  <c r="DT393" i="25" s="1"/>
  <c r="EJ203" i="25"/>
  <c r="EJ220" i="25"/>
  <c r="EJ206" i="25"/>
  <c r="EJ205" i="25"/>
  <c r="EJ217" i="25"/>
  <c r="EJ210" i="25"/>
  <c r="EJ218" i="25"/>
  <c r="EJ224" i="25"/>
  <c r="EJ211" i="25"/>
  <c r="EJ239" i="25"/>
  <c r="EJ241" i="25"/>
  <c r="EJ242" i="25"/>
  <c r="EJ225" i="25"/>
  <c r="EJ226" i="25"/>
  <c r="EJ204" i="25"/>
  <c r="EJ207" i="25"/>
  <c r="EJ212" i="25"/>
  <c r="EJ213" i="25"/>
  <c r="EJ214" i="25"/>
  <c r="EJ216" i="25"/>
  <c r="EJ235" i="25"/>
  <c r="EJ244" i="25"/>
  <c r="EJ236" i="25"/>
  <c r="EJ215" i="25"/>
  <c r="EJ208" i="25"/>
  <c r="EJ246" i="25"/>
  <c r="EJ229" i="25"/>
  <c r="EJ230" i="25"/>
  <c r="EJ231" i="25"/>
  <c r="EJ232" i="25"/>
  <c r="EJ238" i="25"/>
  <c r="EJ221" i="25"/>
  <c r="EJ222" i="25"/>
  <c r="EJ223" i="25"/>
  <c r="EJ240" i="25"/>
  <c r="EJ209" i="25"/>
  <c r="EJ227" i="25"/>
  <c r="EJ243" i="25"/>
  <c r="EJ245" i="25"/>
  <c r="EJ228" i="25"/>
  <c r="EJ233" i="25"/>
  <c r="EJ247" i="25"/>
  <c r="EJ234" i="25"/>
  <c r="EJ265" i="25"/>
  <c r="EJ256" i="25"/>
  <c r="EJ257" i="25"/>
  <c r="EJ258" i="25"/>
  <c r="EJ249" i="25"/>
  <c r="EJ254" i="25"/>
  <c r="EJ250" i="25"/>
  <c r="EJ266" i="25"/>
  <c r="EJ253" i="25"/>
  <c r="EJ259" i="25"/>
  <c r="EJ251" i="25"/>
  <c r="EJ260" i="25"/>
  <c r="EJ261" i="25"/>
  <c r="EJ262" i="25"/>
  <c r="EJ267" i="25"/>
  <c r="EJ263" i="25"/>
  <c r="EJ255" i="25"/>
  <c r="EJ264" i="25"/>
  <c r="EJ268" i="25"/>
  <c r="EJ269" i="25"/>
  <c r="EJ270" i="25"/>
  <c r="EJ271" i="25"/>
  <c r="EJ376" i="25"/>
  <c r="EJ368" i="25"/>
  <c r="EJ274" i="25"/>
  <c r="EJ294" i="25"/>
  <c r="EJ275" i="25"/>
  <c r="EJ297" i="25"/>
  <c r="EJ296" i="25"/>
  <c r="EJ303" i="25"/>
  <c r="EJ369" i="25"/>
  <c r="EJ277" i="25"/>
  <c r="EJ307" i="25"/>
  <c r="EJ378" i="25"/>
  <c r="EJ379" i="25"/>
  <c r="EJ278" i="25"/>
  <c r="EJ279" i="25"/>
  <c r="EJ276" i="25"/>
  <c r="EJ304" i="25"/>
  <c r="EJ370" i="25"/>
  <c r="EJ305" i="25"/>
  <c r="EJ280" i="25"/>
  <c r="EJ384" i="25"/>
  <c r="EJ281" i="25"/>
  <c r="EJ396" i="25"/>
  <c r="EJ295" i="25"/>
  <c r="EJ375" i="25"/>
  <c r="EJ282" i="25"/>
  <c r="EJ386" i="25"/>
  <c r="EJ300" i="25"/>
  <c r="EJ283" i="25"/>
  <c r="EJ301" i="25"/>
  <c r="EJ302" i="25"/>
  <c r="EJ284" i="25"/>
  <c r="EJ285" i="25"/>
  <c r="EJ272" i="25"/>
  <c r="EJ306" i="25"/>
  <c r="EJ286" i="25"/>
  <c r="EJ287" i="25"/>
  <c r="EJ372" i="25"/>
  <c r="EJ389" i="25"/>
  <c r="EJ273" i="25"/>
  <c r="EJ308" i="25"/>
  <c r="EJ309" i="25"/>
  <c r="EJ310" i="25"/>
  <c r="EJ288" i="25"/>
  <c r="EJ311" i="25"/>
  <c r="EJ312" i="25"/>
  <c r="EJ313" i="25"/>
  <c r="EJ314" i="25"/>
  <c r="EJ318" i="25"/>
  <c r="EJ315" i="25"/>
  <c r="EJ332" i="25"/>
  <c r="EJ333" i="25"/>
  <c r="EJ325" i="25"/>
  <c r="EJ331" i="25"/>
  <c r="EJ326" i="25"/>
  <c r="EJ320" i="25"/>
  <c r="EJ334" i="25"/>
  <c r="EJ335" i="25"/>
  <c r="EJ252" i="25"/>
  <c r="EJ319" i="25"/>
  <c r="EJ298" i="25"/>
  <c r="EJ324" i="25"/>
  <c r="EJ317" i="25"/>
  <c r="EJ327" i="25"/>
  <c r="EJ328" i="25"/>
  <c r="EJ329" i="25"/>
  <c r="EJ371" i="25"/>
  <c r="EJ336" i="25"/>
  <c r="EJ337" i="25"/>
  <c r="EJ316" i="25"/>
  <c r="EJ338" i="25"/>
  <c r="EJ330" i="25"/>
  <c r="EJ339" i="25"/>
  <c r="EJ219" i="25"/>
  <c r="EJ248" i="25"/>
  <c r="EJ237" i="25"/>
  <c r="EJ340" i="25"/>
  <c r="EJ341" i="25"/>
  <c r="EJ342" i="25"/>
  <c r="EJ343" i="25"/>
  <c r="EJ344" i="25"/>
  <c r="EJ345" i="25"/>
  <c r="EJ346" i="25"/>
  <c r="EJ347" i="25"/>
  <c r="EJ348" i="25"/>
  <c r="EJ349" i="25"/>
  <c r="EJ350" i="25"/>
  <c r="EJ351" i="25"/>
  <c r="EJ352" i="25"/>
  <c r="EJ353" i="25"/>
  <c r="EJ354" i="25"/>
  <c r="EJ355" i="25"/>
  <c r="EJ356" i="25"/>
  <c r="EJ358" i="25"/>
  <c r="EJ359" i="25"/>
  <c r="EJ357" i="25"/>
  <c r="EJ360" i="25"/>
  <c r="EJ361" i="25"/>
  <c r="EJ363" i="25"/>
  <c r="EJ364" i="25"/>
  <c r="EJ362" i="25"/>
  <c r="EJ365" i="25"/>
  <c r="EJ366" i="25"/>
  <c r="EJ367" i="25"/>
  <c r="EJ377" i="25"/>
  <c r="EJ380" i="25"/>
  <c r="EJ381" i="25"/>
  <c r="EJ382" i="25"/>
  <c r="EJ383" i="25"/>
  <c r="EJ385" i="25"/>
  <c r="EJ387" i="25"/>
  <c r="EJ373" i="25"/>
  <c r="EJ374" i="25"/>
  <c r="EJ388" i="25"/>
  <c r="EJ390" i="25"/>
  <c r="EJ391" i="25"/>
  <c r="EJ392" i="25"/>
  <c r="EJ394" i="25"/>
  <c r="EJ395" i="25"/>
  <c r="EJ393" i="25"/>
  <c r="EK203" i="25"/>
  <c r="EK220" i="25"/>
  <c r="EK206" i="25"/>
  <c r="EK205" i="25"/>
  <c r="EK217" i="25"/>
  <c r="EK210" i="25"/>
  <c r="EK218" i="25"/>
  <c r="EK224" i="25"/>
  <c r="EK211" i="25"/>
  <c r="EK239" i="25"/>
  <c r="EK241" i="25"/>
  <c r="EK242" i="25"/>
  <c r="EK225" i="25"/>
  <c r="EK226" i="25"/>
  <c r="EK204" i="25"/>
  <c r="EK207" i="25"/>
  <c r="EK212" i="25"/>
  <c r="EK213" i="25"/>
  <c r="EK214" i="25"/>
  <c r="EK216" i="25"/>
  <c r="EK235" i="25"/>
  <c r="EK244" i="25"/>
  <c r="EK236" i="25"/>
  <c r="EK215" i="25"/>
  <c r="EK208" i="25"/>
  <c r="EK246" i="25"/>
  <c r="EK229" i="25"/>
  <c r="EK230" i="25"/>
  <c r="EK231" i="25"/>
  <c r="EK232" i="25"/>
  <c r="EK238" i="25"/>
  <c r="EK221" i="25"/>
  <c r="EK222" i="25"/>
  <c r="EK223" i="25"/>
  <c r="EK240" i="25"/>
  <c r="EK209" i="25"/>
  <c r="EK227" i="25"/>
  <c r="EK243" i="25"/>
  <c r="EK245" i="25"/>
  <c r="EK228" i="25"/>
  <c r="EK233" i="25"/>
  <c r="EK247" i="25"/>
  <c r="EK234" i="25"/>
  <c r="EK265" i="25"/>
  <c r="EK256" i="25"/>
  <c r="EK257" i="25"/>
  <c r="EK258" i="25"/>
  <c r="EK249" i="25"/>
  <c r="EK254" i="25"/>
  <c r="EK250" i="25"/>
  <c r="EK266" i="25"/>
  <c r="EK253" i="25"/>
  <c r="EK259" i="25"/>
  <c r="EK251" i="25"/>
  <c r="EK260" i="25"/>
  <c r="EK261" i="25"/>
  <c r="EK262" i="25"/>
  <c r="EK267" i="25"/>
  <c r="EK263" i="25"/>
  <c r="EK255" i="25"/>
  <c r="EK264" i="25"/>
  <c r="EK268" i="25"/>
  <c r="EK269" i="25"/>
  <c r="EK270" i="25"/>
  <c r="EK271" i="25"/>
  <c r="EK376" i="25"/>
  <c r="EK368" i="25"/>
  <c r="EK274" i="25"/>
  <c r="EK294" i="25"/>
  <c r="EK275" i="25"/>
  <c r="EK297" i="25"/>
  <c r="EK296" i="25"/>
  <c r="EK303" i="25"/>
  <c r="EK369" i="25"/>
  <c r="EK277" i="25"/>
  <c r="EK307" i="25"/>
  <c r="EK378" i="25"/>
  <c r="EK379" i="25"/>
  <c r="EK278" i="25"/>
  <c r="EK279" i="25"/>
  <c r="EK276" i="25"/>
  <c r="EK304" i="25"/>
  <c r="EK370" i="25"/>
  <c r="EK305" i="25"/>
  <c r="EK280" i="25"/>
  <c r="EK384" i="25"/>
  <c r="EK281" i="25"/>
  <c r="EK396" i="25"/>
  <c r="EK295" i="25"/>
  <c r="EK375" i="25"/>
  <c r="EK282" i="25"/>
  <c r="EK386" i="25"/>
  <c r="EK300" i="25"/>
  <c r="EK283" i="25"/>
  <c r="EK301" i="25"/>
  <c r="EK302" i="25"/>
  <c r="EK284" i="25"/>
  <c r="EK285" i="25"/>
  <c r="EK272" i="25"/>
  <c r="EK306" i="25"/>
  <c r="EK286" i="25"/>
  <c r="EK287" i="25"/>
  <c r="EK372" i="25"/>
  <c r="EK389" i="25"/>
  <c r="EK273" i="25"/>
  <c r="EK308" i="25"/>
  <c r="EK309" i="25"/>
  <c r="EK310" i="25"/>
  <c r="EK288" i="25"/>
  <c r="EK311" i="25"/>
  <c r="EK312" i="25"/>
  <c r="EK313" i="25"/>
  <c r="EK314" i="25"/>
  <c r="EK318" i="25"/>
  <c r="EK315" i="25"/>
  <c r="EK332" i="25"/>
  <c r="EK333" i="25"/>
  <c r="EK325" i="25"/>
  <c r="EK331" i="25"/>
  <c r="EK326" i="25"/>
  <c r="EK320" i="25"/>
  <c r="EK334" i="25"/>
  <c r="EK335" i="25"/>
  <c r="EK252" i="25"/>
  <c r="EK319" i="25"/>
  <c r="EK298" i="25"/>
  <c r="EK324" i="25"/>
  <c r="EK317" i="25"/>
  <c r="EK327" i="25"/>
  <c r="EK328" i="25"/>
  <c r="EK329" i="25"/>
  <c r="EK371" i="25"/>
  <c r="EK336" i="25"/>
  <c r="EK337" i="25"/>
  <c r="EK316" i="25"/>
  <c r="EK338" i="25"/>
  <c r="EK330" i="25"/>
  <c r="EK339" i="25"/>
  <c r="EK219" i="25"/>
  <c r="EK248" i="25"/>
  <c r="EK237" i="25"/>
  <c r="EK340" i="25"/>
  <c r="EK341" i="25"/>
  <c r="EK342" i="25"/>
  <c r="EK343" i="25"/>
  <c r="EK344" i="25"/>
  <c r="EK345" i="25"/>
  <c r="EK346" i="25"/>
  <c r="EK347" i="25"/>
  <c r="EK348" i="25"/>
  <c r="EK349" i="25"/>
  <c r="EK350" i="25"/>
  <c r="EK351" i="25"/>
  <c r="EK352" i="25"/>
  <c r="EK353" i="25"/>
  <c r="EK354" i="25"/>
  <c r="EK355" i="25"/>
  <c r="EK356" i="25"/>
  <c r="EK358" i="25"/>
  <c r="EK359" i="25"/>
  <c r="EK357" i="25"/>
  <c r="EK360" i="25"/>
  <c r="EK361" i="25"/>
  <c r="EK363" i="25"/>
  <c r="EK364" i="25"/>
  <c r="EK362" i="25"/>
  <c r="EK365" i="25"/>
  <c r="EK366" i="25"/>
  <c r="EK367" i="25"/>
  <c r="EK377" i="25"/>
  <c r="EK380" i="25"/>
  <c r="EK381" i="25"/>
  <c r="EK382" i="25"/>
  <c r="EK383" i="25"/>
  <c r="EK385" i="25"/>
  <c r="EK387" i="25"/>
  <c r="EK373" i="25"/>
  <c r="EK374" i="25"/>
  <c r="EK388" i="25"/>
  <c r="EK390" i="25"/>
  <c r="EK391" i="25"/>
  <c r="EK392" i="25"/>
  <c r="EK394" i="25"/>
  <c r="EK395" i="25"/>
  <c r="EK393" i="25"/>
  <c r="EL203" i="25"/>
  <c r="EL220" i="25"/>
  <c r="EL206" i="25"/>
  <c r="EL205" i="25"/>
  <c r="EL217" i="25"/>
  <c r="EL210" i="25"/>
  <c r="EL218" i="25"/>
  <c r="EL224" i="25"/>
  <c r="EL211" i="25"/>
  <c r="EL239" i="25"/>
  <c r="EL241" i="25"/>
  <c r="EL242" i="25"/>
  <c r="EL225" i="25"/>
  <c r="EL226" i="25"/>
  <c r="EL204" i="25"/>
  <c r="EL207" i="25"/>
  <c r="EL212" i="25"/>
  <c r="EL213" i="25"/>
  <c r="EL214" i="25"/>
  <c r="EL216" i="25"/>
  <c r="EL235" i="25"/>
  <c r="EL244" i="25"/>
  <c r="EL236" i="25"/>
  <c r="EL215" i="25"/>
  <c r="EL208" i="25"/>
  <c r="EL246" i="25"/>
  <c r="EL229" i="25"/>
  <c r="EL230" i="25"/>
  <c r="EL231" i="25"/>
  <c r="EL232" i="25"/>
  <c r="EL238" i="25"/>
  <c r="EL221" i="25"/>
  <c r="EL222" i="25"/>
  <c r="EL223" i="25"/>
  <c r="EL240" i="25"/>
  <c r="EL209" i="25"/>
  <c r="EL227" i="25"/>
  <c r="EL243" i="25"/>
  <c r="EL245" i="25"/>
  <c r="EL228" i="25"/>
  <c r="EL233" i="25"/>
  <c r="EL247" i="25"/>
  <c r="EL234" i="25"/>
  <c r="EL265" i="25"/>
  <c r="EL256" i="25"/>
  <c r="EL257" i="25"/>
  <c r="EL258" i="25"/>
  <c r="EL249" i="25"/>
  <c r="EL254" i="25"/>
  <c r="EL250" i="25"/>
  <c r="EL266" i="25"/>
  <c r="EL253" i="25"/>
  <c r="EL259" i="25"/>
  <c r="EL251" i="25"/>
  <c r="EL260" i="25"/>
  <c r="EL261" i="25"/>
  <c r="EL262" i="25"/>
  <c r="EL267" i="25"/>
  <c r="EL263" i="25"/>
  <c r="EL255" i="25"/>
  <c r="EL264" i="25"/>
  <c r="EL268" i="25"/>
  <c r="EL269" i="25"/>
  <c r="EL270" i="25"/>
  <c r="EL271" i="25"/>
  <c r="EL376" i="25"/>
  <c r="EL368" i="25"/>
  <c r="EL274" i="25"/>
  <c r="EL294" i="25"/>
  <c r="EL275" i="25"/>
  <c r="EL297" i="25"/>
  <c r="EL296" i="25"/>
  <c r="EL303" i="25"/>
  <c r="EL369" i="25"/>
  <c r="EL277" i="25"/>
  <c r="EL307" i="25"/>
  <c r="EL378" i="25"/>
  <c r="EL379" i="25"/>
  <c r="EL278" i="25"/>
  <c r="EL279" i="25"/>
  <c r="EL276" i="25"/>
  <c r="EL304" i="25"/>
  <c r="EL370" i="25"/>
  <c r="EL305" i="25"/>
  <c r="EL280" i="25"/>
  <c r="EL384" i="25"/>
  <c r="EL281" i="25"/>
  <c r="EL396" i="25"/>
  <c r="EL295" i="25"/>
  <c r="EL375" i="25"/>
  <c r="EL282" i="25"/>
  <c r="EL386" i="25"/>
  <c r="EL300" i="25"/>
  <c r="EL283" i="25"/>
  <c r="EL301" i="25"/>
  <c r="EL302" i="25"/>
  <c r="EL284" i="25"/>
  <c r="EL285" i="25"/>
  <c r="EL272" i="25"/>
  <c r="EL306" i="25"/>
  <c r="EL286" i="25"/>
  <c r="EL287" i="25"/>
  <c r="EL372" i="25"/>
  <c r="EL389" i="25"/>
  <c r="EL273" i="25"/>
  <c r="EL308" i="25"/>
  <c r="EL309" i="25"/>
  <c r="EL310" i="25"/>
  <c r="EL288" i="25"/>
  <c r="EL311" i="25"/>
  <c r="EL312" i="25"/>
  <c r="EL313" i="25"/>
  <c r="EL314" i="25"/>
  <c r="EL318" i="25"/>
  <c r="EL315" i="25"/>
  <c r="EL332" i="25"/>
  <c r="EL333" i="25"/>
  <c r="EL325" i="25"/>
  <c r="EL331" i="25"/>
  <c r="EL326" i="25"/>
  <c r="EL320" i="25"/>
  <c r="EL334" i="25"/>
  <c r="EL335" i="25"/>
  <c r="EL252" i="25"/>
  <c r="EL319" i="25"/>
  <c r="EL298" i="25"/>
  <c r="EL324" i="25"/>
  <c r="EL317" i="25"/>
  <c r="EL327" i="25"/>
  <c r="EL328" i="25"/>
  <c r="EL329" i="25"/>
  <c r="EL371" i="25"/>
  <c r="EL336" i="25"/>
  <c r="EL337" i="25"/>
  <c r="EL316" i="25"/>
  <c r="EL338" i="25"/>
  <c r="EL330" i="25"/>
  <c r="EL339" i="25"/>
  <c r="EL219" i="25"/>
  <c r="EL248" i="25"/>
  <c r="EL237" i="25"/>
  <c r="EL340" i="25"/>
  <c r="EL341" i="25"/>
  <c r="EL342" i="25"/>
  <c r="EL343" i="25"/>
  <c r="EL344" i="25"/>
  <c r="EL345" i="25"/>
  <c r="EL346" i="25"/>
  <c r="EL347" i="25"/>
  <c r="EL348" i="25"/>
  <c r="EL349" i="25"/>
  <c r="EL350" i="25"/>
  <c r="EL351" i="25"/>
  <c r="EL352" i="25"/>
  <c r="EL353" i="25"/>
  <c r="EL354" i="25"/>
  <c r="EL355" i="25"/>
  <c r="EL356" i="25"/>
  <c r="EL358" i="25"/>
  <c r="EL359" i="25"/>
  <c r="EL357" i="25"/>
  <c r="EL360" i="25"/>
  <c r="EL361" i="25"/>
  <c r="EL363" i="25"/>
  <c r="EL364" i="25"/>
  <c r="EL362" i="25"/>
  <c r="EL365" i="25"/>
  <c r="EL366" i="25"/>
  <c r="EL367" i="25"/>
  <c r="EL377" i="25"/>
  <c r="EL380" i="25"/>
  <c r="EL381" i="25"/>
  <c r="EL382" i="25"/>
  <c r="EL383" i="25"/>
  <c r="EL385" i="25"/>
  <c r="EL387" i="25"/>
  <c r="EL373" i="25"/>
  <c r="EL374" i="25"/>
  <c r="EL388" i="25"/>
  <c r="EL390" i="25"/>
  <c r="EL391" i="25"/>
  <c r="EL392" i="25"/>
  <c r="EL394" i="25"/>
  <c r="EL395" i="25"/>
  <c r="EL393" i="25"/>
  <c r="EM203" i="25"/>
  <c r="EM220" i="25"/>
  <c r="EM206" i="25"/>
  <c r="EM205" i="25"/>
  <c r="EM217" i="25"/>
  <c r="EM210" i="25"/>
  <c r="EM218" i="25"/>
  <c r="EM224" i="25"/>
  <c r="EM211" i="25"/>
  <c r="EM239" i="25"/>
  <c r="EM241" i="25"/>
  <c r="EM242" i="25"/>
  <c r="EM225" i="25"/>
  <c r="EM226" i="25"/>
  <c r="EM204" i="25"/>
  <c r="EM207" i="25"/>
  <c r="EM212" i="25"/>
  <c r="EM213" i="25"/>
  <c r="EM214" i="25"/>
  <c r="EM216" i="25"/>
  <c r="EM235" i="25"/>
  <c r="EM244" i="25"/>
  <c r="EM236" i="25"/>
  <c r="EM215" i="25"/>
  <c r="EM208" i="25"/>
  <c r="EM246" i="25"/>
  <c r="EM229" i="25"/>
  <c r="EM230" i="25"/>
  <c r="EM231" i="25"/>
  <c r="EM232" i="25"/>
  <c r="EM238" i="25"/>
  <c r="EM221" i="25"/>
  <c r="EM222" i="25"/>
  <c r="EM223" i="25"/>
  <c r="EM240" i="25"/>
  <c r="EM209" i="25"/>
  <c r="EM227" i="25"/>
  <c r="EM243" i="25"/>
  <c r="EM245" i="25"/>
  <c r="EM228" i="25"/>
  <c r="EM233" i="25"/>
  <c r="EM247" i="25"/>
  <c r="EM234" i="25"/>
  <c r="EM265" i="25"/>
  <c r="EM256" i="25"/>
  <c r="EM257" i="25"/>
  <c r="EM258" i="25"/>
  <c r="EM249" i="25"/>
  <c r="EM254" i="25"/>
  <c r="EM250" i="25"/>
  <c r="EM266" i="25"/>
  <c r="EM253" i="25"/>
  <c r="EM259" i="25"/>
  <c r="EM251" i="25"/>
  <c r="EM260" i="25"/>
  <c r="EM261" i="25"/>
  <c r="EM262" i="25"/>
  <c r="EM267" i="25"/>
  <c r="EM263" i="25"/>
  <c r="EM255" i="25"/>
  <c r="EM264" i="25"/>
  <c r="EM268" i="25"/>
  <c r="EM269" i="25"/>
  <c r="EM270" i="25"/>
  <c r="EM271" i="25"/>
  <c r="EM376" i="25"/>
  <c r="EM368" i="25"/>
  <c r="EM274" i="25"/>
  <c r="EM294" i="25"/>
  <c r="EM275" i="25"/>
  <c r="EM297" i="25"/>
  <c r="EM296" i="25"/>
  <c r="EM303" i="25"/>
  <c r="EM369" i="25"/>
  <c r="EM277" i="25"/>
  <c r="EM307" i="25"/>
  <c r="EM378" i="25"/>
  <c r="EM379" i="25"/>
  <c r="EM278" i="25"/>
  <c r="EM279" i="25"/>
  <c r="EM276" i="25"/>
  <c r="EM304" i="25"/>
  <c r="EM370" i="25"/>
  <c r="EM305" i="25"/>
  <c r="EM280" i="25"/>
  <c r="EM384" i="25"/>
  <c r="EM281" i="25"/>
  <c r="EM396" i="25"/>
  <c r="EM295" i="25"/>
  <c r="EM375" i="25"/>
  <c r="EM282" i="25"/>
  <c r="EM386" i="25"/>
  <c r="EM300" i="25"/>
  <c r="EM283" i="25"/>
  <c r="EM301" i="25"/>
  <c r="EM302" i="25"/>
  <c r="EM284" i="25"/>
  <c r="EM285" i="25"/>
  <c r="EM272" i="25"/>
  <c r="EM306" i="25"/>
  <c r="EM286" i="25"/>
  <c r="EM287" i="25"/>
  <c r="EM372" i="25"/>
  <c r="EM389" i="25"/>
  <c r="EM273" i="25"/>
  <c r="EM308" i="25"/>
  <c r="EM309" i="25"/>
  <c r="EM310" i="25"/>
  <c r="EM288" i="25"/>
  <c r="EM311" i="25"/>
  <c r="EM312" i="25"/>
  <c r="EM313" i="25"/>
  <c r="EM314" i="25"/>
  <c r="EM318" i="25"/>
  <c r="EM315" i="25"/>
  <c r="EM332" i="25"/>
  <c r="EM333" i="25"/>
  <c r="EM325" i="25"/>
  <c r="EM331" i="25"/>
  <c r="EM326" i="25"/>
  <c r="EM320" i="25"/>
  <c r="EM334" i="25"/>
  <c r="EM335" i="25"/>
  <c r="EM252" i="25"/>
  <c r="EM319" i="25"/>
  <c r="EM298" i="25"/>
  <c r="EM324" i="25"/>
  <c r="EM317" i="25"/>
  <c r="EM327" i="25"/>
  <c r="EM328" i="25"/>
  <c r="EM329" i="25"/>
  <c r="EM371" i="25"/>
  <c r="EM336" i="25"/>
  <c r="EM337" i="25"/>
  <c r="EM316" i="25"/>
  <c r="EM338" i="25"/>
  <c r="EM330" i="25"/>
  <c r="EM339" i="25"/>
  <c r="EM219" i="25"/>
  <c r="EM248" i="25"/>
  <c r="EM237" i="25"/>
  <c r="EM340" i="25"/>
  <c r="EM341" i="25"/>
  <c r="EM342" i="25"/>
  <c r="EM343" i="25"/>
  <c r="EM344" i="25"/>
  <c r="EM345" i="25"/>
  <c r="EM346" i="25"/>
  <c r="EM347" i="25"/>
  <c r="EM348" i="25"/>
  <c r="EM349" i="25"/>
  <c r="EM350" i="25"/>
  <c r="EM351" i="25"/>
  <c r="EM352" i="25"/>
  <c r="EM353" i="25"/>
  <c r="EM354" i="25"/>
  <c r="EM355" i="25"/>
  <c r="EM356" i="25"/>
  <c r="EM358" i="25"/>
  <c r="EM359" i="25"/>
  <c r="EM357" i="25"/>
  <c r="EM360" i="25"/>
  <c r="EM361" i="25"/>
  <c r="EM363" i="25"/>
  <c r="EM364" i="25"/>
  <c r="EM362" i="25"/>
  <c r="EM365" i="25"/>
  <c r="EM366" i="25"/>
  <c r="EM367" i="25"/>
  <c r="EM377" i="25"/>
  <c r="EM380" i="25"/>
  <c r="EM381" i="25"/>
  <c r="EM382" i="25"/>
  <c r="EM383" i="25"/>
  <c r="EM385" i="25"/>
  <c r="EM387" i="25"/>
  <c r="EM373" i="25"/>
  <c r="EM374" i="25"/>
  <c r="EM388" i="25"/>
  <c r="EM390" i="25"/>
  <c r="EM391" i="25"/>
  <c r="EM392" i="25"/>
  <c r="EM394" i="25"/>
  <c r="EM395" i="25"/>
  <c r="EM393" i="25"/>
  <c r="EO203" i="25"/>
  <c r="EO220" i="25"/>
  <c r="EO206" i="25"/>
  <c r="EO205" i="25"/>
  <c r="EO217" i="25"/>
  <c r="EO210" i="25"/>
  <c r="EO218" i="25"/>
  <c r="EO224" i="25"/>
  <c r="EO211" i="25"/>
  <c r="EO239" i="25"/>
  <c r="EO241" i="25"/>
  <c r="EO242" i="25"/>
  <c r="EO225" i="25"/>
  <c r="EO226" i="25"/>
  <c r="EO204" i="25"/>
  <c r="EO207" i="25"/>
  <c r="EO212" i="25"/>
  <c r="EO213" i="25"/>
  <c r="EO214" i="25"/>
  <c r="EO216" i="25"/>
  <c r="EO235" i="25"/>
  <c r="EO244" i="25"/>
  <c r="EO236" i="25"/>
  <c r="EO215" i="25"/>
  <c r="EO208" i="25"/>
  <c r="EO246" i="25"/>
  <c r="EO229" i="25"/>
  <c r="EO230" i="25"/>
  <c r="EO231" i="25"/>
  <c r="EO232" i="25"/>
  <c r="EO238" i="25"/>
  <c r="EO221" i="25"/>
  <c r="EO222" i="25"/>
  <c r="EO223" i="25"/>
  <c r="EO240" i="25"/>
  <c r="EO209" i="25"/>
  <c r="EO227" i="25"/>
  <c r="EO243" i="25"/>
  <c r="EO245" i="25"/>
  <c r="EO228" i="25"/>
  <c r="EO233" i="25"/>
  <c r="EO247" i="25"/>
  <c r="EO234" i="25"/>
  <c r="EO265" i="25"/>
  <c r="EO256" i="25"/>
  <c r="EO257" i="25"/>
  <c r="EO258" i="25"/>
  <c r="EO249" i="25"/>
  <c r="EO254" i="25"/>
  <c r="EO250" i="25"/>
  <c r="EO266" i="25"/>
  <c r="EO253" i="25"/>
  <c r="EO259" i="25"/>
  <c r="EO251" i="25"/>
  <c r="EO260" i="25"/>
  <c r="EO261" i="25"/>
  <c r="EO262" i="25"/>
  <c r="EO267" i="25"/>
  <c r="EO263" i="25"/>
  <c r="EO255" i="25"/>
  <c r="EO264" i="25"/>
  <c r="EO268" i="25"/>
  <c r="EO269" i="25"/>
  <c r="EO270" i="25"/>
  <c r="EO271" i="25"/>
  <c r="EO376" i="25"/>
  <c r="EO368" i="25"/>
  <c r="EO274" i="25"/>
  <c r="EO294" i="25"/>
  <c r="EO275" i="25"/>
  <c r="EO297" i="25"/>
  <c r="EO296" i="25"/>
  <c r="EO303" i="25"/>
  <c r="EO369" i="25"/>
  <c r="EO277" i="25"/>
  <c r="EO307" i="25"/>
  <c r="EO378" i="25"/>
  <c r="EO379" i="25"/>
  <c r="EO278" i="25"/>
  <c r="EO279" i="25"/>
  <c r="EO276" i="25"/>
  <c r="EO304" i="25"/>
  <c r="EO370" i="25"/>
  <c r="EO305" i="25"/>
  <c r="EO280" i="25"/>
  <c r="EO384" i="25"/>
  <c r="EO281" i="25"/>
  <c r="EO396" i="25"/>
  <c r="EO295" i="25"/>
  <c r="EO375" i="25"/>
  <c r="EO282" i="25"/>
  <c r="EO386" i="25"/>
  <c r="EO300" i="25"/>
  <c r="EO283" i="25"/>
  <c r="EO301" i="25"/>
  <c r="EO302" i="25"/>
  <c r="EO284" i="25"/>
  <c r="EO285" i="25"/>
  <c r="EO272" i="25"/>
  <c r="EO306" i="25"/>
  <c r="EO286" i="25"/>
  <c r="EO287" i="25"/>
  <c r="EO372" i="25"/>
  <c r="EO389" i="25"/>
  <c r="EO273" i="25"/>
  <c r="EO308" i="25"/>
  <c r="EO309" i="25"/>
  <c r="EO310" i="25"/>
  <c r="EO288" i="25"/>
  <c r="EO311" i="25"/>
  <c r="EO312" i="25"/>
  <c r="EO313" i="25"/>
  <c r="EO314" i="25"/>
  <c r="EO318" i="25"/>
  <c r="EO315" i="25"/>
  <c r="EO332" i="25"/>
  <c r="EO333" i="25"/>
  <c r="EO325" i="25"/>
  <c r="EO331" i="25"/>
  <c r="EO326" i="25"/>
  <c r="EO320" i="25"/>
  <c r="EO334" i="25"/>
  <c r="EO335" i="25"/>
  <c r="EO252" i="25"/>
  <c r="EO319" i="25"/>
  <c r="EO298" i="25"/>
  <c r="EO324" i="25"/>
  <c r="EO317" i="25"/>
  <c r="EO327" i="25"/>
  <c r="EO328" i="25"/>
  <c r="EO329" i="25"/>
  <c r="EO371" i="25"/>
  <c r="EO336" i="25"/>
  <c r="EO337" i="25"/>
  <c r="EO316" i="25"/>
  <c r="EO338" i="25"/>
  <c r="EO330" i="25"/>
  <c r="EO339" i="25"/>
  <c r="EO219" i="25"/>
  <c r="EO248" i="25"/>
  <c r="EO237" i="25"/>
  <c r="EO340" i="25"/>
  <c r="EO341" i="25"/>
  <c r="EO342" i="25"/>
  <c r="EO343" i="25"/>
  <c r="EO344" i="25"/>
  <c r="EO345" i="25"/>
  <c r="EO346" i="25"/>
  <c r="EO347" i="25"/>
  <c r="EO348" i="25"/>
  <c r="EO349" i="25"/>
  <c r="EO350" i="25"/>
  <c r="EO351" i="25"/>
  <c r="EO352" i="25"/>
  <c r="EO353" i="25"/>
  <c r="EO354" i="25"/>
  <c r="EO355" i="25"/>
  <c r="EO356" i="25"/>
  <c r="EO358" i="25"/>
  <c r="EO359" i="25"/>
  <c r="EO357" i="25"/>
  <c r="EO360" i="25"/>
  <c r="EO361" i="25"/>
  <c r="EO363" i="25"/>
  <c r="EO364" i="25"/>
  <c r="EO362" i="25"/>
  <c r="EO365" i="25"/>
  <c r="EO366" i="25"/>
  <c r="EO367" i="25"/>
  <c r="EO377" i="25"/>
  <c r="EO380" i="25"/>
  <c r="EO381" i="25"/>
  <c r="EO382" i="25"/>
  <c r="EO383" i="25"/>
  <c r="EO385" i="25"/>
  <c r="EO387" i="25"/>
  <c r="EO373" i="25"/>
  <c r="EO374" i="25"/>
  <c r="EO388" i="25"/>
  <c r="EO390" i="25"/>
  <c r="EO391" i="25"/>
  <c r="EO392" i="25"/>
  <c r="EO394" i="25"/>
  <c r="EO395" i="25"/>
  <c r="EO393" i="25"/>
  <c r="EP203" i="25"/>
  <c r="EP220" i="25"/>
  <c r="EP206" i="25"/>
  <c r="EP205" i="25"/>
  <c r="EP217" i="25"/>
  <c r="EP210" i="25"/>
  <c r="EP218" i="25"/>
  <c r="EP224" i="25"/>
  <c r="EP211" i="25"/>
  <c r="EP239" i="25"/>
  <c r="EP241" i="25"/>
  <c r="EP242" i="25"/>
  <c r="EP225" i="25"/>
  <c r="EP226" i="25"/>
  <c r="EP204" i="25"/>
  <c r="EP207" i="25"/>
  <c r="EP212" i="25"/>
  <c r="EP213" i="25"/>
  <c r="EP214" i="25"/>
  <c r="EP216" i="25"/>
  <c r="EP235" i="25"/>
  <c r="EP244" i="25"/>
  <c r="EP236" i="25"/>
  <c r="EP215" i="25"/>
  <c r="EP208" i="25"/>
  <c r="EP246" i="25"/>
  <c r="EP229" i="25"/>
  <c r="EP230" i="25"/>
  <c r="EP231" i="25"/>
  <c r="EP232" i="25"/>
  <c r="EP238" i="25"/>
  <c r="EP221" i="25"/>
  <c r="EP222" i="25"/>
  <c r="EP223" i="25"/>
  <c r="EP240" i="25"/>
  <c r="EP209" i="25"/>
  <c r="EP227" i="25"/>
  <c r="EP243" i="25"/>
  <c r="EP245" i="25"/>
  <c r="EP228" i="25"/>
  <c r="EP233" i="25"/>
  <c r="EP247" i="25"/>
  <c r="EP234" i="25"/>
  <c r="EP265" i="25"/>
  <c r="EP256" i="25"/>
  <c r="EP257" i="25"/>
  <c r="EP258" i="25"/>
  <c r="EP249" i="25"/>
  <c r="EP254" i="25"/>
  <c r="EP250" i="25"/>
  <c r="EP266" i="25"/>
  <c r="EP253" i="25"/>
  <c r="EP259" i="25"/>
  <c r="EP251" i="25"/>
  <c r="EP260" i="25"/>
  <c r="EP261" i="25"/>
  <c r="EP262" i="25"/>
  <c r="EP267" i="25"/>
  <c r="EP263" i="25"/>
  <c r="EP255" i="25"/>
  <c r="EP264" i="25"/>
  <c r="EP268" i="25"/>
  <c r="EP269" i="25"/>
  <c r="EP270" i="25"/>
  <c r="EP271" i="25"/>
  <c r="EP376" i="25"/>
  <c r="EP368" i="25"/>
  <c r="EP274" i="25"/>
  <c r="EP294" i="25"/>
  <c r="EP275" i="25"/>
  <c r="EP297" i="25"/>
  <c r="EP296" i="25"/>
  <c r="EP303" i="25"/>
  <c r="EP369" i="25"/>
  <c r="EP277" i="25"/>
  <c r="EP307" i="25"/>
  <c r="EP378" i="25"/>
  <c r="EP379" i="25"/>
  <c r="EP278" i="25"/>
  <c r="EP279" i="25"/>
  <c r="EP276" i="25"/>
  <c r="EP304" i="25"/>
  <c r="EP370" i="25"/>
  <c r="EP305" i="25"/>
  <c r="EP280" i="25"/>
  <c r="EP384" i="25"/>
  <c r="EP281" i="25"/>
  <c r="EP396" i="25"/>
  <c r="EP295" i="25"/>
  <c r="EP375" i="25"/>
  <c r="EP282" i="25"/>
  <c r="EP386" i="25"/>
  <c r="EP300" i="25"/>
  <c r="EP283" i="25"/>
  <c r="EP301" i="25"/>
  <c r="EP302" i="25"/>
  <c r="EP284" i="25"/>
  <c r="EP285" i="25"/>
  <c r="EP272" i="25"/>
  <c r="EP306" i="25"/>
  <c r="EP286" i="25"/>
  <c r="EP287" i="25"/>
  <c r="EP372" i="25"/>
  <c r="EP389" i="25"/>
  <c r="EP273" i="25"/>
  <c r="EP308" i="25"/>
  <c r="EP309" i="25"/>
  <c r="EP310" i="25"/>
  <c r="EP288" i="25"/>
  <c r="EP311" i="25"/>
  <c r="EP312" i="25"/>
  <c r="EP313" i="25"/>
  <c r="EP314" i="25"/>
  <c r="EP318" i="25"/>
  <c r="EP315" i="25"/>
  <c r="EP332" i="25"/>
  <c r="EP333" i="25"/>
  <c r="EP325" i="25"/>
  <c r="EP331" i="25"/>
  <c r="EP326" i="25"/>
  <c r="EP320" i="25"/>
  <c r="EP334" i="25"/>
  <c r="EP335" i="25"/>
  <c r="EP252" i="25"/>
  <c r="EP319" i="25"/>
  <c r="EP298" i="25"/>
  <c r="EP324" i="25"/>
  <c r="EP317" i="25"/>
  <c r="EP327" i="25"/>
  <c r="EP328" i="25"/>
  <c r="EP329" i="25"/>
  <c r="EP371" i="25"/>
  <c r="EP336" i="25"/>
  <c r="EP337" i="25"/>
  <c r="EP316" i="25"/>
  <c r="EP338" i="25"/>
  <c r="EP330" i="25"/>
  <c r="EP339" i="25"/>
  <c r="EP219" i="25"/>
  <c r="EP248" i="25"/>
  <c r="EP237" i="25"/>
  <c r="EP340" i="25"/>
  <c r="EP341" i="25"/>
  <c r="EP342" i="25"/>
  <c r="EP343" i="25"/>
  <c r="EP344" i="25"/>
  <c r="EP345" i="25"/>
  <c r="EP346" i="25"/>
  <c r="EP347" i="25"/>
  <c r="EP348" i="25"/>
  <c r="EP349" i="25"/>
  <c r="EP350" i="25"/>
  <c r="EP351" i="25"/>
  <c r="EP352" i="25"/>
  <c r="EP353" i="25"/>
  <c r="EP354" i="25"/>
  <c r="EP355" i="25"/>
  <c r="EP356" i="25"/>
  <c r="EP358" i="25"/>
  <c r="EP359" i="25"/>
  <c r="EP357" i="25"/>
  <c r="EP360" i="25"/>
  <c r="EP361" i="25"/>
  <c r="EP363" i="25"/>
  <c r="EP364" i="25"/>
  <c r="EP362" i="25"/>
  <c r="EP365" i="25"/>
  <c r="EP366" i="25"/>
  <c r="EP367" i="25"/>
  <c r="EP377" i="25"/>
  <c r="EP380" i="25"/>
  <c r="EP381" i="25"/>
  <c r="EP382" i="25"/>
  <c r="EP383" i="25"/>
  <c r="EP385" i="25"/>
  <c r="EP387" i="25"/>
  <c r="EP373" i="25"/>
  <c r="EP374" i="25"/>
  <c r="EP388" i="25"/>
  <c r="EP390" i="25"/>
  <c r="EP391" i="25"/>
  <c r="EP392" i="25"/>
  <c r="EP394" i="25"/>
  <c r="EP395" i="25"/>
  <c r="EP393" i="25"/>
  <c r="R220" i="89"/>
  <c r="R221" i="89"/>
  <c r="R222" i="89"/>
  <c r="R223" i="89"/>
  <c r="R224" i="89"/>
  <c r="R225" i="89"/>
  <c r="D221" i="89"/>
  <c r="D220" i="89"/>
  <c r="D222" i="89"/>
  <c r="D223" i="89"/>
  <c r="D224" i="89"/>
  <c r="D225" i="89"/>
  <c r="N164" i="89"/>
  <c r="M164" i="89"/>
  <c r="W163" i="89"/>
  <c r="S162" i="89"/>
  <c r="U161" i="89"/>
  <c r="X159" i="89"/>
  <c r="S158" i="89"/>
  <c r="U157" i="89"/>
  <c r="W156" i="89"/>
  <c r="X155" i="89"/>
  <c r="S154" i="89"/>
  <c r="U153" i="89"/>
  <c r="W152" i="89"/>
  <c r="S150" i="89"/>
  <c r="U149" i="89"/>
  <c r="W148" i="89"/>
  <c r="W147" i="89"/>
  <c r="S146" i="89"/>
  <c r="M145" i="89"/>
  <c r="M126" i="89"/>
  <c r="M113" i="89"/>
  <c r="M81" i="89"/>
  <c r="M43" i="89"/>
  <c r="DD301" i="25" l="1"/>
  <c r="DC301" i="25" s="1"/>
  <c r="DJ301" i="25" s="1"/>
  <c r="DD363" i="25"/>
  <c r="DC363" i="25" s="1"/>
  <c r="DJ363" i="25" s="1"/>
  <c r="DD260" i="25"/>
  <c r="DC260" i="25" s="1"/>
  <c r="DJ260" i="25" s="1"/>
  <c r="DD238" i="25"/>
  <c r="DC238" i="25" s="1"/>
  <c r="DJ238" i="25" s="1"/>
  <c r="EC304" i="25"/>
  <c r="EC246" i="25"/>
  <c r="ED211" i="25"/>
  <c r="EC348" i="25"/>
  <c r="DC356" i="25"/>
  <c r="DJ356" i="25" s="1"/>
  <c r="DD334" i="25"/>
  <c r="DC334" i="25" s="1"/>
  <c r="DJ334" i="25" s="1"/>
  <c r="DW211" i="25"/>
  <c r="ED222" i="25"/>
  <c r="ED349" i="25"/>
  <c r="EC392" i="25"/>
  <c r="EC366" i="25"/>
  <c r="EC359" i="25"/>
  <c r="ED284" i="25"/>
  <c r="ED276" i="25"/>
  <c r="ED303" i="25"/>
  <c r="ED262" i="25"/>
  <c r="ED212" i="25"/>
  <c r="EC356" i="25"/>
  <c r="EC340" i="25"/>
  <c r="EC273" i="25"/>
  <c r="EC375" i="25"/>
  <c r="EC247" i="25"/>
  <c r="EC223" i="25"/>
  <c r="DY393" i="25"/>
  <c r="ED377" i="25"/>
  <c r="ED354" i="25"/>
  <c r="ED248" i="25"/>
  <c r="ED337" i="25"/>
  <c r="ED324" i="25"/>
  <c r="ED331" i="25"/>
  <c r="ED312" i="25"/>
  <c r="ED372" i="25"/>
  <c r="ED302" i="25"/>
  <c r="ED396" i="25"/>
  <c r="ED279" i="25"/>
  <c r="ED296" i="25"/>
  <c r="ED270" i="25"/>
  <c r="ED261" i="25"/>
  <c r="ED249" i="25"/>
  <c r="ED228" i="25"/>
  <c r="ED221" i="25"/>
  <c r="ED215" i="25"/>
  <c r="ED207" i="25"/>
  <c r="EC388" i="25"/>
  <c r="EC380" i="25"/>
  <c r="EC364" i="25"/>
  <c r="EC355" i="25"/>
  <c r="EC347" i="25"/>
  <c r="EC237" i="25"/>
  <c r="EC316" i="25"/>
  <c r="EC284" i="25"/>
  <c r="EC222" i="25"/>
  <c r="DD231" i="25"/>
  <c r="DC231" i="25" s="1"/>
  <c r="DJ231" i="25" s="1"/>
  <c r="ED393" i="25"/>
  <c r="ED373" i="25"/>
  <c r="ED345" i="25"/>
  <c r="ED219" i="25"/>
  <c r="ED336" i="25"/>
  <c r="ED301" i="25"/>
  <c r="ED281" i="25"/>
  <c r="ED258" i="25"/>
  <c r="EC374" i="25"/>
  <c r="EC346" i="25"/>
  <c r="EC337" i="25"/>
  <c r="EC324" i="25"/>
  <c r="EC372" i="25"/>
  <c r="EC302" i="25"/>
  <c r="EC279" i="25"/>
  <c r="EC296" i="25"/>
  <c r="EC270" i="25"/>
  <c r="EC249" i="25"/>
  <c r="EC228" i="25"/>
  <c r="EC215" i="25"/>
  <c r="EC207" i="25"/>
  <c r="EC231" i="25"/>
  <c r="DY384" i="25"/>
  <c r="DY232" i="25"/>
  <c r="DY205" i="25"/>
  <c r="ED275" i="25"/>
  <c r="ED226" i="25"/>
  <c r="EC238" i="25"/>
  <c r="EC204" i="25"/>
  <c r="EC387" i="25"/>
  <c r="EC384" i="25"/>
  <c r="ED392" i="25"/>
  <c r="ED383" i="25"/>
  <c r="ED329" i="25"/>
  <c r="ED315" i="25"/>
  <c r="ED309" i="25"/>
  <c r="ED306" i="25"/>
  <c r="ED386" i="25"/>
  <c r="ED305" i="25"/>
  <c r="ED307" i="25"/>
  <c r="ED274" i="25"/>
  <c r="ED255" i="25"/>
  <c r="ED253" i="25"/>
  <c r="ED265" i="25"/>
  <c r="ED209" i="25"/>
  <c r="ED230" i="25"/>
  <c r="ED216" i="25"/>
  <c r="ED242" i="25"/>
  <c r="ED217" i="25"/>
  <c r="EC394" i="25"/>
  <c r="EC385" i="25"/>
  <c r="EC357" i="25"/>
  <c r="EC351" i="25"/>
  <c r="EC343" i="25"/>
  <c r="EC339" i="25"/>
  <c r="EC252" i="25"/>
  <c r="EC286" i="25"/>
  <c r="EC264" i="25"/>
  <c r="EC259" i="25"/>
  <c r="EC256" i="25"/>
  <c r="EC227" i="25"/>
  <c r="EC235" i="25"/>
  <c r="EC225" i="25"/>
  <c r="EC210" i="25"/>
  <c r="EC334" i="25"/>
  <c r="ED361" i="25"/>
  <c r="DY371" i="25"/>
  <c r="ED252" i="25"/>
  <c r="ED280" i="25"/>
  <c r="EC371" i="25"/>
  <c r="EC319" i="25"/>
  <c r="EC333" i="25"/>
  <c r="EC288" i="25"/>
  <c r="EC275" i="25"/>
  <c r="EC268" i="25"/>
  <c r="EC251" i="25"/>
  <c r="EC257" i="25"/>
  <c r="EC232" i="25"/>
  <c r="EC244" i="25"/>
  <c r="DY246" i="25"/>
  <c r="ED347" i="25"/>
  <c r="ED317" i="25"/>
  <c r="ED326" i="25"/>
  <c r="ED295" i="25"/>
  <c r="ED208" i="25"/>
  <c r="EC314" i="25"/>
  <c r="EC285" i="25"/>
  <c r="EC376" i="25"/>
  <c r="EC267" i="25"/>
  <c r="EC213" i="25"/>
  <c r="EC206" i="25"/>
  <c r="DO333" i="25"/>
  <c r="DP333" i="25" s="1"/>
  <c r="DQ333" i="25" s="1"/>
  <c r="DR333" i="25" s="1"/>
  <c r="ED314" i="25"/>
  <c r="ED285" i="25"/>
  <c r="ED375" i="25"/>
  <c r="ED376" i="25"/>
  <c r="ED247" i="25"/>
  <c r="ED246" i="25"/>
  <c r="EC391" i="25"/>
  <c r="EC365" i="25"/>
  <c r="EC338" i="25"/>
  <c r="EC308" i="25"/>
  <c r="EC272" i="25"/>
  <c r="EC282" i="25"/>
  <c r="EC277" i="25"/>
  <c r="EC368" i="25"/>
  <c r="EC266" i="25"/>
  <c r="EC234" i="25"/>
  <c r="EC240" i="25"/>
  <c r="EC229" i="25"/>
  <c r="EC241" i="25"/>
  <c r="EC205" i="25"/>
  <c r="ED203" i="25"/>
  <c r="EC248" i="25"/>
  <c r="EC312" i="25"/>
  <c r="EC396" i="25"/>
  <c r="EC261" i="25"/>
  <c r="EC221" i="25"/>
  <c r="DW243" i="25"/>
  <c r="DY279" i="25"/>
  <c r="DO391" i="25"/>
  <c r="DP391" i="25" s="1"/>
  <c r="DQ391" i="25" s="1"/>
  <c r="DR391" i="25" s="1"/>
  <c r="DO263" i="25"/>
  <c r="DP263" i="25" s="1"/>
  <c r="DQ263" i="25" s="1"/>
  <c r="DR263" i="25" s="1"/>
  <c r="ED384" i="25"/>
  <c r="ED268" i="25"/>
  <c r="ED251" i="25"/>
  <c r="ED232" i="25"/>
  <c r="EC301" i="25"/>
  <c r="EC297" i="25"/>
  <c r="EC283" i="25"/>
  <c r="EC218" i="25"/>
  <c r="DY249" i="25"/>
  <c r="ED318" i="25"/>
  <c r="ED370" i="25"/>
  <c r="CG390" i="25"/>
  <c r="CG381" i="25"/>
  <c r="CG362" i="25"/>
  <c r="CG348" i="25"/>
  <c r="DY313" i="25"/>
  <c r="DY218" i="25"/>
  <c r="DD314" i="25"/>
  <c r="DC314" i="25" s="1"/>
  <c r="DJ314" i="25" s="1"/>
  <c r="DY288" i="25"/>
  <c r="ED365" i="25"/>
  <c r="ED341" i="25"/>
  <c r="ED308" i="25"/>
  <c r="ED282" i="25"/>
  <c r="ED368" i="25"/>
  <c r="ED263" i="25"/>
  <c r="ED266" i="25"/>
  <c r="ED234" i="25"/>
  <c r="ED229" i="25"/>
  <c r="ED214" i="25"/>
  <c r="ED241" i="25"/>
  <c r="ED205" i="25"/>
  <c r="EC383" i="25"/>
  <c r="EC350" i="25"/>
  <c r="EC329" i="25"/>
  <c r="DW361" i="25"/>
  <c r="ED388" i="25"/>
  <c r="ED380" i="25"/>
  <c r="ED364" i="25"/>
  <c r="ED355" i="25"/>
  <c r="ED237" i="25"/>
  <c r="DY268" i="25"/>
  <c r="DW333" i="25"/>
  <c r="DW283" i="25"/>
  <c r="CG298" i="25"/>
  <c r="ED387" i="25"/>
  <c r="ED352" i="25"/>
  <c r="ED344" i="25"/>
  <c r="ED288" i="25"/>
  <c r="ED379" i="25"/>
  <c r="ED243" i="25"/>
  <c r="EC393" i="25"/>
  <c r="EC373" i="25"/>
  <c r="EC367" i="25"/>
  <c r="EC361" i="25"/>
  <c r="EC353" i="25"/>
  <c r="EC219" i="25"/>
  <c r="EC336" i="25"/>
  <c r="EC325" i="25"/>
  <c r="EC311" i="25"/>
  <c r="EC278" i="25"/>
  <c r="EC269" i="25"/>
  <c r="EC260" i="25"/>
  <c r="EC245" i="25"/>
  <c r="EC224" i="25"/>
  <c r="EC203" i="25"/>
  <c r="ED382" i="25"/>
  <c r="EC330" i="25"/>
  <c r="EC335" i="25"/>
  <c r="EC315" i="25"/>
  <c r="EC309" i="25"/>
  <c r="EC306" i="25"/>
  <c r="EC386" i="25"/>
  <c r="EC305" i="25"/>
  <c r="EC307" i="25"/>
  <c r="EC274" i="25"/>
  <c r="EC255" i="25"/>
  <c r="EC253" i="25"/>
  <c r="EC265" i="25"/>
  <c r="EC209" i="25"/>
  <c r="EC230" i="25"/>
  <c r="EC216" i="25"/>
  <c r="EC242" i="25"/>
  <c r="EC217" i="25"/>
  <c r="CG392" i="25"/>
  <c r="CG383" i="25"/>
  <c r="CG359" i="25"/>
  <c r="DY257" i="25"/>
  <c r="DW318" i="25"/>
  <c r="DO332" i="25"/>
  <c r="DP332" i="25" s="1"/>
  <c r="DQ332" i="25" s="1"/>
  <c r="DR332" i="25" s="1"/>
  <c r="DO310" i="25"/>
  <c r="DP310" i="25" s="1"/>
  <c r="DQ310" i="25" s="1"/>
  <c r="DR310" i="25" s="1"/>
  <c r="DO286" i="25"/>
  <c r="DP286" i="25" s="1"/>
  <c r="DQ286" i="25" s="1"/>
  <c r="DR286" i="25" s="1"/>
  <c r="DO300" i="25"/>
  <c r="DP300" i="25" s="1"/>
  <c r="DQ300" i="25" s="1"/>
  <c r="DR300" i="25" s="1"/>
  <c r="DO280" i="25"/>
  <c r="DP280" i="25" s="1"/>
  <c r="DQ280" i="25" s="1"/>
  <c r="DR280" i="25" s="1"/>
  <c r="DO378" i="25"/>
  <c r="DP378" i="25" s="1"/>
  <c r="DQ378" i="25" s="1"/>
  <c r="DR378" i="25" s="1"/>
  <c r="DO294" i="25"/>
  <c r="DP294" i="25" s="1"/>
  <c r="DQ294" i="25" s="1"/>
  <c r="DR294" i="25" s="1"/>
  <c r="DO264" i="25"/>
  <c r="DP264" i="25" s="1"/>
  <c r="DQ264" i="25" s="1"/>
  <c r="DR264" i="25" s="1"/>
  <c r="DO259" i="25"/>
  <c r="DP259" i="25" s="1"/>
  <c r="DQ259" i="25" s="1"/>
  <c r="DR259" i="25" s="1"/>
  <c r="DO256" i="25"/>
  <c r="DP256" i="25" s="1"/>
  <c r="DQ256" i="25" s="1"/>
  <c r="DR256" i="25" s="1"/>
  <c r="DO227" i="25"/>
  <c r="DP227" i="25" s="1"/>
  <c r="DQ227" i="25" s="1"/>
  <c r="DR227" i="25" s="1"/>
  <c r="DO231" i="25"/>
  <c r="DP231" i="25" s="1"/>
  <c r="DQ231" i="25" s="1"/>
  <c r="DR231" i="25" s="1"/>
  <c r="DO235" i="25"/>
  <c r="DP235" i="25" s="1"/>
  <c r="DQ235" i="25" s="1"/>
  <c r="DR235" i="25" s="1"/>
  <c r="DO225" i="25"/>
  <c r="DP225" i="25" s="1"/>
  <c r="DQ225" i="25" s="1"/>
  <c r="DR225" i="25" s="1"/>
  <c r="DO210" i="25"/>
  <c r="DP210" i="25" s="1"/>
  <c r="DQ210" i="25" s="1"/>
  <c r="DR210" i="25" s="1"/>
  <c r="EC390" i="25"/>
  <c r="EC327" i="25"/>
  <c r="ED327" i="25"/>
  <c r="ED273" i="25"/>
  <c r="ED304" i="25"/>
  <c r="ED369" i="25"/>
  <c r="ED267" i="25"/>
  <c r="ED250" i="25"/>
  <c r="ED223" i="25"/>
  <c r="ED213" i="25"/>
  <c r="ED239" i="25"/>
  <c r="ED206" i="25"/>
  <c r="EC382" i="25"/>
  <c r="EC358" i="25"/>
  <c r="EC349" i="25"/>
  <c r="EC341" i="25"/>
  <c r="CG328" i="25"/>
  <c r="ED367" i="25"/>
  <c r="ED353" i="25"/>
  <c r="DY275" i="25"/>
  <c r="ED366" i="25"/>
  <c r="ED359" i="25"/>
  <c r="ED350" i="25"/>
  <c r="ED335" i="25"/>
  <c r="DY212" i="25"/>
  <c r="ED346" i="25"/>
  <c r="DY358" i="25"/>
  <c r="DY303" i="25"/>
  <c r="DW271" i="25"/>
  <c r="EC369" i="25"/>
  <c r="EC250" i="25"/>
  <c r="EC239" i="25"/>
  <c r="ED325" i="25"/>
  <c r="ED297" i="25"/>
  <c r="ED260" i="25"/>
  <c r="ED238" i="25"/>
  <c r="ED224" i="25"/>
  <c r="EC377" i="25"/>
  <c r="EC354" i="25"/>
  <c r="EC317" i="25"/>
  <c r="CG325" i="25"/>
  <c r="CG311" i="25"/>
  <c r="CG281" i="25"/>
  <c r="CG297" i="25"/>
  <c r="CG260" i="25"/>
  <c r="CG245" i="25"/>
  <c r="CG238" i="25"/>
  <c r="CG204" i="25"/>
  <c r="CG203" i="25"/>
  <c r="DW213" i="25"/>
  <c r="DO283" i="25"/>
  <c r="DP283" i="25" s="1"/>
  <c r="DQ283" i="25" s="1"/>
  <c r="DR283" i="25" s="1"/>
  <c r="DO384" i="25"/>
  <c r="DP384" i="25" s="1"/>
  <c r="DQ384" i="25" s="1"/>
  <c r="DR384" i="25" s="1"/>
  <c r="DO275" i="25"/>
  <c r="DP275" i="25" s="1"/>
  <c r="DQ275" i="25" s="1"/>
  <c r="DR275" i="25" s="1"/>
  <c r="DO251" i="25"/>
  <c r="DP251" i="25" s="1"/>
  <c r="DQ251" i="25" s="1"/>
  <c r="DR251" i="25" s="1"/>
  <c r="DO257" i="25"/>
  <c r="DP257" i="25" s="1"/>
  <c r="DQ257" i="25" s="1"/>
  <c r="DR257" i="25" s="1"/>
  <c r="DO226" i="25"/>
  <c r="DP226" i="25" s="1"/>
  <c r="DQ226" i="25" s="1"/>
  <c r="DR226" i="25" s="1"/>
  <c r="ED333" i="25"/>
  <c r="ED283" i="25"/>
  <c r="ED257" i="25"/>
  <c r="ED218" i="25"/>
  <c r="DO329" i="25"/>
  <c r="DP329" i="25" s="1"/>
  <c r="DQ329" i="25" s="1"/>
  <c r="DR329" i="25" s="1"/>
  <c r="DY273" i="25"/>
  <c r="ED272" i="25"/>
  <c r="ED277" i="25"/>
  <c r="ED240" i="25"/>
  <c r="EC342" i="25"/>
  <c r="EC300" i="25"/>
  <c r="EC280" i="25"/>
  <c r="EC378" i="25"/>
  <c r="EC294" i="25"/>
  <c r="CG231" i="25"/>
  <c r="DY382" i="25"/>
  <c r="DY326" i="25"/>
  <c r="DW395" i="25"/>
  <c r="DW284" i="25"/>
  <c r="DO288" i="25"/>
  <c r="DP288" i="25" s="1"/>
  <c r="DQ288" i="25" s="1"/>
  <c r="DR288" i="25" s="1"/>
  <c r="DO379" i="25"/>
  <c r="DP379" i="25" s="1"/>
  <c r="DQ379" i="25" s="1"/>
  <c r="DR379" i="25" s="1"/>
  <c r="DO243" i="25"/>
  <c r="DP243" i="25" s="1"/>
  <c r="DQ243" i="25" s="1"/>
  <c r="DR243" i="25" s="1"/>
  <c r="ED394" i="25"/>
  <c r="ED385" i="25"/>
  <c r="ED357" i="25"/>
  <c r="ED351" i="25"/>
  <c r="ED343" i="25"/>
  <c r="ED339" i="25"/>
  <c r="ED371" i="25"/>
  <c r="ED319" i="25"/>
  <c r="ED311" i="25"/>
  <c r="ED278" i="25"/>
  <c r="ED269" i="25"/>
  <c r="ED245" i="25"/>
  <c r="ED236" i="25"/>
  <c r="ED204" i="25"/>
  <c r="EC363" i="25"/>
  <c r="EC320" i="25"/>
  <c r="EC318" i="25"/>
  <c r="EC370" i="25"/>
  <c r="EC263" i="25"/>
  <c r="EC214" i="25"/>
  <c r="CG387" i="25"/>
  <c r="CG352" i="25"/>
  <c r="CG344" i="25"/>
  <c r="CG336" i="25"/>
  <c r="CG331" i="25"/>
  <c r="DY365" i="25"/>
  <c r="CG376" i="25"/>
  <c r="ED342" i="25"/>
  <c r="ED287" i="25"/>
  <c r="ED244" i="25"/>
  <c r="EC345" i="25"/>
  <c r="EC326" i="25"/>
  <c r="EC313" i="25"/>
  <c r="EC389" i="25"/>
  <c r="EC295" i="25"/>
  <c r="EC276" i="25"/>
  <c r="EC303" i="25"/>
  <c r="EC271" i="25"/>
  <c r="EC262" i="25"/>
  <c r="EC254" i="25"/>
  <c r="EC233" i="25"/>
  <c r="EC208" i="25"/>
  <c r="EC212" i="25"/>
  <c r="EC211" i="25"/>
  <c r="EC220" i="25"/>
  <c r="DY349" i="25"/>
  <c r="DW233" i="25"/>
  <c r="DO372" i="25"/>
  <c r="DP372" i="25" s="1"/>
  <c r="DQ372" i="25" s="1"/>
  <c r="DR372" i="25" s="1"/>
  <c r="DO221" i="25"/>
  <c r="DP221" i="25" s="1"/>
  <c r="DQ221" i="25" s="1"/>
  <c r="DR221" i="25" s="1"/>
  <c r="ED391" i="25"/>
  <c r="ED358" i="25"/>
  <c r="ED330" i="25"/>
  <c r="ED332" i="25"/>
  <c r="ED310" i="25"/>
  <c r="ED286" i="25"/>
  <c r="ED300" i="25"/>
  <c r="ED378" i="25"/>
  <c r="ED294" i="25"/>
  <c r="ED264" i="25"/>
  <c r="ED259" i="25"/>
  <c r="ED256" i="25"/>
  <c r="ED227" i="25"/>
  <c r="ED231" i="25"/>
  <c r="ED235" i="25"/>
  <c r="ED225" i="25"/>
  <c r="ED210" i="25"/>
  <c r="EC395" i="25"/>
  <c r="EC360" i="25"/>
  <c r="EC352" i="25"/>
  <c r="EC344" i="25"/>
  <c r="EC298" i="25"/>
  <c r="EC331" i="25"/>
  <c r="DY330" i="25"/>
  <c r="DY222" i="25"/>
  <c r="DO357" i="25"/>
  <c r="DP357" i="25" s="1"/>
  <c r="DQ357" i="25" s="1"/>
  <c r="DR357" i="25" s="1"/>
  <c r="DO371" i="25"/>
  <c r="DP371" i="25" s="1"/>
  <c r="DQ371" i="25" s="1"/>
  <c r="DR371" i="25" s="1"/>
  <c r="EC287" i="25"/>
  <c r="EC379" i="25"/>
  <c r="EC243" i="25"/>
  <c r="EC226" i="25"/>
  <c r="ED390" i="25"/>
  <c r="ED381" i="25"/>
  <c r="ED362" i="25"/>
  <c r="ED356" i="25"/>
  <c r="ED348" i="25"/>
  <c r="ED340" i="25"/>
  <c r="ED338" i="25"/>
  <c r="ED328" i="25"/>
  <c r="ED334" i="25"/>
  <c r="EC281" i="25"/>
  <c r="EC258" i="25"/>
  <c r="EC236" i="25"/>
  <c r="DY336" i="25"/>
  <c r="CP307" i="25"/>
  <c r="CP217" i="25"/>
  <c r="ED374" i="25"/>
  <c r="ED363" i="25"/>
  <c r="ED316" i="25"/>
  <c r="ED320" i="25"/>
  <c r="DY335" i="25"/>
  <c r="DO390" i="25"/>
  <c r="DP390" i="25" s="1"/>
  <c r="DQ390" i="25" s="1"/>
  <c r="DR390" i="25" s="1"/>
  <c r="DO381" i="25"/>
  <c r="DP381" i="25" s="1"/>
  <c r="DQ381" i="25" s="1"/>
  <c r="DR381" i="25" s="1"/>
  <c r="DO362" i="25"/>
  <c r="DP362" i="25" s="1"/>
  <c r="DQ362" i="25" s="1"/>
  <c r="DR362" i="25" s="1"/>
  <c r="DO356" i="25"/>
  <c r="DP356" i="25" s="1"/>
  <c r="DQ356" i="25" s="1"/>
  <c r="DR356" i="25" s="1"/>
  <c r="DO348" i="25"/>
  <c r="DP348" i="25" s="1"/>
  <c r="DQ348" i="25" s="1"/>
  <c r="DR348" i="25" s="1"/>
  <c r="DO340" i="25"/>
  <c r="DP340" i="25" s="1"/>
  <c r="DQ340" i="25" s="1"/>
  <c r="DR340" i="25" s="1"/>
  <c r="DO338" i="25"/>
  <c r="DP338" i="25" s="1"/>
  <c r="DQ338" i="25" s="1"/>
  <c r="DR338" i="25" s="1"/>
  <c r="DO328" i="25"/>
  <c r="DP328" i="25" s="1"/>
  <c r="DQ328" i="25" s="1"/>
  <c r="DR328" i="25" s="1"/>
  <c r="DO334" i="25"/>
  <c r="DP334" i="25" s="1"/>
  <c r="DQ334" i="25" s="1"/>
  <c r="DR334" i="25" s="1"/>
  <c r="CG389" i="25"/>
  <c r="CG284" i="25"/>
  <c r="CG295" i="25"/>
  <c r="CG276" i="25"/>
  <c r="CG303" i="25"/>
  <c r="CG271" i="25"/>
  <c r="CG262" i="25"/>
  <c r="CG254" i="25"/>
  <c r="CG233" i="25"/>
  <c r="CG222" i="25"/>
  <c r="CG212" i="25"/>
  <c r="CG211" i="25"/>
  <c r="CG220" i="25"/>
  <c r="DY352" i="25"/>
  <c r="DY329" i="25"/>
  <c r="DW360" i="25"/>
  <c r="DW287" i="25"/>
  <c r="DW228" i="25"/>
  <c r="DY282" i="25"/>
  <c r="DY214" i="25"/>
  <c r="DY344" i="25"/>
  <c r="DY263" i="25"/>
  <c r="DO393" i="25"/>
  <c r="DP393" i="25" s="1"/>
  <c r="DQ393" i="25" s="1"/>
  <c r="DR393" i="25" s="1"/>
  <c r="DO373" i="25"/>
  <c r="DP373" i="25" s="1"/>
  <c r="DQ373" i="25" s="1"/>
  <c r="DR373" i="25" s="1"/>
  <c r="DO367" i="25"/>
  <c r="DP367" i="25" s="1"/>
  <c r="DQ367" i="25" s="1"/>
  <c r="DR367" i="25" s="1"/>
  <c r="DO361" i="25"/>
  <c r="DP361" i="25" s="1"/>
  <c r="DQ361" i="25" s="1"/>
  <c r="DR361" i="25" s="1"/>
  <c r="DO353" i="25"/>
  <c r="DP353" i="25" s="1"/>
  <c r="DQ353" i="25" s="1"/>
  <c r="DR353" i="25" s="1"/>
  <c r="DO345" i="25"/>
  <c r="DP345" i="25" s="1"/>
  <c r="DQ345" i="25" s="1"/>
  <c r="DR345" i="25" s="1"/>
  <c r="DO219" i="25"/>
  <c r="DP219" i="25" s="1"/>
  <c r="DQ219" i="25" s="1"/>
  <c r="DR219" i="25" s="1"/>
  <c r="DO337" i="25"/>
  <c r="DP337" i="25" s="1"/>
  <c r="DQ337" i="25" s="1"/>
  <c r="DR337" i="25" s="1"/>
  <c r="DO324" i="25"/>
  <c r="DP324" i="25" s="1"/>
  <c r="DQ324" i="25" s="1"/>
  <c r="DR324" i="25" s="1"/>
  <c r="DO326" i="25"/>
  <c r="DP326" i="25" s="1"/>
  <c r="DQ326" i="25" s="1"/>
  <c r="DR326" i="25" s="1"/>
  <c r="DO314" i="25"/>
  <c r="DP314" i="25" s="1"/>
  <c r="DQ314" i="25" s="1"/>
  <c r="DR314" i="25" s="1"/>
  <c r="DO273" i="25"/>
  <c r="DP273" i="25" s="1"/>
  <c r="DQ273" i="25" s="1"/>
  <c r="DR273" i="25" s="1"/>
  <c r="DO285" i="25"/>
  <c r="DP285" i="25" s="1"/>
  <c r="DQ285" i="25" s="1"/>
  <c r="DR285" i="25" s="1"/>
  <c r="DO375" i="25"/>
  <c r="DP375" i="25" s="1"/>
  <c r="DQ375" i="25" s="1"/>
  <c r="DR375" i="25" s="1"/>
  <c r="DO304" i="25"/>
  <c r="DP304" i="25" s="1"/>
  <c r="DQ304" i="25" s="1"/>
  <c r="DR304" i="25" s="1"/>
  <c r="DO369" i="25"/>
  <c r="DP369" i="25" s="1"/>
  <c r="DQ369" i="25" s="1"/>
  <c r="DR369" i="25" s="1"/>
  <c r="DO376" i="25"/>
  <c r="DP376" i="25" s="1"/>
  <c r="DQ376" i="25" s="1"/>
  <c r="DR376" i="25" s="1"/>
  <c r="DO267" i="25"/>
  <c r="DP267" i="25" s="1"/>
  <c r="DQ267" i="25" s="1"/>
  <c r="DR267" i="25" s="1"/>
  <c r="DO250" i="25"/>
  <c r="DP250" i="25" s="1"/>
  <c r="DQ250" i="25" s="1"/>
  <c r="DR250" i="25" s="1"/>
  <c r="DO247" i="25"/>
  <c r="DP247" i="25" s="1"/>
  <c r="DQ247" i="25" s="1"/>
  <c r="DR247" i="25" s="1"/>
  <c r="DO223" i="25"/>
  <c r="DP223" i="25" s="1"/>
  <c r="DQ223" i="25" s="1"/>
  <c r="DR223" i="25" s="1"/>
  <c r="DO246" i="25"/>
  <c r="DP246" i="25" s="1"/>
  <c r="DQ246" i="25" s="1"/>
  <c r="DR246" i="25" s="1"/>
  <c r="DO213" i="25"/>
  <c r="DP213" i="25" s="1"/>
  <c r="DQ213" i="25" s="1"/>
  <c r="DR213" i="25" s="1"/>
  <c r="DO239" i="25"/>
  <c r="DP239" i="25" s="1"/>
  <c r="DQ239" i="25" s="1"/>
  <c r="DR239" i="25" s="1"/>
  <c r="DO206" i="25"/>
  <c r="DP206" i="25" s="1"/>
  <c r="DQ206" i="25" s="1"/>
  <c r="DR206" i="25" s="1"/>
  <c r="DY391" i="25"/>
  <c r="DY341" i="25"/>
  <c r="DY331" i="25"/>
  <c r="DY304" i="25"/>
  <c r="DY251" i="25"/>
  <c r="DY226" i="25"/>
  <c r="DW277" i="25"/>
  <c r="DW208" i="25"/>
  <c r="DD228" i="25"/>
  <c r="DC228" i="25" s="1"/>
  <c r="DJ228" i="25" s="1"/>
  <c r="DY387" i="25"/>
  <c r="DY276" i="25"/>
  <c r="DW248" i="25"/>
  <c r="DY316" i="25"/>
  <c r="DW266" i="25"/>
  <c r="DY374" i="25"/>
  <c r="DY240" i="25"/>
  <c r="DW308" i="25"/>
  <c r="DW368" i="25"/>
  <c r="DY346" i="25"/>
  <c r="DY370" i="25"/>
  <c r="DY357" i="25"/>
  <c r="DW357" i="25"/>
  <c r="DY302" i="25"/>
  <c r="DW302" i="25"/>
  <c r="DY317" i="25"/>
  <c r="DY229" i="25"/>
  <c r="DW234" i="25"/>
  <c r="DW241" i="25"/>
  <c r="CG341" i="25"/>
  <c r="DY363" i="25"/>
  <c r="DY389" i="25"/>
  <c r="DY379" i="25"/>
  <c r="DY254" i="25"/>
  <c r="DY244" i="25"/>
  <c r="DW320" i="25"/>
  <c r="ED395" i="25"/>
  <c r="ED360" i="25"/>
  <c r="ED298" i="25"/>
  <c r="ED313" i="25"/>
  <c r="ED389" i="25"/>
  <c r="ED271" i="25"/>
  <c r="ED254" i="25"/>
  <c r="ED233" i="25"/>
  <c r="ED220" i="25"/>
  <c r="EC381" i="25"/>
  <c r="EC362" i="25"/>
  <c r="EC328" i="25"/>
  <c r="EC332" i="25"/>
  <c r="EC310" i="25"/>
  <c r="CO222" i="25"/>
  <c r="CQ222" i="25" s="1"/>
  <c r="CP212" i="25"/>
  <c r="CG339" i="25"/>
  <c r="CG249" i="25"/>
  <c r="CG252" i="25"/>
  <c r="CG301" i="25"/>
  <c r="DO392" i="25"/>
  <c r="DP392" i="25" s="1"/>
  <c r="DQ392" i="25" s="1"/>
  <c r="DR392" i="25" s="1"/>
  <c r="DO383" i="25"/>
  <c r="DP383" i="25" s="1"/>
  <c r="DO366" i="25"/>
  <c r="DP366" i="25" s="1"/>
  <c r="DQ366" i="25" s="1"/>
  <c r="DR366" i="25" s="1"/>
  <c r="DO359" i="25"/>
  <c r="DP359" i="25" s="1"/>
  <c r="DQ359" i="25" s="1"/>
  <c r="DR359" i="25" s="1"/>
  <c r="DO350" i="25"/>
  <c r="DP350" i="25" s="1"/>
  <c r="DQ350" i="25" s="1"/>
  <c r="DR350" i="25" s="1"/>
  <c r="DO342" i="25"/>
  <c r="DP342" i="25" s="1"/>
  <c r="DQ342" i="25" s="1"/>
  <c r="DR342" i="25" s="1"/>
  <c r="DO252" i="25"/>
  <c r="DP252" i="25" s="1"/>
  <c r="DQ252" i="25" s="1"/>
  <c r="DR252" i="25" s="1"/>
  <c r="DO325" i="25"/>
  <c r="DP325" i="25" s="1"/>
  <c r="DQ325" i="25" s="1"/>
  <c r="DR325" i="25" s="1"/>
  <c r="DO311" i="25"/>
  <c r="DP311" i="25" s="1"/>
  <c r="DQ311" i="25" s="1"/>
  <c r="DR311" i="25" s="1"/>
  <c r="DO301" i="25"/>
  <c r="DP301" i="25" s="1"/>
  <c r="DQ301" i="25" s="1"/>
  <c r="DR301" i="25" s="1"/>
  <c r="DO281" i="25"/>
  <c r="DP281" i="25" s="1"/>
  <c r="DQ281" i="25" s="1"/>
  <c r="DR281" i="25" s="1"/>
  <c r="DO278" i="25"/>
  <c r="DP278" i="25" s="1"/>
  <c r="DQ278" i="25" s="1"/>
  <c r="DR278" i="25" s="1"/>
  <c r="DO297" i="25"/>
  <c r="DP297" i="25" s="1"/>
  <c r="DQ297" i="25" s="1"/>
  <c r="DR297" i="25" s="1"/>
  <c r="DO269" i="25"/>
  <c r="DP269" i="25" s="1"/>
  <c r="DQ269" i="25" s="1"/>
  <c r="DR269" i="25" s="1"/>
  <c r="DO260" i="25"/>
  <c r="DP260" i="25" s="1"/>
  <c r="DQ260" i="25" s="1"/>
  <c r="DR260" i="25" s="1"/>
  <c r="DO258" i="25"/>
  <c r="DP258" i="25" s="1"/>
  <c r="DQ258" i="25" s="1"/>
  <c r="DR258" i="25" s="1"/>
  <c r="DO245" i="25"/>
  <c r="DP245" i="25" s="1"/>
  <c r="DQ245" i="25" s="1"/>
  <c r="DR245" i="25" s="1"/>
  <c r="DO238" i="25"/>
  <c r="DP238" i="25" s="1"/>
  <c r="DQ238" i="25" s="1"/>
  <c r="DR238" i="25" s="1"/>
  <c r="DO236" i="25"/>
  <c r="DP236" i="25" s="1"/>
  <c r="DQ236" i="25" s="1"/>
  <c r="DR236" i="25" s="1"/>
  <c r="DO204" i="25"/>
  <c r="DP204" i="25" s="1"/>
  <c r="DQ204" i="25" s="1"/>
  <c r="DR204" i="25" s="1"/>
  <c r="DO224" i="25"/>
  <c r="DP224" i="25" s="1"/>
  <c r="DQ224" i="25" s="1"/>
  <c r="DR224" i="25" s="1"/>
  <c r="DO203" i="25"/>
  <c r="DP203" i="25" s="1"/>
  <c r="DQ203" i="25" s="1"/>
  <c r="DR203" i="25" s="1"/>
  <c r="CP382" i="25"/>
  <c r="CP349" i="25"/>
  <c r="CO329" i="25"/>
  <c r="CQ329" i="25" s="1"/>
  <c r="CP384" i="25"/>
  <c r="CP275" i="25"/>
  <c r="CP251" i="25"/>
  <c r="CP257" i="25"/>
  <c r="CP243" i="25"/>
  <c r="CP232" i="25"/>
  <c r="CP226" i="25"/>
  <c r="CP218" i="25"/>
  <c r="CG393" i="25"/>
  <c r="CG373" i="25"/>
  <c r="CG367" i="25"/>
  <c r="CG361" i="25"/>
  <c r="CG353" i="25"/>
  <c r="CG345" i="25"/>
  <c r="CG219" i="25"/>
  <c r="CG337" i="25"/>
  <c r="CG324" i="25"/>
  <c r="CG326" i="25"/>
  <c r="CG314" i="25"/>
  <c r="CG273" i="25"/>
  <c r="CG285" i="25"/>
  <c r="CG375" i="25"/>
  <c r="CG304" i="25"/>
  <c r="CG369" i="25"/>
  <c r="CG267" i="25"/>
  <c r="CG250" i="25"/>
  <c r="CG247" i="25"/>
  <c r="CG223" i="25"/>
  <c r="CG246" i="25"/>
  <c r="CG213" i="25"/>
  <c r="CG239" i="25"/>
  <c r="CG206" i="25"/>
  <c r="CG391" i="25"/>
  <c r="CG382" i="25"/>
  <c r="CG365" i="25"/>
  <c r="CG358" i="25"/>
  <c r="CG349" i="25"/>
  <c r="CG330" i="25"/>
  <c r="CG329" i="25"/>
  <c r="CG335" i="25"/>
  <c r="CG333" i="25"/>
  <c r="CG288" i="25"/>
  <c r="CG287" i="25"/>
  <c r="CG283" i="25"/>
  <c r="CG384" i="25"/>
  <c r="CG379" i="25"/>
  <c r="CG275" i="25"/>
  <c r="CG268" i="25"/>
  <c r="CG251" i="25"/>
  <c r="CG257" i="25"/>
  <c r="CG243" i="25"/>
  <c r="CG232" i="25"/>
  <c r="CG244" i="25"/>
  <c r="CG226" i="25"/>
  <c r="CG218" i="25"/>
  <c r="CG356" i="25"/>
  <c r="CG340" i="25"/>
  <c r="CG338" i="25"/>
  <c r="CG334" i="25"/>
  <c r="CG332" i="25"/>
  <c r="CG310" i="25"/>
  <c r="CG286" i="25"/>
  <c r="CG300" i="25"/>
  <c r="CG280" i="25"/>
  <c r="CG378" i="25"/>
  <c r="CG294" i="25"/>
  <c r="CG264" i="25"/>
  <c r="CG259" i="25"/>
  <c r="CG256" i="25"/>
  <c r="CG227" i="25"/>
  <c r="CG235" i="25"/>
  <c r="CG225" i="25"/>
  <c r="CG210" i="25"/>
  <c r="DO336" i="25"/>
  <c r="DP336" i="25" s="1"/>
  <c r="DQ336" i="25" s="1"/>
  <c r="DR336" i="25" s="1"/>
  <c r="DO313" i="25"/>
  <c r="DP313" i="25" s="1"/>
  <c r="DQ313" i="25" s="1"/>
  <c r="DR313" i="25" s="1"/>
  <c r="DO389" i="25"/>
  <c r="DP389" i="25" s="1"/>
  <c r="DQ389" i="25" s="1"/>
  <c r="DR389" i="25" s="1"/>
  <c r="DO284" i="25"/>
  <c r="DP284" i="25" s="1"/>
  <c r="DQ284" i="25" s="1"/>
  <c r="DR284" i="25" s="1"/>
  <c r="DO295" i="25"/>
  <c r="DP295" i="25" s="1"/>
  <c r="DQ295" i="25" s="1"/>
  <c r="DR295" i="25" s="1"/>
  <c r="DO276" i="25"/>
  <c r="DP276" i="25" s="1"/>
  <c r="DQ276" i="25" s="1"/>
  <c r="DR276" i="25" s="1"/>
  <c r="DO303" i="25"/>
  <c r="DP303" i="25" s="1"/>
  <c r="DQ303" i="25" s="1"/>
  <c r="DR303" i="25" s="1"/>
  <c r="DO271" i="25"/>
  <c r="DP271" i="25" s="1"/>
  <c r="DQ271" i="25" s="1"/>
  <c r="DR271" i="25" s="1"/>
  <c r="DO262" i="25"/>
  <c r="DP262" i="25" s="1"/>
  <c r="DQ262" i="25" s="1"/>
  <c r="DR262" i="25" s="1"/>
  <c r="DO254" i="25"/>
  <c r="DP254" i="25" s="1"/>
  <c r="DQ254" i="25" s="1"/>
  <c r="DR254" i="25" s="1"/>
  <c r="DO233" i="25"/>
  <c r="DP233" i="25" s="1"/>
  <c r="DQ233" i="25" s="1"/>
  <c r="DR233" i="25" s="1"/>
  <c r="DO222" i="25"/>
  <c r="DP222" i="25" s="1"/>
  <c r="DQ222" i="25" s="1"/>
  <c r="DR222" i="25" s="1"/>
  <c r="DO208" i="25"/>
  <c r="DP208" i="25" s="1"/>
  <c r="DQ208" i="25" s="1"/>
  <c r="DR208" i="25" s="1"/>
  <c r="DO212" i="25"/>
  <c r="DP212" i="25" s="1"/>
  <c r="DQ212" i="25" s="1"/>
  <c r="DR212" i="25" s="1"/>
  <c r="DO211" i="25"/>
  <c r="DP211" i="25" s="1"/>
  <c r="DQ211" i="25" s="1"/>
  <c r="DR211" i="25" s="1"/>
  <c r="DO220" i="25"/>
  <c r="DP220" i="25" s="1"/>
  <c r="DQ220" i="25" s="1"/>
  <c r="DR220" i="25" s="1"/>
  <c r="DO388" i="25"/>
  <c r="DP388" i="25" s="1"/>
  <c r="DQ388" i="25" s="1"/>
  <c r="DR388" i="25" s="1"/>
  <c r="DO380" i="25"/>
  <c r="DP380" i="25" s="1"/>
  <c r="DQ380" i="25" s="1"/>
  <c r="DR380" i="25" s="1"/>
  <c r="DO364" i="25"/>
  <c r="DP364" i="25" s="1"/>
  <c r="DQ364" i="25" s="1"/>
  <c r="DR364" i="25" s="1"/>
  <c r="DO355" i="25"/>
  <c r="DP355" i="25" s="1"/>
  <c r="DQ355" i="25" s="1"/>
  <c r="DR355" i="25" s="1"/>
  <c r="DO347" i="25"/>
  <c r="DP347" i="25" s="1"/>
  <c r="DQ347" i="25" s="1"/>
  <c r="DR347" i="25" s="1"/>
  <c r="DO237" i="25"/>
  <c r="DP237" i="25" s="1"/>
  <c r="DQ237" i="25" s="1"/>
  <c r="DR237" i="25" s="1"/>
  <c r="DO327" i="25"/>
  <c r="DP327" i="25" s="1"/>
  <c r="DQ327" i="25" s="1"/>
  <c r="DR327" i="25" s="1"/>
  <c r="DO315" i="25"/>
  <c r="DP315" i="25" s="1"/>
  <c r="DQ315" i="25" s="1"/>
  <c r="DR315" i="25" s="1"/>
  <c r="DO309" i="25"/>
  <c r="DP309" i="25" s="1"/>
  <c r="DQ309" i="25" s="1"/>
  <c r="DR309" i="25" s="1"/>
  <c r="DO306" i="25"/>
  <c r="DP306" i="25" s="1"/>
  <c r="DQ306" i="25" s="1"/>
  <c r="DR306" i="25" s="1"/>
  <c r="DO386" i="25"/>
  <c r="DP386" i="25" s="1"/>
  <c r="DQ386" i="25" s="1"/>
  <c r="DR386" i="25" s="1"/>
  <c r="DO305" i="25"/>
  <c r="DP305" i="25" s="1"/>
  <c r="DQ305" i="25" s="1"/>
  <c r="DR305" i="25" s="1"/>
  <c r="DO307" i="25"/>
  <c r="DP307" i="25" s="1"/>
  <c r="DQ307" i="25" s="1"/>
  <c r="DR307" i="25" s="1"/>
  <c r="DO274" i="25"/>
  <c r="DP274" i="25" s="1"/>
  <c r="DQ274" i="25" s="1"/>
  <c r="DR274" i="25" s="1"/>
  <c r="DO255" i="25"/>
  <c r="DP255" i="25" s="1"/>
  <c r="DQ255" i="25" s="1"/>
  <c r="DR255" i="25" s="1"/>
  <c r="DO253" i="25"/>
  <c r="DP253" i="25" s="1"/>
  <c r="DQ253" i="25" s="1"/>
  <c r="DR253" i="25" s="1"/>
  <c r="DO265" i="25"/>
  <c r="DP265" i="25" s="1"/>
  <c r="DQ265" i="25" s="1"/>
  <c r="DR265" i="25" s="1"/>
  <c r="DO209" i="25"/>
  <c r="DP209" i="25" s="1"/>
  <c r="DQ209" i="25" s="1"/>
  <c r="DR209" i="25" s="1"/>
  <c r="DO230" i="25"/>
  <c r="DP230" i="25" s="1"/>
  <c r="DQ230" i="25" s="1"/>
  <c r="DR230" i="25" s="1"/>
  <c r="DO216" i="25"/>
  <c r="DP216" i="25" s="1"/>
  <c r="DQ216" i="25" s="1"/>
  <c r="DR216" i="25" s="1"/>
  <c r="DO242" i="25"/>
  <c r="DP242" i="25" s="1"/>
  <c r="DQ242" i="25" s="1"/>
  <c r="DR242" i="25" s="1"/>
  <c r="DO217" i="25"/>
  <c r="DP217" i="25" s="1"/>
  <c r="DQ217" i="25" s="1"/>
  <c r="DR217" i="25" s="1"/>
  <c r="DO394" i="25"/>
  <c r="DP394" i="25" s="1"/>
  <c r="DQ394" i="25" s="1"/>
  <c r="DR394" i="25" s="1"/>
  <c r="DO385" i="25"/>
  <c r="DP385" i="25" s="1"/>
  <c r="DQ385" i="25" s="1"/>
  <c r="DR385" i="25" s="1"/>
  <c r="DO351" i="25"/>
  <c r="DP351" i="25" s="1"/>
  <c r="DQ351" i="25" s="1"/>
  <c r="DR351" i="25" s="1"/>
  <c r="DO343" i="25"/>
  <c r="DP343" i="25" s="1"/>
  <c r="DQ343" i="25" s="1"/>
  <c r="DR343" i="25" s="1"/>
  <c r="DO339" i="25"/>
  <c r="DP339" i="25" s="1"/>
  <c r="DQ339" i="25" s="1"/>
  <c r="DR339" i="25" s="1"/>
  <c r="DO319" i="25"/>
  <c r="DP319" i="25" s="1"/>
  <c r="DQ319" i="25" s="1"/>
  <c r="DR319" i="25" s="1"/>
  <c r="DO312" i="25"/>
  <c r="DP312" i="25" s="1"/>
  <c r="DQ312" i="25" s="1"/>
  <c r="DR312" i="25" s="1"/>
  <c r="DO302" i="25"/>
  <c r="DP302" i="25" s="1"/>
  <c r="DQ302" i="25" s="1"/>
  <c r="DR302" i="25" s="1"/>
  <c r="DO396" i="25"/>
  <c r="DP396" i="25" s="1"/>
  <c r="DQ396" i="25" s="1"/>
  <c r="DR396" i="25" s="1"/>
  <c r="DO279" i="25"/>
  <c r="DP279" i="25" s="1"/>
  <c r="DQ279" i="25" s="1"/>
  <c r="DR279" i="25" s="1"/>
  <c r="DO296" i="25"/>
  <c r="DP296" i="25" s="1"/>
  <c r="DQ296" i="25" s="1"/>
  <c r="DR296" i="25" s="1"/>
  <c r="DO270" i="25"/>
  <c r="DP270" i="25" s="1"/>
  <c r="DQ270" i="25" s="1"/>
  <c r="DR270" i="25" s="1"/>
  <c r="DO261" i="25"/>
  <c r="DP261" i="25" s="1"/>
  <c r="DQ261" i="25" s="1"/>
  <c r="DR261" i="25" s="1"/>
  <c r="DO249" i="25"/>
  <c r="DP249" i="25" s="1"/>
  <c r="DQ249" i="25" s="1"/>
  <c r="DR249" i="25" s="1"/>
  <c r="DO228" i="25"/>
  <c r="DP228" i="25" s="1"/>
  <c r="DQ228" i="25" s="1"/>
  <c r="DR228" i="25" s="1"/>
  <c r="DO215" i="25"/>
  <c r="DP215" i="25" s="1"/>
  <c r="DQ215" i="25" s="1"/>
  <c r="DR215" i="25" s="1"/>
  <c r="CP266" i="25"/>
  <c r="CO234" i="25"/>
  <c r="CQ234" i="25" s="1"/>
  <c r="CR234" i="25" s="1"/>
  <c r="CO240" i="25"/>
  <c r="CQ240" i="25" s="1"/>
  <c r="CR240" i="25" s="1"/>
  <c r="CP214" i="25"/>
  <c r="CP205" i="25"/>
  <c r="DO207" i="25"/>
  <c r="DP207" i="25" s="1"/>
  <c r="DQ207" i="25" s="1"/>
  <c r="DR207" i="25" s="1"/>
  <c r="DO382" i="25"/>
  <c r="DP382" i="25" s="1"/>
  <c r="DQ382" i="25" s="1"/>
  <c r="DR382" i="25" s="1"/>
  <c r="DO365" i="25"/>
  <c r="DP365" i="25" s="1"/>
  <c r="DQ365" i="25" s="1"/>
  <c r="DR365" i="25" s="1"/>
  <c r="DO358" i="25"/>
  <c r="DP358" i="25" s="1"/>
  <c r="DQ358" i="25" s="1"/>
  <c r="DR358" i="25" s="1"/>
  <c r="DO349" i="25"/>
  <c r="DP349" i="25" s="1"/>
  <c r="DQ349" i="25" s="1"/>
  <c r="DR349" i="25" s="1"/>
  <c r="DO341" i="25"/>
  <c r="DP341" i="25" s="1"/>
  <c r="DQ341" i="25" s="1"/>
  <c r="DR341" i="25" s="1"/>
  <c r="DO330" i="25"/>
  <c r="DP330" i="25" s="1"/>
  <c r="DQ330" i="25" s="1"/>
  <c r="DR330" i="25" s="1"/>
  <c r="DO335" i="25"/>
  <c r="DP335" i="25" s="1"/>
  <c r="DQ335" i="25" s="1"/>
  <c r="DR335" i="25" s="1"/>
  <c r="DO287" i="25"/>
  <c r="DP287" i="25" s="1"/>
  <c r="DQ287" i="25" s="1"/>
  <c r="DR287" i="25" s="1"/>
  <c r="DO268" i="25"/>
  <c r="DP268" i="25" s="1"/>
  <c r="DQ268" i="25" s="1"/>
  <c r="DR268" i="25" s="1"/>
  <c r="DO232" i="25"/>
  <c r="DP232" i="25" s="1"/>
  <c r="DQ232" i="25" s="1"/>
  <c r="DR232" i="25" s="1"/>
  <c r="DO244" i="25"/>
  <c r="DP244" i="25" s="1"/>
  <c r="DQ244" i="25" s="1"/>
  <c r="DR244" i="25" s="1"/>
  <c r="DO218" i="25"/>
  <c r="DP218" i="25" s="1"/>
  <c r="DQ218" i="25" s="1"/>
  <c r="DR218" i="25" s="1"/>
  <c r="DO374" i="25"/>
  <c r="DP374" i="25" s="1"/>
  <c r="DO377" i="25"/>
  <c r="DP377" i="25" s="1"/>
  <c r="DQ377" i="25" s="1"/>
  <c r="DR377" i="25" s="1"/>
  <c r="DO363" i="25"/>
  <c r="DP363" i="25" s="1"/>
  <c r="DQ363" i="25" s="1"/>
  <c r="DR363" i="25" s="1"/>
  <c r="DO354" i="25"/>
  <c r="DP354" i="25" s="1"/>
  <c r="DQ354" i="25" s="1"/>
  <c r="DR354" i="25" s="1"/>
  <c r="DO346" i="25"/>
  <c r="DP346" i="25" s="1"/>
  <c r="DQ346" i="25" s="1"/>
  <c r="DR346" i="25" s="1"/>
  <c r="DO248" i="25"/>
  <c r="DP248" i="25" s="1"/>
  <c r="DQ248" i="25" s="1"/>
  <c r="DR248" i="25" s="1"/>
  <c r="DO316" i="25"/>
  <c r="DP316" i="25" s="1"/>
  <c r="DQ316" i="25" s="1"/>
  <c r="DR316" i="25" s="1"/>
  <c r="DO317" i="25"/>
  <c r="DP317" i="25" s="1"/>
  <c r="DQ317" i="25" s="1"/>
  <c r="DR317" i="25" s="1"/>
  <c r="DO320" i="25"/>
  <c r="DP320" i="25" s="1"/>
  <c r="DQ320" i="25" s="1"/>
  <c r="DR320" i="25" s="1"/>
  <c r="DO318" i="25"/>
  <c r="DP318" i="25" s="1"/>
  <c r="DQ318" i="25" s="1"/>
  <c r="DR318" i="25" s="1"/>
  <c r="DO308" i="25"/>
  <c r="DP308" i="25" s="1"/>
  <c r="DQ308" i="25" s="1"/>
  <c r="DR308" i="25" s="1"/>
  <c r="DO272" i="25"/>
  <c r="DP272" i="25" s="1"/>
  <c r="DQ272" i="25" s="1"/>
  <c r="DR272" i="25" s="1"/>
  <c r="DO282" i="25"/>
  <c r="DP282" i="25" s="1"/>
  <c r="DQ282" i="25" s="1"/>
  <c r="DR282" i="25" s="1"/>
  <c r="DO370" i="25"/>
  <c r="DP370" i="25" s="1"/>
  <c r="DQ370" i="25" s="1"/>
  <c r="DR370" i="25" s="1"/>
  <c r="DO277" i="25"/>
  <c r="DP277" i="25" s="1"/>
  <c r="DQ277" i="25" s="1"/>
  <c r="DR277" i="25" s="1"/>
  <c r="DO368" i="25"/>
  <c r="DP368" i="25" s="1"/>
  <c r="DQ368" i="25" s="1"/>
  <c r="DR368" i="25" s="1"/>
  <c r="DO266" i="25"/>
  <c r="DP266" i="25" s="1"/>
  <c r="DQ266" i="25" s="1"/>
  <c r="DR266" i="25" s="1"/>
  <c r="DO234" i="25"/>
  <c r="DP234" i="25" s="1"/>
  <c r="DQ234" i="25" s="1"/>
  <c r="DR234" i="25" s="1"/>
  <c r="DO240" i="25"/>
  <c r="DP240" i="25" s="1"/>
  <c r="DQ240" i="25" s="1"/>
  <c r="DR240" i="25" s="1"/>
  <c r="DO229" i="25"/>
  <c r="DP229" i="25" s="1"/>
  <c r="DQ229" i="25" s="1"/>
  <c r="DR229" i="25" s="1"/>
  <c r="DO214" i="25"/>
  <c r="DP214" i="25" s="1"/>
  <c r="DQ214" i="25" s="1"/>
  <c r="DR214" i="25" s="1"/>
  <c r="DO241" i="25"/>
  <c r="DP241" i="25" s="1"/>
  <c r="DQ241" i="25" s="1"/>
  <c r="DR241" i="25" s="1"/>
  <c r="DO205" i="25"/>
  <c r="DP205" i="25" s="1"/>
  <c r="DQ205" i="25" s="1"/>
  <c r="DR205" i="25" s="1"/>
  <c r="DY345" i="25"/>
  <c r="DY337" i="25"/>
  <c r="DW369" i="25"/>
  <c r="DW223" i="25"/>
  <c r="DY285" i="25"/>
  <c r="DY247" i="25"/>
  <c r="DW373" i="25"/>
  <c r="DW324" i="25"/>
  <c r="DW250" i="25"/>
  <c r="DY267" i="25"/>
  <c r="DY206" i="25"/>
  <c r="DW219" i="25"/>
  <c r="DW375" i="25"/>
  <c r="DW239" i="25"/>
  <c r="DY314" i="25"/>
  <c r="DW377" i="25"/>
  <c r="DW353" i="25"/>
  <c r="DY385" i="25"/>
  <c r="DW367" i="25"/>
  <c r="DW376" i="25"/>
  <c r="CG351" i="25"/>
  <c r="CG372" i="25"/>
  <c r="CG207" i="25"/>
  <c r="CG395" i="25"/>
  <c r="CG360" i="25"/>
  <c r="CG313" i="25"/>
  <c r="CG208" i="25"/>
  <c r="CO367" i="25"/>
  <c r="CQ367" i="25" s="1"/>
  <c r="CR367" i="25" s="1"/>
  <c r="CP345" i="25"/>
  <c r="CP324" i="25"/>
  <c r="CP376" i="25"/>
  <c r="CO213" i="25"/>
  <c r="CQ213" i="25" s="1"/>
  <c r="CO279" i="25"/>
  <c r="CQ279" i="25" s="1"/>
  <c r="CP347" i="25"/>
  <c r="CP386" i="25"/>
  <c r="CP274" i="25"/>
  <c r="CP255" i="25"/>
  <c r="CP209" i="25"/>
  <c r="CO357" i="25"/>
  <c r="CQ357" i="25" s="1"/>
  <c r="CP365" i="25"/>
  <c r="CO330" i="25"/>
  <c r="CQ330" i="25" s="1"/>
  <c r="CO379" i="25"/>
  <c r="CQ379" i="25" s="1"/>
  <c r="CP264" i="25"/>
  <c r="CO371" i="25"/>
  <c r="CQ371" i="25" s="1"/>
  <c r="CO372" i="25"/>
  <c r="CQ372" i="25" s="1"/>
  <c r="CO302" i="25"/>
  <c r="CQ302" i="25" s="1"/>
  <c r="CO296" i="25"/>
  <c r="CQ296" i="25" s="1"/>
  <c r="CO270" i="25"/>
  <c r="CQ270" i="25" s="1"/>
  <c r="CO207" i="25"/>
  <c r="CQ207" i="25" s="1"/>
  <c r="CO373" i="25"/>
  <c r="CQ373" i="25" s="1"/>
  <c r="CP367" i="25"/>
  <c r="CP361" i="25"/>
  <c r="CP353" i="25"/>
  <c r="CO219" i="25"/>
  <c r="CQ219" i="25" s="1"/>
  <c r="CO337" i="25"/>
  <c r="CQ337" i="25" s="1"/>
  <c r="CO324" i="25"/>
  <c r="CQ324" i="25" s="1"/>
  <c r="CP326" i="25"/>
  <c r="CO314" i="25"/>
  <c r="CQ314" i="25" s="1"/>
  <c r="CP273" i="25"/>
  <c r="CP285" i="25"/>
  <c r="CP375" i="25"/>
  <c r="CP304" i="25"/>
  <c r="CO369" i="25"/>
  <c r="CQ369" i="25" s="1"/>
  <c r="CO376" i="25"/>
  <c r="CQ376" i="25" s="1"/>
  <c r="CP250" i="25"/>
  <c r="CP223" i="25"/>
  <c r="CP246" i="25"/>
  <c r="CP213" i="25"/>
  <c r="CP239" i="25"/>
  <c r="CO203" i="25"/>
  <c r="CQ203" i="25" s="1"/>
  <c r="CO345" i="25"/>
  <c r="CQ345" i="25" s="1"/>
  <c r="CO304" i="25"/>
  <c r="CQ304" i="25" s="1"/>
  <c r="CP369" i="25"/>
  <c r="CO250" i="25"/>
  <c r="CQ250" i="25" s="1"/>
  <c r="CO247" i="25"/>
  <c r="CQ247" i="25" s="1"/>
  <c r="CP359" i="25"/>
  <c r="CP301" i="25"/>
  <c r="CO297" i="25"/>
  <c r="CQ297" i="25" s="1"/>
  <c r="CP245" i="25"/>
  <c r="CP238" i="25"/>
  <c r="CO224" i="25"/>
  <c r="CQ224" i="25" s="1"/>
  <c r="CP203" i="25"/>
  <c r="DS392" i="25"/>
  <c r="DS366" i="25"/>
  <c r="DS359" i="25"/>
  <c r="DS350" i="25"/>
  <c r="DS342" i="25"/>
  <c r="DS252" i="25"/>
  <c r="DS325" i="25"/>
  <c r="DS311" i="25"/>
  <c r="DS301" i="25"/>
  <c r="DS281" i="25"/>
  <c r="DS278" i="25"/>
  <c r="DS297" i="25"/>
  <c r="DS260" i="25"/>
  <c r="DS258" i="25"/>
  <c r="DS245" i="25"/>
  <c r="DS236" i="25"/>
  <c r="DS204" i="25"/>
  <c r="DS224" i="25"/>
  <c r="CP390" i="25"/>
  <c r="CO390" i="25"/>
  <c r="CQ390" i="25" s="1"/>
  <c r="CO381" i="25"/>
  <c r="CQ381" i="25" s="1"/>
  <c r="CP381" i="25"/>
  <c r="CP362" i="25"/>
  <c r="CO362" i="25"/>
  <c r="CQ362" i="25" s="1"/>
  <c r="CP356" i="25"/>
  <c r="CO356" i="25"/>
  <c r="CQ356" i="25" s="1"/>
  <c r="CP348" i="25"/>
  <c r="CO348" i="25"/>
  <c r="CQ348" i="25" s="1"/>
  <c r="CP340" i="25"/>
  <c r="CO340" i="25"/>
  <c r="CQ340" i="25" s="1"/>
  <c r="CP338" i="25"/>
  <c r="CO338" i="25"/>
  <c r="CQ338" i="25" s="1"/>
  <c r="CO328" i="25"/>
  <c r="CQ328" i="25" s="1"/>
  <c r="CP328" i="25"/>
  <c r="CO334" i="25"/>
  <c r="CQ334" i="25" s="1"/>
  <c r="CP334" i="25"/>
  <c r="CO332" i="25"/>
  <c r="CQ332" i="25" s="1"/>
  <c r="CP332" i="25"/>
  <c r="CP310" i="25"/>
  <c r="CO310" i="25"/>
  <c r="CQ310" i="25" s="1"/>
  <c r="CO286" i="25"/>
  <c r="CQ286" i="25" s="1"/>
  <c r="CP286" i="25"/>
  <c r="CO300" i="25"/>
  <c r="CQ300" i="25" s="1"/>
  <c r="CP300" i="25"/>
  <c r="CO280" i="25"/>
  <c r="CQ280" i="25" s="1"/>
  <c r="CP280" i="25"/>
  <c r="CP378" i="25"/>
  <c r="CO378" i="25"/>
  <c r="CQ378" i="25" s="1"/>
  <c r="CP294" i="25"/>
  <c r="CO294" i="25"/>
  <c r="CQ294" i="25" s="1"/>
  <c r="CO264" i="25"/>
  <c r="CQ264" i="25" s="1"/>
  <c r="CO259" i="25"/>
  <c r="CQ259" i="25" s="1"/>
  <c r="CP259" i="25"/>
  <c r="CO256" i="25"/>
  <c r="CQ256" i="25" s="1"/>
  <c r="CP256" i="25"/>
  <c r="CO227" i="25"/>
  <c r="CQ227" i="25" s="1"/>
  <c r="CP227" i="25"/>
  <c r="CO231" i="25"/>
  <c r="CQ231" i="25" s="1"/>
  <c r="CP231" i="25"/>
  <c r="CP235" i="25"/>
  <c r="CO235" i="25"/>
  <c r="CQ235" i="25" s="1"/>
  <c r="CO225" i="25"/>
  <c r="CQ225" i="25" s="1"/>
  <c r="CP225" i="25"/>
  <c r="CP210" i="25"/>
  <c r="CO210" i="25"/>
  <c r="CQ210" i="25" s="1"/>
  <c r="CO395" i="25"/>
  <c r="CQ395" i="25" s="1"/>
  <c r="CP395" i="25"/>
  <c r="CO387" i="25"/>
  <c r="CQ387" i="25" s="1"/>
  <c r="CP387" i="25"/>
  <c r="CO360" i="25"/>
  <c r="CQ360" i="25" s="1"/>
  <c r="CR360" i="25" s="1"/>
  <c r="CV360" i="25" s="1"/>
  <c r="CW360" i="25" s="1"/>
  <c r="CZ360" i="25" s="1"/>
  <c r="CP360" i="25"/>
  <c r="CO352" i="25"/>
  <c r="CQ352" i="25" s="1"/>
  <c r="CP352" i="25"/>
  <c r="CO344" i="25"/>
  <c r="CQ344" i="25" s="1"/>
  <c r="CR344" i="25" s="1"/>
  <c r="CP344" i="25"/>
  <c r="CP336" i="25"/>
  <c r="CO336" i="25"/>
  <c r="CQ336" i="25" s="1"/>
  <c r="CR336" i="25" s="1"/>
  <c r="CV336" i="25" s="1"/>
  <c r="CW336" i="25" s="1"/>
  <c r="CZ336" i="25" s="1"/>
  <c r="CP298" i="25"/>
  <c r="CO298" i="25"/>
  <c r="CQ298" i="25" s="1"/>
  <c r="CP331" i="25"/>
  <c r="CO331" i="25"/>
  <c r="CQ331" i="25" s="1"/>
  <c r="CP313" i="25"/>
  <c r="CO313" i="25"/>
  <c r="CQ313" i="25" s="1"/>
  <c r="CR313" i="25" s="1"/>
  <c r="CP389" i="25"/>
  <c r="CO389" i="25"/>
  <c r="CQ389" i="25" s="1"/>
  <c r="CR389" i="25" s="1"/>
  <c r="CP284" i="25"/>
  <c r="CO284" i="25"/>
  <c r="CQ284" i="25" s="1"/>
  <c r="CR284" i="25" s="1"/>
  <c r="CV284" i="25" s="1"/>
  <c r="CW284" i="25" s="1"/>
  <c r="CZ284" i="25" s="1"/>
  <c r="CO295" i="25"/>
  <c r="CQ295" i="25" s="1"/>
  <c r="CP295" i="25"/>
  <c r="CO276" i="25"/>
  <c r="CQ276" i="25" s="1"/>
  <c r="CP276" i="25"/>
  <c r="CO303" i="25"/>
  <c r="CQ303" i="25" s="1"/>
  <c r="CR303" i="25" s="1"/>
  <c r="CP303" i="25"/>
  <c r="CP208" i="25"/>
  <c r="CO212" i="25"/>
  <c r="CQ212" i="25" s="1"/>
  <c r="CP271" i="25"/>
  <c r="CP262" i="25"/>
  <c r="CP254" i="25"/>
  <c r="CO254" i="25"/>
  <c r="CQ254" i="25" s="1"/>
  <c r="CR254" i="25" s="1"/>
  <c r="CP233" i="25"/>
  <c r="CP222" i="25"/>
  <c r="CP211" i="25"/>
  <c r="CO220" i="25"/>
  <c r="CQ220" i="25" s="1"/>
  <c r="DE216" i="25"/>
  <c r="DH216" i="25"/>
  <c r="DI216" i="25" s="1"/>
  <c r="DY351" i="25"/>
  <c r="CO208" i="25"/>
  <c r="CQ208" i="25" s="1"/>
  <c r="CO271" i="25"/>
  <c r="CQ271" i="25" s="1"/>
  <c r="CR271" i="25" s="1"/>
  <c r="CV271" i="25" s="1"/>
  <c r="CW271" i="25" s="1"/>
  <c r="CZ271" i="25" s="1"/>
  <c r="DY339" i="25"/>
  <c r="DY372" i="25"/>
  <c r="DY396" i="25"/>
  <c r="DY221" i="25"/>
  <c r="DW394" i="25"/>
  <c r="DW270" i="25"/>
  <c r="CP220" i="25"/>
  <c r="CO393" i="25"/>
  <c r="CQ393" i="25" s="1"/>
  <c r="CP373" i="25"/>
  <c r="CO361" i="25"/>
  <c r="CQ361" i="25" s="1"/>
  <c r="CP219" i="25"/>
  <c r="CP337" i="25"/>
  <c r="CP314" i="25"/>
  <c r="CO285" i="25"/>
  <c r="CQ285" i="25" s="1"/>
  <c r="CO375" i="25"/>
  <c r="CQ375" i="25" s="1"/>
  <c r="CO267" i="25"/>
  <c r="CQ267" i="25" s="1"/>
  <c r="CP267" i="25"/>
  <c r="CO223" i="25"/>
  <c r="CQ223" i="25" s="1"/>
  <c r="CO246" i="25"/>
  <c r="CQ246" i="25" s="1"/>
  <c r="CO239" i="25"/>
  <c r="CQ239" i="25" s="1"/>
  <c r="CP206" i="25"/>
  <c r="CP391" i="25"/>
  <c r="CO382" i="25"/>
  <c r="CQ382" i="25" s="1"/>
  <c r="CO365" i="25"/>
  <c r="CQ365" i="25" s="1"/>
  <c r="CO358" i="25"/>
  <c r="CQ358" i="25" s="1"/>
  <c r="CO349" i="25"/>
  <c r="CQ349" i="25" s="1"/>
  <c r="CP341" i="25"/>
  <c r="CO341" i="25"/>
  <c r="CQ341" i="25" s="1"/>
  <c r="CP330" i="25"/>
  <c r="CP329" i="25"/>
  <c r="CP335" i="25"/>
  <c r="CO335" i="25"/>
  <c r="CQ335" i="25" s="1"/>
  <c r="CO333" i="25"/>
  <c r="CQ333" i="25" s="1"/>
  <c r="CP333" i="25"/>
  <c r="CO288" i="25"/>
  <c r="CQ288" i="25" s="1"/>
  <c r="CO287" i="25"/>
  <c r="CQ287" i="25" s="1"/>
  <c r="CP287" i="25"/>
  <c r="CO283" i="25"/>
  <c r="CQ283" i="25" s="1"/>
  <c r="CP283" i="25"/>
  <c r="CO384" i="25"/>
  <c r="CQ384" i="25" s="1"/>
  <c r="CP379" i="25"/>
  <c r="CO275" i="25"/>
  <c r="CQ275" i="25" s="1"/>
  <c r="CP268" i="25"/>
  <c r="CO268" i="25"/>
  <c r="CQ268" i="25" s="1"/>
  <c r="CO251" i="25"/>
  <c r="CQ251" i="25" s="1"/>
  <c r="CO257" i="25"/>
  <c r="CQ257" i="25" s="1"/>
  <c r="CO243" i="25"/>
  <c r="CQ243" i="25" s="1"/>
  <c r="CO232" i="25"/>
  <c r="CQ232" i="25" s="1"/>
  <c r="CO244" i="25"/>
  <c r="CQ244" i="25" s="1"/>
  <c r="CP244" i="25"/>
  <c r="CO226" i="25"/>
  <c r="CQ226" i="25" s="1"/>
  <c r="CO218" i="25"/>
  <c r="CQ218" i="25" s="1"/>
  <c r="DY298" i="25"/>
  <c r="DY272" i="25"/>
  <c r="DY296" i="25"/>
  <c r="DY262" i="25"/>
  <c r="DY207" i="25"/>
  <c r="DY220" i="25"/>
  <c r="DW295" i="25"/>
  <c r="CP393" i="25"/>
  <c r="CP358" i="25"/>
  <c r="CP247" i="25"/>
  <c r="CO391" i="25"/>
  <c r="CQ391" i="25" s="1"/>
  <c r="CO262" i="25"/>
  <c r="CQ262" i="25" s="1"/>
  <c r="CR262" i="25" s="1"/>
  <c r="CV262" i="25" s="1"/>
  <c r="CW262" i="25" s="1"/>
  <c r="CZ262" i="25" s="1"/>
  <c r="CO211" i="25"/>
  <c r="CQ211" i="25" s="1"/>
  <c r="CR211" i="25" s="1"/>
  <c r="DY261" i="25"/>
  <c r="DS381" i="25"/>
  <c r="DS348" i="25"/>
  <c r="DS340" i="25"/>
  <c r="DS332" i="25"/>
  <c r="DS300" i="25"/>
  <c r="DS280" i="25"/>
  <c r="DS256" i="25"/>
  <c r="DS231" i="25"/>
  <c r="DS225" i="25"/>
  <c r="CO206" i="25"/>
  <c r="CQ206" i="25" s="1"/>
  <c r="CG319" i="25"/>
  <c r="CG296" i="25"/>
  <c r="CG270" i="25"/>
  <c r="DY354" i="25"/>
  <c r="DY343" i="25"/>
  <c r="DY312" i="25"/>
  <c r="DS364" i="25"/>
  <c r="DS237" i="25"/>
  <c r="DS307" i="25"/>
  <c r="DS274" i="25"/>
  <c r="DS255" i="25"/>
  <c r="DS253" i="25"/>
  <c r="DS242" i="25"/>
  <c r="DS217" i="25"/>
  <c r="CP288" i="25"/>
  <c r="DY215" i="25"/>
  <c r="DW319" i="25"/>
  <c r="DH238" i="25"/>
  <c r="DI238" i="25" s="1"/>
  <c r="CO233" i="25"/>
  <c r="CQ233" i="25" s="1"/>
  <c r="CR233" i="25" s="1"/>
  <c r="CG388" i="25"/>
  <c r="CG380" i="25"/>
  <c r="CG364" i="25"/>
  <c r="CG355" i="25"/>
  <c r="CG347" i="25"/>
  <c r="CG237" i="25"/>
  <c r="CG327" i="25"/>
  <c r="CG315" i="25"/>
  <c r="CG309" i="25"/>
  <c r="CG306" i="25"/>
  <c r="CG386" i="25"/>
  <c r="CG305" i="25"/>
  <c r="CG307" i="25"/>
  <c r="CG274" i="25"/>
  <c r="CG255" i="25"/>
  <c r="CG253" i="25"/>
  <c r="CG265" i="25"/>
  <c r="CG209" i="25"/>
  <c r="CG230" i="25"/>
  <c r="CG216" i="25"/>
  <c r="CG242" i="25"/>
  <c r="CG217" i="25"/>
  <c r="CG394" i="25"/>
  <c r="CG385" i="25"/>
  <c r="CG357" i="25"/>
  <c r="CG343" i="25"/>
  <c r="CG371" i="25"/>
  <c r="CG312" i="25"/>
  <c r="CG302" i="25"/>
  <c r="CG396" i="25"/>
  <c r="CG279" i="25"/>
  <c r="CG261" i="25"/>
  <c r="CG228" i="25"/>
  <c r="CG221" i="25"/>
  <c r="CG215" i="25"/>
  <c r="CG350" i="25"/>
  <c r="CG342" i="25"/>
  <c r="CG278" i="25"/>
  <c r="CG269" i="25"/>
  <c r="CG258" i="25"/>
  <c r="CG236" i="25"/>
  <c r="CG224" i="25"/>
  <c r="CO326" i="25"/>
  <c r="CQ326" i="25" s="1"/>
  <c r="CO273" i="25"/>
  <c r="CQ273" i="25" s="1"/>
  <c r="DO395" i="25"/>
  <c r="DP395" i="25" s="1"/>
  <c r="DQ395" i="25" s="1"/>
  <c r="DR395" i="25" s="1"/>
  <c r="DO387" i="25"/>
  <c r="DP387" i="25" s="1"/>
  <c r="DQ387" i="25" s="1"/>
  <c r="DR387" i="25" s="1"/>
  <c r="DO360" i="25"/>
  <c r="DP360" i="25" s="1"/>
  <c r="DQ360" i="25" s="1"/>
  <c r="DR360" i="25" s="1"/>
  <c r="DO352" i="25"/>
  <c r="DP352" i="25" s="1"/>
  <c r="DQ352" i="25" s="1"/>
  <c r="DR352" i="25" s="1"/>
  <c r="DO344" i="25"/>
  <c r="DP344" i="25" s="1"/>
  <c r="DQ344" i="25" s="1"/>
  <c r="DR344" i="25" s="1"/>
  <c r="DO298" i="25"/>
  <c r="DP298" i="25" s="1"/>
  <c r="DQ298" i="25" s="1"/>
  <c r="DR298" i="25" s="1"/>
  <c r="DO331" i="25"/>
  <c r="DP331" i="25" s="1"/>
  <c r="DQ331" i="25" s="1"/>
  <c r="DR331" i="25" s="1"/>
  <c r="CO353" i="25"/>
  <c r="CQ353" i="25" s="1"/>
  <c r="CR353" i="25" s="1"/>
  <c r="CP355" i="25"/>
  <c r="CP327" i="25"/>
  <c r="CP306" i="25"/>
  <c r="CP230" i="25"/>
  <c r="CP242" i="25"/>
  <c r="CO394" i="25"/>
  <c r="CQ394" i="25" s="1"/>
  <c r="CO351" i="25"/>
  <c r="CQ351" i="25" s="1"/>
  <c r="CO339" i="25"/>
  <c r="CQ339" i="25" s="1"/>
  <c r="CO319" i="25"/>
  <c r="CQ319" i="25" s="1"/>
  <c r="CG374" i="25"/>
  <c r="CG377" i="25"/>
  <c r="CG363" i="25"/>
  <c r="CG354" i="25"/>
  <c r="CG346" i="25"/>
  <c r="CG248" i="25"/>
  <c r="CG316" i="25"/>
  <c r="CG317" i="25"/>
  <c r="CG320" i="25"/>
  <c r="CG318" i="25"/>
  <c r="CG308" i="25"/>
  <c r="CG272" i="25"/>
  <c r="CG282" i="25"/>
  <c r="CG370" i="25"/>
  <c r="CG277" i="25"/>
  <c r="CG368" i="25"/>
  <c r="CG263" i="25"/>
  <c r="CG266" i="25"/>
  <c r="CG234" i="25"/>
  <c r="CG240" i="25"/>
  <c r="CG229" i="25"/>
  <c r="CG214" i="25"/>
  <c r="CG241" i="25"/>
  <c r="CG205" i="25"/>
  <c r="CG366" i="25"/>
  <c r="DW390" i="25"/>
  <c r="DY390" i="25"/>
  <c r="DW381" i="25"/>
  <c r="DY381" i="25"/>
  <c r="DW362" i="25"/>
  <c r="DY362" i="25"/>
  <c r="DW356" i="25"/>
  <c r="DY356" i="25"/>
  <c r="DW348" i="25"/>
  <c r="DY348" i="25"/>
  <c r="DW340" i="25"/>
  <c r="DY340" i="25"/>
  <c r="DW338" i="25"/>
  <c r="DY338" i="25"/>
  <c r="DW328" i="25"/>
  <c r="DY328" i="25"/>
  <c r="DW334" i="25"/>
  <c r="DY334" i="25"/>
  <c r="DW332" i="25"/>
  <c r="DY332" i="25"/>
  <c r="DW310" i="25"/>
  <c r="DY310" i="25"/>
  <c r="DW286" i="25"/>
  <c r="DY286" i="25"/>
  <c r="DW300" i="25"/>
  <c r="DY300" i="25"/>
  <c r="DW280" i="25"/>
  <c r="DY280" i="25"/>
  <c r="DW378" i="25"/>
  <c r="DY378" i="25"/>
  <c r="DW294" i="25"/>
  <c r="DY294" i="25"/>
  <c r="DW264" i="25"/>
  <c r="DY264" i="25"/>
  <c r="DW259" i="25"/>
  <c r="DY259" i="25"/>
  <c r="DW256" i="25"/>
  <c r="DY256" i="25"/>
  <c r="DW227" i="25"/>
  <c r="DY227" i="25"/>
  <c r="DW231" i="25"/>
  <c r="DY231" i="25"/>
  <c r="DW235" i="25"/>
  <c r="DY235" i="25"/>
  <c r="DW225" i="25"/>
  <c r="DY225" i="25"/>
  <c r="DW210" i="25"/>
  <c r="DY210" i="25"/>
  <c r="DD352" i="25"/>
  <c r="DC352" i="25" s="1"/>
  <c r="DJ352" i="25" s="1"/>
  <c r="DH352" i="25"/>
  <c r="DI352" i="25" s="1"/>
  <c r="DE352" i="25"/>
  <c r="DD313" i="25"/>
  <c r="DC313" i="25" s="1"/>
  <c r="DJ313" i="25" s="1"/>
  <c r="DH313" i="25"/>
  <c r="DI313" i="25" s="1"/>
  <c r="DE313" i="25"/>
  <c r="DE389" i="25"/>
  <c r="DD389" i="25"/>
  <c r="DC389" i="25" s="1"/>
  <c r="DJ389" i="25" s="1"/>
  <c r="DH389" i="25"/>
  <c r="DI389" i="25" s="1"/>
  <c r="DH271" i="25"/>
  <c r="DI271" i="25" s="1"/>
  <c r="DD271" i="25"/>
  <c r="DC271" i="25" s="1"/>
  <c r="DJ271" i="25" s="1"/>
  <c r="DE271" i="25"/>
  <c r="DD222" i="25"/>
  <c r="DC222" i="25" s="1"/>
  <c r="DJ222" i="25" s="1"/>
  <c r="DH222" i="25"/>
  <c r="DI222" i="25" s="1"/>
  <c r="DE222" i="25"/>
  <c r="DE336" i="25"/>
  <c r="DH336" i="25"/>
  <c r="DI336" i="25" s="1"/>
  <c r="DD336" i="25"/>
  <c r="DC336" i="25" s="1"/>
  <c r="DJ336" i="25" s="1"/>
  <c r="DD276" i="25"/>
  <c r="DC276" i="25" s="1"/>
  <c r="DJ276" i="25" s="1"/>
  <c r="DH276" i="25"/>
  <c r="DI276" i="25" s="1"/>
  <c r="DE276" i="25"/>
  <c r="DD262" i="25"/>
  <c r="DC262" i="25" s="1"/>
  <c r="DJ262" i="25" s="1"/>
  <c r="DH262" i="25"/>
  <c r="DI262" i="25" s="1"/>
  <c r="DE262" i="25"/>
  <c r="DD395" i="25"/>
  <c r="DC395" i="25" s="1"/>
  <c r="DJ395" i="25" s="1"/>
  <c r="DH395" i="25"/>
  <c r="DI395" i="25" s="1"/>
  <c r="DE395" i="25"/>
  <c r="DD360" i="25"/>
  <c r="DC360" i="25" s="1"/>
  <c r="DJ360" i="25" s="1"/>
  <c r="DE360" i="25"/>
  <c r="DH360" i="25"/>
  <c r="DI360" i="25" s="1"/>
  <c r="DE344" i="25"/>
  <c r="DD344" i="25"/>
  <c r="DC344" i="25" s="1"/>
  <c r="DJ344" i="25" s="1"/>
  <c r="DH344" i="25"/>
  <c r="DI344" i="25" s="1"/>
  <c r="DD331" i="25"/>
  <c r="DC331" i="25" s="1"/>
  <c r="DJ331" i="25" s="1"/>
  <c r="DE331" i="25"/>
  <c r="DH331" i="25"/>
  <c r="DI331" i="25" s="1"/>
  <c r="DD284" i="25"/>
  <c r="DC284" i="25" s="1"/>
  <c r="DJ284" i="25" s="1"/>
  <c r="DH284" i="25"/>
  <c r="DI284" i="25" s="1"/>
  <c r="DE284" i="25"/>
  <c r="DD254" i="25"/>
  <c r="DC254" i="25" s="1"/>
  <c r="DJ254" i="25" s="1"/>
  <c r="DE254" i="25"/>
  <c r="DH254" i="25"/>
  <c r="DI254" i="25" s="1"/>
  <c r="DD387" i="25"/>
  <c r="DC387" i="25" s="1"/>
  <c r="DJ387" i="25" s="1"/>
  <c r="DE387" i="25"/>
  <c r="DH387" i="25"/>
  <c r="DI387" i="25" s="1"/>
  <c r="DD298" i="25"/>
  <c r="DC298" i="25" s="1"/>
  <c r="DJ298" i="25" s="1"/>
  <c r="DH298" i="25"/>
  <c r="DI298" i="25" s="1"/>
  <c r="DE298" i="25"/>
  <c r="DD303" i="25"/>
  <c r="DC303" i="25" s="1"/>
  <c r="DJ303" i="25" s="1"/>
  <c r="DE303" i="25"/>
  <c r="DH303" i="25"/>
  <c r="DI303" i="25" s="1"/>
  <c r="DE208" i="25"/>
  <c r="DD208" i="25"/>
  <c r="DC208" i="25" s="1"/>
  <c r="DJ208" i="25" s="1"/>
  <c r="DH208" i="25"/>
  <c r="DI208" i="25" s="1"/>
  <c r="DE211" i="25"/>
  <c r="DH211" i="25"/>
  <c r="DI211" i="25" s="1"/>
  <c r="DD211" i="25"/>
  <c r="DC211" i="25" s="1"/>
  <c r="DJ211" i="25" s="1"/>
  <c r="DE220" i="25"/>
  <c r="DH220" i="25"/>
  <c r="DI220" i="25" s="1"/>
  <c r="DD220" i="25"/>
  <c r="DC220" i="25" s="1"/>
  <c r="DJ220" i="25" s="1"/>
  <c r="DD295" i="25"/>
  <c r="DC295" i="25" s="1"/>
  <c r="DJ295" i="25" s="1"/>
  <c r="DE295" i="25"/>
  <c r="DH295" i="25"/>
  <c r="DI295" i="25" s="1"/>
  <c r="DE233" i="25"/>
  <c r="DD233" i="25"/>
  <c r="DC233" i="25" s="1"/>
  <c r="DJ233" i="25" s="1"/>
  <c r="DH233" i="25"/>
  <c r="DI233" i="25" s="1"/>
  <c r="DE212" i="25"/>
  <c r="DD212" i="25"/>
  <c r="DC212" i="25" s="1"/>
  <c r="DJ212" i="25" s="1"/>
  <c r="DH212" i="25"/>
  <c r="DI212" i="25" s="1"/>
  <c r="CQ374" i="25"/>
  <c r="CV374" i="25" s="1"/>
  <c r="CW374" i="25" s="1"/>
  <c r="CZ374" i="25" s="1"/>
  <c r="DH374" i="25"/>
  <c r="DI374" i="25" s="1"/>
  <c r="DE374" i="25"/>
  <c r="DH377" i="25"/>
  <c r="DI377" i="25" s="1"/>
  <c r="DD377" i="25"/>
  <c r="DC377" i="25" s="1"/>
  <c r="DJ377" i="25" s="1"/>
  <c r="DH363" i="25"/>
  <c r="DI363" i="25" s="1"/>
  <c r="DE363" i="25"/>
  <c r="DH354" i="25"/>
  <c r="DI354" i="25" s="1"/>
  <c r="DD354" i="25"/>
  <c r="DC354" i="25" s="1"/>
  <c r="DJ354" i="25" s="1"/>
  <c r="DH346" i="25"/>
  <c r="DI346" i="25" s="1"/>
  <c r="DE346" i="25"/>
  <c r="DD346" i="25"/>
  <c r="DC346" i="25" s="1"/>
  <c r="DJ346" i="25" s="1"/>
  <c r="DD248" i="25"/>
  <c r="DC248" i="25" s="1"/>
  <c r="DJ248" i="25" s="1"/>
  <c r="DH248" i="25"/>
  <c r="DI248" i="25" s="1"/>
  <c r="DD316" i="25"/>
  <c r="DC316" i="25" s="1"/>
  <c r="DJ316" i="25" s="1"/>
  <c r="DH316" i="25"/>
  <c r="DI316" i="25" s="1"/>
  <c r="DE316" i="25"/>
  <c r="DD317" i="25"/>
  <c r="DC317" i="25" s="1"/>
  <c r="DJ317" i="25" s="1"/>
  <c r="DH317" i="25"/>
  <c r="DI317" i="25" s="1"/>
  <c r="DD320" i="25"/>
  <c r="DC320" i="25" s="1"/>
  <c r="DJ320" i="25" s="1"/>
  <c r="DH320" i="25"/>
  <c r="DI320" i="25" s="1"/>
  <c r="DE320" i="25"/>
  <c r="DH318" i="25"/>
  <c r="DI318" i="25" s="1"/>
  <c r="DH308" i="25"/>
  <c r="DI308" i="25" s="1"/>
  <c r="DE308" i="25"/>
  <c r="DD308" i="25"/>
  <c r="DC308" i="25" s="1"/>
  <c r="DJ308" i="25" s="1"/>
  <c r="DD272" i="25"/>
  <c r="DC272" i="25" s="1"/>
  <c r="DJ272" i="25" s="1"/>
  <c r="DH272" i="25"/>
  <c r="DI272" i="25" s="1"/>
  <c r="DD282" i="25"/>
  <c r="DC282" i="25" s="1"/>
  <c r="DJ282" i="25" s="1"/>
  <c r="DH282" i="25"/>
  <c r="DI282" i="25" s="1"/>
  <c r="DE282" i="25"/>
  <c r="DH370" i="25"/>
  <c r="DI370" i="25" s="1"/>
  <c r="DE370" i="25"/>
  <c r="DH277" i="25"/>
  <c r="DI277" i="25" s="1"/>
  <c r="DD277" i="25"/>
  <c r="DC277" i="25" s="1"/>
  <c r="DJ277" i="25" s="1"/>
  <c r="DE277" i="25"/>
  <c r="DD368" i="25"/>
  <c r="DC368" i="25" s="1"/>
  <c r="DJ368" i="25" s="1"/>
  <c r="DH368" i="25"/>
  <c r="DI368" i="25" s="1"/>
  <c r="DE368" i="25"/>
  <c r="DD263" i="25"/>
  <c r="DC263" i="25" s="1"/>
  <c r="DJ263" i="25" s="1"/>
  <c r="DH263" i="25"/>
  <c r="DI263" i="25" s="1"/>
  <c r="DH266" i="25"/>
  <c r="DI266" i="25" s="1"/>
  <c r="DE266" i="25"/>
  <c r="DD266" i="25"/>
  <c r="DC266" i="25" s="1"/>
  <c r="DJ266" i="25" s="1"/>
  <c r="DE234" i="25"/>
  <c r="DH234" i="25"/>
  <c r="DI234" i="25" s="1"/>
  <c r="DD234" i="25"/>
  <c r="DC234" i="25" s="1"/>
  <c r="DJ234" i="25" s="1"/>
  <c r="DD240" i="25"/>
  <c r="DC240" i="25" s="1"/>
  <c r="DJ240" i="25" s="1"/>
  <c r="DE240" i="25"/>
  <c r="DH240" i="25"/>
  <c r="DI240" i="25" s="1"/>
  <c r="DE229" i="25"/>
  <c r="DD229" i="25"/>
  <c r="DC229" i="25" s="1"/>
  <c r="DJ229" i="25" s="1"/>
  <c r="DH229" i="25"/>
  <c r="DI229" i="25" s="1"/>
  <c r="DE214" i="25"/>
  <c r="DH214" i="25"/>
  <c r="DI214" i="25" s="1"/>
  <c r="DD214" i="25"/>
  <c r="DC214" i="25" s="1"/>
  <c r="DJ214" i="25" s="1"/>
  <c r="DH241" i="25"/>
  <c r="DI241" i="25" s="1"/>
  <c r="DD241" i="25"/>
  <c r="DC241" i="25" s="1"/>
  <c r="DJ241" i="25" s="1"/>
  <c r="DD205" i="25"/>
  <c r="DC205" i="25" s="1"/>
  <c r="DJ205" i="25" s="1"/>
  <c r="DH205" i="25"/>
  <c r="DI205" i="25" s="1"/>
  <c r="DE205" i="25"/>
  <c r="DE272" i="25"/>
  <c r="DD393" i="25"/>
  <c r="DC393" i="25" s="1"/>
  <c r="DJ393" i="25" s="1"/>
  <c r="DH393" i="25"/>
  <c r="DI393" i="25" s="1"/>
  <c r="DE393" i="25"/>
  <c r="DD373" i="25"/>
  <c r="DC373" i="25" s="1"/>
  <c r="DJ373" i="25" s="1"/>
  <c r="DH373" i="25"/>
  <c r="DI373" i="25" s="1"/>
  <c r="DE373" i="25"/>
  <c r="DH367" i="25"/>
  <c r="DI367" i="25" s="1"/>
  <c r="DD367" i="25"/>
  <c r="DC367" i="25" s="1"/>
  <c r="DJ367" i="25" s="1"/>
  <c r="DE367" i="25"/>
  <c r="DH361" i="25"/>
  <c r="DI361" i="25" s="1"/>
  <c r="DE361" i="25"/>
  <c r="DD361" i="25"/>
  <c r="DC361" i="25" s="1"/>
  <c r="DJ361" i="25" s="1"/>
  <c r="DH353" i="25"/>
  <c r="DI353" i="25" s="1"/>
  <c r="DE353" i="25"/>
  <c r="DH345" i="25"/>
  <c r="DI345" i="25" s="1"/>
  <c r="DD345" i="25"/>
  <c r="DC345" i="25" s="1"/>
  <c r="DJ345" i="25" s="1"/>
  <c r="DE345" i="25"/>
  <c r="DH219" i="25"/>
  <c r="DI219" i="25" s="1"/>
  <c r="DE219" i="25"/>
  <c r="DD337" i="25"/>
  <c r="DC337" i="25" s="1"/>
  <c r="DJ337" i="25" s="1"/>
  <c r="DH337" i="25"/>
  <c r="DI337" i="25" s="1"/>
  <c r="DE337" i="25"/>
  <c r="DD324" i="25"/>
  <c r="DC324" i="25" s="1"/>
  <c r="DJ324" i="25" s="1"/>
  <c r="DH324" i="25"/>
  <c r="DI324" i="25" s="1"/>
  <c r="DE324" i="25"/>
  <c r="DD326" i="25"/>
  <c r="DC326" i="25" s="1"/>
  <c r="DJ326" i="25" s="1"/>
  <c r="DH326" i="25"/>
  <c r="DI326" i="25" s="1"/>
  <c r="DE326" i="25"/>
  <c r="DH314" i="25"/>
  <c r="DI314" i="25" s="1"/>
  <c r="DE314" i="25"/>
  <c r="DH273" i="25"/>
  <c r="DI273" i="25" s="1"/>
  <c r="DD273" i="25"/>
  <c r="DC273" i="25" s="1"/>
  <c r="DJ273" i="25" s="1"/>
  <c r="DE273" i="25"/>
  <c r="DD285" i="25"/>
  <c r="DC285" i="25" s="1"/>
  <c r="DJ285" i="25" s="1"/>
  <c r="DH285" i="25"/>
  <c r="DI285" i="25" s="1"/>
  <c r="DE285" i="25"/>
  <c r="DD375" i="25"/>
  <c r="DC375" i="25" s="1"/>
  <c r="DJ375" i="25" s="1"/>
  <c r="DH375" i="25"/>
  <c r="DI375" i="25" s="1"/>
  <c r="DE375" i="25"/>
  <c r="DH304" i="25"/>
  <c r="DI304" i="25" s="1"/>
  <c r="DE304" i="25"/>
  <c r="DD304" i="25"/>
  <c r="DC304" i="25" s="1"/>
  <c r="DJ304" i="25" s="1"/>
  <c r="DH369" i="25"/>
  <c r="DI369" i="25" s="1"/>
  <c r="DD369" i="25"/>
  <c r="DC369" i="25" s="1"/>
  <c r="DJ369" i="25" s="1"/>
  <c r="DE369" i="25"/>
  <c r="DD376" i="25"/>
  <c r="DC376" i="25" s="1"/>
  <c r="DJ376" i="25" s="1"/>
  <c r="DH376" i="25"/>
  <c r="DI376" i="25" s="1"/>
  <c r="DE376" i="25"/>
  <c r="DD267" i="25"/>
  <c r="DC267" i="25" s="1"/>
  <c r="DJ267" i="25" s="1"/>
  <c r="DH267" i="25"/>
  <c r="DI267" i="25" s="1"/>
  <c r="DE267" i="25"/>
  <c r="DH250" i="25"/>
  <c r="DI250" i="25" s="1"/>
  <c r="DE250" i="25"/>
  <c r="DD250" i="25"/>
  <c r="DC250" i="25" s="1"/>
  <c r="DJ250" i="25" s="1"/>
  <c r="DH247" i="25"/>
  <c r="DI247" i="25" s="1"/>
  <c r="DD247" i="25"/>
  <c r="DC247" i="25" s="1"/>
  <c r="DJ247" i="25" s="1"/>
  <c r="DD223" i="25"/>
  <c r="DC223" i="25" s="1"/>
  <c r="DJ223" i="25" s="1"/>
  <c r="DE223" i="25"/>
  <c r="DH223" i="25"/>
  <c r="DI223" i="25" s="1"/>
  <c r="DE246" i="25"/>
  <c r="DD246" i="25"/>
  <c r="DC246" i="25" s="1"/>
  <c r="DJ246" i="25" s="1"/>
  <c r="DH246" i="25"/>
  <c r="DI246" i="25" s="1"/>
  <c r="DE213" i="25"/>
  <c r="DH213" i="25"/>
  <c r="DI213" i="25" s="1"/>
  <c r="DD213" i="25"/>
  <c r="DC213" i="25" s="1"/>
  <c r="DJ213" i="25" s="1"/>
  <c r="DH239" i="25"/>
  <c r="DI239" i="25" s="1"/>
  <c r="DE239" i="25"/>
  <c r="DD239" i="25"/>
  <c r="DC239" i="25" s="1"/>
  <c r="DJ239" i="25" s="1"/>
  <c r="DD206" i="25"/>
  <c r="DC206" i="25" s="1"/>
  <c r="DJ206" i="25" s="1"/>
  <c r="DH206" i="25"/>
  <c r="DI206" i="25" s="1"/>
  <c r="DE206" i="25"/>
  <c r="DH231" i="25"/>
  <c r="DI231" i="25" s="1"/>
  <c r="DE377" i="25"/>
  <c r="DD318" i="25"/>
  <c r="DC318" i="25" s="1"/>
  <c r="DJ318" i="25" s="1"/>
  <c r="DH394" i="25"/>
  <c r="DI394" i="25" s="1"/>
  <c r="DD394" i="25"/>
  <c r="DC394" i="25" s="1"/>
  <c r="DJ394" i="25" s="1"/>
  <c r="DE394" i="25"/>
  <c r="DD385" i="25"/>
  <c r="DC385" i="25" s="1"/>
  <c r="DJ385" i="25" s="1"/>
  <c r="DH385" i="25"/>
  <c r="DI385" i="25" s="1"/>
  <c r="DH357" i="25"/>
  <c r="DI357" i="25" s="1"/>
  <c r="DD357" i="25"/>
  <c r="DC357" i="25" s="1"/>
  <c r="DJ357" i="25" s="1"/>
  <c r="DH351" i="25"/>
  <c r="DI351" i="25" s="1"/>
  <c r="DD351" i="25"/>
  <c r="DC351" i="25" s="1"/>
  <c r="DJ351" i="25" s="1"/>
  <c r="DE351" i="25"/>
  <c r="DH343" i="25"/>
  <c r="DI343" i="25" s="1"/>
  <c r="DD343" i="25"/>
  <c r="DC343" i="25" s="1"/>
  <c r="DJ343" i="25" s="1"/>
  <c r="DH339" i="25"/>
  <c r="DI339" i="25" s="1"/>
  <c r="DE339" i="25"/>
  <c r="DD339" i="25"/>
  <c r="DC339" i="25" s="1"/>
  <c r="DJ339" i="25" s="1"/>
  <c r="DH371" i="25"/>
  <c r="DI371" i="25" s="1"/>
  <c r="DD371" i="25"/>
  <c r="DC371" i="25" s="1"/>
  <c r="DJ371" i="25" s="1"/>
  <c r="DH319" i="25"/>
  <c r="DI319" i="25" s="1"/>
  <c r="DD319" i="25"/>
  <c r="DC319" i="25" s="1"/>
  <c r="DJ319" i="25" s="1"/>
  <c r="DE319" i="25"/>
  <c r="DH312" i="25"/>
  <c r="DI312" i="25" s="1"/>
  <c r="DD312" i="25"/>
  <c r="DC312" i="25" s="1"/>
  <c r="DJ312" i="25" s="1"/>
  <c r="DE312" i="25"/>
  <c r="DH372" i="25"/>
  <c r="DI372" i="25" s="1"/>
  <c r="DD372" i="25"/>
  <c r="DC372" i="25" s="1"/>
  <c r="DJ372" i="25" s="1"/>
  <c r="DH302" i="25"/>
  <c r="DI302" i="25" s="1"/>
  <c r="DD302" i="25"/>
  <c r="DC302" i="25" s="1"/>
  <c r="DJ302" i="25" s="1"/>
  <c r="DE302" i="25"/>
  <c r="DD396" i="25"/>
  <c r="DC396" i="25" s="1"/>
  <c r="DJ396" i="25" s="1"/>
  <c r="DH396" i="25"/>
  <c r="DI396" i="25" s="1"/>
  <c r="DH279" i="25"/>
  <c r="DI279" i="25" s="1"/>
  <c r="DD279" i="25"/>
  <c r="DC279" i="25" s="1"/>
  <c r="DJ279" i="25" s="1"/>
  <c r="DH296" i="25"/>
  <c r="DI296" i="25" s="1"/>
  <c r="DD296" i="25"/>
  <c r="DC296" i="25" s="1"/>
  <c r="DJ296" i="25" s="1"/>
  <c r="DE296" i="25"/>
  <c r="DH270" i="25"/>
  <c r="DI270" i="25" s="1"/>
  <c r="DD270" i="25"/>
  <c r="DC270" i="25" s="1"/>
  <c r="DJ270" i="25" s="1"/>
  <c r="DE270" i="25"/>
  <c r="DD261" i="25"/>
  <c r="DC261" i="25" s="1"/>
  <c r="DJ261" i="25" s="1"/>
  <c r="DH261" i="25"/>
  <c r="DI261" i="25" s="1"/>
  <c r="DE261" i="25"/>
  <c r="DE249" i="25"/>
  <c r="DH249" i="25"/>
  <c r="DI249" i="25" s="1"/>
  <c r="DD249" i="25"/>
  <c r="DC249" i="25" s="1"/>
  <c r="DJ249" i="25" s="1"/>
  <c r="DE228" i="25"/>
  <c r="DH228" i="25"/>
  <c r="DI228" i="25" s="1"/>
  <c r="DE221" i="25"/>
  <c r="DH221" i="25"/>
  <c r="DI221" i="25" s="1"/>
  <c r="DD221" i="25"/>
  <c r="DC221" i="25" s="1"/>
  <c r="DJ221" i="25" s="1"/>
  <c r="DE215" i="25"/>
  <c r="DD215" i="25"/>
  <c r="DC215" i="25" s="1"/>
  <c r="DJ215" i="25" s="1"/>
  <c r="DH215" i="25"/>
  <c r="DI215" i="25" s="1"/>
  <c r="DE207" i="25"/>
  <c r="DH207" i="25"/>
  <c r="DI207" i="25" s="1"/>
  <c r="DD207" i="25"/>
  <c r="DC207" i="25" s="1"/>
  <c r="DJ207" i="25" s="1"/>
  <c r="DE357" i="25"/>
  <c r="DE392" i="25"/>
  <c r="DD392" i="25"/>
  <c r="DC392" i="25" s="1"/>
  <c r="DJ392" i="25" s="1"/>
  <c r="CQ383" i="25"/>
  <c r="DE383" i="25"/>
  <c r="DH383" i="25"/>
  <c r="DI383" i="25" s="1"/>
  <c r="DD366" i="25"/>
  <c r="DC366" i="25" s="1"/>
  <c r="DJ366" i="25" s="1"/>
  <c r="DE366" i="25"/>
  <c r="DD359" i="25"/>
  <c r="DC359" i="25" s="1"/>
  <c r="DJ359" i="25" s="1"/>
  <c r="DE359" i="25"/>
  <c r="DH359" i="25"/>
  <c r="DI359" i="25" s="1"/>
  <c r="DD350" i="25"/>
  <c r="DC350" i="25" s="1"/>
  <c r="DJ350" i="25" s="1"/>
  <c r="DE350" i="25"/>
  <c r="DD342" i="25"/>
  <c r="DC342" i="25" s="1"/>
  <c r="DJ342" i="25" s="1"/>
  <c r="DE342" i="25"/>
  <c r="DH342" i="25"/>
  <c r="DI342" i="25" s="1"/>
  <c r="DE252" i="25"/>
  <c r="DD252" i="25"/>
  <c r="DC252" i="25" s="1"/>
  <c r="DJ252" i="25" s="1"/>
  <c r="DE325" i="25"/>
  <c r="DH325" i="25"/>
  <c r="DI325" i="25" s="1"/>
  <c r="DD325" i="25"/>
  <c r="DC325" i="25" s="1"/>
  <c r="DJ325" i="25" s="1"/>
  <c r="DD311" i="25"/>
  <c r="DC311" i="25" s="1"/>
  <c r="DJ311" i="25" s="1"/>
  <c r="DE311" i="25"/>
  <c r="DE301" i="25"/>
  <c r="DE281" i="25"/>
  <c r="DH281" i="25"/>
  <c r="DI281" i="25" s="1"/>
  <c r="DD278" i="25"/>
  <c r="DC278" i="25" s="1"/>
  <c r="DJ278" i="25" s="1"/>
  <c r="DE278" i="25"/>
  <c r="DD297" i="25"/>
  <c r="DC297" i="25" s="1"/>
  <c r="DJ297" i="25" s="1"/>
  <c r="DE297" i="25"/>
  <c r="DH297" i="25"/>
  <c r="DI297" i="25" s="1"/>
  <c r="DE269" i="25"/>
  <c r="DD269" i="25"/>
  <c r="DC269" i="25" s="1"/>
  <c r="DJ269" i="25" s="1"/>
  <c r="DE260" i="25"/>
  <c r="DH260" i="25"/>
  <c r="DI260" i="25" s="1"/>
  <c r="DD258" i="25"/>
  <c r="DC258" i="25" s="1"/>
  <c r="DJ258" i="25" s="1"/>
  <c r="DE258" i="25"/>
  <c r="DD245" i="25"/>
  <c r="DC245" i="25" s="1"/>
  <c r="DJ245" i="25" s="1"/>
  <c r="DH245" i="25"/>
  <c r="DI245" i="25" s="1"/>
  <c r="DE245" i="25"/>
  <c r="DE238" i="25"/>
  <c r="DE236" i="25"/>
  <c r="DH236" i="25"/>
  <c r="DI236" i="25" s="1"/>
  <c r="DD236" i="25"/>
  <c r="DC236" i="25" s="1"/>
  <c r="DJ236" i="25" s="1"/>
  <c r="DE204" i="25"/>
  <c r="DD204" i="25"/>
  <c r="DC204" i="25" s="1"/>
  <c r="DJ204" i="25" s="1"/>
  <c r="DE224" i="25"/>
  <c r="DD224" i="25"/>
  <c r="DC224" i="25" s="1"/>
  <c r="DJ224" i="25" s="1"/>
  <c r="DH224" i="25"/>
  <c r="DI224" i="25" s="1"/>
  <c r="DE203" i="25"/>
  <c r="DY392" i="25"/>
  <c r="DY383" i="25"/>
  <c r="DY366" i="25"/>
  <c r="DY359" i="25"/>
  <c r="DY350" i="25"/>
  <c r="DY342" i="25"/>
  <c r="DY252" i="25"/>
  <c r="DY325" i="25"/>
  <c r="DY311" i="25"/>
  <c r="DY301" i="25"/>
  <c r="DY281" i="25"/>
  <c r="DY278" i="25"/>
  <c r="DY297" i="25"/>
  <c r="DY269" i="25"/>
  <c r="DY260" i="25"/>
  <c r="DY258" i="25"/>
  <c r="DY245" i="25"/>
  <c r="DY238" i="25"/>
  <c r="DY236" i="25"/>
  <c r="DY204" i="25"/>
  <c r="DY224" i="25"/>
  <c r="DY203" i="25"/>
  <c r="DH301" i="25"/>
  <c r="DI301" i="25" s="1"/>
  <c r="DE354" i="25"/>
  <c r="DE279" i="25"/>
  <c r="DD353" i="25"/>
  <c r="DC353" i="25" s="1"/>
  <c r="DJ353" i="25" s="1"/>
  <c r="DD281" i="25"/>
  <c r="DC281" i="25" s="1"/>
  <c r="DJ281" i="25" s="1"/>
  <c r="DE391" i="25"/>
  <c r="DH391" i="25"/>
  <c r="DI391" i="25" s="1"/>
  <c r="DE382" i="25"/>
  <c r="DD382" i="25"/>
  <c r="DC382" i="25" s="1"/>
  <c r="DJ382" i="25" s="1"/>
  <c r="DH382" i="25"/>
  <c r="DI382" i="25" s="1"/>
  <c r="DE365" i="25"/>
  <c r="DH365" i="25"/>
  <c r="DI365" i="25" s="1"/>
  <c r="DD365" i="25"/>
  <c r="DC365" i="25" s="1"/>
  <c r="DJ365" i="25" s="1"/>
  <c r="DD358" i="25"/>
  <c r="DC358" i="25" s="1"/>
  <c r="DJ358" i="25" s="1"/>
  <c r="DE358" i="25"/>
  <c r="DH358" i="25"/>
  <c r="DI358" i="25" s="1"/>
  <c r="DD349" i="25"/>
  <c r="DC349" i="25" s="1"/>
  <c r="DJ349" i="25" s="1"/>
  <c r="DE349" i="25"/>
  <c r="DH349" i="25"/>
  <c r="DI349" i="25" s="1"/>
  <c r="DD341" i="25"/>
  <c r="DC341" i="25" s="1"/>
  <c r="DJ341" i="25" s="1"/>
  <c r="DE341" i="25"/>
  <c r="DH341" i="25"/>
  <c r="DI341" i="25" s="1"/>
  <c r="DE330" i="25"/>
  <c r="DD330" i="25"/>
  <c r="DC330" i="25" s="1"/>
  <c r="DJ330" i="25" s="1"/>
  <c r="DH330" i="25"/>
  <c r="DI330" i="25" s="1"/>
  <c r="DE329" i="25"/>
  <c r="DH329" i="25"/>
  <c r="DI329" i="25" s="1"/>
  <c r="DD329" i="25"/>
  <c r="DC329" i="25" s="1"/>
  <c r="DJ329" i="25" s="1"/>
  <c r="DE335" i="25"/>
  <c r="DH335" i="25"/>
  <c r="DI335" i="25" s="1"/>
  <c r="DD335" i="25"/>
  <c r="DC335" i="25" s="1"/>
  <c r="DJ335" i="25" s="1"/>
  <c r="DD333" i="25"/>
  <c r="DC333" i="25" s="1"/>
  <c r="DJ333" i="25" s="1"/>
  <c r="DE333" i="25"/>
  <c r="DH333" i="25"/>
  <c r="DI333" i="25" s="1"/>
  <c r="DD288" i="25"/>
  <c r="DC288" i="25" s="1"/>
  <c r="DJ288" i="25" s="1"/>
  <c r="DE288" i="25"/>
  <c r="DH288" i="25"/>
  <c r="DI288" i="25" s="1"/>
  <c r="DD287" i="25"/>
  <c r="DC287" i="25" s="1"/>
  <c r="DJ287" i="25" s="1"/>
  <c r="DE287" i="25"/>
  <c r="DH287" i="25"/>
  <c r="DI287" i="25" s="1"/>
  <c r="DD283" i="25"/>
  <c r="DC283" i="25" s="1"/>
  <c r="DJ283" i="25" s="1"/>
  <c r="DE283" i="25"/>
  <c r="DH283" i="25"/>
  <c r="DI283" i="25" s="1"/>
  <c r="DD384" i="25"/>
  <c r="DC384" i="25" s="1"/>
  <c r="DJ384" i="25" s="1"/>
  <c r="DE384" i="25"/>
  <c r="DH384" i="25"/>
  <c r="DI384" i="25" s="1"/>
  <c r="DD379" i="25"/>
  <c r="DC379" i="25" s="1"/>
  <c r="DJ379" i="25" s="1"/>
  <c r="DE379" i="25"/>
  <c r="DH379" i="25"/>
  <c r="DI379" i="25" s="1"/>
  <c r="DD275" i="25"/>
  <c r="DC275" i="25" s="1"/>
  <c r="DJ275" i="25" s="1"/>
  <c r="DE275" i="25"/>
  <c r="DH275" i="25"/>
  <c r="DI275" i="25" s="1"/>
  <c r="DD268" i="25"/>
  <c r="DC268" i="25" s="1"/>
  <c r="DJ268" i="25" s="1"/>
  <c r="DE268" i="25"/>
  <c r="DH268" i="25"/>
  <c r="DI268" i="25" s="1"/>
  <c r="DD251" i="25"/>
  <c r="DC251" i="25" s="1"/>
  <c r="DJ251" i="25" s="1"/>
  <c r="DE251" i="25"/>
  <c r="DH251" i="25"/>
  <c r="DI251" i="25" s="1"/>
  <c r="DD257" i="25"/>
  <c r="DC257" i="25" s="1"/>
  <c r="DJ257" i="25" s="1"/>
  <c r="DE257" i="25"/>
  <c r="DH257" i="25"/>
  <c r="DI257" i="25" s="1"/>
  <c r="DD243" i="25"/>
  <c r="DC243" i="25" s="1"/>
  <c r="DJ243" i="25" s="1"/>
  <c r="DH243" i="25"/>
  <c r="DI243" i="25" s="1"/>
  <c r="DD232" i="25"/>
  <c r="DC232" i="25" s="1"/>
  <c r="DJ232" i="25" s="1"/>
  <c r="DH232" i="25"/>
  <c r="DI232" i="25" s="1"/>
  <c r="DE232" i="25"/>
  <c r="DD244" i="25"/>
  <c r="DC244" i="25" s="1"/>
  <c r="DJ244" i="25" s="1"/>
  <c r="DE244" i="25"/>
  <c r="DH244" i="25"/>
  <c r="DI244" i="25" s="1"/>
  <c r="DD226" i="25"/>
  <c r="DC226" i="25" s="1"/>
  <c r="DJ226" i="25" s="1"/>
  <c r="DH226" i="25"/>
  <c r="DI226" i="25" s="1"/>
  <c r="DE226" i="25"/>
  <c r="DD218" i="25"/>
  <c r="DC218" i="25" s="1"/>
  <c r="DJ218" i="25" s="1"/>
  <c r="DE218" i="25"/>
  <c r="DH218" i="25"/>
  <c r="DI218" i="25" s="1"/>
  <c r="DH366" i="25"/>
  <c r="DI366" i="25" s="1"/>
  <c r="DH258" i="25"/>
  <c r="DI258" i="25" s="1"/>
  <c r="DE318" i="25"/>
  <c r="DE241" i="25"/>
  <c r="DD219" i="25"/>
  <c r="DC219" i="25" s="1"/>
  <c r="DJ219" i="25" s="1"/>
  <c r="DD370" i="25"/>
  <c r="DC370" i="25" s="1"/>
  <c r="DJ370" i="25" s="1"/>
  <c r="DE390" i="25"/>
  <c r="DD390" i="25"/>
  <c r="DC390" i="25" s="1"/>
  <c r="DJ390" i="25" s="1"/>
  <c r="DH381" i="25"/>
  <c r="DI381" i="25" s="1"/>
  <c r="DD381" i="25"/>
  <c r="DC381" i="25" s="1"/>
  <c r="DJ381" i="25" s="1"/>
  <c r="DE381" i="25"/>
  <c r="DD362" i="25"/>
  <c r="DC362" i="25" s="1"/>
  <c r="DJ362" i="25" s="1"/>
  <c r="DE362" i="25"/>
  <c r="DH356" i="25"/>
  <c r="DI356" i="25" s="1"/>
  <c r="DE356" i="25"/>
  <c r="DD348" i="25"/>
  <c r="DC348" i="25" s="1"/>
  <c r="DJ348" i="25" s="1"/>
  <c r="DE348" i="25"/>
  <c r="DD340" i="25"/>
  <c r="DC340" i="25" s="1"/>
  <c r="DJ340" i="25" s="1"/>
  <c r="DH340" i="25"/>
  <c r="DI340" i="25" s="1"/>
  <c r="DE340" i="25"/>
  <c r="DD338" i="25"/>
  <c r="DC338" i="25" s="1"/>
  <c r="DJ338" i="25" s="1"/>
  <c r="DE338" i="25"/>
  <c r="DD328" i="25"/>
  <c r="DC328" i="25" s="1"/>
  <c r="DJ328" i="25" s="1"/>
  <c r="DH328" i="25"/>
  <c r="DI328" i="25" s="1"/>
  <c r="DE328" i="25"/>
  <c r="DE334" i="25"/>
  <c r="DD332" i="25"/>
  <c r="DC332" i="25" s="1"/>
  <c r="DJ332" i="25" s="1"/>
  <c r="DH332" i="25"/>
  <c r="DI332" i="25" s="1"/>
  <c r="DE332" i="25"/>
  <c r="DD310" i="25"/>
  <c r="DC310" i="25" s="1"/>
  <c r="DJ310" i="25" s="1"/>
  <c r="DE310" i="25"/>
  <c r="DD286" i="25"/>
  <c r="DC286" i="25" s="1"/>
  <c r="DJ286" i="25" s="1"/>
  <c r="DH286" i="25"/>
  <c r="DI286" i="25" s="1"/>
  <c r="DE286" i="25"/>
  <c r="DE300" i="25"/>
  <c r="DD300" i="25"/>
  <c r="DC300" i="25" s="1"/>
  <c r="DJ300" i="25" s="1"/>
  <c r="DE280" i="25"/>
  <c r="DD280" i="25"/>
  <c r="DC280" i="25" s="1"/>
  <c r="DJ280" i="25" s="1"/>
  <c r="DH280" i="25"/>
  <c r="DI280" i="25" s="1"/>
  <c r="DD378" i="25"/>
  <c r="DC378" i="25" s="1"/>
  <c r="DJ378" i="25" s="1"/>
  <c r="DE378" i="25"/>
  <c r="DE294" i="25"/>
  <c r="DD294" i="25"/>
  <c r="DC294" i="25" s="1"/>
  <c r="DJ294" i="25" s="1"/>
  <c r="DH294" i="25"/>
  <c r="DI294" i="25" s="1"/>
  <c r="DE264" i="25"/>
  <c r="DE259" i="25"/>
  <c r="DD259" i="25"/>
  <c r="DC259" i="25" s="1"/>
  <c r="DJ259" i="25" s="1"/>
  <c r="DH259" i="25"/>
  <c r="DI259" i="25" s="1"/>
  <c r="DD256" i="25"/>
  <c r="DC256" i="25" s="1"/>
  <c r="DJ256" i="25" s="1"/>
  <c r="DE256" i="25"/>
  <c r="DD227" i="25"/>
  <c r="DC227" i="25" s="1"/>
  <c r="DJ227" i="25" s="1"/>
  <c r="DE227" i="25"/>
  <c r="DH227" i="25"/>
  <c r="DI227" i="25" s="1"/>
  <c r="DE231" i="25"/>
  <c r="DD235" i="25"/>
  <c r="DC235" i="25" s="1"/>
  <c r="DJ235" i="25" s="1"/>
  <c r="DE235" i="25"/>
  <c r="DH235" i="25"/>
  <c r="DI235" i="25" s="1"/>
  <c r="DD225" i="25"/>
  <c r="DC225" i="25" s="1"/>
  <c r="DJ225" i="25" s="1"/>
  <c r="DE225" i="25"/>
  <c r="DD210" i="25"/>
  <c r="DC210" i="25" s="1"/>
  <c r="DJ210" i="25" s="1"/>
  <c r="DH210" i="25"/>
  <c r="DI210" i="25" s="1"/>
  <c r="DE210" i="25"/>
  <c r="DH362" i="25"/>
  <c r="DI362" i="25" s="1"/>
  <c r="DH252" i="25"/>
  <c r="DI252" i="25" s="1"/>
  <c r="DH256" i="25"/>
  <c r="DI256" i="25" s="1"/>
  <c r="DH203" i="25"/>
  <c r="DI203" i="25" s="1"/>
  <c r="DE343" i="25"/>
  <c r="DE263" i="25"/>
  <c r="DD391" i="25"/>
  <c r="DC391" i="25" s="1"/>
  <c r="DJ391" i="25" s="1"/>
  <c r="DD203" i="25"/>
  <c r="DC203" i="25" s="1"/>
  <c r="DJ203" i="25" s="1"/>
  <c r="DD388" i="25"/>
  <c r="DC388" i="25" s="1"/>
  <c r="DJ388" i="25" s="1"/>
  <c r="DE388" i="25"/>
  <c r="DH388" i="25"/>
  <c r="DI388" i="25" s="1"/>
  <c r="DD380" i="25"/>
  <c r="DC380" i="25" s="1"/>
  <c r="DJ380" i="25" s="1"/>
  <c r="DE380" i="25"/>
  <c r="DD364" i="25"/>
  <c r="DC364" i="25" s="1"/>
  <c r="DJ364" i="25" s="1"/>
  <c r="DE364" i="25"/>
  <c r="DH364" i="25"/>
  <c r="DI364" i="25" s="1"/>
  <c r="DD355" i="25"/>
  <c r="DC355" i="25" s="1"/>
  <c r="DJ355" i="25" s="1"/>
  <c r="DE355" i="25"/>
  <c r="DD347" i="25"/>
  <c r="DC347" i="25" s="1"/>
  <c r="DJ347" i="25" s="1"/>
  <c r="DE347" i="25"/>
  <c r="DH347" i="25"/>
  <c r="DI347" i="25" s="1"/>
  <c r="DD237" i="25"/>
  <c r="DC237" i="25" s="1"/>
  <c r="DJ237" i="25" s="1"/>
  <c r="DE237" i="25"/>
  <c r="DD327" i="25"/>
  <c r="DC327" i="25" s="1"/>
  <c r="DJ327" i="25" s="1"/>
  <c r="DE327" i="25"/>
  <c r="DD315" i="25"/>
  <c r="DC315" i="25" s="1"/>
  <c r="DJ315" i="25" s="1"/>
  <c r="DE315" i="25"/>
  <c r="DD309" i="25"/>
  <c r="DC309" i="25" s="1"/>
  <c r="DJ309" i="25" s="1"/>
  <c r="DE309" i="25"/>
  <c r="DH309" i="25"/>
  <c r="DI309" i="25" s="1"/>
  <c r="DD306" i="25"/>
  <c r="DC306" i="25" s="1"/>
  <c r="DJ306" i="25" s="1"/>
  <c r="DE306" i="25"/>
  <c r="DD386" i="25"/>
  <c r="DC386" i="25" s="1"/>
  <c r="DJ386" i="25" s="1"/>
  <c r="DE386" i="25"/>
  <c r="DH386" i="25"/>
  <c r="DI386" i="25" s="1"/>
  <c r="DD305" i="25"/>
  <c r="DC305" i="25" s="1"/>
  <c r="DJ305" i="25" s="1"/>
  <c r="DE305" i="25"/>
  <c r="DD307" i="25"/>
  <c r="DC307" i="25" s="1"/>
  <c r="DJ307" i="25" s="1"/>
  <c r="DE307" i="25"/>
  <c r="DH307" i="25"/>
  <c r="DI307" i="25" s="1"/>
  <c r="DD274" i="25"/>
  <c r="DC274" i="25" s="1"/>
  <c r="DJ274" i="25" s="1"/>
  <c r="DE274" i="25"/>
  <c r="DD255" i="25"/>
  <c r="DC255" i="25" s="1"/>
  <c r="DJ255" i="25" s="1"/>
  <c r="DE255" i="25"/>
  <c r="DH255" i="25"/>
  <c r="DI255" i="25" s="1"/>
  <c r="DD253" i="25"/>
  <c r="DC253" i="25" s="1"/>
  <c r="DJ253" i="25" s="1"/>
  <c r="DE253" i="25"/>
  <c r="DD265" i="25"/>
  <c r="DC265" i="25" s="1"/>
  <c r="DJ265" i="25" s="1"/>
  <c r="DE265" i="25"/>
  <c r="DH265" i="25"/>
  <c r="DI265" i="25" s="1"/>
  <c r="DD209" i="25"/>
  <c r="DC209" i="25" s="1"/>
  <c r="DJ209" i="25" s="1"/>
  <c r="DE209" i="25"/>
  <c r="DD230" i="25"/>
  <c r="DC230" i="25" s="1"/>
  <c r="DJ230" i="25" s="1"/>
  <c r="DE230" i="25"/>
  <c r="DH230" i="25"/>
  <c r="DI230" i="25" s="1"/>
  <c r="DD216" i="25"/>
  <c r="DC216" i="25" s="1"/>
  <c r="DJ216" i="25" s="1"/>
  <c r="DD242" i="25"/>
  <c r="DC242" i="25" s="1"/>
  <c r="DJ242" i="25" s="1"/>
  <c r="DH242" i="25"/>
  <c r="DI242" i="25" s="1"/>
  <c r="DD217" i="25"/>
  <c r="DC217" i="25" s="1"/>
  <c r="DJ217" i="25" s="1"/>
  <c r="DE217" i="25"/>
  <c r="DY388" i="25"/>
  <c r="DY380" i="25"/>
  <c r="DY364" i="25"/>
  <c r="DY355" i="25"/>
  <c r="DY347" i="25"/>
  <c r="DY237" i="25"/>
  <c r="DY327" i="25"/>
  <c r="DY315" i="25"/>
  <c r="DY309" i="25"/>
  <c r="DY306" i="25"/>
  <c r="DY386" i="25"/>
  <c r="DY305" i="25"/>
  <c r="DY307" i="25"/>
  <c r="DY274" i="25"/>
  <c r="DY255" i="25"/>
  <c r="DY253" i="25"/>
  <c r="DY265" i="25"/>
  <c r="DY209" i="25"/>
  <c r="DY230" i="25"/>
  <c r="DY216" i="25"/>
  <c r="DY242" i="25"/>
  <c r="DY217" i="25"/>
  <c r="DH355" i="25"/>
  <c r="DI355" i="25" s="1"/>
  <c r="DH334" i="25"/>
  <c r="DI334" i="25" s="1"/>
  <c r="DH278" i="25"/>
  <c r="DI278" i="25" s="1"/>
  <c r="DH209" i="25"/>
  <c r="DI209" i="25" s="1"/>
  <c r="DE248" i="25"/>
  <c r="DE372" i="25"/>
  <c r="DD264" i="25"/>
  <c r="DC264" i="25" s="1"/>
  <c r="DJ264" i="25" s="1"/>
  <c r="CO229" i="25"/>
  <c r="CQ229" i="25" s="1"/>
  <c r="CR229" i="25" s="1"/>
  <c r="CP229" i="25"/>
  <c r="CO392" i="25"/>
  <c r="CQ392" i="25" s="1"/>
  <c r="CP392" i="25"/>
  <c r="CP350" i="25"/>
  <c r="CO350" i="25"/>
  <c r="CQ350" i="25" s="1"/>
  <c r="CP342" i="25"/>
  <c r="CO342" i="25"/>
  <c r="CQ342" i="25" s="1"/>
  <c r="CO252" i="25"/>
  <c r="CQ252" i="25" s="1"/>
  <c r="CP252" i="25"/>
  <c r="CO325" i="25"/>
  <c r="CQ325" i="25" s="1"/>
  <c r="CP325" i="25"/>
  <c r="CO281" i="25"/>
  <c r="CQ281" i="25" s="1"/>
  <c r="CP281" i="25"/>
  <c r="CO269" i="25"/>
  <c r="CQ269" i="25" s="1"/>
  <c r="CP269" i="25"/>
  <c r="CO260" i="25"/>
  <c r="CQ260" i="25" s="1"/>
  <c r="CP260" i="25"/>
  <c r="CP236" i="25"/>
  <c r="CO236" i="25"/>
  <c r="CQ236" i="25" s="1"/>
  <c r="CO363" i="25"/>
  <c r="CQ363" i="25" s="1"/>
  <c r="CR363" i="25" s="1"/>
  <c r="CO354" i="25"/>
  <c r="CQ354" i="25" s="1"/>
  <c r="CP346" i="25"/>
  <c r="CO346" i="25"/>
  <c r="CQ346" i="25" s="1"/>
  <c r="CP248" i="25"/>
  <c r="CO317" i="25"/>
  <c r="CQ317" i="25" s="1"/>
  <c r="CR317" i="25" s="1"/>
  <c r="CV317" i="25" s="1"/>
  <c r="CW317" i="25" s="1"/>
  <c r="CZ317" i="25" s="1"/>
  <c r="CP317" i="25"/>
  <c r="CP320" i="25"/>
  <c r="CO320" i="25"/>
  <c r="CQ320" i="25" s="1"/>
  <c r="CP318" i="25"/>
  <c r="CO308" i="25"/>
  <c r="CQ308" i="25" s="1"/>
  <c r="CO272" i="25"/>
  <c r="CQ272" i="25" s="1"/>
  <c r="CP282" i="25"/>
  <c r="CO282" i="25"/>
  <c r="CQ282" i="25" s="1"/>
  <c r="CR282" i="25" s="1"/>
  <c r="CP370" i="25"/>
  <c r="CP368" i="25"/>
  <c r="CP263" i="25"/>
  <c r="CO263" i="25"/>
  <c r="CQ263" i="25" s="1"/>
  <c r="CO366" i="25"/>
  <c r="CQ366" i="25" s="1"/>
  <c r="CO359" i="25"/>
  <c r="CQ359" i="25" s="1"/>
  <c r="CO311" i="25"/>
  <c r="CQ311" i="25" s="1"/>
  <c r="CO301" i="25"/>
  <c r="CQ301" i="25" s="1"/>
  <c r="CT395" i="25"/>
  <c r="CP278" i="25"/>
  <c r="CP297" i="25"/>
  <c r="CO258" i="25"/>
  <c r="CQ258" i="25" s="1"/>
  <c r="CO245" i="25"/>
  <c r="CQ245" i="25" s="1"/>
  <c r="CO238" i="25"/>
  <c r="CQ238" i="25" s="1"/>
  <c r="CP204" i="25"/>
  <c r="CP224" i="25"/>
  <c r="CP377" i="25"/>
  <c r="CP363" i="25"/>
  <c r="CP354" i="25"/>
  <c r="CO248" i="25"/>
  <c r="CQ248" i="25" s="1"/>
  <c r="CO316" i="25"/>
  <c r="CQ316" i="25" s="1"/>
  <c r="CO318" i="25"/>
  <c r="CQ318" i="25" s="1"/>
  <c r="CR318" i="25" s="1"/>
  <c r="CV318" i="25" s="1"/>
  <c r="CW318" i="25" s="1"/>
  <c r="CZ318" i="25" s="1"/>
  <c r="CP308" i="25"/>
  <c r="CP272" i="25"/>
  <c r="CO370" i="25"/>
  <c r="CQ370" i="25" s="1"/>
  <c r="CO277" i="25"/>
  <c r="CQ277" i="25" s="1"/>
  <c r="CO368" i="25"/>
  <c r="CQ368" i="25" s="1"/>
  <c r="CO266" i="25"/>
  <c r="CQ266" i="25" s="1"/>
  <c r="CP234" i="25"/>
  <c r="CP240" i="25"/>
  <c r="CO214" i="25"/>
  <c r="CQ214" i="25" s="1"/>
  <c r="CO241" i="25"/>
  <c r="CQ241" i="25" s="1"/>
  <c r="CO205" i="25"/>
  <c r="CQ205" i="25" s="1"/>
  <c r="CT367" i="25"/>
  <c r="CT361" i="25"/>
  <c r="CT353" i="25"/>
  <c r="CT352" i="25"/>
  <c r="CT344" i="25"/>
  <c r="CT298" i="25"/>
  <c r="CT313" i="25"/>
  <c r="CT389" i="25"/>
  <c r="CT254" i="25"/>
  <c r="CT233" i="25"/>
  <c r="CT211" i="25"/>
  <c r="CT303" i="25"/>
  <c r="CT308" i="25"/>
  <c r="CT272" i="25"/>
  <c r="CT282" i="25"/>
  <c r="CT370" i="25"/>
  <c r="CT277" i="25"/>
  <c r="CT368" i="25"/>
  <c r="CT263" i="25"/>
  <c r="CT266" i="25"/>
  <c r="CT234" i="25"/>
  <c r="CT240" i="25"/>
  <c r="CT229" i="25"/>
  <c r="CT214" i="25"/>
  <c r="CT241" i="25"/>
  <c r="CT205" i="25"/>
  <c r="CT363" i="25"/>
  <c r="CP394" i="25"/>
  <c r="CP385" i="25"/>
  <c r="CO385" i="25"/>
  <c r="CQ385" i="25" s="1"/>
  <c r="CP357" i="25"/>
  <c r="CP351" i="25"/>
  <c r="CP343" i="25"/>
  <c r="CO343" i="25"/>
  <c r="CQ343" i="25" s="1"/>
  <c r="CP339" i="25"/>
  <c r="CP371" i="25"/>
  <c r="CP319" i="25"/>
  <c r="CP312" i="25"/>
  <c r="CO312" i="25"/>
  <c r="CQ312" i="25" s="1"/>
  <c r="CP372" i="25"/>
  <c r="CP302" i="25"/>
  <c r="CP396" i="25"/>
  <c r="CO396" i="25"/>
  <c r="CQ396" i="25" s="1"/>
  <c r="CP279" i="25"/>
  <c r="CP296" i="25"/>
  <c r="CP270" i="25"/>
  <c r="CP261" i="25"/>
  <c r="CO261" i="25"/>
  <c r="CQ261" i="25" s="1"/>
  <c r="CP249" i="25"/>
  <c r="CO249" i="25"/>
  <c r="CQ249" i="25" s="1"/>
  <c r="CP228" i="25"/>
  <c r="CO228" i="25"/>
  <c r="CQ228" i="25" s="1"/>
  <c r="CP221" i="25"/>
  <c r="CP215" i="25"/>
  <c r="CO215" i="25"/>
  <c r="CQ215" i="25" s="1"/>
  <c r="CP207" i="25"/>
  <c r="CO388" i="25"/>
  <c r="CQ388" i="25" s="1"/>
  <c r="CP388" i="25"/>
  <c r="CO380" i="25"/>
  <c r="CQ380" i="25" s="1"/>
  <c r="CP380" i="25"/>
  <c r="CP364" i="25"/>
  <c r="CP237" i="25"/>
  <c r="CP315" i="25"/>
  <c r="CP309" i="25"/>
  <c r="CP305" i="25"/>
  <c r="CP253" i="25"/>
  <c r="CP265" i="25"/>
  <c r="CP216" i="25"/>
  <c r="CO221" i="25"/>
  <c r="CQ221" i="25" s="1"/>
  <c r="CP366" i="25"/>
  <c r="CP316" i="25"/>
  <c r="CP311" i="25"/>
  <c r="CP277" i="25"/>
  <c r="CP258" i="25"/>
  <c r="CP241" i="25"/>
  <c r="CO377" i="25"/>
  <c r="CQ377" i="25" s="1"/>
  <c r="CO278" i="25"/>
  <c r="CQ278" i="25" s="1"/>
  <c r="CO204" i="25"/>
  <c r="CQ204" i="25" s="1"/>
  <c r="CO364" i="25"/>
  <c r="CQ364" i="25" s="1"/>
  <c r="CO355" i="25"/>
  <c r="CQ355" i="25" s="1"/>
  <c r="CO347" i="25"/>
  <c r="CQ347" i="25" s="1"/>
  <c r="CO237" i="25"/>
  <c r="CQ237" i="25" s="1"/>
  <c r="CO327" i="25"/>
  <c r="CQ327" i="25" s="1"/>
  <c r="CO315" i="25"/>
  <c r="CQ315" i="25" s="1"/>
  <c r="CO309" i="25"/>
  <c r="CQ309" i="25" s="1"/>
  <c r="CO306" i="25"/>
  <c r="CQ306" i="25" s="1"/>
  <c r="CO386" i="25"/>
  <c r="CQ386" i="25" s="1"/>
  <c r="CO305" i="25"/>
  <c r="CQ305" i="25" s="1"/>
  <c r="CO307" i="25"/>
  <c r="CQ307" i="25" s="1"/>
  <c r="CO274" i="25"/>
  <c r="CQ274" i="25" s="1"/>
  <c r="CO255" i="25"/>
  <c r="CQ255" i="25" s="1"/>
  <c r="CO253" i="25"/>
  <c r="CQ253" i="25" s="1"/>
  <c r="CO265" i="25"/>
  <c r="CQ265" i="25" s="1"/>
  <c r="CO209" i="25"/>
  <c r="CQ209" i="25" s="1"/>
  <c r="CO230" i="25"/>
  <c r="CQ230" i="25" s="1"/>
  <c r="CO216" i="25"/>
  <c r="CQ216" i="25" s="1"/>
  <c r="CO242" i="25"/>
  <c r="CQ242" i="25" s="1"/>
  <c r="CO217" i="25"/>
  <c r="CQ217" i="25" s="1"/>
  <c r="X156" i="89"/>
  <c r="U162" i="89"/>
  <c r="U148" i="89"/>
  <c r="U152" i="89"/>
  <c r="V162" i="89"/>
  <c r="X148" i="89"/>
  <c r="X152" i="89"/>
  <c r="S147" i="89"/>
  <c r="V150" i="89"/>
  <c r="V154" i="89"/>
  <c r="U158" i="89"/>
  <c r="T147" i="89"/>
  <c r="V158" i="89"/>
  <c r="T158" i="89"/>
  <c r="S148" i="89"/>
  <c r="S152" i="89"/>
  <c r="S156" i="89"/>
  <c r="U156" i="89"/>
  <c r="S155" i="89"/>
  <c r="V149" i="89"/>
  <c r="V153" i="89"/>
  <c r="T155" i="89"/>
  <c r="V157" i="89"/>
  <c r="S159" i="89"/>
  <c r="S163" i="89"/>
  <c r="T163" i="89"/>
  <c r="T146" i="89"/>
  <c r="W157" i="89"/>
  <c r="V161" i="89"/>
  <c r="U146" i="89"/>
  <c r="T150" i="89"/>
  <c r="P152" i="89"/>
  <c r="Q152" i="89" s="1"/>
  <c r="T154" i="89"/>
  <c r="P156" i="89"/>
  <c r="Q156" i="89" s="1"/>
  <c r="U147" i="89"/>
  <c r="T159" i="89"/>
  <c r="P148" i="89"/>
  <c r="Q148" i="89" s="1"/>
  <c r="V146" i="89"/>
  <c r="U150" i="89"/>
  <c r="U154" i="89"/>
  <c r="T162" i="89"/>
  <c r="W153" i="89"/>
  <c r="X149" i="89"/>
  <c r="X153" i="89"/>
  <c r="W150" i="89"/>
  <c r="W154" i="89"/>
  <c r="U155" i="89"/>
  <c r="W158" i="89"/>
  <c r="U159" i="89"/>
  <c r="W162" i="89"/>
  <c r="U163" i="89"/>
  <c r="P146" i="89"/>
  <c r="Q146" i="89" s="1"/>
  <c r="X146" i="89"/>
  <c r="V147" i="89"/>
  <c r="T148" i="89"/>
  <c r="P150" i="89"/>
  <c r="Q150" i="89" s="1"/>
  <c r="X150" i="89"/>
  <c r="T152" i="89"/>
  <c r="P154" i="89"/>
  <c r="Q154" i="89" s="1"/>
  <c r="X154" i="89"/>
  <c r="V155" i="89"/>
  <c r="T156" i="89"/>
  <c r="P158" i="89"/>
  <c r="Q158" i="89" s="1"/>
  <c r="X158" i="89"/>
  <c r="V159" i="89"/>
  <c r="P162" i="89"/>
  <c r="Q162" i="89" s="1"/>
  <c r="X162" i="89"/>
  <c r="V163" i="89"/>
  <c r="P157" i="89"/>
  <c r="Q157" i="89" s="1"/>
  <c r="P161" i="89"/>
  <c r="Q161" i="89" s="1"/>
  <c r="W155" i="89"/>
  <c r="S157" i="89"/>
  <c r="W159" i="89"/>
  <c r="P147" i="89"/>
  <c r="Q147" i="89" s="1"/>
  <c r="X147" i="89"/>
  <c r="V148" i="89"/>
  <c r="T149" i="89"/>
  <c r="V152" i="89"/>
  <c r="T153" i="89"/>
  <c r="P155" i="89"/>
  <c r="Q155" i="89" s="1"/>
  <c r="V156" i="89"/>
  <c r="T157" i="89"/>
  <c r="P159" i="89"/>
  <c r="Q159" i="89" s="1"/>
  <c r="T161" i="89"/>
  <c r="P163" i="89"/>
  <c r="Q163" i="89" s="1"/>
  <c r="X163" i="89"/>
  <c r="W149" i="89"/>
  <c r="W161" i="89"/>
  <c r="P149" i="89"/>
  <c r="Q149" i="89" s="1"/>
  <c r="P153" i="89"/>
  <c r="Q153" i="89" s="1"/>
  <c r="X157" i="89"/>
  <c r="X161" i="89"/>
  <c r="W146" i="89"/>
  <c r="S149" i="89"/>
  <c r="S153" i="89"/>
  <c r="S161" i="89"/>
  <c r="AB172" i="89"/>
  <c r="AB173" i="89"/>
  <c r="AB174" i="89"/>
  <c r="AB175" i="89"/>
  <c r="AB176" i="89"/>
  <c r="AB177" i="89"/>
  <c r="I100" i="89"/>
  <c r="CV363" i="25" l="1"/>
  <c r="CW363" i="25" s="1"/>
  <c r="CZ363" i="25" s="1"/>
  <c r="CV282" i="25"/>
  <c r="CW282" i="25" s="1"/>
  <c r="CZ282" i="25" s="1"/>
  <c r="CV229" i="25"/>
  <c r="CW229" i="25" s="1"/>
  <c r="CZ229" i="25" s="1"/>
  <c r="CU389" i="25"/>
  <c r="CX389" i="25" s="1"/>
  <c r="CY389" i="25" s="1"/>
  <c r="CU360" i="25"/>
  <c r="CX360" i="25" s="1"/>
  <c r="CY360" i="25" s="1"/>
  <c r="CU240" i="25"/>
  <c r="CX240" i="25" s="1"/>
  <c r="CY240" i="25" s="1"/>
  <c r="CR331" i="25"/>
  <c r="CV331" i="25" s="1"/>
  <c r="CW331" i="25" s="1"/>
  <c r="CZ331" i="25" s="1"/>
  <c r="CU331" i="25"/>
  <c r="CX331" i="25" s="1"/>
  <c r="CY331" i="25" s="1"/>
  <c r="CU254" i="25"/>
  <c r="CX254" i="25" s="1"/>
  <c r="CY254" i="25" s="1"/>
  <c r="CR361" i="25"/>
  <c r="CV361" i="25" s="1"/>
  <c r="CW361" i="25" s="1"/>
  <c r="CZ361" i="25" s="1"/>
  <c r="CU361" i="25"/>
  <c r="CX361" i="25" s="1"/>
  <c r="CY361" i="25" s="1"/>
  <c r="CR212" i="25"/>
  <c r="CV212" i="25" s="1"/>
  <c r="CW212" i="25" s="1"/>
  <c r="CZ212" i="25" s="1"/>
  <c r="CU212" i="25"/>
  <c r="CX212" i="25" s="1"/>
  <c r="CY212" i="25" s="1"/>
  <c r="CR298" i="25"/>
  <c r="CV298" i="25" s="1"/>
  <c r="CW298" i="25" s="1"/>
  <c r="CZ298" i="25" s="1"/>
  <c r="CU298" i="25"/>
  <c r="CX298" i="25" s="1"/>
  <c r="CY298" i="25" s="1"/>
  <c r="CR352" i="25"/>
  <c r="CV352" i="25" s="1"/>
  <c r="CW352" i="25" s="1"/>
  <c r="CZ352" i="25" s="1"/>
  <c r="CU352" i="25"/>
  <c r="CX352" i="25" s="1"/>
  <c r="CY352" i="25" s="1"/>
  <c r="CR395" i="25"/>
  <c r="CV395" i="25" s="1"/>
  <c r="CW395" i="25" s="1"/>
  <c r="CZ395" i="25" s="1"/>
  <c r="CU395" i="25"/>
  <c r="CX395" i="25" s="1"/>
  <c r="CY395" i="25" s="1"/>
  <c r="CR391" i="25"/>
  <c r="CV391" i="25" s="1"/>
  <c r="CW391" i="25" s="1"/>
  <c r="CZ391" i="25" s="1"/>
  <c r="CU391" i="25"/>
  <c r="CX391" i="25" s="1"/>
  <c r="CY391" i="25" s="1"/>
  <c r="CU234" i="25"/>
  <c r="CX234" i="25" s="1"/>
  <c r="CY234" i="25" s="1"/>
  <c r="CR276" i="25"/>
  <c r="CV276" i="25" s="1"/>
  <c r="CW276" i="25" s="1"/>
  <c r="CZ276" i="25" s="1"/>
  <c r="CU276" i="25"/>
  <c r="CX276" i="25" s="1"/>
  <c r="CY276" i="25" s="1"/>
  <c r="CR277" i="25"/>
  <c r="CV277" i="25" s="1"/>
  <c r="CW277" i="25" s="1"/>
  <c r="CZ277" i="25" s="1"/>
  <c r="CU277" i="25"/>
  <c r="CX277" i="25" s="1"/>
  <c r="CY277" i="25" s="1"/>
  <c r="CU271" i="25"/>
  <c r="CX271" i="25" s="1"/>
  <c r="CY271" i="25" s="1"/>
  <c r="CU303" i="25"/>
  <c r="CX303" i="25" s="1"/>
  <c r="CY303" i="25" s="1"/>
  <c r="CV367" i="25"/>
  <c r="CW367" i="25" s="1"/>
  <c r="CZ367" i="25" s="1"/>
  <c r="CU344" i="25"/>
  <c r="CX344" i="25" s="1"/>
  <c r="CY344" i="25" s="1"/>
  <c r="CU284" i="25"/>
  <c r="CX284" i="25" s="1"/>
  <c r="CY284" i="25" s="1"/>
  <c r="CX374" i="25"/>
  <c r="CY374" i="25" s="1"/>
  <c r="CU211" i="25"/>
  <c r="CX211" i="25" s="1"/>
  <c r="CY211" i="25" s="1"/>
  <c r="CU336" i="25"/>
  <c r="CX336" i="25" s="1"/>
  <c r="CY336" i="25" s="1"/>
  <c r="CU262" i="25"/>
  <c r="CX262" i="25" s="1"/>
  <c r="CY262" i="25" s="1"/>
  <c r="CU233" i="25"/>
  <c r="CX233" i="25" s="1"/>
  <c r="CY233" i="25" s="1"/>
  <c r="CU313" i="25"/>
  <c r="CX313" i="25" s="1"/>
  <c r="CY313" i="25" s="1"/>
  <c r="CR245" i="25"/>
  <c r="CV245" i="25" s="1"/>
  <c r="CW245" i="25" s="1"/>
  <c r="CZ245" i="25" s="1"/>
  <c r="CU245" i="25"/>
  <c r="CX245" i="25" s="1"/>
  <c r="CY245" i="25" s="1"/>
  <c r="CR301" i="25"/>
  <c r="CV301" i="25" s="1"/>
  <c r="CW301" i="25" s="1"/>
  <c r="CZ301" i="25" s="1"/>
  <c r="CU301" i="25"/>
  <c r="CX301" i="25" s="1"/>
  <c r="CY301" i="25" s="1"/>
  <c r="CR253" i="25"/>
  <c r="CV253" i="25" s="1"/>
  <c r="CW253" i="25" s="1"/>
  <c r="CZ253" i="25" s="1"/>
  <c r="CU253" i="25"/>
  <c r="CX253" i="25" s="1"/>
  <c r="CY253" i="25" s="1"/>
  <c r="CR354" i="25"/>
  <c r="CV354" i="25" s="1"/>
  <c r="CW354" i="25" s="1"/>
  <c r="CZ354" i="25" s="1"/>
  <c r="CU354" i="25"/>
  <c r="CX354" i="25" s="1"/>
  <c r="CY354" i="25" s="1"/>
  <c r="CU278" i="25"/>
  <c r="CX278" i="25" s="1"/>
  <c r="CY278" i="25" s="1"/>
  <c r="CR278" i="25"/>
  <c r="CV278" i="25" s="1"/>
  <c r="CW278" i="25" s="1"/>
  <c r="CZ278" i="25" s="1"/>
  <c r="CR281" i="25"/>
  <c r="CV281" i="25" s="1"/>
  <c r="CW281" i="25" s="1"/>
  <c r="CZ281" i="25" s="1"/>
  <c r="CU281" i="25"/>
  <c r="CX281" i="25" s="1"/>
  <c r="CY281" i="25" s="1"/>
  <c r="CR274" i="25"/>
  <c r="CV274" i="25" s="1"/>
  <c r="CW274" i="25" s="1"/>
  <c r="CZ274" i="25" s="1"/>
  <c r="CU274" i="25"/>
  <c r="CX274" i="25" s="1"/>
  <c r="CY274" i="25" s="1"/>
  <c r="CR261" i="25"/>
  <c r="CV261" i="25" s="1"/>
  <c r="CW261" i="25" s="1"/>
  <c r="CZ261" i="25" s="1"/>
  <c r="CU261" i="25"/>
  <c r="CX261" i="25" s="1"/>
  <c r="CY261" i="25" s="1"/>
  <c r="CR368" i="25"/>
  <c r="CV368" i="25" s="1"/>
  <c r="CW368" i="25" s="1"/>
  <c r="CZ368" i="25" s="1"/>
  <c r="CU368" i="25"/>
  <c r="CX368" i="25" s="1"/>
  <c r="CY368" i="25" s="1"/>
  <c r="CR242" i="25"/>
  <c r="CV242" i="25" s="1"/>
  <c r="CW242" i="25" s="1"/>
  <c r="CZ242" i="25" s="1"/>
  <c r="CU242" i="25"/>
  <c r="CX242" i="25" s="1"/>
  <c r="CY242" i="25" s="1"/>
  <c r="CR307" i="25"/>
  <c r="CV307" i="25" s="1"/>
  <c r="CW307" i="25" s="1"/>
  <c r="CZ307" i="25" s="1"/>
  <c r="CU307" i="25"/>
  <c r="CX307" i="25" s="1"/>
  <c r="CY307" i="25" s="1"/>
  <c r="CR377" i="25"/>
  <c r="CV377" i="25" s="1"/>
  <c r="CW377" i="25" s="1"/>
  <c r="CZ377" i="25" s="1"/>
  <c r="CU377" i="25"/>
  <c r="CX377" i="25" s="1"/>
  <c r="CY377" i="25" s="1"/>
  <c r="CR221" i="25"/>
  <c r="CV221" i="25" s="1"/>
  <c r="CW221" i="25" s="1"/>
  <c r="CZ221" i="25" s="1"/>
  <c r="CU221" i="25"/>
  <c r="CX221" i="25" s="1"/>
  <c r="CY221" i="25" s="1"/>
  <c r="CR215" i="25"/>
  <c r="CV215" i="25" s="1"/>
  <c r="CW215" i="25" s="1"/>
  <c r="CZ215" i="25" s="1"/>
  <c r="CU215" i="25"/>
  <c r="CX215" i="25" s="1"/>
  <c r="CY215" i="25" s="1"/>
  <c r="CR312" i="25"/>
  <c r="CV312" i="25" s="1"/>
  <c r="CW312" i="25" s="1"/>
  <c r="CZ312" i="25" s="1"/>
  <c r="CU312" i="25"/>
  <c r="CX312" i="25" s="1"/>
  <c r="CY312" i="25" s="1"/>
  <c r="CU311" i="25"/>
  <c r="CX311" i="25" s="1"/>
  <c r="CY311" i="25" s="1"/>
  <c r="CR311" i="25"/>
  <c r="CV311" i="25" s="1"/>
  <c r="CW311" i="25" s="1"/>
  <c r="CZ311" i="25" s="1"/>
  <c r="CU325" i="25"/>
  <c r="CX325" i="25" s="1"/>
  <c r="CY325" i="25" s="1"/>
  <c r="CR325" i="25"/>
  <c r="CV325" i="25" s="1"/>
  <c r="CW325" i="25" s="1"/>
  <c r="CZ325" i="25" s="1"/>
  <c r="CR392" i="25"/>
  <c r="CV392" i="25" s="1"/>
  <c r="CW392" i="25" s="1"/>
  <c r="CZ392" i="25" s="1"/>
  <c r="CU392" i="25"/>
  <c r="CX392" i="25" s="1"/>
  <c r="CY392" i="25" s="1"/>
  <c r="CR204" i="25"/>
  <c r="CV204" i="25" s="1"/>
  <c r="CW204" i="25" s="1"/>
  <c r="CZ204" i="25" s="1"/>
  <c r="CU204" i="25"/>
  <c r="CX204" i="25" s="1"/>
  <c r="CY204" i="25" s="1"/>
  <c r="CR263" i="25"/>
  <c r="CV263" i="25" s="1"/>
  <c r="CW263" i="25" s="1"/>
  <c r="CZ263" i="25" s="1"/>
  <c r="CU263" i="25"/>
  <c r="CX263" i="25" s="1"/>
  <c r="CY263" i="25" s="1"/>
  <c r="CR248" i="25"/>
  <c r="CV248" i="25" s="1"/>
  <c r="CW248" i="25" s="1"/>
  <c r="CZ248" i="25" s="1"/>
  <c r="CU248" i="25"/>
  <c r="CX248" i="25" s="1"/>
  <c r="CY248" i="25" s="1"/>
  <c r="CU216" i="25"/>
  <c r="CX216" i="25" s="1"/>
  <c r="CY216" i="25" s="1"/>
  <c r="CR216" i="25"/>
  <c r="CV216" i="25" s="1"/>
  <c r="CW216" i="25" s="1"/>
  <c r="CZ216" i="25" s="1"/>
  <c r="CU305" i="25"/>
  <c r="CX305" i="25" s="1"/>
  <c r="CY305" i="25" s="1"/>
  <c r="CR305" i="25"/>
  <c r="CV305" i="25" s="1"/>
  <c r="CW305" i="25" s="1"/>
  <c r="CZ305" i="25" s="1"/>
  <c r="CU237" i="25"/>
  <c r="CX237" i="25" s="1"/>
  <c r="CY237" i="25" s="1"/>
  <c r="CR237" i="25"/>
  <c r="CV237" i="25" s="1"/>
  <c r="CW237" i="25" s="1"/>
  <c r="CZ237" i="25" s="1"/>
  <c r="CR205" i="25"/>
  <c r="CV205" i="25" s="1"/>
  <c r="CW205" i="25" s="1"/>
  <c r="CZ205" i="25" s="1"/>
  <c r="CU205" i="25"/>
  <c r="CX205" i="25" s="1"/>
  <c r="CY205" i="25" s="1"/>
  <c r="CR370" i="25"/>
  <c r="CV370" i="25" s="1"/>
  <c r="CW370" i="25" s="1"/>
  <c r="CZ370" i="25" s="1"/>
  <c r="CU370" i="25"/>
  <c r="CX370" i="25" s="1"/>
  <c r="CY370" i="25" s="1"/>
  <c r="CR327" i="25"/>
  <c r="CV327" i="25" s="1"/>
  <c r="CW327" i="25" s="1"/>
  <c r="CZ327" i="25" s="1"/>
  <c r="CU327" i="25"/>
  <c r="CX327" i="25" s="1"/>
  <c r="CY327" i="25" s="1"/>
  <c r="CU347" i="25"/>
  <c r="CX347" i="25" s="1"/>
  <c r="CY347" i="25" s="1"/>
  <c r="CR347" i="25"/>
  <c r="CV347" i="25" s="1"/>
  <c r="CW347" i="25" s="1"/>
  <c r="CZ347" i="25" s="1"/>
  <c r="CR380" i="25"/>
  <c r="CV380" i="25" s="1"/>
  <c r="CW380" i="25" s="1"/>
  <c r="CZ380" i="25" s="1"/>
  <c r="CU380" i="25"/>
  <c r="CX380" i="25" s="1"/>
  <c r="CY380" i="25" s="1"/>
  <c r="CR241" i="25"/>
  <c r="CV241" i="25" s="1"/>
  <c r="CW241" i="25" s="1"/>
  <c r="CZ241" i="25" s="1"/>
  <c r="CU241" i="25"/>
  <c r="CX241" i="25" s="1"/>
  <c r="CY241" i="25" s="1"/>
  <c r="CR260" i="25"/>
  <c r="CV260" i="25" s="1"/>
  <c r="CW260" i="25" s="1"/>
  <c r="CZ260" i="25" s="1"/>
  <c r="CU260" i="25"/>
  <c r="CX260" i="25" s="1"/>
  <c r="CY260" i="25" s="1"/>
  <c r="CR266" i="25"/>
  <c r="CV266" i="25" s="1"/>
  <c r="CW266" i="25" s="1"/>
  <c r="CZ266" i="25" s="1"/>
  <c r="CU266" i="25"/>
  <c r="CX266" i="25" s="1"/>
  <c r="CY266" i="25" s="1"/>
  <c r="CR230" i="25"/>
  <c r="CV230" i="25" s="1"/>
  <c r="CW230" i="25" s="1"/>
  <c r="CZ230" i="25" s="1"/>
  <c r="CU230" i="25"/>
  <c r="CX230" i="25" s="1"/>
  <c r="CY230" i="25" s="1"/>
  <c r="CU228" i="25"/>
  <c r="CX228" i="25" s="1"/>
  <c r="CY228" i="25" s="1"/>
  <c r="CR228" i="25"/>
  <c r="CV228" i="25" s="1"/>
  <c r="CW228" i="25" s="1"/>
  <c r="CZ228" i="25" s="1"/>
  <c r="CR214" i="25"/>
  <c r="CV214" i="25" s="1"/>
  <c r="CW214" i="25" s="1"/>
  <c r="CZ214" i="25" s="1"/>
  <c r="CU214" i="25"/>
  <c r="CX214" i="25" s="1"/>
  <c r="CY214" i="25" s="1"/>
  <c r="CR359" i="25"/>
  <c r="CV359" i="25" s="1"/>
  <c r="CW359" i="25" s="1"/>
  <c r="CZ359" i="25" s="1"/>
  <c r="CU359" i="25"/>
  <c r="CX359" i="25" s="1"/>
  <c r="CY359" i="25" s="1"/>
  <c r="CR272" i="25"/>
  <c r="CV272" i="25" s="1"/>
  <c r="CW272" i="25" s="1"/>
  <c r="CZ272" i="25" s="1"/>
  <c r="CU272" i="25"/>
  <c r="CX272" i="25" s="1"/>
  <c r="CY272" i="25" s="1"/>
  <c r="CR346" i="25"/>
  <c r="CV346" i="25" s="1"/>
  <c r="CW346" i="25" s="1"/>
  <c r="CZ346" i="25" s="1"/>
  <c r="CU346" i="25"/>
  <c r="CX346" i="25" s="1"/>
  <c r="CY346" i="25" s="1"/>
  <c r="CU342" i="25"/>
  <c r="CX342" i="25" s="1"/>
  <c r="CY342" i="25" s="1"/>
  <c r="CR342" i="25"/>
  <c r="CV342" i="25" s="1"/>
  <c r="CW342" i="25" s="1"/>
  <c r="CZ342" i="25" s="1"/>
  <c r="CR316" i="25"/>
  <c r="CV316" i="25" s="1"/>
  <c r="CW316" i="25" s="1"/>
  <c r="CZ316" i="25" s="1"/>
  <c r="CU316" i="25"/>
  <c r="CX316" i="25" s="1"/>
  <c r="CY316" i="25" s="1"/>
  <c r="CR350" i="25"/>
  <c r="CV350" i="25" s="1"/>
  <c r="CW350" i="25" s="1"/>
  <c r="CZ350" i="25" s="1"/>
  <c r="CU350" i="25"/>
  <c r="CX350" i="25" s="1"/>
  <c r="CY350" i="25" s="1"/>
  <c r="CR320" i="25"/>
  <c r="CV320" i="25" s="1"/>
  <c r="CW320" i="25" s="1"/>
  <c r="CZ320" i="25" s="1"/>
  <c r="CU320" i="25"/>
  <c r="CX320" i="25" s="1"/>
  <c r="CY320" i="25" s="1"/>
  <c r="CR343" i="25"/>
  <c r="CV343" i="25" s="1"/>
  <c r="CW343" i="25" s="1"/>
  <c r="CZ343" i="25" s="1"/>
  <c r="CU343" i="25"/>
  <c r="CX343" i="25" s="1"/>
  <c r="CY343" i="25" s="1"/>
  <c r="CU386" i="25"/>
  <c r="CX386" i="25" s="1"/>
  <c r="CY386" i="25" s="1"/>
  <c r="CR386" i="25"/>
  <c r="CV386" i="25" s="1"/>
  <c r="CW386" i="25" s="1"/>
  <c r="CZ386" i="25" s="1"/>
  <c r="CU209" i="25"/>
  <c r="CX209" i="25" s="1"/>
  <c r="CY209" i="25" s="1"/>
  <c r="CR209" i="25"/>
  <c r="CV209" i="25" s="1"/>
  <c r="CW209" i="25" s="1"/>
  <c r="CZ209" i="25" s="1"/>
  <c r="CR355" i="25"/>
  <c r="CV355" i="25" s="1"/>
  <c r="CW355" i="25" s="1"/>
  <c r="CZ355" i="25" s="1"/>
  <c r="CU355" i="25"/>
  <c r="CX355" i="25" s="1"/>
  <c r="CY355" i="25" s="1"/>
  <c r="CR385" i="25"/>
  <c r="CV385" i="25" s="1"/>
  <c r="CW385" i="25" s="1"/>
  <c r="CZ385" i="25" s="1"/>
  <c r="CU385" i="25"/>
  <c r="CX385" i="25" s="1"/>
  <c r="CY385" i="25" s="1"/>
  <c r="CR309" i="25"/>
  <c r="CV309" i="25" s="1"/>
  <c r="CW309" i="25" s="1"/>
  <c r="CZ309" i="25" s="1"/>
  <c r="CU309" i="25"/>
  <c r="CX309" i="25" s="1"/>
  <c r="CY309" i="25" s="1"/>
  <c r="CR238" i="25"/>
  <c r="CV238" i="25" s="1"/>
  <c r="CW238" i="25" s="1"/>
  <c r="CZ238" i="25" s="1"/>
  <c r="CU238" i="25"/>
  <c r="CX238" i="25" s="1"/>
  <c r="CY238" i="25" s="1"/>
  <c r="CU366" i="25"/>
  <c r="CX366" i="25" s="1"/>
  <c r="CY366" i="25" s="1"/>
  <c r="CR366" i="25"/>
  <c r="CV366" i="25" s="1"/>
  <c r="CW366" i="25" s="1"/>
  <c r="CZ366" i="25" s="1"/>
  <c r="CR308" i="25"/>
  <c r="CV308" i="25" s="1"/>
  <c r="CW308" i="25" s="1"/>
  <c r="CZ308" i="25" s="1"/>
  <c r="CU308" i="25"/>
  <c r="CX308" i="25" s="1"/>
  <c r="CY308" i="25" s="1"/>
  <c r="CR269" i="25"/>
  <c r="CV269" i="25" s="1"/>
  <c r="CW269" i="25" s="1"/>
  <c r="CZ269" i="25" s="1"/>
  <c r="CU269" i="25"/>
  <c r="CX269" i="25" s="1"/>
  <c r="CY269" i="25" s="1"/>
  <c r="CR225" i="25"/>
  <c r="CV225" i="25" s="1"/>
  <c r="CW225" i="25" s="1"/>
  <c r="CZ225" i="25" s="1"/>
  <c r="CU225" i="25"/>
  <c r="CX225" i="25" s="1"/>
  <c r="CY225" i="25" s="1"/>
  <c r="CR326" i="25"/>
  <c r="CV326" i="25" s="1"/>
  <c r="CW326" i="25" s="1"/>
  <c r="CZ326" i="25" s="1"/>
  <c r="CU326" i="25"/>
  <c r="CX326" i="25" s="1"/>
  <c r="CY326" i="25" s="1"/>
  <c r="CR390" i="25"/>
  <c r="CV390" i="25" s="1"/>
  <c r="CW390" i="25" s="1"/>
  <c r="CZ390" i="25" s="1"/>
  <c r="CU390" i="25"/>
  <c r="CX390" i="25" s="1"/>
  <c r="CY390" i="25" s="1"/>
  <c r="CV383" i="25"/>
  <c r="CW383" i="25" s="1"/>
  <c r="CZ383" i="25" s="1"/>
  <c r="CX383" i="25"/>
  <c r="CY383" i="25" s="1"/>
  <c r="CR369" i="25"/>
  <c r="CV369" i="25" s="1"/>
  <c r="CW369" i="25" s="1"/>
  <c r="CZ369" i="25" s="1"/>
  <c r="CU369" i="25"/>
  <c r="CX369" i="25" s="1"/>
  <c r="CY369" i="25" s="1"/>
  <c r="CU363" i="25"/>
  <c r="CX363" i="25" s="1"/>
  <c r="CY363" i="25" s="1"/>
  <c r="CR328" i="25"/>
  <c r="CV328" i="25" s="1"/>
  <c r="CW328" i="25" s="1"/>
  <c r="CZ328" i="25" s="1"/>
  <c r="CU328" i="25"/>
  <c r="CX328" i="25" s="1"/>
  <c r="CY328" i="25" s="1"/>
  <c r="CR362" i="25"/>
  <c r="CV362" i="25" s="1"/>
  <c r="CW362" i="25" s="1"/>
  <c r="CZ362" i="25" s="1"/>
  <c r="CU362" i="25"/>
  <c r="CX362" i="25" s="1"/>
  <c r="CY362" i="25" s="1"/>
  <c r="CR251" i="25"/>
  <c r="CV251" i="25" s="1"/>
  <c r="CW251" i="25" s="1"/>
  <c r="CZ251" i="25" s="1"/>
  <c r="CU251" i="25"/>
  <c r="CX251" i="25" s="1"/>
  <c r="CY251" i="25" s="1"/>
  <c r="CR329" i="25"/>
  <c r="CV329" i="25" s="1"/>
  <c r="CW329" i="25" s="1"/>
  <c r="CZ329" i="25" s="1"/>
  <c r="CU329" i="25"/>
  <c r="CX329" i="25" s="1"/>
  <c r="CY329" i="25" s="1"/>
  <c r="CR264" i="25"/>
  <c r="CV264" i="25" s="1"/>
  <c r="CW264" i="25" s="1"/>
  <c r="CZ264" i="25" s="1"/>
  <c r="CU264" i="25"/>
  <c r="CX264" i="25" s="1"/>
  <c r="CY264" i="25" s="1"/>
  <c r="CR218" i="25"/>
  <c r="CV218" i="25" s="1"/>
  <c r="CW218" i="25" s="1"/>
  <c r="CZ218" i="25" s="1"/>
  <c r="CU218" i="25"/>
  <c r="CX218" i="25" s="1"/>
  <c r="CY218" i="25" s="1"/>
  <c r="CR244" i="25"/>
  <c r="CV244" i="25" s="1"/>
  <c r="CW244" i="25" s="1"/>
  <c r="CZ244" i="25" s="1"/>
  <c r="CU244" i="25"/>
  <c r="CX244" i="25" s="1"/>
  <c r="CY244" i="25" s="1"/>
  <c r="CU339" i="25"/>
  <c r="CX339" i="25" s="1"/>
  <c r="CY339" i="25" s="1"/>
  <c r="CR339" i="25"/>
  <c r="CV339" i="25" s="1"/>
  <c r="CW339" i="25" s="1"/>
  <c r="CZ339" i="25" s="1"/>
  <c r="CR219" i="25"/>
  <c r="CV219" i="25" s="1"/>
  <c r="CW219" i="25" s="1"/>
  <c r="CZ219" i="25" s="1"/>
  <c r="CU219" i="25"/>
  <c r="CX219" i="25" s="1"/>
  <c r="CY219" i="25" s="1"/>
  <c r="CR295" i="25"/>
  <c r="CV295" i="25" s="1"/>
  <c r="CW295" i="25" s="1"/>
  <c r="CZ295" i="25" s="1"/>
  <c r="CU295" i="25"/>
  <c r="CX295" i="25" s="1"/>
  <c r="CY295" i="25" s="1"/>
  <c r="CR220" i="25"/>
  <c r="CV220" i="25" s="1"/>
  <c r="CW220" i="25" s="1"/>
  <c r="CZ220" i="25" s="1"/>
  <c r="CU220" i="25"/>
  <c r="CX220" i="25" s="1"/>
  <c r="CY220" i="25" s="1"/>
  <c r="CR208" i="25"/>
  <c r="CV208" i="25" s="1"/>
  <c r="CW208" i="25" s="1"/>
  <c r="CZ208" i="25" s="1"/>
  <c r="CU208" i="25"/>
  <c r="CX208" i="25" s="1"/>
  <c r="CY208" i="25" s="1"/>
  <c r="CV254" i="25"/>
  <c r="CW254" i="25" s="1"/>
  <c r="CZ254" i="25" s="1"/>
  <c r="CR222" i="25"/>
  <c r="CV222" i="25" s="1"/>
  <c r="CW222" i="25" s="1"/>
  <c r="CZ222" i="25" s="1"/>
  <c r="CU222" i="25"/>
  <c r="CX222" i="25" s="1"/>
  <c r="CY222" i="25" s="1"/>
  <c r="CV389" i="25"/>
  <c r="CW389" i="25" s="1"/>
  <c r="CZ389" i="25" s="1"/>
  <c r="CU255" i="25"/>
  <c r="CX255" i="25" s="1"/>
  <c r="CY255" i="25" s="1"/>
  <c r="CR255" i="25"/>
  <c r="CV255" i="25" s="1"/>
  <c r="CW255" i="25" s="1"/>
  <c r="CZ255" i="25" s="1"/>
  <c r="CR249" i="25"/>
  <c r="CV249" i="25" s="1"/>
  <c r="CW249" i="25" s="1"/>
  <c r="CZ249" i="25" s="1"/>
  <c r="CU249" i="25"/>
  <c r="CX249" i="25" s="1"/>
  <c r="CY249" i="25" s="1"/>
  <c r="CR340" i="25"/>
  <c r="CV340" i="25" s="1"/>
  <c r="CW340" i="25" s="1"/>
  <c r="CZ340" i="25" s="1"/>
  <c r="CU340" i="25"/>
  <c r="CX340" i="25" s="1"/>
  <c r="CY340" i="25" s="1"/>
  <c r="CR207" i="25"/>
  <c r="CV207" i="25" s="1"/>
  <c r="CW207" i="25" s="1"/>
  <c r="CZ207" i="25" s="1"/>
  <c r="CU207" i="25"/>
  <c r="CX207" i="25" s="1"/>
  <c r="CY207" i="25" s="1"/>
  <c r="CR372" i="25"/>
  <c r="CV372" i="25" s="1"/>
  <c r="CW372" i="25" s="1"/>
  <c r="CZ372" i="25" s="1"/>
  <c r="CU372" i="25"/>
  <c r="CX372" i="25" s="1"/>
  <c r="CY372" i="25" s="1"/>
  <c r="CR227" i="25"/>
  <c r="CV227" i="25" s="1"/>
  <c r="CW227" i="25" s="1"/>
  <c r="CZ227" i="25" s="1"/>
  <c r="CU227" i="25"/>
  <c r="CX227" i="25" s="1"/>
  <c r="CY227" i="25" s="1"/>
  <c r="CR384" i="25"/>
  <c r="CV384" i="25" s="1"/>
  <c r="CW384" i="25" s="1"/>
  <c r="CZ384" i="25" s="1"/>
  <c r="CU384" i="25"/>
  <c r="CX384" i="25" s="1"/>
  <c r="CY384" i="25" s="1"/>
  <c r="CR358" i="25"/>
  <c r="CV358" i="25" s="1"/>
  <c r="CW358" i="25" s="1"/>
  <c r="CZ358" i="25" s="1"/>
  <c r="CU358" i="25"/>
  <c r="CX358" i="25" s="1"/>
  <c r="CY358" i="25" s="1"/>
  <c r="CU351" i="25"/>
  <c r="CX351" i="25" s="1"/>
  <c r="CY351" i="25" s="1"/>
  <c r="CR351" i="25"/>
  <c r="CV351" i="25" s="1"/>
  <c r="CW351" i="25" s="1"/>
  <c r="CZ351" i="25" s="1"/>
  <c r="CR239" i="25"/>
  <c r="CV239" i="25" s="1"/>
  <c r="CW239" i="25" s="1"/>
  <c r="CZ239" i="25" s="1"/>
  <c r="CU239" i="25"/>
  <c r="CX239" i="25" s="1"/>
  <c r="CY239" i="25" s="1"/>
  <c r="CV353" i="25"/>
  <c r="CW353" i="25" s="1"/>
  <c r="CZ353" i="25" s="1"/>
  <c r="CU318" i="25"/>
  <c r="CX318" i="25" s="1"/>
  <c r="CY318" i="25" s="1"/>
  <c r="CU367" i="25"/>
  <c r="CX367" i="25" s="1"/>
  <c r="CY367" i="25" s="1"/>
  <c r="CR235" i="25"/>
  <c r="CV235" i="25" s="1"/>
  <c r="CW235" i="25" s="1"/>
  <c r="CZ235" i="25" s="1"/>
  <c r="CU235" i="25"/>
  <c r="CX235" i="25" s="1"/>
  <c r="CY235" i="25" s="1"/>
  <c r="CR332" i="25"/>
  <c r="CV332" i="25" s="1"/>
  <c r="CW332" i="25" s="1"/>
  <c r="CZ332" i="25" s="1"/>
  <c r="CU332" i="25"/>
  <c r="CX332" i="25" s="1"/>
  <c r="CY332" i="25" s="1"/>
  <c r="CR348" i="25"/>
  <c r="CV348" i="25" s="1"/>
  <c r="CW348" i="25" s="1"/>
  <c r="CZ348" i="25" s="1"/>
  <c r="CU348" i="25"/>
  <c r="CX348" i="25" s="1"/>
  <c r="CY348" i="25" s="1"/>
  <c r="CU297" i="25"/>
  <c r="CX297" i="25" s="1"/>
  <c r="CY297" i="25" s="1"/>
  <c r="CR297" i="25"/>
  <c r="CV297" i="25" s="1"/>
  <c r="CW297" i="25" s="1"/>
  <c r="CZ297" i="25" s="1"/>
  <c r="CR296" i="25"/>
  <c r="CV296" i="25" s="1"/>
  <c r="CW296" i="25" s="1"/>
  <c r="CZ296" i="25" s="1"/>
  <c r="CU296" i="25"/>
  <c r="CX296" i="25" s="1"/>
  <c r="CY296" i="25" s="1"/>
  <c r="CR319" i="25"/>
  <c r="CV319" i="25" s="1"/>
  <c r="CW319" i="25" s="1"/>
  <c r="CZ319" i="25" s="1"/>
  <c r="CU319" i="25"/>
  <c r="CX319" i="25" s="1"/>
  <c r="CY319" i="25" s="1"/>
  <c r="CR314" i="25"/>
  <c r="CV314" i="25" s="1"/>
  <c r="CW314" i="25" s="1"/>
  <c r="CZ314" i="25" s="1"/>
  <c r="CU314" i="25"/>
  <c r="CX314" i="25" s="1"/>
  <c r="CY314" i="25" s="1"/>
  <c r="CR324" i="25"/>
  <c r="CV324" i="25" s="1"/>
  <c r="CW324" i="25" s="1"/>
  <c r="CZ324" i="25" s="1"/>
  <c r="CU324" i="25"/>
  <c r="CX324" i="25" s="1"/>
  <c r="CY324" i="25" s="1"/>
  <c r="CR315" i="25"/>
  <c r="CV315" i="25" s="1"/>
  <c r="CW315" i="25" s="1"/>
  <c r="CZ315" i="25" s="1"/>
  <c r="CU315" i="25"/>
  <c r="CX315" i="25" s="1"/>
  <c r="CY315" i="25" s="1"/>
  <c r="CU388" i="25"/>
  <c r="CX388" i="25" s="1"/>
  <c r="CY388" i="25" s="1"/>
  <c r="CR388" i="25"/>
  <c r="CV388" i="25" s="1"/>
  <c r="CW388" i="25" s="1"/>
  <c r="CZ388" i="25" s="1"/>
  <c r="CR337" i="25"/>
  <c r="CV337" i="25" s="1"/>
  <c r="CW337" i="25" s="1"/>
  <c r="CZ337" i="25" s="1"/>
  <c r="CU337" i="25"/>
  <c r="CX337" i="25" s="1"/>
  <c r="CY337" i="25" s="1"/>
  <c r="CR217" i="25"/>
  <c r="CV217" i="25" s="1"/>
  <c r="CW217" i="25" s="1"/>
  <c r="CZ217" i="25" s="1"/>
  <c r="CU217" i="25"/>
  <c r="CX217" i="25" s="1"/>
  <c r="CY217" i="25" s="1"/>
  <c r="CR247" i="25"/>
  <c r="CV247" i="25" s="1"/>
  <c r="CW247" i="25" s="1"/>
  <c r="CZ247" i="25" s="1"/>
  <c r="CU247" i="25"/>
  <c r="CX247" i="25" s="1"/>
  <c r="CY247" i="25" s="1"/>
  <c r="CR273" i="25"/>
  <c r="CV273" i="25" s="1"/>
  <c r="CW273" i="25" s="1"/>
  <c r="CZ273" i="25" s="1"/>
  <c r="CU273" i="25"/>
  <c r="CX273" i="25" s="1"/>
  <c r="CY273" i="25" s="1"/>
  <c r="CR378" i="25"/>
  <c r="CV378" i="25" s="1"/>
  <c r="CW378" i="25" s="1"/>
  <c r="CZ378" i="25" s="1"/>
  <c r="CU378" i="25"/>
  <c r="CX378" i="25" s="1"/>
  <c r="CY378" i="25" s="1"/>
  <c r="CR275" i="25"/>
  <c r="CV275" i="25" s="1"/>
  <c r="CW275" i="25" s="1"/>
  <c r="CZ275" i="25" s="1"/>
  <c r="CU275" i="25"/>
  <c r="CX275" i="25" s="1"/>
  <c r="CY275" i="25" s="1"/>
  <c r="CR224" i="25"/>
  <c r="CV224" i="25" s="1"/>
  <c r="CW224" i="25" s="1"/>
  <c r="CZ224" i="25" s="1"/>
  <c r="CU224" i="25"/>
  <c r="CX224" i="25" s="1"/>
  <c r="CY224" i="25" s="1"/>
  <c r="CU229" i="25"/>
  <c r="CX229" i="25" s="1"/>
  <c r="CY229" i="25" s="1"/>
  <c r="CU282" i="25"/>
  <c r="CX282" i="25" s="1"/>
  <c r="CY282" i="25" s="1"/>
  <c r="CU317" i="25"/>
  <c r="CX317" i="25" s="1"/>
  <c r="CY317" i="25" s="1"/>
  <c r="CR210" i="25"/>
  <c r="CV210" i="25" s="1"/>
  <c r="CW210" i="25" s="1"/>
  <c r="CZ210" i="25" s="1"/>
  <c r="CU210" i="25"/>
  <c r="CX210" i="25" s="1"/>
  <c r="CY210" i="25" s="1"/>
  <c r="CU256" i="25"/>
  <c r="CX256" i="25" s="1"/>
  <c r="CY256" i="25" s="1"/>
  <c r="CR256" i="25"/>
  <c r="CV256" i="25" s="1"/>
  <c r="CW256" i="25" s="1"/>
  <c r="CZ256" i="25" s="1"/>
  <c r="CR286" i="25"/>
  <c r="CV286" i="25" s="1"/>
  <c r="CW286" i="25" s="1"/>
  <c r="CZ286" i="25" s="1"/>
  <c r="CU286" i="25"/>
  <c r="CX286" i="25" s="1"/>
  <c r="CY286" i="25" s="1"/>
  <c r="CR338" i="25"/>
  <c r="CV338" i="25" s="1"/>
  <c r="CW338" i="25" s="1"/>
  <c r="CZ338" i="25" s="1"/>
  <c r="CU338" i="25"/>
  <c r="CX338" i="25" s="1"/>
  <c r="CY338" i="25" s="1"/>
  <c r="CR357" i="25"/>
  <c r="CV357" i="25" s="1"/>
  <c r="CW357" i="25" s="1"/>
  <c r="CZ357" i="25" s="1"/>
  <c r="CU357" i="25"/>
  <c r="CX357" i="25" s="1"/>
  <c r="CY357" i="25" s="1"/>
  <c r="CR250" i="25"/>
  <c r="CV250" i="25" s="1"/>
  <c r="CW250" i="25" s="1"/>
  <c r="CZ250" i="25" s="1"/>
  <c r="CU250" i="25"/>
  <c r="CX250" i="25" s="1"/>
  <c r="CY250" i="25" s="1"/>
  <c r="CR376" i="25"/>
  <c r="CV376" i="25" s="1"/>
  <c r="CW376" i="25" s="1"/>
  <c r="CZ376" i="25" s="1"/>
  <c r="CU376" i="25"/>
  <c r="CX376" i="25" s="1"/>
  <c r="CY376" i="25" s="1"/>
  <c r="CR304" i="25"/>
  <c r="CV304" i="25" s="1"/>
  <c r="CW304" i="25" s="1"/>
  <c r="CZ304" i="25" s="1"/>
  <c r="CU304" i="25"/>
  <c r="CX304" i="25" s="1"/>
  <c r="CY304" i="25" s="1"/>
  <c r="CR285" i="25"/>
  <c r="CV285" i="25" s="1"/>
  <c r="CW285" i="25" s="1"/>
  <c r="CZ285" i="25" s="1"/>
  <c r="CU285" i="25"/>
  <c r="CX285" i="25" s="1"/>
  <c r="CY285" i="25" s="1"/>
  <c r="CR310" i="25"/>
  <c r="CV310" i="25" s="1"/>
  <c r="CW310" i="25" s="1"/>
  <c r="CZ310" i="25" s="1"/>
  <c r="CU310" i="25"/>
  <c r="CX310" i="25" s="1"/>
  <c r="CY310" i="25" s="1"/>
  <c r="CU306" i="25"/>
  <c r="CX306" i="25" s="1"/>
  <c r="CY306" i="25" s="1"/>
  <c r="CR306" i="25"/>
  <c r="CV306" i="25" s="1"/>
  <c r="CW306" i="25" s="1"/>
  <c r="CZ306" i="25" s="1"/>
  <c r="CR259" i="25"/>
  <c r="CV259" i="25" s="1"/>
  <c r="CW259" i="25" s="1"/>
  <c r="CZ259" i="25" s="1"/>
  <c r="CU259" i="25"/>
  <c r="CX259" i="25" s="1"/>
  <c r="CY259" i="25" s="1"/>
  <c r="CR300" i="25"/>
  <c r="CV300" i="25" s="1"/>
  <c r="CW300" i="25" s="1"/>
  <c r="CZ300" i="25" s="1"/>
  <c r="CU300" i="25"/>
  <c r="CX300" i="25" s="1"/>
  <c r="CY300" i="25" s="1"/>
  <c r="CR375" i="25"/>
  <c r="CV375" i="25" s="1"/>
  <c r="CW375" i="25" s="1"/>
  <c r="CZ375" i="25" s="1"/>
  <c r="CU375" i="25"/>
  <c r="CX375" i="25" s="1"/>
  <c r="CY375" i="25" s="1"/>
  <c r="CR333" i="25"/>
  <c r="CV333" i="25" s="1"/>
  <c r="CW333" i="25" s="1"/>
  <c r="CZ333" i="25" s="1"/>
  <c r="CU333" i="25"/>
  <c r="CX333" i="25" s="1"/>
  <c r="CY333" i="25" s="1"/>
  <c r="CR382" i="25"/>
  <c r="CV382" i="25" s="1"/>
  <c r="CW382" i="25" s="1"/>
  <c r="CZ382" i="25" s="1"/>
  <c r="CU382" i="25"/>
  <c r="CX382" i="25" s="1"/>
  <c r="CY382" i="25" s="1"/>
  <c r="CR258" i="25"/>
  <c r="CV258" i="25" s="1"/>
  <c r="CW258" i="25" s="1"/>
  <c r="CZ258" i="25" s="1"/>
  <c r="CU258" i="25"/>
  <c r="CX258" i="25" s="1"/>
  <c r="CY258" i="25" s="1"/>
  <c r="CR252" i="25"/>
  <c r="CV252" i="25" s="1"/>
  <c r="CW252" i="25" s="1"/>
  <c r="CZ252" i="25" s="1"/>
  <c r="CU252" i="25"/>
  <c r="CX252" i="25" s="1"/>
  <c r="CY252" i="25" s="1"/>
  <c r="CV234" i="25"/>
  <c r="CW234" i="25" s="1"/>
  <c r="CZ234" i="25" s="1"/>
  <c r="CU231" i="25"/>
  <c r="CX231" i="25" s="1"/>
  <c r="CY231" i="25" s="1"/>
  <c r="CR231" i="25"/>
  <c r="CV231" i="25" s="1"/>
  <c r="CW231" i="25" s="1"/>
  <c r="CZ231" i="25" s="1"/>
  <c r="CR280" i="25"/>
  <c r="CV280" i="25" s="1"/>
  <c r="CW280" i="25" s="1"/>
  <c r="CZ280" i="25" s="1"/>
  <c r="CU280" i="25"/>
  <c r="CX280" i="25" s="1"/>
  <c r="CY280" i="25" s="1"/>
  <c r="CR334" i="25"/>
  <c r="CV334" i="25" s="1"/>
  <c r="CW334" i="25" s="1"/>
  <c r="CZ334" i="25" s="1"/>
  <c r="CU334" i="25"/>
  <c r="CX334" i="25" s="1"/>
  <c r="CY334" i="25" s="1"/>
  <c r="CU381" i="25"/>
  <c r="CX381" i="25" s="1"/>
  <c r="CY381" i="25" s="1"/>
  <c r="CR381" i="25"/>
  <c r="CV381" i="25" s="1"/>
  <c r="CW381" i="25" s="1"/>
  <c r="CZ381" i="25" s="1"/>
  <c r="CR257" i="25"/>
  <c r="CV257" i="25" s="1"/>
  <c r="CW257" i="25" s="1"/>
  <c r="CZ257" i="25" s="1"/>
  <c r="CU257" i="25"/>
  <c r="CX257" i="25" s="1"/>
  <c r="CY257" i="25" s="1"/>
  <c r="CR268" i="25"/>
  <c r="CV268" i="25" s="1"/>
  <c r="CW268" i="25" s="1"/>
  <c r="CZ268" i="25" s="1"/>
  <c r="CU268" i="25"/>
  <c r="CX268" i="25" s="1"/>
  <c r="CY268" i="25" s="1"/>
  <c r="CR379" i="25"/>
  <c r="CV379" i="25" s="1"/>
  <c r="CW379" i="25" s="1"/>
  <c r="CZ379" i="25" s="1"/>
  <c r="CU379" i="25"/>
  <c r="CX379" i="25" s="1"/>
  <c r="CY379" i="25" s="1"/>
  <c r="CR283" i="25"/>
  <c r="CV283" i="25" s="1"/>
  <c r="CW283" i="25" s="1"/>
  <c r="CZ283" i="25" s="1"/>
  <c r="CU283" i="25"/>
  <c r="CX283" i="25" s="1"/>
  <c r="CY283" i="25" s="1"/>
  <c r="CR288" i="25"/>
  <c r="CV288" i="25" s="1"/>
  <c r="CW288" i="25" s="1"/>
  <c r="CZ288" i="25" s="1"/>
  <c r="CU288" i="25"/>
  <c r="CX288" i="25" s="1"/>
  <c r="CY288" i="25" s="1"/>
  <c r="CR335" i="25"/>
  <c r="CV335" i="25" s="1"/>
  <c r="CW335" i="25" s="1"/>
  <c r="CZ335" i="25" s="1"/>
  <c r="CU335" i="25"/>
  <c r="CX335" i="25" s="1"/>
  <c r="CY335" i="25" s="1"/>
  <c r="CR330" i="25"/>
  <c r="CV330" i="25" s="1"/>
  <c r="CW330" i="25" s="1"/>
  <c r="CZ330" i="25" s="1"/>
  <c r="CU330" i="25"/>
  <c r="CX330" i="25" s="1"/>
  <c r="CY330" i="25" s="1"/>
  <c r="CR349" i="25"/>
  <c r="CV349" i="25" s="1"/>
  <c r="CW349" i="25" s="1"/>
  <c r="CZ349" i="25" s="1"/>
  <c r="CU349" i="25"/>
  <c r="CX349" i="25" s="1"/>
  <c r="CY349" i="25" s="1"/>
  <c r="CR365" i="25"/>
  <c r="CV365" i="25" s="1"/>
  <c r="CW365" i="25" s="1"/>
  <c r="CZ365" i="25" s="1"/>
  <c r="CU365" i="25"/>
  <c r="CX365" i="25" s="1"/>
  <c r="CY365" i="25" s="1"/>
  <c r="CR203" i="25"/>
  <c r="CV203" i="25" s="1"/>
  <c r="CW203" i="25" s="1"/>
  <c r="CZ203" i="25" s="1"/>
  <c r="CU203" i="25"/>
  <c r="CX203" i="25" s="1"/>
  <c r="CY203" i="25" s="1"/>
  <c r="CR302" i="25"/>
  <c r="CV302" i="25" s="1"/>
  <c r="CW302" i="25" s="1"/>
  <c r="CZ302" i="25" s="1"/>
  <c r="CU302" i="25"/>
  <c r="CX302" i="25" s="1"/>
  <c r="CY302" i="25" s="1"/>
  <c r="CR206" i="25"/>
  <c r="CV206" i="25" s="1"/>
  <c r="CW206" i="25" s="1"/>
  <c r="CZ206" i="25" s="1"/>
  <c r="CU206" i="25"/>
  <c r="CX206" i="25" s="1"/>
  <c r="CY206" i="25" s="1"/>
  <c r="CR213" i="25"/>
  <c r="CV213" i="25" s="1"/>
  <c r="CW213" i="25" s="1"/>
  <c r="CZ213" i="25" s="1"/>
  <c r="CU213" i="25"/>
  <c r="CX213" i="25" s="1"/>
  <c r="CY213" i="25" s="1"/>
  <c r="CR223" i="25"/>
  <c r="CV223" i="25" s="1"/>
  <c r="CW223" i="25" s="1"/>
  <c r="CZ223" i="25" s="1"/>
  <c r="CU223" i="25"/>
  <c r="CX223" i="25" s="1"/>
  <c r="CY223" i="25" s="1"/>
  <c r="CR373" i="25"/>
  <c r="CV373" i="25" s="1"/>
  <c r="CW373" i="25" s="1"/>
  <c r="CZ373" i="25" s="1"/>
  <c r="CU373" i="25"/>
  <c r="CX373" i="25" s="1"/>
  <c r="CY373" i="25" s="1"/>
  <c r="CV240" i="25"/>
  <c r="CW240" i="25" s="1"/>
  <c r="CZ240" i="25" s="1"/>
  <c r="CR265" i="25"/>
  <c r="CV265" i="25" s="1"/>
  <c r="CW265" i="25" s="1"/>
  <c r="CZ265" i="25" s="1"/>
  <c r="CU265" i="25"/>
  <c r="CX265" i="25" s="1"/>
  <c r="CY265" i="25" s="1"/>
  <c r="CR364" i="25"/>
  <c r="CV364" i="25" s="1"/>
  <c r="CW364" i="25" s="1"/>
  <c r="CZ364" i="25" s="1"/>
  <c r="CU364" i="25"/>
  <c r="CX364" i="25" s="1"/>
  <c r="CY364" i="25" s="1"/>
  <c r="CR236" i="25"/>
  <c r="CV236" i="25" s="1"/>
  <c r="CW236" i="25" s="1"/>
  <c r="CZ236" i="25" s="1"/>
  <c r="CU236" i="25"/>
  <c r="CX236" i="25" s="1"/>
  <c r="CY236" i="25" s="1"/>
  <c r="CR267" i="25"/>
  <c r="CV267" i="25" s="1"/>
  <c r="CW267" i="25" s="1"/>
  <c r="CZ267" i="25" s="1"/>
  <c r="CU267" i="25"/>
  <c r="CX267" i="25" s="1"/>
  <c r="CY267" i="25" s="1"/>
  <c r="CR243" i="25"/>
  <c r="CV243" i="25" s="1"/>
  <c r="CW243" i="25" s="1"/>
  <c r="CZ243" i="25" s="1"/>
  <c r="CU243" i="25"/>
  <c r="CX243" i="25" s="1"/>
  <c r="CY243" i="25" s="1"/>
  <c r="CR287" i="25"/>
  <c r="CV287" i="25" s="1"/>
  <c r="CW287" i="25" s="1"/>
  <c r="CZ287" i="25" s="1"/>
  <c r="CU287" i="25"/>
  <c r="CX287" i="25" s="1"/>
  <c r="CY287" i="25" s="1"/>
  <c r="CR341" i="25"/>
  <c r="CV341" i="25" s="1"/>
  <c r="CW341" i="25" s="1"/>
  <c r="CZ341" i="25" s="1"/>
  <c r="CU341" i="25"/>
  <c r="CX341" i="25" s="1"/>
  <c r="CY341" i="25" s="1"/>
  <c r="CR396" i="25"/>
  <c r="CV396" i="25" s="1"/>
  <c r="CW396" i="25" s="1"/>
  <c r="CZ396" i="25" s="1"/>
  <c r="CU396" i="25"/>
  <c r="CX396" i="25" s="1"/>
  <c r="CY396" i="25" s="1"/>
  <c r="CR246" i="25"/>
  <c r="CV246" i="25" s="1"/>
  <c r="CW246" i="25" s="1"/>
  <c r="CZ246" i="25" s="1"/>
  <c r="CU246" i="25"/>
  <c r="CX246" i="25" s="1"/>
  <c r="CY246" i="25" s="1"/>
  <c r="CR393" i="25"/>
  <c r="CV393" i="25" s="1"/>
  <c r="CW393" i="25" s="1"/>
  <c r="CZ393" i="25" s="1"/>
  <c r="CU393" i="25"/>
  <c r="CX393" i="25" s="1"/>
  <c r="CY393" i="25" s="1"/>
  <c r="CU353" i="25"/>
  <c r="CX353" i="25" s="1"/>
  <c r="CY353" i="25" s="1"/>
  <c r="CR294" i="25"/>
  <c r="CV294" i="25" s="1"/>
  <c r="CW294" i="25" s="1"/>
  <c r="CZ294" i="25" s="1"/>
  <c r="CU294" i="25"/>
  <c r="CX294" i="25" s="1"/>
  <c r="CY294" i="25" s="1"/>
  <c r="CR356" i="25"/>
  <c r="CV356" i="25" s="1"/>
  <c r="CW356" i="25" s="1"/>
  <c r="CZ356" i="25" s="1"/>
  <c r="CU356" i="25"/>
  <c r="CX356" i="25" s="1"/>
  <c r="CY356" i="25" s="1"/>
  <c r="CR226" i="25"/>
  <c r="CV226" i="25" s="1"/>
  <c r="CW226" i="25" s="1"/>
  <c r="CZ226" i="25" s="1"/>
  <c r="CU226" i="25"/>
  <c r="CX226" i="25" s="1"/>
  <c r="CY226" i="25" s="1"/>
  <c r="CR232" i="25"/>
  <c r="CV232" i="25" s="1"/>
  <c r="CW232" i="25" s="1"/>
  <c r="CZ232" i="25" s="1"/>
  <c r="CU232" i="25"/>
  <c r="CX232" i="25" s="1"/>
  <c r="CY232" i="25" s="1"/>
  <c r="CR270" i="25"/>
  <c r="CV270" i="25" s="1"/>
  <c r="CW270" i="25" s="1"/>
  <c r="CZ270" i="25" s="1"/>
  <c r="CU270" i="25"/>
  <c r="CX270" i="25" s="1"/>
  <c r="CY270" i="25" s="1"/>
  <c r="CR279" i="25"/>
  <c r="CV279" i="25" s="1"/>
  <c r="CW279" i="25" s="1"/>
  <c r="CZ279" i="25" s="1"/>
  <c r="CU279" i="25"/>
  <c r="CX279" i="25" s="1"/>
  <c r="CY279" i="25" s="1"/>
  <c r="CR371" i="25"/>
  <c r="CV371" i="25" s="1"/>
  <c r="CW371" i="25" s="1"/>
  <c r="CZ371" i="25" s="1"/>
  <c r="CU371" i="25"/>
  <c r="CX371" i="25" s="1"/>
  <c r="CY371" i="25" s="1"/>
  <c r="CR394" i="25"/>
  <c r="CV394" i="25" s="1"/>
  <c r="CW394" i="25" s="1"/>
  <c r="CZ394" i="25" s="1"/>
  <c r="CU394" i="25"/>
  <c r="CX394" i="25" s="1"/>
  <c r="CY394" i="25" s="1"/>
  <c r="CR345" i="25"/>
  <c r="CV345" i="25" s="1"/>
  <c r="CW345" i="25" s="1"/>
  <c r="CZ345" i="25" s="1"/>
  <c r="CU345" i="25"/>
  <c r="CX345" i="25" s="1"/>
  <c r="CY345" i="25" s="1"/>
  <c r="CV233" i="25"/>
  <c r="CW233" i="25" s="1"/>
  <c r="CZ233" i="25" s="1"/>
  <c r="CV211" i="25"/>
  <c r="CW211" i="25" s="1"/>
  <c r="CZ211" i="25" s="1"/>
  <c r="CV303" i="25"/>
  <c r="CW303" i="25" s="1"/>
  <c r="CZ303" i="25" s="1"/>
  <c r="CR387" i="25"/>
  <c r="CV387" i="25" s="1"/>
  <c r="CW387" i="25" s="1"/>
  <c r="CZ387" i="25" s="1"/>
  <c r="CU387" i="25"/>
  <c r="CX387" i="25" s="1"/>
  <c r="CY387" i="25" s="1"/>
  <c r="CV344" i="25"/>
  <c r="CW344" i="25" s="1"/>
  <c r="CZ344" i="25" s="1"/>
  <c r="CV313" i="25"/>
  <c r="CW313" i="25" s="1"/>
  <c r="CZ313" i="25" s="1"/>
  <c r="D206" i="89" l="1"/>
  <c r="D207" i="89"/>
  <c r="D208" i="89"/>
  <c r="D209" i="89"/>
  <c r="D210" i="89"/>
  <c r="D211" i="89"/>
  <c r="D190" i="89"/>
  <c r="D191" i="89"/>
  <c r="D192" i="89"/>
  <c r="D193" i="89"/>
  <c r="D194" i="89"/>
  <c r="D195" i="89"/>
  <c r="DX162" i="25"/>
  <c r="DX165" i="25"/>
  <c r="DX126" i="25"/>
  <c r="I378" i="92"/>
  <c r="F377" i="92"/>
  <c r="H378" i="92"/>
  <c r="F378" i="92"/>
  <c r="I377" i="92"/>
  <c r="H377" i="92"/>
  <c r="G377" i="92"/>
  <c r="G378" i="92"/>
  <c r="C218" i="92"/>
  <c r="C221" i="92"/>
  <c r="X144" i="89" l="1"/>
  <c r="AG42" i="89"/>
  <c r="AA25" i="89"/>
  <c r="R146" i="89" s="1"/>
  <c r="AA26" i="89"/>
  <c r="R147" i="89" s="1"/>
  <c r="AA27" i="89"/>
  <c r="R148" i="89" s="1"/>
  <c r="AA28" i="89"/>
  <c r="R149" i="89" s="1"/>
  <c r="AA29" i="89"/>
  <c r="R150" i="89" s="1"/>
  <c r="AA30" i="89"/>
  <c r="AA31" i="89"/>
  <c r="R152" i="89" s="1"/>
  <c r="AA32" i="89"/>
  <c r="R153" i="89" s="1"/>
  <c r="AA33" i="89"/>
  <c r="R154" i="89" s="1"/>
  <c r="AA34" i="89"/>
  <c r="R155" i="89" s="1"/>
  <c r="AA35" i="89"/>
  <c r="R156" i="89" s="1"/>
  <c r="AA36" i="89"/>
  <c r="R157" i="89" s="1"/>
  <c r="AA37" i="89"/>
  <c r="R158" i="89" s="1"/>
  <c r="AA38" i="89"/>
  <c r="R159" i="89" s="1"/>
  <c r="AA39" i="89"/>
  <c r="AA40" i="89"/>
  <c r="R161" i="89" s="1"/>
  <c r="AA41" i="89"/>
  <c r="R162" i="89" s="1"/>
  <c r="AA42" i="89"/>
  <c r="R163" i="89" s="1"/>
  <c r="V41" i="89"/>
  <c r="V38" i="89"/>
  <c r="T37" i="89"/>
  <c r="U35" i="89"/>
  <c r="X34" i="89"/>
  <c r="U33" i="89"/>
  <c r="S225" i="89"/>
  <c r="T225" i="89" s="1"/>
  <c r="V28" i="89"/>
  <c r="V25" i="89"/>
  <c r="W25" i="89"/>
  <c r="U25" i="89"/>
  <c r="T25" i="89"/>
  <c r="AG25" i="89"/>
  <c r="H131" i="89"/>
  <c r="DM126" i="25"/>
  <c r="DN126" i="25"/>
  <c r="DM186" i="25"/>
  <c r="DN186" i="25"/>
  <c r="DM187" i="25"/>
  <c r="DN187" i="25"/>
  <c r="DM77" i="25"/>
  <c r="DN77" i="25"/>
  <c r="DM127" i="25"/>
  <c r="DN127" i="25"/>
  <c r="DM78" i="25"/>
  <c r="DN78" i="25"/>
  <c r="DM79" i="25"/>
  <c r="DN79" i="25"/>
  <c r="DM9" i="25"/>
  <c r="DN9" i="25"/>
  <c r="DM80" i="25"/>
  <c r="DN80" i="25"/>
  <c r="DM188" i="25"/>
  <c r="DN188" i="25"/>
  <c r="DM129" i="25"/>
  <c r="DN129" i="25"/>
  <c r="DM159" i="25"/>
  <c r="DN159" i="25"/>
  <c r="DM10" i="25"/>
  <c r="DN10" i="25"/>
  <c r="DM160" i="25"/>
  <c r="DN160" i="25"/>
  <c r="DM130" i="25"/>
  <c r="DN130" i="25"/>
  <c r="DM133" i="25"/>
  <c r="DN133" i="25"/>
  <c r="DM161" i="25"/>
  <c r="DN161" i="25"/>
  <c r="DM162" i="25"/>
  <c r="DN162" i="25"/>
  <c r="DM163" i="25"/>
  <c r="DN163" i="25"/>
  <c r="DM164" i="25"/>
  <c r="DN164" i="25"/>
  <c r="DM165" i="25"/>
  <c r="DN165" i="25"/>
  <c r="DM11" i="25"/>
  <c r="DN11" i="25"/>
  <c r="DM166" i="25"/>
  <c r="DN166" i="25"/>
  <c r="DM55" i="25"/>
  <c r="DN55" i="25"/>
  <c r="DM167" i="25"/>
  <c r="DN167" i="25"/>
  <c r="DM168" i="25"/>
  <c r="DN168" i="25"/>
  <c r="DM169" i="25"/>
  <c r="DN169" i="25"/>
  <c r="DM56" i="25"/>
  <c r="DN56" i="25"/>
  <c r="DM132" i="25"/>
  <c r="DN132" i="25"/>
  <c r="DM12" i="25"/>
  <c r="DN12" i="25"/>
  <c r="DM170" i="25"/>
  <c r="DN170" i="25"/>
  <c r="DM57" i="25"/>
  <c r="DN57" i="25"/>
  <c r="DM171" i="25"/>
  <c r="DN171" i="25"/>
  <c r="DM13" i="25"/>
  <c r="DN13" i="25"/>
  <c r="DM172" i="25"/>
  <c r="DN172" i="25"/>
  <c r="DM173" i="25"/>
  <c r="DN173" i="25"/>
  <c r="DM199" i="25"/>
  <c r="DN199" i="25"/>
  <c r="DM202" i="25"/>
  <c r="DN202" i="25"/>
  <c r="DM137" i="25"/>
  <c r="DN137" i="25"/>
  <c r="DM73" i="25"/>
  <c r="DN73" i="25"/>
  <c r="DM74" i="25"/>
  <c r="DN74" i="25"/>
  <c r="DM75" i="25"/>
  <c r="DN75" i="25"/>
  <c r="DM76" i="25"/>
  <c r="DN76" i="25"/>
  <c r="DM99" i="25"/>
  <c r="DN99" i="25"/>
  <c r="DM100" i="25"/>
  <c r="DN100" i="25"/>
  <c r="DM138" i="25"/>
  <c r="DN138" i="25"/>
  <c r="DM139" i="25"/>
  <c r="DN139" i="25"/>
  <c r="DM15" i="25"/>
  <c r="DN15" i="25"/>
  <c r="DM59" i="25"/>
  <c r="DN59" i="25"/>
  <c r="DM16" i="25"/>
  <c r="DN16" i="25"/>
  <c r="DM58" i="25"/>
  <c r="DN58" i="25"/>
  <c r="DM45" i="25"/>
  <c r="DN45" i="25"/>
  <c r="DM17" i="25"/>
  <c r="DN17" i="25"/>
  <c r="DM18" i="25"/>
  <c r="DN18" i="25"/>
  <c r="DM19" i="25"/>
  <c r="DN19" i="25"/>
  <c r="DM140" i="25"/>
  <c r="DN140" i="25"/>
  <c r="DM141" i="25"/>
  <c r="DN141" i="25"/>
  <c r="DM21" i="25"/>
  <c r="DN21" i="25"/>
  <c r="DM60" i="25"/>
  <c r="DN60" i="25"/>
  <c r="DM102" i="25"/>
  <c r="DN102" i="25"/>
  <c r="DM61" i="25"/>
  <c r="DN61" i="25"/>
  <c r="DM103" i="25"/>
  <c r="DN103" i="25"/>
  <c r="DM189" i="25"/>
  <c r="DN189" i="25"/>
  <c r="DM22" i="25"/>
  <c r="DN22" i="25"/>
  <c r="DM104" i="25"/>
  <c r="DN104" i="25"/>
  <c r="DM105" i="25"/>
  <c r="DN105" i="25"/>
  <c r="DM23" i="25"/>
  <c r="DN23" i="25"/>
  <c r="DM190" i="25"/>
  <c r="DN190" i="25"/>
  <c r="DM191" i="25"/>
  <c r="DN191" i="25"/>
  <c r="DM192" i="25"/>
  <c r="DN192" i="25"/>
  <c r="DM142" i="25"/>
  <c r="DN142" i="25"/>
  <c r="DM106" i="25"/>
  <c r="DN106" i="25"/>
  <c r="DM193" i="25"/>
  <c r="DN193" i="25"/>
  <c r="DM107" i="25"/>
  <c r="DN107" i="25"/>
  <c r="DM143" i="25"/>
  <c r="DN143" i="25"/>
  <c r="DM144" i="25"/>
  <c r="DN144" i="25"/>
  <c r="DM200" i="25"/>
  <c r="DN200" i="25"/>
  <c r="DM195" i="25"/>
  <c r="DN195" i="25"/>
  <c r="DM201" i="25"/>
  <c r="DN201" i="25"/>
  <c r="DM196" i="25"/>
  <c r="DN196" i="25"/>
  <c r="DM25" i="25"/>
  <c r="DN25" i="25"/>
  <c r="DM62" i="25"/>
  <c r="DN62" i="25"/>
  <c r="DM26" i="25"/>
  <c r="DN26" i="25"/>
  <c r="DM63" i="25"/>
  <c r="DN63" i="25"/>
  <c r="DM27" i="25"/>
  <c r="DN27" i="25"/>
  <c r="DM28" i="25"/>
  <c r="DN28" i="25"/>
  <c r="DM29" i="25"/>
  <c r="DN29" i="25"/>
  <c r="DM174" i="25"/>
  <c r="DN174" i="25"/>
  <c r="DM175" i="25"/>
  <c r="DN175" i="25"/>
  <c r="DM64" i="25"/>
  <c r="DN64" i="25"/>
  <c r="DM30" i="25"/>
  <c r="DN30" i="25"/>
  <c r="DM65" i="25"/>
  <c r="DN65" i="25"/>
  <c r="DM66" i="25"/>
  <c r="DN66" i="25"/>
  <c r="DM67" i="25"/>
  <c r="DN67" i="25"/>
  <c r="DM146" i="25"/>
  <c r="DN146" i="25"/>
  <c r="DM177" i="25"/>
  <c r="DN177" i="25"/>
  <c r="DM32" i="25"/>
  <c r="DN32" i="25"/>
  <c r="DM33" i="25"/>
  <c r="DN33" i="25"/>
  <c r="DM178" i="25"/>
  <c r="DN178" i="25"/>
  <c r="DM176" i="25"/>
  <c r="DN176" i="25"/>
  <c r="DM34" i="25"/>
  <c r="DN34" i="25"/>
  <c r="DM35" i="25"/>
  <c r="DN35" i="25"/>
  <c r="DM31" i="25"/>
  <c r="DN31" i="25"/>
  <c r="DM39" i="25"/>
  <c r="DN39" i="25"/>
  <c r="DM40" i="25"/>
  <c r="DN40" i="25"/>
  <c r="DM117" i="25"/>
  <c r="DN117" i="25"/>
  <c r="DM147" i="25"/>
  <c r="DN147" i="25"/>
  <c r="DM42" i="25"/>
  <c r="DN42" i="25"/>
  <c r="DM43" i="25"/>
  <c r="DN43" i="25"/>
  <c r="DM68" i="25"/>
  <c r="DN68" i="25"/>
  <c r="DM69" i="25"/>
  <c r="DN69" i="25"/>
  <c r="DM41" i="25"/>
  <c r="DN41" i="25"/>
  <c r="DM70" i="25"/>
  <c r="DN70" i="25"/>
  <c r="DM198" i="25"/>
  <c r="DN198" i="25"/>
  <c r="DM179" i="25"/>
  <c r="DN179" i="25"/>
  <c r="DM118" i="25"/>
  <c r="DN118" i="25"/>
  <c r="DM46" i="25"/>
  <c r="DN46" i="25"/>
  <c r="DM47" i="25"/>
  <c r="DN47" i="25"/>
  <c r="DM180" i="25"/>
  <c r="DN180" i="25"/>
  <c r="DM71" i="25"/>
  <c r="DN71" i="25"/>
  <c r="DM48" i="25"/>
  <c r="DN48" i="25"/>
  <c r="DM181" i="25"/>
  <c r="DN181" i="25"/>
  <c r="DM49" i="25"/>
  <c r="DN49" i="25"/>
  <c r="DM72" i="25"/>
  <c r="DN72" i="25"/>
  <c r="DM182" i="25"/>
  <c r="DN182" i="25"/>
  <c r="DM14" i="25"/>
  <c r="DN14" i="25"/>
  <c r="DM183" i="25"/>
  <c r="DN183" i="25"/>
  <c r="DM155" i="25"/>
  <c r="DN155" i="25"/>
  <c r="DM50" i="25"/>
  <c r="DN50" i="25"/>
  <c r="DM184" i="25"/>
  <c r="DN184" i="25"/>
  <c r="DM51" i="25"/>
  <c r="DN51" i="25"/>
  <c r="DM185" i="25"/>
  <c r="DN185" i="25"/>
  <c r="DM119" i="25"/>
  <c r="DN119" i="25"/>
  <c r="DM120" i="25"/>
  <c r="DN120" i="25"/>
  <c r="DM121" i="25"/>
  <c r="DN121" i="25"/>
  <c r="DM98" i="25"/>
  <c r="DN98" i="25"/>
  <c r="DM7" i="25"/>
  <c r="DN7" i="25"/>
  <c r="DM135" i="25"/>
  <c r="DN135" i="25"/>
  <c r="DM83" i="25"/>
  <c r="DN83" i="25"/>
  <c r="DM84" i="25"/>
  <c r="DN84" i="25"/>
  <c r="DM86" i="25"/>
  <c r="DN86" i="25"/>
  <c r="DM87" i="25"/>
  <c r="DN87" i="25"/>
  <c r="DM88" i="25"/>
  <c r="DN88" i="25"/>
  <c r="DM85" i="25"/>
  <c r="DN85" i="25"/>
  <c r="DM89" i="25"/>
  <c r="DN89" i="25"/>
  <c r="DM90" i="25"/>
  <c r="DN90" i="25"/>
  <c r="DM91" i="25"/>
  <c r="DN91" i="25"/>
  <c r="DM92" i="25"/>
  <c r="DN92" i="25"/>
  <c r="DM93" i="25"/>
  <c r="DN93" i="25"/>
  <c r="DM94" i="25"/>
  <c r="DN94" i="25"/>
  <c r="DM95" i="25"/>
  <c r="DN95" i="25"/>
  <c r="DM96" i="25"/>
  <c r="DN96" i="25"/>
  <c r="DM97" i="25"/>
  <c r="DN97" i="25"/>
  <c r="DM81" i="25"/>
  <c r="DN81" i="25"/>
  <c r="DM8" i="25"/>
  <c r="DN8" i="25"/>
  <c r="DM82" i="25"/>
  <c r="DN82" i="25"/>
  <c r="DM108" i="25"/>
  <c r="DN108" i="25"/>
  <c r="DM101" i="25"/>
  <c r="DN101" i="25"/>
  <c r="DM124" i="25"/>
  <c r="DN124" i="25"/>
  <c r="DM109" i="25"/>
  <c r="DN109" i="25"/>
  <c r="DM122" i="25"/>
  <c r="DN122" i="25"/>
  <c r="DM110" i="25"/>
  <c r="DN110" i="25"/>
  <c r="DM111" i="25"/>
  <c r="DN111" i="25"/>
  <c r="DM123" i="25"/>
  <c r="DN123" i="25"/>
  <c r="DM112" i="25"/>
  <c r="DN112" i="25"/>
  <c r="DM113" i="25"/>
  <c r="DN113" i="25"/>
  <c r="DM114" i="25"/>
  <c r="DN114" i="25"/>
  <c r="DM115" i="25"/>
  <c r="DN115" i="25"/>
  <c r="DM116" i="25"/>
  <c r="DN116" i="25"/>
  <c r="DM125" i="25"/>
  <c r="DN125" i="25"/>
  <c r="DM197" i="25"/>
  <c r="DN197" i="25"/>
  <c r="DM145" i="25"/>
  <c r="DN145" i="25"/>
  <c r="DM134" i="25"/>
  <c r="DN134" i="25"/>
  <c r="DM136" i="25"/>
  <c r="DN136" i="25"/>
  <c r="DM128" i="25"/>
  <c r="DN128" i="25"/>
  <c r="DM153" i="25"/>
  <c r="DN153" i="25"/>
  <c r="DM157" i="25"/>
  <c r="DN157" i="25"/>
  <c r="DM151" i="25"/>
  <c r="DN151" i="25"/>
  <c r="DM154" i="25"/>
  <c r="DN154" i="25"/>
  <c r="DM158" i="25"/>
  <c r="DN158" i="25"/>
  <c r="DM150" i="25"/>
  <c r="DN150" i="25"/>
  <c r="DM148" i="25"/>
  <c r="DN148" i="25"/>
  <c r="DM149" i="25"/>
  <c r="DN149" i="25"/>
  <c r="DM152" i="25"/>
  <c r="DN152" i="25"/>
  <c r="DM20" i="25"/>
  <c r="DN20" i="25"/>
  <c r="DM36" i="25"/>
  <c r="DN36" i="25"/>
  <c r="DM37" i="25"/>
  <c r="DN37" i="25"/>
  <c r="DM38" i="25"/>
  <c r="DN38" i="25"/>
  <c r="DM44" i="25"/>
  <c r="DN44" i="25"/>
  <c r="DM52" i="25"/>
  <c r="DN52" i="25"/>
  <c r="DM53" i="25"/>
  <c r="DN53" i="25"/>
  <c r="DM54" i="25"/>
  <c r="DN54" i="25"/>
  <c r="DM24" i="25"/>
  <c r="DN24" i="25"/>
  <c r="V127" i="89"/>
  <c r="L164" i="89"/>
  <c r="K164" i="89"/>
  <c r="J164" i="89"/>
  <c r="I164" i="89"/>
  <c r="F164" i="89"/>
  <c r="E164" i="89"/>
  <c r="N145" i="89"/>
  <c r="L145" i="89"/>
  <c r="J145" i="89"/>
  <c r="I145" i="89"/>
  <c r="F145" i="89"/>
  <c r="E145" i="89"/>
  <c r="X143" i="89"/>
  <c r="T140" i="89"/>
  <c r="X139" i="89"/>
  <c r="X138" i="89"/>
  <c r="V137" i="89"/>
  <c r="T136" i="89"/>
  <c r="X135" i="89"/>
  <c r="X134" i="89"/>
  <c r="V133" i="89"/>
  <c r="T131" i="89"/>
  <c r="X130" i="89"/>
  <c r="X129" i="89"/>
  <c r="V128" i="89"/>
  <c r="H145" i="89"/>
  <c r="X125" i="89"/>
  <c r="X124" i="89"/>
  <c r="V122" i="89"/>
  <c r="T121" i="89"/>
  <c r="X120" i="89"/>
  <c r="T116" i="89"/>
  <c r="X115" i="89"/>
  <c r="X114" i="89"/>
  <c r="V112" i="89"/>
  <c r="S111" i="89"/>
  <c r="W109" i="89"/>
  <c r="U108" i="89"/>
  <c r="S107" i="89"/>
  <c r="W103" i="89"/>
  <c r="W102" i="89"/>
  <c r="U101" i="89"/>
  <c r="O99" i="89"/>
  <c r="S99" i="89" s="1"/>
  <c r="O98" i="89"/>
  <c r="X98" i="89" s="1"/>
  <c r="O97" i="89"/>
  <c r="O95" i="89"/>
  <c r="U95" i="89" s="1"/>
  <c r="O94" i="89"/>
  <c r="S94" i="89" s="1"/>
  <c r="X93" i="89"/>
  <c r="O92" i="89"/>
  <c r="W92" i="89" s="1"/>
  <c r="O91" i="89"/>
  <c r="U91" i="89" s="1"/>
  <c r="O90" i="89"/>
  <c r="S90" i="89" s="1"/>
  <c r="O88" i="89"/>
  <c r="O86" i="89"/>
  <c r="U86" i="89" s="1"/>
  <c r="O85" i="89"/>
  <c r="S85" i="89" s="1"/>
  <c r="O84" i="89"/>
  <c r="X84" i="89" s="1"/>
  <c r="O83" i="89"/>
  <c r="X83" i="89" s="1"/>
  <c r="S80" i="89"/>
  <c r="W79" i="89"/>
  <c r="W76" i="89"/>
  <c r="W75" i="89"/>
  <c r="T74" i="89"/>
  <c r="X73" i="89"/>
  <c r="V72" i="89"/>
  <c r="S71" i="89"/>
  <c r="W66" i="89"/>
  <c r="T65" i="89"/>
  <c r="X64" i="89"/>
  <c r="O63" i="89"/>
  <c r="W61" i="89"/>
  <c r="W60" i="89"/>
  <c r="U59" i="89"/>
  <c r="S57" i="89"/>
  <c r="W56" i="89"/>
  <c r="V55" i="89"/>
  <c r="X54" i="89"/>
  <c r="T53" i="89"/>
  <c r="S52" i="89"/>
  <c r="T47" i="89"/>
  <c r="S46" i="89"/>
  <c r="W45" i="89"/>
  <c r="U78" i="89"/>
  <c r="I81" i="89"/>
  <c r="I43" i="89"/>
  <c r="J43" i="89"/>
  <c r="J81" i="89"/>
  <c r="F126" i="89"/>
  <c r="F113" i="89"/>
  <c r="H100" i="89"/>
  <c r="J100" i="89"/>
  <c r="L100" i="89"/>
  <c r="N100" i="89"/>
  <c r="F100" i="89"/>
  <c r="F81" i="89"/>
  <c r="F62" i="89"/>
  <c r="F43" i="89"/>
  <c r="AE4" i="129"/>
  <c r="O3" i="89" s="1"/>
  <c r="AD4" i="129"/>
  <c r="N3" i="89" s="1"/>
  <c r="AC4" i="129"/>
  <c r="M3" i="89" s="1"/>
  <c r="O4" i="129"/>
  <c r="O2" i="89" s="1"/>
  <c r="N4" i="129"/>
  <c r="N2" i="89" s="1"/>
  <c r="M4" i="129"/>
  <c r="M2" i="89" s="1"/>
  <c r="DF126" i="25"/>
  <c r="DF186" i="25"/>
  <c r="DF187" i="25"/>
  <c r="DF77" i="25"/>
  <c r="DF127" i="25"/>
  <c r="DF78" i="25"/>
  <c r="DF79" i="25"/>
  <c r="DF9" i="25"/>
  <c r="DF80" i="25"/>
  <c r="DF188" i="25"/>
  <c r="DF129" i="25"/>
  <c r="DF159" i="25"/>
  <c r="DF10" i="25"/>
  <c r="DF160" i="25"/>
  <c r="DF130" i="25"/>
  <c r="DF133" i="25"/>
  <c r="DF161" i="25"/>
  <c r="DF162" i="25"/>
  <c r="DF163" i="25"/>
  <c r="DF164" i="25"/>
  <c r="DF165" i="25"/>
  <c r="DF11" i="25"/>
  <c r="DF166" i="25"/>
  <c r="DF55" i="25"/>
  <c r="DF167" i="25"/>
  <c r="DF168" i="25"/>
  <c r="DF169" i="25"/>
  <c r="DF56" i="25"/>
  <c r="DF132" i="25"/>
  <c r="DF12" i="25"/>
  <c r="DF170" i="25"/>
  <c r="DF57" i="25"/>
  <c r="DF171" i="25"/>
  <c r="DF13" i="25"/>
  <c r="DF172" i="25"/>
  <c r="DF173" i="25"/>
  <c r="DF199" i="25"/>
  <c r="DF202" i="25"/>
  <c r="DF137" i="25"/>
  <c r="DF73" i="25"/>
  <c r="DF74" i="25"/>
  <c r="DF75" i="25"/>
  <c r="DF76" i="25"/>
  <c r="DF99" i="25"/>
  <c r="DF100" i="25"/>
  <c r="DF138" i="25"/>
  <c r="DF139" i="25"/>
  <c r="DF15" i="25"/>
  <c r="DF59" i="25"/>
  <c r="DF16" i="25"/>
  <c r="DF58" i="25"/>
  <c r="DF45" i="25"/>
  <c r="DF17" i="25"/>
  <c r="DF18" i="25"/>
  <c r="DF19" i="25"/>
  <c r="DF140" i="25"/>
  <c r="DF141" i="25"/>
  <c r="DF21" i="25"/>
  <c r="DF60" i="25"/>
  <c r="DF102" i="25"/>
  <c r="DF61" i="25"/>
  <c r="DF103" i="25"/>
  <c r="DF189" i="25"/>
  <c r="DF22" i="25"/>
  <c r="DF104" i="25"/>
  <c r="DF105" i="25"/>
  <c r="DF23" i="25"/>
  <c r="DF190" i="25"/>
  <c r="DF191" i="25"/>
  <c r="DF192" i="25"/>
  <c r="DF142" i="25"/>
  <c r="DF106" i="25"/>
  <c r="DF193" i="25"/>
  <c r="DF107" i="25"/>
  <c r="DF143" i="25"/>
  <c r="DF144" i="25"/>
  <c r="DF200" i="25"/>
  <c r="DF195" i="25"/>
  <c r="DF201" i="25"/>
  <c r="DF196" i="25"/>
  <c r="DF25" i="25"/>
  <c r="DF62" i="25"/>
  <c r="DF26" i="25"/>
  <c r="DF63" i="25"/>
  <c r="DF27" i="25"/>
  <c r="DF28" i="25"/>
  <c r="DF29" i="25"/>
  <c r="DF174" i="25"/>
  <c r="DF175" i="25"/>
  <c r="DF64" i="25"/>
  <c r="DF30" i="25"/>
  <c r="DF65" i="25"/>
  <c r="DF66" i="25"/>
  <c r="DF67" i="25"/>
  <c r="DF146" i="25"/>
  <c r="DF177" i="25"/>
  <c r="DF32" i="25"/>
  <c r="DF33" i="25"/>
  <c r="DF178" i="25"/>
  <c r="DF176" i="25"/>
  <c r="DF34" i="25"/>
  <c r="DF35" i="25"/>
  <c r="DF31" i="25"/>
  <c r="DF39" i="25"/>
  <c r="DF40" i="25"/>
  <c r="DF117" i="25"/>
  <c r="DF147" i="25"/>
  <c r="DF42" i="25"/>
  <c r="DF43" i="25"/>
  <c r="DF68" i="25"/>
  <c r="DF69" i="25"/>
  <c r="DF41" i="25"/>
  <c r="DF70" i="25"/>
  <c r="DF198" i="25"/>
  <c r="DF179" i="25"/>
  <c r="DF118" i="25"/>
  <c r="DF46" i="25"/>
  <c r="DF47" i="25"/>
  <c r="DF180" i="25"/>
  <c r="DF71" i="25"/>
  <c r="DF48" i="25"/>
  <c r="DF181" i="25"/>
  <c r="DF49" i="25"/>
  <c r="DF72" i="25"/>
  <c r="DF182" i="25"/>
  <c r="DF14" i="25"/>
  <c r="DF183" i="25"/>
  <c r="DF155" i="25"/>
  <c r="DF50" i="25"/>
  <c r="DF184" i="25"/>
  <c r="DF51" i="25"/>
  <c r="DF185" i="25"/>
  <c r="DF119" i="25"/>
  <c r="DF120" i="25"/>
  <c r="DF121" i="25"/>
  <c r="DF98" i="25"/>
  <c r="DF7" i="25"/>
  <c r="DF135" i="25"/>
  <c r="DF83" i="25"/>
  <c r="DF84" i="25"/>
  <c r="DF86" i="25"/>
  <c r="DF87" i="25"/>
  <c r="DF88" i="25"/>
  <c r="DF85" i="25"/>
  <c r="DF89" i="25"/>
  <c r="DF90" i="25"/>
  <c r="DF91" i="25"/>
  <c r="DF92" i="25"/>
  <c r="DF93" i="25"/>
  <c r="DF94" i="25"/>
  <c r="DF95" i="25"/>
  <c r="DF96" i="25"/>
  <c r="DF97" i="25"/>
  <c r="DF81" i="25"/>
  <c r="DF8" i="25"/>
  <c r="DF82" i="25"/>
  <c r="DF108" i="25"/>
  <c r="DF101" i="25"/>
  <c r="DF124" i="25"/>
  <c r="DF109" i="25"/>
  <c r="DF122" i="25"/>
  <c r="DF110" i="25"/>
  <c r="DF111" i="25"/>
  <c r="DF123" i="25"/>
  <c r="DF112" i="25"/>
  <c r="DF113" i="25"/>
  <c r="DF114" i="25"/>
  <c r="DF115" i="25"/>
  <c r="DF116" i="25"/>
  <c r="DF125" i="25"/>
  <c r="DF197" i="25"/>
  <c r="DF145" i="25"/>
  <c r="DF134" i="25"/>
  <c r="DF136" i="25"/>
  <c r="DF128" i="25"/>
  <c r="DF153" i="25"/>
  <c r="DF157" i="25"/>
  <c r="DF151" i="25"/>
  <c r="DF154" i="25"/>
  <c r="DF158" i="25"/>
  <c r="DF150" i="25"/>
  <c r="DF148" i="25"/>
  <c r="DF149" i="25"/>
  <c r="DF152" i="25"/>
  <c r="DF20" i="25"/>
  <c r="DF36" i="25"/>
  <c r="DF37" i="25"/>
  <c r="DF38" i="25"/>
  <c r="DF44" i="25"/>
  <c r="DF52" i="25"/>
  <c r="DF53" i="25"/>
  <c r="DF54" i="25"/>
  <c r="DF24" i="25"/>
  <c r="CM126" i="25"/>
  <c r="CM186" i="25"/>
  <c r="CM187" i="25"/>
  <c r="CM77" i="25"/>
  <c r="CM127" i="25"/>
  <c r="CM78" i="25"/>
  <c r="CM79" i="25"/>
  <c r="CM9" i="25"/>
  <c r="CM80" i="25"/>
  <c r="CM188" i="25"/>
  <c r="CM129" i="25"/>
  <c r="CM159" i="25"/>
  <c r="CM10" i="25"/>
  <c r="CM160" i="25"/>
  <c r="CM130" i="25"/>
  <c r="CM133" i="25"/>
  <c r="CM161" i="25"/>
  <c r="CM162" i="25"/>
  <c r="CM163" i="25"/>
  <c r="CM164" i="25"/>
  <c r="CM165" i="25"/>
  <c r="CM11" i="25"/>
  <c r="CM166" i="25"/>
  <c r="CM55" i="25"/>
  <c r="CM167" i="25"/>
  <c r="CM168" i="25"/>
  <c r="CM169" i="25"/>
  <c r="CM56" i="25"/>
  <c r="CM132" i="25"/>
  <c r="CM12" i="25"/>
  <c r="CM170" i="25"/>
  <c r="CM57" i="25"/>
  <c r="CM171" i="25"/>
  <c r="CM13" i="25"/>
  <c r="CM172" i="25"/>
  <c r="CM173" i="25"/>
  <c r="CM199" i="25"/>
  <c r="CM202" i="25"/>
  <c r="CM137" i="25"/>
  <c r="CM73" i="25"/>
  <c r="CM74" i="25"/>
  <c r="CM75" i="25"/>
  <c r="CM76" i="25"/>
  <c r="CM99" i="25"/>
  <c r="CM100" i="25"/>
  <c r="CM138" i="25"/>
  <c r="CM139" i="25"/>
  <c r="CM15" i="25"/>
  <c r="CM59" i="25"/>
  <c r="CM16" i="25"/>
  <c r="CM58" i="25"/>
  <c r="CM45" i="25"/>
  <c r="CM17" i="25"/>
  <c r="CM18" i="25"/>
  <c r="CM19" i="25"/>
  <c r="CM140" i="25"/>
  <c r="CM141" i="25"/>
  <c r="CM21" i="25"/>
  <c r="CM60" i="25"/>
  <c r="CM102" i="25"/>
  <c r="CM61" i="25"/>
  <c r="CM103" i="25"/>
  <c r="CM189" i="25"/>
  <c r="CM22" i="25"/>
  <c r="CM104" i="25"/>
  <c r="CM105" i="25"/>
  <c r="CM23" i="25"/>
  <c r="CM190" i="25"/>
  <c r="CM191" i="25"/>
  <c r="CM192" i="25"/>
  <c r="CM142" i="25"/>
  <c r="CM106" i="25"/>
  <c r="CM193" i="25"/>
  <c r="CM107" i="25"/>
  <c r="CM143" i="25"/>
  <c r="CM144" i="25"/>
  <c r="CM200" i="25"/>
  <c r="CM195" i="25"/>
  <c r="CM201" i="25"/>
  <c r="CM196" i="25"/>
  <c r="CM25" i="25"/>
  <c r="CM62" i="25"/>
  <c r="CM26" i="25"/>
  <c r="CM63" i="25"/>
  <c r="CM27" i="25"/>
  <c r="CM28" i="25"/>
  <c r="CM29" i="25"/>
  <c r="CM174" i="25"/>
  <c r="CM175" i="25"/>
  <c r="CM64" i="25"/>
  <c r="CM30" i="25"/>
  <c r="CM65" i="25"/>
  <c r="CM66" i="25"/>
  <c r="CM67" i="25"/>
  <c r="CM146" i="25"/>
  <c r="CM177" i="25"/>
  <c r="CM32" i="25"/>
  <c r="CM33" i="25"/>
  <c r="CM178" i="25"/>
  <c r="CM176" i="25"/>
  <c r="CM34" i="25"/>
  <c r="CM35" i="25"/>
  <c r="CM31" i="25"/>
  <c r="CM39" i="25"/>
  <c r="CM40" i="25"/>
  <c r="CM117" i="25"/>
  <c r="CM147" i="25"/>
  <c r="CM42" i="25"/>
  <c r="CM43" i="25"/>
  <c r="CM68" i="25"/>
  <c r="CM69" i="25"/>
  <c r="CM41" i="25"/>
  <c r="CM70" i="25"/>
  <c r="CM198" i="25"/>
  <c r="CM179" i="25"/>
  <c r="CM118" i="25"/>
  <c r="CM46" i="25"/>
  <c r="CM47" i="25"/>
  <c r="CM180" i="25"/>
  <c r="CM71" i="25"/>
  <c r="CM48" i="25"/>
  <c r="CM181" i="25"/>
  <c r="CM49" i="25"/>
  <c r="CM72" i="25"/>
  <c r="CM182" i="25"/>
  <c r="CM14" i="25"/>
  <c r="CM183" i="25"/>
  <c r="CM155" i="25"/>
  <c r="CM50" i="25"/>
  <c r="CM184" i="25"/>
  <c r="CM51" i="25"/>
  <c r="CM185" i="25"/>
  <c r="CM119" i="25"/>
  <c r="CM120" i="25"/>
  <c r="CM121" i="25"/>
  <c r="CM98" i="25"/>
  <c r="CM7" i="25"/>
  <c r="CM135" i="25"/>
  <c r="CM83" i="25"/>
  <c r="CM84" i="25"/>
  <c r="CM86" i="25"/>
  <c r="CM87" i="25"/>
  <c r="CM88" i="25"/>
  <c r="CM85" i="25"/>
  <c r="CM89" i="25"/>
  <c r="CM90" i="25"/>
  <c r="CM91" i="25"/>
  <c r="CM92" i="25"/>
  <c r="CM93" i="25"/>
  <c r="CM94" i="25"/>
  <c r="CM95" i="25"/>
  <c r="CM96" i="25"/>
  <c r="CM97" i="25"/>
  <c r="CM81" i="25"/>
  <c r="CM8" i="25"/>
  <c r="CM82" i="25"/>
  <c r="CM108" i="25"/>
  <c r="CM101" i="25"/>
  <c r="CM124" i="25"/>
  <c r="CM109" i="25"/>
  <c r="CM122" i="25"/>
  <c r="CM110" i="25"/>
  <c r="CM111" i="25"/>
  <c r="CM123" i="25"/>
  <c r="CM112" i="25"/>
  <c r="CM113" i="25"/>
  <c r="CM114" i="25"/>
  <c r="CM115" i="25"/>
  <c r="CM116" i="25"/>
  <c r="CM125" i="25"/>
  <c r="CM197" i="25"/>
  <c r="CM145" i="25"/>
  <c r="CM134" i="25"/>
  <c r="CM136" i="25"/>
  <c r="CM128" i="25"/>
  <c r="CM153" i="25"/>
  <c r="CM157" i="25"/>
  <c r="CM151" i="25"/>
  <c r="CM154" i="25"/>
  <c r="CM158" i="25"/>
  <c r="CM150" i="25"/>
  <c r="CM148" i="25"/>
  <c r="CM149" i="25"/>
  <c r="CM152" i="25"/>
  <c r="CM20" i="25"/>
  <c r="CM36" i="25"/>
  <c r="CM37" i="25"/>
  <c r="CM38" i="25"/>
  <c r="CM44" i="25"/>
  <c r="CM52" i="25"/>
  <c r="CM53" i="25"/>
  <c r="CM54" i="25"/>
  <c r="CM24" i="25"/>
  <c r="CN126" i="25"/>
  <c r="CN186" i="25"/>
  <c r="CN187" i="25"/>
  <c r="CN77" i="25"/>
  <c r="CN127" i="25"/>
  <c r="CN78" i="25"/>
  <c r="CN79" i="25"/>
  <c r="CN9" i="25"/>
  <c r="CN80" i="25"/>
  <c r="CN188" i="25"/>
  <c r="CN129" i="25"/>
  <c r="CN159" i="25"/>
  <c r="CN10" i="25"/>
  <c r="CN160" i="25"/>
  <c r="CN130" i="25"/>
  <c r="CN133" i="25"/>
  <c r="CN161" i="25"/>
  <c r="CN162" i="25"/>
  <c r="CN163" i="25"/>
  <c r="CN164" i="25"/>
  <c r="CN165" i="25"/>
  <c r="CN11" i="25"/>
  <c r="CN166" i="25"/>
  <c r="CN55" i="25"/>
  <c r="CN167" i="25"/>
  <c r="CN168" i="25"/>
  <c r="CN169" i="25"/>
  <c r="CN56" i="25"/>
  <c r="CN132" i="25"/>
  <c r="CN12" i="25"/>
  <c r="CN170" i="25"/>
  <c r="CN57" i="25"/>
  <c r="CN171" i="25"/>
  <c r="CN13" i="25"/>
  <c r="CN172" i="25"/>
  <c r="CN173" i="25"/>
  <c r="CN199" i="25"/>
  <c r="CN202" i="25"/>
  <c r="CN137" i="25"/>
  <c r="CN73" i="25"/>
  <c r="CN74" i="25"/>
  <c r="CN75" i="25"/>
  <c r="CN76" i="25"/>
  <c r="CN99" i="25"/>
  <c r="CN100" i="25"/>
  <c r="CN138" i="25"/>
  <c r="CN139" i="25"/>
  <c r="CN15" i="25"/>
  <c r="CN59" i="25"/>
  <c r="CN16" i="25"/>
  <c r="CN58" i="25"/>
  <c r="CN45" i="25"/>
  <c r="CN17" i="25"/>
  <c r="CN18" i="25"/>
  <c r="CN19" i="25"/>
  <c r="CN140" i="25"/>
  <c r="CN141" i="25"/>
  <c r="CN21" i="25"/>
  <c r="CN60" i="25"/>
  <c r="CN102" i="25"/>
  <c r="CN61" i="25"/>
  <c r="CN103" i="25"/>
  <c r="CN189" i="25"/>
  <c r="CN22" i="25"/>
  <c r="CN104" i="25"/>
  <c r="CN105" i="25"/>
  <c r="CN23" i="25"/>
  <c r="CN190" i="25"/>
  <c r="CN191" i="25"/>
  <c r="CN192" i="25"/>
  <c r="CN142" i="25"/>
  <c r="CN106" i="25"/>
  <c r="CN193" i="25"/>
  <c r="CN107" i="25"/>
  <c r="CN143" i="25"/>
  <c r="CN144" i="25"/>
  <c r="CN200" i="25"/>
  <c r="CN195" i="25"/>
  <c r="CN201" i="25"/>
  <c r="CN196" i="25"/>
  <c r="CN25" i="25"/>
  <c r="CN62" i="25"/>
  <c r="CN26" i="25"/>
  <c r="CN63" i="25"/>
  <c r="CN27" i="25"/>
  <c r="CN28" i="25"/>
  <c r="CN29" i="25"/>
  <c r="CN174" i="25"/>
  <c r="CN175" i="25"/>
  <c r="CN64" i="25"/>
  <c r="CN30" i="25"/>
  <c r="CN65" i="25"/>
  <c r="CN66" i="25"/>
  <c r="CN67" i="25"/>
  <c r="CN146" i="25"/>
  <c r="CN177" i="25"/>
  <c r="CN32" i="25"/>
  <c r="CN33" i="25"/>
  <c r="CN178" i="25"/>
  <c r="CN176" i="25"/>
  <c r="CN34" i="25"/>
  <c r="CN35" i="25"/>
  <c r="CN31" i="25"/>
  <c r="CN39" i="25"/>
  <c r="CN40" i="25"/>
  <c r="CN117" i="25"/>
  <c r="CN147" i="25"/>
  <c r="CN42" i="25"/>
  <c r="CN43" i="25"/>
  <c r="CN68" i="25"/>
  <c r="CN69" i="25"/>
  <c r="CN41" i="25"/>
  <c r="CN70" i="25"/>
  <c r="CN198" i="25"/>
  <c r="CN179" i="25"/>
  <c r="CN118" i="25"/>
  <c r="CN46" i="25"/>
  <c r="CN47" i="25"/>
  <c r="CN180" i="25"/>
  <c r="CN71" i="25"/>
  <c r="CN48" i="25"/>
  <c r="CN181" i="25"/>
  <c r="CN49" i="25"/>
  <c r="CN72" i="25"/>
  <c r="CN182" i="25"/>
  <c r="CN14" i="25"/>
  <c r="CN183" i="25"/>
  <c r="CN155" i="25"/>
  <c r="CN50" i="25"/>
  <c r="CN184" i="25"/>
  <c r="CN51" i="25"/>
  <c r="CN185" i="25"/>
  <c r="CN119" i="25"/>
  <c r="CN120" i="25"/>
  <c r="CN121" i="25"/>
  <c r="CN98" i="25"/>
  <c r="CN7" i="25"/>
  <c r="CN135" i="25"/>
  <c r="CN83" i="25"/>
  <c r="CN84" i="25"/>
  <c r="CN86" i="25"/>
  <c r="CN87" i="25"/>
  <c r="CN88" i="25"/>
  <c r="CN85" i="25"/>
  <c r="CN89" i="25"/>
  <c r="CN90" i="25"/>
  <c r="CN91" i="25"/>
  <c r="CN92" i="25"/>
  <c r="CN93" i="25"/>
  <c r="CN94" i="25"/>
  <c r="CN95" i="25"/>
  <c r="CN96" i="25"/>
  <c r="CN97" i="25"/>
  <c r="CN81" i="25"/>
  <c r="CN8" i="25"/>
  <c r="CN82" i="25"/>
  <c r="CN108" i="25"/>
  <c r="CN101" i="25"/>
  <c r="CN124" i="25"/>
  <c r="CN109" i="25"/>
  <c r="CN122" i="25"/>
  <c r="CN110" i="25"/>
  <c r="CN111" i="25"/>
  <c r="CN123" i="25"/>
  <c r="CN112" i="25"/>
  <c r="CN113" i="25"/>
  <c r="CN114" i="25"/>
  <c r="CN115" i="25"/>
  <c r="CN116" i="25"/>
  <c r="CN125" i="25"/>
  <c r="CN197" i="25"/>
  <c r="CN145" i="25"/>
  <c r="CN134" i="25"/>
  <c r="CN136" i="25"/>
  <c r="CN128" i="25"/>
  <c r="CN153" i="25"/>
  <c r="CN157" i="25"/>
  <c r="CN151" i="25"/>
  <c r="CN154" i="25"/>
  <c r="CN158" i="25"/>
  <c r="CN150" i="25"/>
  <c r="CN148" i="25"/>
  <c r="CN149" i="25"/>
  <c r="CN152" i="25"/>
  <c r="CN20" i="25"/>
  <c r="CN36" i="25"/>
  <c r="CN37" i="25"/>
  <c r="CN38" i="25"/>
  <c r="CN44" i="25"/>
  <c r="CN52" i="25"/>
  <c r="CN53" i="25"/>
  <c r="CN54" i="25"/>
  <c r="CN24" i="25"/>
  <c r="BV54" i="25"/>
  <c r="BV38" i="25"/>
  <c r="EA38" i="25" s="1"/>
  <c r="BV33" i="25"/>
  <c r="EA33" i="25" s="1"/>
  <c r="BV32" i="25"/>
  <c r="EA32" i="25" s="1"/>
  <c r="BV28" i="25"/>
  <c r="EA28" i="25" s="1"/>
  <c r="BV26" i="25"/>
  <c r="EA26" i="25" s="1"/>
  <c r="CE24" i="25"/>
  <c r="CF24" i="25"/>
  <c r="CH24" i="25"/>
  <c r="CI24" i="25"/>
  <c r="CJ24" i="25"/>
  <c r="CK24" i="25"/>
  <c r="CL24" i="25"/>
  <c r="CS24" i="25"/>
  <c r="CT24" i="25" s="1"/>
  <c r="DA24" i="25"/>
  <c r="DB24" i="25"/>
  <c r="DG24" i="25"/>
  <c r="DK24" i="25"/>
  <c r="DL24" i="25"/>
  <c r="DS24" i="25" s="1"/>
  <c r="DU24" i="25"/>
  <c r="DV24" i="25"/>
  <c r="DX24" i="25"/>
  <c r="DZ24" i="25"/>
  <c r="EA24" i="25"/>
  <c r="EB24" i="25"/>
  <c r="EE24" i="25"/>
  <c r="EF24" i="25"/>
  <c r="EG24" i="25"/>
  <c r="EH24" i="25"/>
  <c r="EI24" i="25"/>
  <c r="DT24" i="25" s="1"/>
  <c r="EJ24" i="25"/>
  <c r="EK24" i="25"/>
  <c r="EL24" i="25"/>
  <c r="EM24" i="25"/>
  <c r="EO24" i="25"/>
  <c r="EP24" i="25"/>
  <c r="BV14" i="25"/>
  <c r="EA14" i="25" s="1"/>
  <c r="G14" i="25"/>
  <c r="G33" i="25"/>
  <c r="G28" i="25"/>
  <c r="G26" i="25"/>
  <c r="G32" i="25"/>
  <c r="G27" i="25"/>
  <c r="G38" i="25"/>
  <c r="CE14" i="25"/>
  <c r="CE33" i="25"/>
  <c r="CE28" i="25"/>
  <c r="CE26" i="25"/>
  <c r="CE32" i="25"/>
  <c r="CE27" i="25"/>
  <c r="CE38" i="25"/>
  <c r="CF14" i="25"/>
  <c r="CF33" i="25"/>
  <c r="CF28" i="25"/>
  <c r="CF26" i="25"/>
  <c r="CF32" i="25"/>
  <c r="CF27" i="25"/>
  <c r="CF38" i="25"/>
  <c r="CH14" i="25"/>
  <c r="CH33" i="25"/>
  <c r="CH28" i="25"/>
  <c r="CH26" i="25"/>
  <c r="CH32" i="25"/>
  <c r="CH27" i="25"/>
  <c r="CH38" i="25"/>
  <c r="CI14" i="25"/>
  <c r="CI33" i="25"/>
  <c r="CI28" i="25"/>
  <c r="CI26" i="25"/>
  <c r="CI32" i="25"/>
  <c r="CI27" i="25"/>
  <c r="CI38" i="25"/>
  <c r="CJ14" i="25"/>
  <c r="CJ33" i="25"/>
  <c r="CJ28" i="25"/>
  <c r="CJ26" i="25"/>
  <c r="CJ32" i="25"/>
  <c r="CJ27" i="25"/>
  <c r="CJ38" i="25"/>
  <c r="CK14" i="25"/>
  <c r="CK33" i="25"/>
  <c r="CK28" i="25"/>
  <c r="CK26" i="25"/>
  <c r="CK32" i="25"/>
  <c r="CK27" i="25"/>
  <c r="CK38" i="25"/>
  <c r="CL14" i="25"/>
  <c r="CL33" i="25"/>
  <c r="CL28" i="25"/>
  <c r="CL26" i="25"/>
  <c r="CL32" i="25"/>
  <c r="CL27" i="25"/>
  <c r="CL38" i="25"/>
  <c r="CS14" i="25"/>
  <c r="CT14" i="25" s="1"/>
  <c r="CS33" i="25"/>
  <c r="CT33" i="25" s="1"/>
  <c r="CS28" i="25"/>
  <c r="CT28" i="25" s="1"/>
  <c r="CS26" i="25"/>
  <c r="CT26" i="25" s="1"/>
  <c r="CS32" i="25"/>
  <c r="CT32" i="25" s="1"/>
  <c r="CS27" i="25"/>
  <c r="CT27" i="25" s="1"/>
  <c r="CS38" i="25"/>
  <c r="DA14" i="25"/>
  <c r="DA33" i="25"/>
  <c r="DA28" i="25"/>
  <c r="DA26" i="25"/>
  <c r="DA32" i="25"/>
  <c r="DA27" i="25"/>
  <c r="DA38" i="25"/>
  <c r="DB14" i="25"/>
  <c r="DB33" i="25"/>
  <c r="DB28" i="25"/>
  <c r="DB26" i="25"/>
  <c r="DB32" i="25"/>
  <c r="DB27" i="25"/>
  <c r="DB38" i="25"/>
  <c r="DG14" i="25"/>
  <c r="DG33" i="25"/>
  <c r="DG28" i="25"/>
  <c r="DG26" i="25"/>
  <c r="DG32" i="25"/>
  <c r="DG27" i="25"/>
  <c r="DG38" i="25"/>
  <c r="DK14" i="25"/>
  <c r="DK33" i="25"/>
  <c r="DK28" i="25"/>
  <c r="DK26" i="25"/>
  <c r="DK32" i="25"/>
  <c r="DK27" i="25"/>
  <c r="DK38" i="25"/>
  <c r="DL14" i="25"/>
  <c r="DS14" i="25" s="1"/>
  <c r="DL33" i="25"/>
  <c r="DS33" i="25" s="1"/>
  <c r="DL28" i="25"/>
  <c r="DS28" i="25" s="1"/>
  <c r="DL26" i="25"/>
  <c r="DS26" i="25" s="1"/>
  <c r="DL32" i="25"/>
  <c r="DL27" i="25"/>
  <c r="DS27" i="25" s="1"/>
  <c r="DL38" i="25"/>
  <c r="DS38" i="25" s="1"/>
  <c r="DU14" i="25"/>
  <c r="DU33" i="25"/>
  <c r="DU28" i="25"/>
  <c r="DU26" i="25"/>
  <c r="DU32" i="25"/>
  <c r="DU27" i="25"/>
  <c r="DU38" i="25"/>
  <c r="DV14" i="25"/>
  <c r="DY14" i="25" s="1"/>
  <c r="DV33" i="25"/>
  <c r="DW33" i="25" s="1"/>
  <c r="DV28" i="25"/>
  <c r="DY28" i="25" s="1"/>
  <c r="DV26" i="25"/>
  <c r="DY26" i="25" s="1"/>
  <c r="DV32" i="25"/>
  <c r="DY32" i="25" s="1"/>
  <c r="DV27" i="25"/>
  <c r="DW27" i="25" s="1"/>
  <c r="DV38" i="25"/>
  <c r="DY38" i="25" s="1"/>
  <c r="DX14" i="25"/>
  <c r="DX33" i="25"/>
  <c r="DX28" i="25"/>
  <c r="DX26" i="25"/>
  <c r="DX32" i="25"/>
  <c r="DX27" i="25"/>
  <c r="DX38" i="25"/>
  <c r="DZ14" i="25"/>
  <c r="DZ33" i="25"/>
  <c r="DZ28" i="25"/>
  <c r="DZ26" i="25"/>
  <c r="DZ32" i="25"/>
  <c r="DZ27" i="25"/>
  <c r="DZ38" i="25"/>
  <c r="EA27" i="25"/>
  <c r="EB33" i="25"/>
  <c r="EB28" i="25"/>
  <c r="EB26" i="25"/>
  <c r="EB32" i="25"/>
  <c r="EB27" i="25"/>
  <c r="EB38" i="25"/>
  <c r="EE14" i="25"/>
  <c r="EE33" i="25"/>
  <c r="EE28" i="25"/>
  <c r="EE26" i="25"/>
  <c r="EE32" i="25"/>
  <c r="EE27" i="25"/>
  <c r="EE38" i="25"/>
  <c r="EF14" i="25"/>
  <c r="EF33" i="25"/>
  <c r="EF28" i="25"/>
  <c r="EF26" i="25"/>
  <c r="EF32" i="25"/>
  <c r="EF27" i="25"/>
  <c r="EF38" i="25"/>
  <c r="EG14" i="25"/>
  <c r="DE14" i="25" s="1"/>
  <c r="EG33" i="25"/>
  <c r="EG28" i="25"/>
  <c r="DE28" i="25" s="1"/>
  <c r="EG26" i="25"/>
  <c r="DE26" i="25" s="1"/>
  <c r="EG32" i="25"/>
  <c r="DE32" i="25" s="1"/>
  <c r="EG27" i="25"/>
  <c r="DE27" i="25" s="1"/>
  <c r="EG38" i="25"/>
  <c r="DH38" i="25" s="1"/>
  <c r="DI38" i="25" s="1"/>
  <c r="EH14" i="25"/>
  <c r="EH33" i="25"/>
  <c r="EH28" i="25"/>
  <c r="EH26" i="25"/>
  <c r="EH32" i="25"/>
  <c r="EH27" i="25"/>
  <c r="EH38" i="25"/>
  <c r="EI14" i="25"/>
  <c r="DT14" i="25" s="1"/>
  <c r="EI33" i="25"/>
  <c r="DT33" i="25" s="1"/>
  <c r="EI28" i="25"/>
  <c r="DT28" i="25" s="1"/>
  <c r="EI26" i="25"/>
  <c r="DT26" i="25" s="1"/>
  <c r="EI32" i="25"/>
  <c r="DT32" i="25" s="1"/>
  <c r="EI27" i="25"/>
  <c r="DT27" i="25" s="1"/>
  <c r="EI38" i="25"/>
  <c r="DT38" i="25" s="1"/>
  <c r="EJ14" i="25"/>
  <c r="EJ33" i="25"/>
  <c r="EJ28" i="25"/>
  <c r="EJ26" i="25"/>
  <c r="EJ32" i="25"/>
  <c r="EJ27" i="25"/>
  <c r="EJ38" i="25"/>
  <c r="EK14" i="25"/>
  <c r="EK33" i="25"/>
  <c r="EK28" i="25"/>
  <c r="EK26" i="25"/>
  <c r="EK32" i="25"/>
  <c r="EK27" i="25"/>
  <c r="EK38" i="25"/>
  <c r="EL14" i="25"/>
  <c r="EL33" i="25"/>
  <c r="EL28" i="25"/>
  <c r="EL26" i="25"/>
  <c r="EL32" i="25"/>
  <c r="EL27" i="25"/>
  <c r="EL38" i="25"/>
  <c r="EM14" i="25"/>
  <c r="EM33" i="25"/>
  <c r="EM28" i="25"/>
  <c r="EM26" i="25"/>
  <c r="EM32" i="25"/>
  <c r="EM27" i="25"/>
  <c r="EM38" i="25"/>
  <c r="CE128" i="25"/>
  <c r="CE153" i="25"/>
  <c r="CE157" i="25"/>
  <c r="CE151" i="25"/>
  <c r="CE154" i="25"/>
  <c r="CE158" i="25"/>
  <c r="CE150" i="25"/>
  <c r="CE148" i="25"/>
  <c r="CE149" i="25"/>
  <c r="CE152" i="25"/>
  <c r="CF128" i="25"/>
  <c r="CF153" i="25"/>
  <c r="CF157" i="25"/>
  <c r="CF151" i="25"/>
  <c r="CF154" i="25"/>
  <c r="CF158" i="25"/>
  <c r="CF150" i="25"/>
  <c r="CF148" i="25"/>
  <c r="CF149" i="25"/>
  <c r="CF152" i="25"/>
  <c r="CH128" i="25"/>
  <c r="CH153" i="25"/>
  <c r="CH157" i="25"/>
  <c r="CH151" i="25"/>
  <c r="CH154" i="25"/>
  <c r="CH158" i="25"/>
  <c r="CH150" i="25"/>
  <c r="CH148" i="25"/>
  <c r="CH149" i="25"/>
  <c r="CH152" i="25"/>
  <c r="CI128" i="25"/>
  <c r="CI153" i="25"/>
  <c r="CI157" i="25"/>
  <c r="CI151" i="25"/>
  <c r="CI154" i="25"/>
  <c r="CI158" i="25"/>
  <c r="CI150" i="25"/>
  <c r="CI148" i="25"/>
  <c r="CI149" i="25"/>
  <c r="CI152" i="25"/>
  <c r="CJ128" i="25"/>
  <c r="CJ153" i="25"/>
  <c r="CJ157" i="25"/>
  <c r="CJ151" i="25"/>
  <c r="CJ154" i="25"/>
  <c r="CJ158" i="25"/>
  <c r="CJ150" i="25"/>
  <c r="CJ148" i="25"/>
  <c r="CJ149" i="25"/>
  <c r="CJ152" i="25"/>
  <c r="CK128" i="25"/>
  <c r="CK153" i="25"/>
  <c r="CK157" i="25"/>
  <c r="CK151" i="25"/>
  <c r="CK154" i="25"/>
  <c r="CK158" i="25"/>
  <c r="CK150" i="25"/>
  <c r="CK148" i="25"/>
  <c r="CK149" i="25"/>
  <c r="CK152" i="25"/>
  <c r="CL128" i="25"/>
  <c r="CL153" i="25"/>
  <c r="CL157" i="25"/>
  <c r="CL151" i="25"/>
  <c r="CL154" i="25"/>
  <c r="CL158" i="25"/>
  <c r="CL150" i="25"/>
  <c r="CL148" i="25"/>
  <c r="CL149" i="25"/>
  <c r="CL152" i="25"/>
  <c r="CS128" i="25"/>
  <c r="CT128" i="25" s="1"/>
  <c r="CS153" i="25"/>
  <c r="CT153" i="25" s="1"/>
  <c r="CS157" i="25"/>
  <c r="CT157" i="25" s="1"/>
  <c r="CS151" i="25"/>
  <c r="CT151" i="25" s="1"/>
  <c r="CS154" i="25"/>
  <c r="CT154" i="25" s="1"/>
  <c r="CS158" i="25"/>
  <c r="CT158" i="25" s="1"/>
  <c r="CS150" i="25"/>
  <c r="CT150" i="25" s="1"/>
  <c r="CS148" i="25"/>
  <c r="CT148" i="25" s="1"/>
  <c r="CS149" i="25"/>
  <c r="CT149" i="25" s="1"/>
  <c r="CS152" i="25"/>
  <c r="CT152" i="25" s="1"/>
  <c r="DA128" i="25"/>
  <c r="DA153" i="25"/>
  <c r="DA157" i="25"/>
  <c r="DA151" i="25"/>
  <c r="DA154" i="25"/>
  <c r="DA158" i="25"/>
  <c r="DA150" i="25"/>
  <c r="DA148" i="25"/>
  <c r="DA149" i="25"/>
  <c r="DA152" i="25"/>
  <c r="DB128" i="25"/>
  <c r="DB153" i="25"/>
  <c r="DB157" i="25"/>
  <c r="DB151" i="25"/>
  <c r="DB154" i="25"/>
  <c r="DB158" i="25"/>
  <c r="DB150" i="25"/>
  <c r="DB148" i="25"/>
  <c r="DB149" i="25"/>
  <c r="DB152" i="25"/>
  <c r="DG128" i="25"/>
  <c r="DG153" i="25"/>
  <c r="DG157" i="25"/>
  <c r="DG151" i="25"/>
  <c r="DG154" i="25"/>
  <c r="DG158" i="25"/>
  <c r="DG150" i="25"/>
  <c r="DG148" i="25"/>
  <c r="DG149" i="25"/>
  <c r="DG152" i="25"/>
  <c r="DK128" i="25"/>
  <c r="DK153" i="25"/>
  <c r="DK157" i="25"/>
  <c r="DK151" i="25"/>
  <c r="DK154" i="25"/>
  <c r="DK158" i="25"/>
  <c r="DK150" i="25"/>
  <c r="DK148" i="25"/>
  <c r="DK149" i="25"/>
  <c r="DK152" i="25"/>
  <c r="DL128" i="25"/>
  <c r="DS128" i="25" s="1"/>
  <c r="DL153" i="25"/>
  <c r="DS153" i="25" s="1"/>
  <c r="DL157" i="25"/>
  <c r="DS157" i="25" s="1"/>
  <c r="DL151" i="25"/>
  <c r="DS151" i="25" s="1"/>
  <c r="DL154" i="25"/>
  <c r="DS154" i="25" s="1"/>
  <c r="DL158" i="25"/>
  <c r="DS158" i="25" s="1"/>
  <c r="DL150" i="25"/>
  <c r="DS150" i="25" s="1"/>
  <c r="DL148" i="25"/>
  <c r="DS148" i="25" s="1"/>
  <c r="DL149" i="25"/>
  <c r="DS149" i="25" s="1"/>
  <c r="DL152" i="25"/>
  <c r="DS152" i="25" s="1"/>
  <c r="DU128" i="25"/>
  <c r="DU153" i="25"/>
  <c r="DU157" i="25"/>
  <c r="DU151" i="25"/>
  <c r="DU154" i="25"/>
  <c r="DU158" i="25"/>
  <c r="DU150" i="25"/>
  <c r="DU148" i="25"/>
  <c r="DU149" i="25"/>
  <c r="DU152" i="25"/>
  <c r="DV128" i="25"/>
  <c r="DY128" i="25" s="1"/>
  <c r="DV153" i="25"/>
  <c r="DW153" i="25" s="1"/>
  <c r="DV157" i="25"/>
  <c r="DW157" i="25" s="1"/>
  <c r="DV151" i="25"/>
  <c r="DV154" i="25"/>
  <c r="DY154" i="25" s="1"/>
  <c r="DV158" i="25"/>
  <c r="DY158" i="25" s="1"/>
  <c r="DV150" i="25"/>
  <c r="DY150" i="25" s="1"/>
  <c r="DV148" i="25"/>
  <c r="DY148" i="25" s="1"/>
  <c r="DV149" i="25"/>
  <c r="DV152" i="25"/>
  <c r="DX128" i="25"/>
  <c r="DX153" i="25"/>
  <c r="DX157" i="25"/>
  <c r="DX151" i="25"/>
  <c r="DX154" i="25"/>
  <c r="DX158" i="25"/>
  <c r="DX150" i="25"/>
  <c r="DX148" i="25"/>
  <c r="DX149" i="25"/>
  <c r="DX152" i="25"/>
  <c r="DZ128" i="25"/>
  <c r="DZ153" i="25"/>
  <c r="DZ157" i="25"/>
  <c r="DZ151" i="25"/>
  <c r="DZ154" i="25"/>
  <c r="DZ158" i="25"/>
  <c r="DZ150" i="25"/>
  <c r="DZ148" i="25"/>
  <c r="DZ149" i="25"/>
  <c r="DZ152" i="25"/>
  <c r="EA128" i="25"/>
  <c r="EA153" i="25"/>
  <c r="EA157" i="25"/>
  <c r="EA151" i="25"/>
  <c r="EA154" i="25"/>
  <c r="EA158" i="25"/>
  <c r="EA150" i="25"/>
  <c r="EA148" i="25"/>
  <c r="EA149" i="25"/>
  <c r="EA152" i="25"/>
  <c r="EB128" i="25"/>
  <c r="EB153" i="25"/>
  <c r="EB157" i="25"/>
  <c r="EB151" i="25"/>
  <c r="EB154" i="25"/>
  <c r="EB158" i="25"/>
  <c r="EB150" i="25"/>
  <c r="EB148" i="25"/>
  <c r="EB149" i="25"/>
  <c r="EB152" i="25"/>
  <c r="EE128" i="25"/>
  <c r="EE153" i="25"/>
  <c r="EE157" i="25"/>
  <c r="EE151" i="25"/>
  <c r="EE154" i="25"/>
  <c r="EE158" i="25"/>
  <c r="EE150" i="25"/>
  <c r="EE148" i="25"/>
  <c r="EE149" i="25"/>
  <c r="EE152" i="25"/>
  <c r="EF128" i="25"/>
  <c r="EF153" i="25"/>
  <c r="EF157" i="25"/>
  <c r="EF151" i="25"/>
  <c r="EF154" i="25"/>
  <c r="EF158" i="25"/>
  <c r="EF150" i="25"/>
  <c r="EF148" i="25"/>
  <c r="EF149" i="25"/>
  <c r="EF152" i="25"/>
  <c r="EG128" i="25"/>
  <c r="DE128" i="25" s="1"/>
  <c r="EG153" i="25"/>
  <c r="DE153" i="25" s="1"/>
  <c r="EG157" i="25"/>
  <c r="DE157" i="25" s="1"/>
  <c r="EG151" i="25"/>
  <c r="EG154" i="25"/>
  <c r="EG158" i="25"/>
  <c r="DH158" i="25" s="1"/>
  <c r="DI158" i="25" s="1"/>
  <c r="EG150" i="25"/>
  <c r="DE150" i="25" s="1"/>
  <c r="EG148" i="25"/>
  <c r="DH148" i="25" s="1"/>
  <c r="DI148" i="25" s="1"/>
  <c r="EG149" i="25"/>
  <c r="DE149" i="25" s="1"/>
  <c r="EG152" i="25"/>
  <c r="EH128" i="25"/>
  <c r="EH153" i="25"/>
  <c r="EH157" i="25"/>
  <c r="EH151" i="25"/>
  <c r="EH154" i="25"/>
  <c r="EH158" i="25"/>
  <c r="EH150" i="25"/>
  <c r="EH148" i="25"/>
  <c r="EH149" i="25"/>
  <c r="EH152" i="25"/>
  <c r="EI128" i="25"/>
  <c r="DT128" i="25" s="1"/>
  <c r="EI153" i="25"/>
  <c r="DT153" i="25" s="1"/>
  <c r="EI157" i="25"/>
  <c r="DT157" i="25" s="1"/>
  <c r="EI151" i="25"/>
  <c r="DT151" i="25" s="1"/>
  <c r="EI154" i="25"/>
  <c r="DT154" i="25" s="1"/>
  <c r="EI158" i="25"/>
  <c r="DT158" i="25" s="1"/>
  <c r="EI150" i="25"/>
  <c r="DT150" i="25" s="1"/>
  <c r="EI148" i="25"/>
  <c r="DT148" i="25" s="1"/>
  <c r="EI149" i="25"/>
  <c r="DT149" i="25" s="1"/>
  <c r="EI152" i="25"/>
  <c r="DT152" i="25" s="1"/>
  <c r="EJ128" i="25"/>
  <c r="EJ153" i="25"/>
  <c r="EJ157" i="25"/>
  <c r="EJ151" i="25"/>
  <c r="EJ154" i="25"/>
  <c r="EJ158" i="25"/>
  <c r="EJ150" i="25"/>
  <c r="EJ148" i="25"/>
  <c r="EJ149" i="25"/>
  <c r="EJ152" i="25"/>
  <c r="EK128" i="25"/>
  <c r="EK153" i="25"/>
  <c r="EK157" i="25"/>
  <c r="EK151" i="25"/>
  <c r="EK154" i="25"/>
  <c r="EK158" i="25"/>
  <c r="EK150" i="25"/>
  <c r="EK148" i="25"/>
  <c r="EK149" i="25"/>
  <c r="EK152" i="25"/>
  <c r="EL128" i="25"/>
  <c r="EL153" i="25"/>
  <c r="EL157" i="25"/>
  <c r="EL151" i="25"/>
  <c r="EL154" i="25"/>
  <c r="EL158" i="25"/>
  <c r="EL150" i="25"/>
  <c r="EL148" i="25"/>
  <c r="EL149" i="25"/>
  <c r="EL152" i="25"/>
  <c r="EM128" i="25"/>
  <c r="EM153" i="25"/>
  <c r="EM157" i="25"/>
  <c r="EM151" i="25"/>
  <c r="EM154" i="25"/>
  <c r="EM158" i="25"/>
  <c r="EM150" i="25"/>
  <c r="EM148" i="25"/>
  <c r="EM149" i="25"/>
  <c r="EM152" i="25"/>
  <c r="EO128" i="25"/>
  <c r="EO153" i="25"/>
  <c r="EO157" i="25"/>
  <c r="EO151" i="25"/>
  <c r="EO154" i="25"/>
  <c r="EO158" i="25"/>
  <c r="EO150" i="25"/>
  <c r="EO148" i="25"/>
  <c r="EO149" i="25"/>
  <c r="EO152" i="25"/>
  <c r="EP128" i="25"/>
  <c r="EP153" i="25"/>
  <c r="EP157" i="25"/>
  <c r="EP151" i="25"/>
  <c r="EP154" i="25"/>
  <c r="EP158" i="25"/>
  <c r="EP150" i="25"/>
  <c r="EP148" i="25"/>
  <c r="EP149" i="25"/>
  <c r="EP152" i="25"/>
  <c r="EP38" i="25"/>
  <c r="EO38" i="25"/>
  <c r="EP33" i="25"/>
  <c r="EO33" i="25"/>
  <c r="EP32" i="25"/>
  <c r="EO32" i="25"/>
  <c r="EP28" i="25"/>
  <c r="EO28" i="25"/>
  <c r="EP27" i="25"/>
  <c r="EO27" i="25"/>
  <c r="EP26" i="25"/>
  <c r="EO26" i="25"/>
  <c r="EP14" i="25"/>
  <c r="EO14" i="25"/>
  <c r="N126" i="89"/>
  <c r="L126" i="89"/>
  <c r="K126" i="89"/>
  <c r="J126" i="89"/>
  <c r="H126" i="89"/>
  <c r="E126" i="89"/>
  <c r="H409" i="92"/>
  <c r="H408" i="92"/>
  <c r="H407" i="92"/>
  <c r="H406" i="92"/>
  <c r="CJ75" i="25"/>
  <c r="L113" i="89"/>
  <c r="K113" i="89"/>
  <c r="J113" i="89"/>
  <c r="H113" i="89"/>
  <c r="K100" i="89"/>
  <c r="N81" i="89"/>
  <c r="L81" i="89"/>
  <c r="K81" i="89"/>
  <c r="H81" i="89"/>
  <c r="N113" i="89"/>
  <c r="EJ8" i="25"/>
  <c r="L43" i="89"/>
  <c r="K43" i="89"/>
  <c r="H43" i="89"/>
  <c r="AB4" i="129"/>
  <c r="L3" i="89" s="1"/>
  <c r="AA4" i="129"/>
  <c r="K3" i="89" s="1"/>
  <c r="Z4" i="129"/>
  <c r="J3" i="89" s="1"/>
  <c r="G141" i="89" s="1"/>
  <c r="Y4" i="129"/>
  <c r="I3" i="89" s="1"/>
  <c r="G160" i="89" s="1"/>
  <c r="X4" i="129"/>
  <c r="H3" i="89" s="1"/>
  <c r="G123" i="89" s="1"/>
  <c r="E206" i="89" s="1"/>
  <c r="F206" i="89" s="1"/>
  <c r="W4" i="129"/>
  <c r="G3" i="89" s="1"/>
  <c r="G110" i="89" s="1"/>
  <c r="E207" i="89" s="1"/>
  <c r="G207" i="89" s="1"/>
  <c r="V4" i="129"/>
  <c r="F3" i="89" s="1"/>
  <c r="G96" i="89" s="1"/>
  <c r="O96" i="89" s="1"/>
  <c r="E208" i="89" s="1"/>
  <c r="F208" i="89" s="1"/>
  <c r="U4" i="129"/>
  <c r="E3" i="89" s="1"/>
  <c r="G77" i="89" s="1"/>
  <c r="E209" i="89" s="1"/>
  <c r="F209" i="89" s="1"/>
  <c r="T4" i="129"/>
  <c r="D3" i="89" s="1"/>
  <c r="G58" i="89" s="1"/>
  <c r="E210" i="89" s="1"/>
  <c r="F210" i="89" s="1"/>
  <c r="S4" i="129"/>
  <c r="C3" i="89" s="1"/>
  <c r="G39" i="89" s="1"/>
  <c r="C2" i="89"/>
  <c r="G30" i="89" s="1"/>
  <c r="O30" i="89" s="1"/>
  <c r="O43" i="89" s="1"/>
  <c r="G9" i="25"/>
  <c r="G10" i="25"/>
  <c r="G11" i="25"/>
  <c r="G12" i="25"/>
  <c r="G13" i="25"/>
  <c r="G15" i="25"/>
  <c r="G16" i="25"/>
  <c r="G17" i="25"/>
  <c r="G18" i="25"/>
  <c r="G19" i="25"/>
  <c r="G20" i="25"/>
  <c r="G21" i="25"/>
  <c r="G61" i="25"/>
  <c r="G22" i="25"/>
  <c r="G23" i="25"/>
  <c r="G25" i="25"/>
  <c r="G29" i="25"/>
  <c r="G30" i="25"/>
  <c r="G31" i="25"/>
  <c r="G34" i="25"/>
  <c r="G35" i="25"/>
  <c r="G36" i="25"/>
  <c r="G37" i="25"/>
  <c r="G39" i="25"/>
  <c r="G40" i="25"/>
  <c r="G42" i="25"/>
  <c r="G43" i="25"/>
  <c r="G70" i="25"/>
  <c r="G45" i="25"/>
  <c r="G46" i="25"/>
  <c r="G47" i="25"/>
  <c r="G48" i="25"/>
  <c r="G49" i="25"/>
  <c r="G50" i="25"/>
  <c r="G51" i="25"/>
  <c r="G52" i="25"/>
  <c r="G53" i="25"/>
  <c r="G54" i="25"/>
  <c r="G7" i="25"/>
  <c r="G8" i="25"/>
  <c r="CE125" i="25"/>
  <c r="CE197" i="25"/>
  <c r="CE145" i="25"/>
  <c r="CE134" i="25"/>
  <c r="CE136" i="25"/>
  <c r="CF125" i="25"/>
  <c r="CF197" i="25"/>
  <c r="CF145" i="25"/>
  <c r="CF134" i="25"/>
  <c r="CF136" i="25"/>
  <c r="CH125" i="25"/>
  <c r="CH197" i="25"/>
  <c r="CH145" i="25"/>
  <c r="CH134" i="25"/>
  <c r="CH136" i="25"/>
  <c r="CI125" i="25"/>
  <c r="CI197" i="25"/>
  <c r="CI145" i="25"/>
  <c r="CI134" i="25"/>
  <c r="CI136" i="25"/>
  <c r="CJ125" i="25"/>
  <c r="CJ197" i="25"/>
  <c r="CJ145" i="25"/>
  <c r="CJ134" i="25"/>
  <c r="CJ136" i="25"/>
  <c r="CK125" i="25"/>
  <c r="CK197" i="25"/>
  <c r="CK145" i="25"/>
  <c r="CK134" i="25"/>
  <c r="CK136" i="25"/>
  <c r="CL125" i="25"/>
  <c r="CL197" i="25"/>
  <c r="CL145" i="25"/>
  <c r="CL134" i="25"/>
  <c r="CL136" i="25"/>
  <c r="CS125" i="25"/>
  <c r="CT125" i="25" s="1"/>
  <c r="CS197" i="25"/>
  <c r="CS145" i="25"/>
  <c r="CT145" i="25" s="1"/>
  <c r="CS134" i="25"/>
  <c r="CT134" i="25" s="1"/>
  <c r="CS136" i="25"/>
  <c r="CT136" i="25" s="1"/>
  <c r="DA125" i="25"/>
  <c r="DA197" i="25"/>
  <c r="DA145" i="25"/>
  <c r="DA134" i="25"/>
  <c r="DA136" i="25"/>
  <c r="DB125" i="25"/>
  <c r="DB197" i="25"/>
  <c r="DB145" i="25"/>
  <c r="DB134" i="25"/>
  <c r="DB136" i="25"/>
  <c r="DG125" i="25"/>
  <c r="DG197" i="25"/>
  <c r="DG145" i="25"/>
  <c r="DG134" i="25"/>
  <c r="DG136" i="25"/>
  <c r="DK125" i="25"/>
  <c r="DK197" i="25"/>
  <c r="DK145" i="25"/>
  <c r="DK134" i="25"/>
  <c r="DK136" i="25"/>
  <c r="DL125" i="25"/>
  <c r="DS125" i="25" s="1"/>
  <c r="DL197" i="25"/>
  <c r="DL145" i="25"/>
  <c r="DL134" i="25"/>
  <c r="DL136" i="25"/>
  <c r="DS136" i="25" s="1"/>
  <c r="DU125" i="25"/>
  <c r="DU197" i="25"/>
  <c r="DU145" i="25"/>
  <c r="DU134" i="25"/>
  <c r="DU136" i="25"/>
  <c r="DV125" i="25"/>
  <c r="DV197" i="25"/>
  <c r="DY197" i="25" s="1"/>
  <c r="DV145" i="25"/>
  <c r="DY145" i="25" s="1"/>
  <c r="DV134" i="25"/>
  <c r="DW134" i="25" s="1"/>
  <c r="DV136" i="25"/>
  <c r="DX125" i="25"/>
  <c r="DX197" i="25"/>
  <c r="DX145" i="25"/>
  <c r="DX134" i="25"/>
  <c r="DX136" i="25"/>
  <c r="DZ125" i="25"/>
  <c r="DZ197" i="25"/>
  <c r="DZ145" i="25"/>
  <c r="DZ134" i="25"/>
  <c r="DZ136" i="25"/>
  <c r="EA125" i="25"/>
  <c r="EA197" i="25"/>
  <c r="EA145" i="25"/>
  <c r="EA134" i="25"/>
  <c r="EA136" i="25"/>
  <c r="EB125" i="25"/>
  <c r="EB197" i="25"/>
  <c r="EB145" i="25"/>
  <c r="EB134" i="25"/>
  <c r="EB136" i="25"/>
  <c r="EE125" i="25"/>
  <c r="EE197" i="25"/>
  <c r="EE145" i="25"/>
  <c r="EE134" i="25"/>
  <c r="EE136" i="25"/>
  <c r="EF125" i="25"/>
  <c r="EF197" i="25"/>
  <c r="EF145" i="25"/>
  <c r="EF134" i="25"/>
  <c r="EF136" i="25"/>
  <c r="EG125" i="25"/>
  <c r="EG197" i="25"/>
  <c r="DH197" i="25" s="1"/>
  <c r="DI197" i="25" s="1"/>
  <c r="EG145" i="25"/>
  <c r="DE145" i="25" s="1"/>
  <c r="EG134" i="25"/>
  <c r="DH134" i="25" s="1"/>
  <c r="DI134" i="25" s="1"/>
  <c r="EG136" i="25"/>
  <c r="EH125" i="25"/>
  <c r="EH197" i="25"/>
  <c r="EH145" i="25"/>
  <c r="EH134" i="25"/>
  <c r="EH136" i="25"/>
  <c r="EI125" i="25"/>
  <c r="DT125" i="25" s="1"/>
  <c r="EI197" i="25"/>
  <c r="DT197" i="25" s="1"/>
  <c r="EI145" i="25"/>
  <c r="DT145" i="25" s="1"/>
  <c r="EI134" i="25"/>
  <c r="DT134" i="25" s="1"/>
  <c r="EI136" i="25"/>
  <c r="DT136" i="25" s="1"/>
  <c r="EJ125" i="25"/>
  <c r="EJ197" i="25"/>
  <c r="EJ145" i="25"/>
  <c r="EJ134" i="25"/>
  <c r="EJ136" i="25"/>
  <c r="EK125" i="25"/>
  <c r="EK197" i="25"/>
  <c r="EK145" i="25"/>
  <c r="EK134" i="25"/>
  <c r="EK136" i="25"/>
  <c r="EL125" i="25"/>
  <c r="EL197" i="25"/>
  <c r="EL145" i="25"/>
  <c r="EL134" i="25"/>
  <c r="EL136" i="25"/>
  <c r="EM125" i="25"/>
  <c r="EM197" i="25"/>
  <c r="EM145" i="25"/>
  <c r="EM134" i="25"/>
  <c r="EM136" i="25"/>
  <c r="EO125" i="25"/>
  <c r="EO197" i="25"/>
  <c r="EO145" i="25"/>
  <c r="EO134" i="25"/>
  <c r="EO136" i="25"/>
  <c r="EP125" i="25"/>
  <c r="EP197" i="25"/>
  <c r="EP145" i="25"/>
  <c r="EP134" i="25"/>
  <c r="EP136" i="25"/>
  <c r="CE126" i="25"/>
  <c r="CE186" i="25"/>
  <c r="CE187" i="25"/>
  <c r="CE77" i="25"/>
  <c r="CE127" i="25"/>
  <c r="CE78" i="25"/>
  <c r="CE79" i="25"/>
  <c r="CE9" i="25"/>
  <c r="CE80" i="25"/>
  <c r="CE188" i="25"/>
  <c r="CE129" i="25"/>
  <c r="CE159" i="25"/>
  <c r="CE10" i="25"/>
  <c r="CE160" i="25"/>
  <c r="CE130" i="25"/>
  <c r="CE133" i="25"/>
  <c r="CE161" i="25"/>
  <c r="CE162" i="25"/>
  <c r="CE163" i="25"/>
  <c r="CE164" i="25"/>
  <c r="CE165" i="25"/>
  <c r="CE11" i="25"/>
  <c r="CE166" i="25"/>
  <c r="CE55" i="25"/>
  <c r="CE167" i="25"/>
  <c r="CE168" i="25"/>
  <c r="CE169" i="25"/>
  <c r="CE56" i="25"/>
  <c r="CE132" i="25"/>
  <c r="CE12" i="25"/>
  <c r="CE170" i="25"/>
  <c r="CE57" i="25"/>
  <c r="CE171" i="25"/>
  <c r="CE13" i="25"/>
  <c r="CE172" i="25"/>
  <c r="CE173" i="25"/>
  <c r="CE199" i="25"/>
  <c r="CE202" i="25"/>
  <c r="CE137" i="25"/>
  <c r="CE73" i="25"/>
  <c r="CE74" i="25"/>
  <c r="CE75" i="25"/>
  <c r="CE76" i="25"/>
  <c r="CE99" i="25"/>
  <c r="CE100" i="25"/>
  <c r="CE138" i="25"/>
  <c r="CE139" i="25"/>
  <c r="CE15" i="25"/>
  <c r="CE59" i="25"/>
  <c r="CE16" i="25"/>
  <c r="CE58" i="25"/>
  <c r="CE17" i="25"/>
  <c r="CE18" i="25"/>
  <c r="CE19" i="25"/>
  <c r="CE20" i="25"/>
  <c r="CE140" i="25"/>
  <c r="CE141" i="25"/>
  <c r="CE21" i="25"/>
  <c r="CE60" i="25"/>
  <c r="CE102" i="25"/>
  <c r="CE61" i="25"/>
  <c r="CE103" i="25"/>
  <c r="CE189" i="25"/>
  <c r="CE22" i="25"/>
  <c r="CE104" i="25"/>
  <c r="CE105" i="25"/>
  <c r="CE23" i="25"/>
  <c r="CE190" i="25"/>
  <c r="CE191" i="25"/>
  <c r="CE192" i="25"/>
  <c r="CE142" i="25"/>
  <c r="CE106" i="25"/>
  <c r="CE193" i="25"/>
  <c r="CE107" i="25"/>
  <c r="CE143" i="25"/>
  <c r="CE144" i="25"/>
  <c r="CE200" i="25"/>
  <c r="CE195" i="25"/>
  <c r="CE201" i="25"/>
  <c r="CE196" i="25"/>
  <c r="CE25" i="25"/>
  <c r="CE62" i="25"/>
  <c r="CE63" i="25"/>
  <c r="CE29" i="25"/>
  <c r="CE30" i="25"/>
  <c r="CE31" i="25"/>
  <c r="CE174" i="25"/>
  <c r="CE175" i="25"/>
  <c r="CE64" i="25"/>
  <c r="CE65" i="25"/>
  <c r="CE66" i="25"/>
  <c r="CE67" i="25"/>
  <c r="CE146" i="25"/>
  <c r="CE177" i="25"/>
  <c r="CE34" i="25"/>
  <c r="CE35" i="25"/>
  <c r="CE178" i="25"/>
  <c r="CE176" i="25"/>
  <c r="CE36" i="25"/>
  <c r="CE37" i="25"/>
  <c r="CE39" i="25"/>
  <c r="CE40" i="25"/>
  <c r="CE41" i="25"/>
  <c r="CE117" i="25"/>
  <c r="CE147" i="25"/>
  <c r="CE42" i="25"/>
  <c r="CE43" i="25"/>
  <c r="CE68" i="25"/>
  <c r="CE69" i="25"/>
  <c r="CE44" i="25"/>
  <c r="CE70" i="25"/>
  <c r="CE198" i="25"/>
  <c r="CE179" i="25"/>
  <c r="CE45" i="25"/>
  <c r="CE118" i="25"/>
  <c r="CE46" i="25"/>
  <c r="CE47" i="25"/>
  <c r="CE180" i="25"/>
  <c r="CE71" i="25"/>
  <c r="CE48" i="25"/>
  <c r="CE49" i="25"/>
  <c r="CE181" i="25"/>
  <c r="CE50" i="25"/>
  <c r="CE72" i="25"/>
  <c r="CE182" i="25"/>
  <c r="CE51" i="25"/>
  <c r="CE183" i="25"/>
  <c r="CE155" i="25"/>
  <c r="CE52" i="25"/>
  <c r="CE53" i="25"/>
  <c r="CE184" i="25"/>
  <c r="CE54" i="25"/>
  <c r="CE185" i="25"/>
  <c r="CE119" i="25"/>
  <c r="CE120" i="25"/>
  <c r="CE121" i="25"/>
  <c r="CE81" i="25"/>
  <c r="CE82" i="25"/>
  <c r="CE135" i="25"/>
  <c r="CE83" i="25"/>
  <c r="CE84" i="25"/>
  <c r="CE86" i="25"/>
  <c r="CE87" i="25"/>
  <c r="CE88" i="25"/>
  <c r="CE85" i="25"/>
  <c r="CE89" i="25"/>
  <c r="CE90" i="25"/>
  <c r="CE91" i="25"/>
  <c r="CE92" i="25"/>
  <c r="CE93" i="25"/>
  <c r="CE94" i="25"/>
  <c r="CE95" i="25"/>
  <c r="CE96" i="25"/>
  <c r="CE97" i="25"/>
  <c r="CE98" i="25"/>
  <c r="CE7" i="25"/>
  <c r="CE8" i="25"/>
  <c r="CE101" i="25"/>
  <c r="CE124" i="25"/>
  <c r="CE108" i="25"/>
  <c r="CE109" i="25"/>
  <c r="CE122" i="25"/>
  <c r="CE110" i="25"/>
  <c r="CE111" i="25"/>
  <c r="CE123" i="25"/>
  <c r="CE112" i="25"/>
  <c r="CE113" i="25"/>
  <c r="CE114" i="25"/>
  <c r="CE115" i="25"/>
  <c r="CE116" i="25"/>
  <c r="CF126" i="25"/>
  <c r="CF186" i="25"/>
  <c r="CF187" i="25"/>
  <c r="CF77" i="25"/>
  <c r="CF127" i="25"/>
  <c r="CF78" i="25"/>
  <c r="CF79" i="25"/>
  <c r="CF9" i="25"/>
  <c r="CF80" i="25"/>
  <c r="CF188" i="25"/>
  <c r="CF129" i="25"/>
  <c r="CF159" i="25"/>
  <c r="CF10" i="25"/>
  <c r="CF160" i="25"/>
  <c r="CF130" i="25"/>
  <c r="CF133" i="25"/>
  <c r="CF161" i="25"/>
  <c r="CF162" i="25"/>
  <c r="CF163" i="25"/>
  <c r="CF164" i="25"/>
  <c r="CF165" i="25"/>
  <c r="CF11" i="25"/>
  <c r="CF166" i="25"/>
  <c r="CF55" i="25"/>
  <c r="CF167" i="25"/>
  <c r="CF168" i="25"/>
  <c r="CF169" i="25"/>
  <c r="CF56" i="25"/>
  <c r="CF132" i="25"/>
  <c r="CF12" i="25"/>
  <c r="CF170" i="25"/>
  <c r="CF57" i="25"/>
  <c r="CF171" i="25"/>
  <c r="CF13" i="25"/>
  <c r="CF172" i="25"/>
  <c r="CF173" i="25"/>
  <c r="CF199" i="25"/>
  <c r="CF202" i="25"/>
  <c r="CF137" i="25"/>
  <c r="CF73" i="25"/>
  <c r="CF74" i="25"/>
  <c r="CF75" i="25"/>
  <c r="CF76" i="25"/>
  <c r="CF99" i="25"/>
  <c r="CF100" i="25"/>
  <c r="CF138" i="25"/>
  <c r="CF139" i="25"/>
  <c r="CF15" i="25"/>
  <c r="CF59" i="25"/>
  <c r="CF16" i="25"/>
  <c r="CF58" i="25"/>
  <c r="CF17" i="25"/>
  <c r="CF18" i="25"/>
  <c r="CF19" i="25"/>
  <c r="CF20" i="25"/>
  <c r="CF140" i="25"/>
  <c r="CF141" i="25"/>
  <c r="CF21" i="25"/>
  <c r="CF60" i="25"/>
  <c r="CF102" i="25"/>
  <c r="CF61" i="25"/>
  <c r="CF103" i="25"/>
  <c r="CF189" i="25"/>
  <c r="CF22" i="25"/>
  <c r="CF104" i="25"/>
  <c r="CF105" i="25"/>
  <c r="CF23" i="25"/>
  <c r="CF190" i="25"/>
  <c r="CF191" i="25"/>
  <c r="CF192" i="25"/>
  <c r="CF142" i="25"/>
  <c r="CF106" i="25"/>
  <c r="CF193" i="25"/>
  <c r="CF107" i="25"/>
  <c r="CF143" i="25"/>
  <c r="CF144" i="25"/>
  <c r="CF200" i="25"/>
  <c r="CF195" i="25"/>
  <c r="CF201" i="25"/>
  <c r="CF196" i="25"/>
  <c r="CF25" i="25"/>
  <c r="CF62" i="25"/>
  <c r="CF63" i="25"/>
  <c r="CF29" i="25"/>
  <c r="CF30" i="25"/>
  <c r="CF31" i="25"/>
  <c r="CF174" i="25"/>
  <c r="CF175" i="25"/>
  <c r="CF64" i="25"/>
  <c r="CF65" i="25"/>
  <c r="CF66" i="25"/>
  <c r="CF67" i="25"/>
  <c r="CF146" i="25"/>
  <c r="CF177" i="25"/>
  <c r="CF34" i="25"/>
  <c r="CF35" i="25"/>
  <c r="CF178" i="25"/>
  <c r="CF176" i="25"/>
  <c r="CF36" i="25"/>
  <c r="CF37" i="25"/>
  <c r="CF39" i="25"/>
  <c r="CF40" i="25"/>
  <c r="CF41" i="25"/>
  <c r="CF117" i="25"/>
  <c r="CF147" i="25"/>
  <c r="CF42" i="25"/>
  <c r="CF43" i="25"/>
  <c r="CF68" i="25"/>
  <c r="CF69" i="25"/>
  <c r="CF44" i="25"/>
  <c r="CF70" i="25"/>
  <c r="CF198" i="25"/>
  <c r="CF179" i="25"/>
  <c r="CF45" i="25"/>
  <c r="CF118" i="25"/>
  <c r="CF46" i="25"/>
  <c r="CF47" i="25"/>
  <c r="CF180" i="25"/>
  <c r="CF71" i="25"/>
  <c r="CF48" i="25"/>
  <c r="CF49" i="25"/>
  <c r="CF181" i="25"/>
  <c r="CF50" i="25"/>
  <c r="CF72" i="25"/>
  <c r="CF182" i="25"/>
  <c r="CF51" i="25"/>
  <c r="CF183" i="25"/>
  <c r="CF155" i="25"/>
  <c r="CF52" i="25"/>
  <c r="CF53" i="25"/>
  <c r="CF184" i="25"/>
  <c r="CF54" i="25"/>
  <c r="CF185" i="25"/>
  <c r="CF119" i="25"/>
  <c r="CF120" i="25"/>
  <c r="CF121" i="25"/>
  <c r="CF81" i="25"/>
  <c r="CF82" i="25"/>
  <c r="CF135" i="25"/>
  <c r="CF83" i="25"/>
  <c r="CF84" i="25"/>
  <c r="CF86" i="25"/>
  <c r="CF87" i="25"/>
  <c r="CF88" i="25"/>
  <c r="CF85" i="25"/>
  <c r="CF89" i="25"/>
  <c r="CF90" i="25"/>
  <c r="CF91" i="25"/>
  <c r="CF92" i="25"/>
  <c r="CF93" i="25"/>
  <c r="CF94" i="25"/>
  <c r="CF95" i="25"/>
  <c r="CF96" i="25"/>
  <c r="CF97" i="25"/>
  <c r="CF98" i="25"/>
  <c r="CF7" i="25"/>
  <c r="CF8" i="25"/>
  <c r="CF101" i="25"/>
  <c r="CF124" i="25"/>
  <c r="CF108" i="25"/>
  <c r="CF109" i="25"/>
  <c r="CF122" i="25"/>
  <c r="CF110" i="25"/>
  <c r="CF111" i="25"/>
  <c r="CF123" i="25"/>
  <c r="CF112" i="25"/>
  <c r="CF113" i="25"/>
  <c r="CF114" i="25"/>
  <c r="CF115" i="25"/>
  <c r="CF116" i="25"/>
  <c r="CH126" i="25"/>
  <c r="CH186" i="25"/>
  <c r="CH187" i="25"/>
  <c r="CH77" i="25"/>
  <c r="CH127" i="25"/>
  <c r="CH78" i="25"/>
  <c r="CH79" i="25"/>
  <c r="CH9" i="25"/>
  <c r="CH80" i="25"/>
  <c r="CH188" i="25"/>
  <c r="CH129" i="25"/>
  <c r="CH159" i="25"/>
  <c r="CH10" i="25"/>
  <c r="CH160" i="25"/>
  <c r="CH130" i="25"/>
  <c r="CH133" i="25"/>
  <c r="CH161" i="25"/>
  <c r="CH162" i="25"/>
  <c r="CH163" i="25"/>
  <c r="CH164" i="25"/>
  <c r="CH165" i="25"/>
  <c r="CH11" i="25"/>
  <c r="CH166" i="25"/>
  <c r="CH55" i="25"/>
  <c r="CH167" i="25"/>
  <c r="CH168" i="25"/>
  <c r="CH169" i="25"/>
  <c r="CH56" i="25"/>
  <c r="CH132" i="25"/>
  <c r="CH12" i="25"/>
  <c r="CH170" i="25"/>
  <c r="CH57" i="25"/>
  <c r="CH171" i="25"/>
  <c r="CH13" i="25"/>
  <c r="CH172" i="25"/>
  <c r="CH173" i="25"/>
  <c r="CH199" i="25"/>
  <c r="CH202" i="25"/>
  <c r="CH137" i="25"/>
  <c r="CH73" i="25"/>
  <c r="CH74" i="25"/>
  <c r="CH75" i="25"/>
  <c r="CH76" i="25"/>
  <c r="CH99" i="25"/>
  <c r="CH100" i="25"/>
  <c r="CH138" i="25"/>
  <c r="CH139" i="25"/>
  <c r="CH15" i="25"/>
  <c r="CH59" i="25"/>
  <c r="CH16" i="25"/>
  <c r="CH58" i="25"/>
  <c r="CH17" i="25"/>
  <c r="CH18" i="25"/>
  <c r="CH19" i="25"/>
  <c r="CH20" i="25"/>
  <c r="CH140" i="25"/>
  <c r="CH141" i="25"/>
  <c r="CH21" i="25"/>
  <c r="CH60" i="25"/>
  <c r="CH102" i="25"/>
  <c r="CH61" i="25"/>
  <c r="CH103" i="25"/>
  <c r="CH189" i="25"/>
  <c r="CH22" i="25"/>
  <c r="CH104" i="25"/>
  <c r="CH105" i="25"/>
  <c r="CH23" i="25"/>
  <c r="CH190" i="25"/>
  <c r="CH191" i="25"/>
  <c r="CH192" i="25"/>
  <c r="CH142" i="25"/>
  <c r="CH106" i="25"/>
  <c r="CH193" i="25"/>
  <c r="CH107" i="25"/>
  <c r="CH143" i="25"/>
  <c r="CH144" i="25"/>
  <c r="CH200" i="25"/>
  <c r="CH195" i="25"/>
  <c r="CH201" i="25"/>
  <c r="CH196" i="25"/>
  <c r="CH25" i="25"/>
  <c r="CH62" i="25"/>
  <c r="CH63" i="25"/>
  <c r="CH29" i="25"/>
  <c r="CH30" i="25"/>
  <c r="CH31" i="25"/>
  <c r="CH174" i="25"/>
  <c r="CH175" i="25"/>
  <c r="CH64" i="25"/>
  <c r="CH65" i="25"/>
  <c r="CH66" i="25"/>
  <c r="CH67" i="25"/>
  <c r="CH146" i="25"/>
  <c r="CH177" i="25"/>
  <c r="CH34" i="25"/>
  <c r="CH35" i="25"/>
  <c r="CH178" i="25"/>
  <c r="CH176" i="25"/>
  <c r="CH36" i="25"/>
  <c r="CH37" i="25"/>
  <c r="CH39" i="25"/>
  <c r="CH40" i="25"/>
  <c r="CH41" i="25"/>
  <c r="CH117" i="25"/>
  <c r="CH147" i="25"/>
  <c r="CH42" i="25"/>
  <c r="CH43" i="25"/>
  <c r="CH68" i="25"/>
  <c r="CH69" i="25"/>
  <c r="CH44" i="25"/>
  <c r="CH70" i="25"/>
  <c r="CH198" i="25"/>
  <c r="CH179" i="25"/>
  <c r="CH45" i="25"/>
  <c r="CH118" i="25"/>
  <c r="CH46" i="25"/>
  <c r="CH47" i="25"/>
  <c r="CH180" i="25"/>
  <c r="CH71" i="25"/>
  <c r="CH48" i="25"/>
  <c r="CH49" i="25"/>
  <c r="CH181" i="25"/>
  <c r="CH50" i="25"/>
  <c r="CH72" i="25"/>
  <c r="CH182" i="25"/>
  <c r="CH51" i="25"/>
  <c r="CH183" i="25"/>
  <c r="CH155" i="25"/>
  <c r="CH52" i="25"/>
  <c r="CH53" i="25"/>
  <c r="CH184" i="25"/>
  <c r="CH54" i="25"/>
  <c r="CH185" i="25"/>
  <c r="CH119" i="25"/>
  <c r="CH120" i="25"/>
  <c r="CH121" i="25"/>
  <c r="CH81" i="25"/>
  <c r="CH82" i="25"/>
  <c r="CH135" i="25"/>
  <c r="CH83" i="25"/>
  <c r="CH84" i="25"/>
  <c r="CH86" i="25"/>
  <c r="CH87" i="25"/>
  <c r="CH88" i="25"/>
  <c r="CH85" i="25"/>
  <c r="CH89" i="25"/>
  <c r="CH90" i="25"/>
  <c r="CH91" i="25"/>
  <c r="CH92" i="25"/>
  <c r="CH93" i="25"/>
  <c r="CH94" i="25"/>
  <c r="CH95" i="25"/>
  <c r="CH96" i="25"/>
  <c r="CH97" i="25"/>
  <c r="CH98" i="25"/>
  <c r="CH7" i="25"/>
  <c r="CH8" i="25"/>
  <c r="CH101" i="25"/>
  <c r="CH124" i="25"/>
  <c r="CH108" i="25"/>
  <c r="CH109" i="25"/>
  <c r="CH122" i="25"/>
  <c r="CH110" i="25"/>
  <c r="CH111" i="25"/>
  <c r="CH123" i="25"/>
  <c r="CH112" i="25"/>
  <c r="CH113" i="25"/>
  <c r="CH114" i="25"/>
  <c r="CH115" i="25"/>
  <c r="CH116" i="25"/>
  <c r="CI126" i="25"/>
  <c r="CI186" i="25"/>
  <c r="CI187" i="25"/>
  <c r="CI77" i="25"/>
  <c r="CI127" i="25"/>
  <c r="CI78" i="25"/>
  <c r="CI79" i="25"/>
  <c r="CI9" i="25"/>
  <c r="CI80" i="25"/>
  <c r="CI188" i="25"/>
  <c r="CI129" i="25"/>
  <c r="CI159" i="25"/>
  <c r="CI10" i="25"/>
  <c r="CI160" i="25"/>
  <c r="CI130" i="25"/>
  <c r="CI133" i="25"/>
  <c r="CI161" i="25"/>
  <c r="CI162" i="25"/>
  <c r="CI163" i="25"/>
  <c r="CI164" i="25"/>
  <c r="CI165" i="25"/>
  <c r="CI11" i="25"/>
  <c r="CI166" i="25"/>
  <c r="CI55" i="25"/>
  <c r="CI167" i="25"/>
  <c r="CI168" i="25"/>
  <c r="CI169" i="25"/>
  <c r="CI56" i="25"/>
  <c r="CI132" i="25"/>
  <c r="CI12" i="25"/>
  <c r="CI170" i="25"/>
  <c r="CI57" i="25"/>
  <c r="CI171" i="25"/>
  <c r="CI13" i="25"/>
  <c r="CI172" i="25"/>
  <c r="CI173" i="25"/>
  <c r="CI199" i="25"/>
  <c r="CI202" i="25"/>
  <c r="CI137" i="25"/>
  <c r="CI73" i="25"/>
  <c r="CI74" i="25"/>
  <c r="CI75" i="25"/>
  <c r="CI76" i="25"/>
  <c r="CI99" i="25"/>
  <c r="CI100" i="25"/>
  <c r="CI138" i="25"/>
  <c r="CI139" i="25"/>
  <c r="CI15" i="25"/>
  <c r="CI59" i="25"/>
  <c r="CI16" i="25"/>
  <c r="CI58" i="25"/>
  <c r="CI17" i="25"/>
  <c r="CI18" i="25"/>
  <c r="CI19" i="25"/>
  <c r="CI20" i="25"/>
  <c r="CI140" i="25"/>
  <c r="CI141" i="25"/>
  <c r="CI21" i="25"/>
  <c r="CI60" i="25"/>
  <c r="CI102" i="25"/>
  <c r="CI61" i="25"/>
  <c r="CI103" i="25"/>
  <c r="CI189" i="25"/>
  <c r="CI22" i="25"/>
  <c r="CI104" i="25"/>
  <c r="CI105" i="25"/>
  <c r="CI23" i="25"/>
  <c r="CI190" i="25"/>
  <c r="CI191" i="25"/>
  <c r="CI192" i="25"/>
  <c r="CI142" i="25"/>
  <c r="CI106" i="25"/>
  <c r="CI193" i="25"/>
  <c r="CI107" i="25"/>
  <c r="CI143" i="25"/>
  <c r="CI144" i="25"/>
  <c r="CI200" i="25"/>
  <c r="CI195" i="25"/>
  <c r="CI201" i="25"/>
  <c r="CI196" i="25"/>
  <c r="CI25" i="25"/>
  <c r="CI62" i="25"/>
  <c r="CI63" i="25"/>
  <c r="CI29" i="25"/>
  <c r="CI30" i="25"/>
  <c r="CI31" i="25"/>
  <c r="CI174" i="25"/>
  <c r="CI175" i="25"/>
  <c r="CI64" i="25"/>
  <c r="CI65" i="25"/>
  <c r="CI66" i="25"/>
  <c r="CI67" i="25"/>
  <c r="CI146" i="25"/>
  <c r="CI177" i="25"/>
  <c r="CI34" i="25"/>
  <c r="CI35" i="25"/>
  <c r="CI178" i="25"/>
  <c r="CI176" i="25"/>
  <c r="CI36" i="25"/>
  <c r="CI37" i="25"/>
  <c r="CI39" i="25"/>
  <c r="CI40" i="25"/>
  <c r="CI41" i="25"/>
  <c r="CI117" i="25"/>
  <c r="CI147" i="25"/>
  <c r="CI42" i="25"/>
  <c r="CI43" i="25"/>
  <c r="CI68" i="25"/>
  <c r="CI69" i="25"/>
  <c r="CI44" i="25"/>
  <c r="CI70" i="25"/>
  <c r="CI198" i="25"/>
  <c r="CI179" i="25"/>
  <c r="CI45" i="25"/>
  <c r="CI118" i="25"/>
  <c r="CI46" i="25"/>
  <c r="CI47" i="25"/>
  <c r="CI180" i="25"/>
  <c r="CI71" i="25"/>
  <c r="CI48" i="25"/>
  <c r="CI49" i="25"/>
  <c r="CI181" i="25"/>
  <c r="CI50" i="25"/>
  <c r="CI72" i="25"/>
  <c r="CI182" i="25"/>
  <c r="CI51" i="25"/>
  <c r="CI183" i="25"/>
  <c r="CI155" i="25"/>
  <c r="CI52" i="25"/>
  <c r="CI53" i="25"/>
  <c r="CI184" i="25"/>
  <c r="CI54" i="25"/>
  <c r="CI185" i="25"/>
  <c r="CI119" i="25"/>
  <c r="CI120" i="25"/>
  <c r="CI121" i="25"/>
  <c r="CI81" i="25"/>
  <c r="CI82" i="25"/>
  <c r="CI135" i="25"/>
  <c r="CI83" i="25"/>
  <c r="CI84" i="25"/>
  <c r="CI86" i="25"/>
  <c r="CI87" i="25"/>
  <c r="CI88" i="25"/>
  <c r="CI85" i="25"/>
  <c r="CI89" i="25"/>
  <c r="CI90" i="25"/>
  <c r="CI91" i="25"/>
  <c r="CI92" i="25"/>
  <c r="CI93" i="25"/>
  <c r="CI94" i="25"/>
  <c r="CI95" i="25"/>
  <c r="CI96" i="25"/>
  <c r="CI97" i="25"/>
  <c r="CI98" i="25"/>
  <c r="CI7" i="25"/>
  <c r="CI8" i="25"/>
  <c r="CI101" i="25"/>
  <c r="CI124" i="25"/>
  <c r="CI108" i="25"/>
  <c r="CI109" i="25"/>
  <c r="CI122" i="25"/>
  <c r="CI110" i="25"/>
  <c r="CI111" i="25"/>
  <c r="CI123" i="25"/>
  <c r="CI112" i="25"/>
  <c r="CI113" i="25"/>
  <c r="CI114" i="25"/>
  <c r="CI115" i="25"/>
  <c r="CI116" i="25"/>
  <c r="CJ126" i="25"/>
  <c r="CJ186" i="25"/>
  <c r="CJ187" i="25"/>
  <c r="CJ77" i="25"/>
  <c r="CJ127" i="25"/>
  <c r="CJ78" i="25"/>
  <c r="CJ79" i="25"/>
  <c r="CJ9" i="25"/>
  <c r="CJ80" i="25"/>
  <c r="CJ188" i="25"/>
  <c r="CJ129" i="25"/>
  <c r="CJ159" i="25"/>
  <c r="CJ10" i="25"/>
  <c r="CJ160" i="25"/>
  <c r="CJ130" i="25"/>
  <c r="CJ133" i="25"/>
  <c r="CJ161" i="25"/>
  <c r="CJ162" i="25"/>
  <c r="CJ163" i="25"/>
  <c r="CJ164" i="25"/>
  <c r="CJ165" i="25"/>
  <c r="CJ11" i="25"/>
  <c r="CJ166" i="25"/>
  <c r="CJ55" i="25"/>
  <c r="CJ167" i="25"/>
  <c r="CJ168" i="25"/>
  <c r="CJ169" i="25"/>
  <c r="CJ56" i="25"/>
  <c r="CJ132" i="25"/>
  <c r="CJ12" i="25"/>
  <c r="CJ170" i="25"/>
  <c r="CJ57" i="25"/>
  <c r="CJ171" i="25"/>
  <c r="CJ13" i="25"/>
  <c r="CJ172" i="25"/>
  <c r="CJ173" i="25"/>
  <c r="CJ199" i="25"/>
  <c r="CJ202" i="25"/>
  <c r="CJ137" i="25"/>
  <c r="CJ73" i="25"/>
  <c r="CJ74" i="25"/>
  <c r="CJ76" i="25"/>
  <c r="CJ99" i="25"/>
  <c r="CJ100" i="25"/>
  <c r="CJ138" i="25"/>
  <c r="CJ139" i="25"/>
  <c r="CJ15" i="25"/>
  <c r="CJ59" i="25"/>
  <c r="CJ16" i="25"/>
  <c r="CJ58" i="25"/>
  <c r="CJ17" i="25"/>
  <c r="CJ18" i="25"/>
  <c r="CJ19" i="25"/>
  <c r="CJ20" i="25"/>
  <c r="CJ140" i="25"/>
  <c r="CJ141" i="25"/>
  <c r="CJ21" i="25"/>
  <c r="CJ60" i="25"/>
  <c r="CJ102" i="25"/>
  <c r="CJ61" i="25"/>
  <c r="CJ103" i="25"/>
  <c r="CJ189" i="25"/>
  <c r="CJ22" i="25"/>
  <c r="CJ104" i="25"/>
  <c r="CJ105" i="25"/>
  <c r="CJ23" i="25"/>
  <c r="CJ190" i="25"/>
  <c r="CJ191" i="25"/>
  <c r="CJ192" i="25"/>
  <c r="CJ142" i="25"/>
  <c r="CJ106" i="25"/>
  <c r="CJ193" i="25"/>
  <c r="CJ107" i="25"/>
  <c r="CJ143" i="25"/>
  <c r="CJ144" i="25"/>
  <c r="CJ200" i="25"/>
  <c r="CJ195" i="25"/>
  <c r="CJ201" i="25"/>
  <c r="CJ196" i="25"/>
  <c r="CJ25" i="25"/>
  <c r="CJ62" i="25"/>
  <c r="CJ63" i="25"/>
  <c r="CJ29" i="25"/>
  <c r="CJ30" i="25"/>
  <c r="CJ31" i="25"/>
  <c r="CJ174" i="25"/>
  <c r="CJ175" i="25"/>
  <c r="CJ64" i="25"/>
  <c r="CJ65" i="25"/>
  <c r="CJ66" i="25"/>
  <c r="CJ67" i="25"/>
  <c r="CJ146" i="25"/>
  <c r="CJ177" i="25"/>
  <c r="CJ34" i="25"/>
  <c r="CJ35" i="25"/>
  <c r="CJ178" i="25"/>
  <c r="CJ176" i="25"/>
  <c r="CJ36" i="25"/>
  <c r="CJ37" i="25"/>
  <c r="CJ39" i="25"/>
  <c r="CJ40" i="25"/>
  <c r="CJ41" i="25"/>
  <c r="CJ117" i="25"/>
  <c r="CJ147" i="25"/>
  <c r="CJ42" i="25"/>
  <c r="CJ43" i="25"/>
  <c r="CJ68" i="25"/>
  <c r="CJ69" i="25"/>
  <c r="CJ44" i="25"/>
  <c r="CJ70" i="25"/>
  <c r="CJ198" i="25"/>
  <c r="CJ179" i="25"/>
  <c r="CJ45" i="25"/>
  <c r="CJ118" i="25"/>
  <c r="CJ46" i="25"/>
  <c r="CJ47" i="25"/>
  <c r="CJ180" i="25"/>
  <c r="CJ71" i="25"/>
  <c r="CJ48" i="25"/>
  <c r="CJ49" i="25"/>
  <c r="CJ181" i="25"/>
  <c r="CJ50" i="25"/>
  <c r="CJ72" i="25"/>
  <c r="CJ182" i="25"/>
  <c r="CJ51" i="25"/>
  <c r="CJ183" i="25"/>
  <c r="CJ155" i="25"/>
  <c r="CJ52" i="25"/>
  <c r="CJ53" i="25"/>
  <c r="CJ184" i="25"/>
  <c r="CJ54" i="25"/>
  <c r="CJ185" i="25"/>
  <c r="CJ119" i="25"/>
  <c r="CJ120" i="25"/>
  <c r="CJ121" i="25"/>
  <c r="CJ81" i="25"/>
  <c r="CJ82" i="25"/>
  <c r="CJ135" i="25"/>
  <c r="CJ83" i="25"/>
  <c r="CJ84" i="25"/>
  <c r="CJ86" i="25"/>
  <c r="CJ87" i="25"/>
  <c r="CJ88" i="25"/>
  <c r="CJ85" i="25"/>
  <c r="CJ89" i="25"/>
  <c r="CJ90" i="25"/>
  <c r="CJ91" i="25"/>
  <c r="CJ92" i="25"/>
  <c r="CJ93" i="25"/>
  <c r="CJ94" i="25"/>
  <c r="CJ95" i="25"/>
  <c r="CJ96" i="25"/>
  <c r="CJ97" i="25"/>
  <c r="CJ98" i="25"/>
  <c r="CJ7" i="25"/>
  <c r="CJ8" i="25"/>
  <c r="CJ101" i="25"/>
  <c r="CJ124" i="25"/>
  <c r="CJ108" i="25"/>
  <c r="CJ109" i="25"/>
  <c r="CJ122" i="25"/>
  <c r="CJ110" i="25"/>
  <c r="CJ111" i="25"/>
  <c r="CJ123" i="25"/>
  <c r="CJ112" i="25"/>
  <c r="CJ113" i="25"/>
  <c r="CJ114" i="25"/>
  <c r="CJ115" i="25"/>
  <c r="CJ116" i="25"/>
  <c r="CK126" i="25"/>
  <c r="CK186" i="25"/>
  <c r="CK187" i="25"/>
  <c r="CK77" i="25"/>
  <c r="CK127" i="25"/>
  <c r="CK78" i="25"/>
  <c r="CK79" i="25"/>
  <c r="CK9" i="25"/>
  <c r="CK80" i="25"/>
  <c r="CK188" i="25"/>
  <c r="CK129" i="25"/>
  <c r="CK159" i="25"/>
  <c r="CK10" i="25"/>
  <c r="CK160" i="25"/>
  <c r="CK130" i="25"/>
  <c r="CK133" i="25"/>
  <c r="CK161" i="25"/>
  <c r="CK162" i="25"/>
  <c r="CK163" i="25"/>
  <c r="CK164" i="25"/>
  <c r="CK165" i="25"/>
  <c r="CK11" i="25"/>
  <c r="CK166" i="25"/>
  <c r="CK55" i="25"/>
  <c r="CK167" i="25"/>
  <c r="CK168" i="25"/>
  <c r="CK169" i="25"/>
  <c r="CK56" i="25"/>
  <c r="CK132" i="25"/>
  <c r="CK12" i="25"/>
  <c r="CK170" i="25"/>
  <c r="CK57" i="25"/>
  <c r="CK171" i="25"/>
  <c r="CK13" i="25"/>
  <c r="CK172" i="25"/>
  <c r="CK173" i="25"/>
  <c r="CK199" i="25"/>
  <c r="CK202" i="25"/>
  <c r="CK137" i="25"/>
  <c r="CK73" i="25"/>
  <c r="CK74" i="25"/>
  <c r="CK75" i="25"/>
  <c r="CK76" i="25"/>
  <c r="CK99" i="25"/>
  <c r="CK100" i="25"/>
  <c r="CK138" i="25"/>
  <c r="CK139" i="25"/>
  <c r="CK15" i="25"/>
  <c r="CK59" i="25"/>
  <c r="CK16" i="25"/>
  <c r="CK58" i="25"/>
  <c r="CK17" i="25"/>
  <c r="CK18" i="25"/>
  <c r="CK19" i="25"/>
  <c r="CK20" i="25"/>
  <c r="CK140" i="25"/>
  <c r="CK141" i="25"/>
  <c r="CK21" i="25"/>
  <c r="CK60" i="25"/>
  <c r="CK102" i="25"/>
  <c r="CK61" i="25"/>
  <c r="CK103" i="25"/>
  <c r="CK189" i="25"/>
  <c r="CK22" i="25"/>
  <c r="CK104" i="25"/>
  <c r="CK105" i="25"/>
  <c r="CK23" i="25"/>
  <c r="CK190" i="25"/>
  <c r="CK191" i="25"/>
  <c r="CK192" i="25"/>
  <c r="CK142" i="25"/>
  <c r="CK106" i="25"/>
  <c r="CK193" i="25"/>
  <c r="CK107" i="25"/>
  <c r="CK143" i="25"/>
  <c r="CK144" i="25"/>
  <c r="CK200" i="25"/>
  <c r="CK195" i="25"/>
  <c r="CK201" i="25"/>
  <c r="CK196" i="25"/>
  <c r="CK25" i="25"/>
  <c r="CK62" i="25"/>
  <c r="CK63" i="25"/>
  <c r="CK29" i="25"/>
  <c r="CK30" i="25"/>
  <c r="CK31" i="25"/>
  <c r="CK174" i="25"/>
  <c r="CK175" i="25"/>
  <c r="CK64" i="25"/>
  <c r="CK65" i="25"/>
  <c r="CK66" i="25"/>
  <c r="CK67" i="25"/>
  <c r="CK146" i="25"/>
  <c r="CK177" i="25"/>
  <c r="CK34" i="25"/>
  <c r="CK35" i="25"/>
  <c r="CK178" i="25"/>
  <c r="CK176" i="25"/>
  <c r="CK36" i="25"/>
  <c r="CK37" i="25"/>
  <c r="CK39" i="25"/>
  <c r="CK40" i="25"/>
  <c r="CK41" i="25"/>
  <c r="CK117" i="25"/>
  <c r="CK147" i="25"/>
  <c r="CK42" i="25"/>
  <c r="CK43" i="25"/>
  <c r="CK68" i="25"/>
  <c r="CK69" i="25"/>
  <c r="CK44" i="25"/>
  <c r="CK70" i="25"/>
  <c r="CK198" i="25"/>
  <c r="CK179" i="25"/>
  <c r="CK45" i="25"/>
  <c r="CK118" i="25"/>
  <c r="CK46" i="25"/>
  <c r="CK47" i="25"/>
  <c r="CK180" i="25"/>
  <c r="CK71" i="25"/>
  <c r="CK48" i="25"/>
  <c r="CK49" i="25"/>
  <c r="CK181" i="25"/>
  <c r="CK50" i="25"/>
  <c r="CK72" i="25"/>
  <c r="CK182" i="25"/>
  <c r="CK51" i="25"/>
  <c r="CK183" i="25"/>
  <c r="CK155" i="25"/>
  <c r="CK52" i="25"/>
  <c r="CK53" i="25"/>
  <c r="CK184" i="25"/>
  <c r="CK54" i="25"/>
  <c r="CK185" i="25"/>
  <c r="CK119" i="25"/>
  <c r="CK120" i="25"/>
  <c r="CK121" i="25"/>
  <c r="CK81" i="25"/>
  <c r="CK82" i="25"/>
  <c r="CK135" i="25"/>
  <c r="CK83" i="25"/>
  <c r="CK84" i="25"/>
  <c r="CK86" i="25"/>
  <c r="CK87" i="25"/>
  <c r="CK88" i="25"/>
  <c r="CK85" i="25"/>
  <c r="CK89" i="25"/>
  <c r="CK90" i="25"/>
  <c r="CK91" i="25"/>
  <c r="CK92" i="25"/>
  <c r="CK93" i="25"/>
  <c r="CK94" i="25"/>
  <c r="CK95" i="25"/>
  <c r="CK96" i="25"/>
  <c r="CK97" i="25"/>
  <c r="CK98" i="25"/>
  <c r="CK7" i="25"/>
  <c r="CK8" i="25"/>
  <c r="CK101" i="25"/>
  <c r="CK124" i="25"/>
  <c r="CK108" i="25"/>
  <c r="CK109" i="25"/>
  <c r="CK122" i="25"/>
  <c r="CK110" i="25"/>
  <c r="CK111" i="25"/>
  <c r="CK123" i="25"/>
  <c r="CK112" i="25"/>
  <c r="CK113" i="25"/>
  <c r="CK114" i="25"/>
  <c r="CK115" i="25"/>
  <c r="CK116" i="25"/>
  <c r="CL126" i="25"/>
  <c r="CL186" i="25"/>
  <c r="CL187" i="25"/>
  <c r="CL77" i="25"/>
  <c r="CL127" i="25"/>
  <c r="CL78" i="25"/>
  <c r="CL79" i="25"/>
  <c r="CL9" i="25"/>
  <c r="CL80" i="25"/>
  <c r="CL188" i="25"/>
  <c r="CL129" i="25"/>
  <c r="CL159" i="25"/>
  <c r="CL10" i="25"/>
  <c r="CL160" i="25"/>
  <c r="CL130" i="25"/>
  <c r="CL133" i="25"/>
  <c r="CL161" i="25"/>
  <c r="CL162" i="25"/>
  <c r="CL163" i="25"/>
  <c r="CL164" i="25"/>
  <c r="CL165" i="25"/>
  <c r="CL11" i="25"/>
  <c r="CL166" i="25"/>
  <c r="CL55" i="25"/>
  <c r="CL167" i="25"/>
  <c r="CL168" i="25"/>
  <c r="CL169" i="25"/>
  <c r="CL56" i="25"/>
  <c r="CL132" i="25"/>
  <c r="CL12" i="25"/>
  <c r="CL170" i="25"/>
  <c r="CL57" i="25"/>
  <c r="CL171" i="25"/>
  <c r="CL13" i="25"/>
  <c r="CL172" i="25"/>
  <c r="CL173" i="25"/>
  <c r="CL199" i="25"/>
  <c r="CL202" i="25"/>
  <c r="CL137" i="25"/>
  <c r="CL73" i="25"/>
  <c r="CL74" i="25"/>
  <c r="CL75" i="25"/>
  <c r="CL76" i="25"/>
  <c r="CL99" i="25"/>
  <c r="CL100" i="25"/>
  <c r="CL138" i="25"/>
  <c r="CL139" i="25"/>
  <c r="CL15" i="25"/>
  <c r="CL59" i="25"/>
  <c r="CL16" i="25"/>
  <c r="CL58" i="25"/>
  <c r="CL17" i="25"/>
  <c r="CL18" i="25"/>
  <c r="CL19" i="25"/>
  <c r="CL20" i="25"/>
  <c r="CL140" i="25"/>
  <c r="CL141" i="25"/>
  <c r="CL21" i="25"/>
  <c r="CL60" i="25"/>
  <c r="CL102" i="25"/>
  <c r="CL61" i="25"/>
  <c r="CL103" i="25"/>
  <c r="CL189" i="25"/>
  <c r="CL22" i="25"/>
  <c r="CL104" i="25"/>
  <c r="CL105" i="25"/>
  <c r="CL23" i="25"/>
  <c r="CL190" i="25"/>
  <c r="CL191" i="25"/>
  <c r="CL192" i="25"/>
  <c r="CL142" i="25"/>
  <c r="CL106" i="25"/>
  <c r="CL193" i="25"/>
  <c r="CL107" i="25"/>
  <c r="CL143" i="25"/>
  <c r="CL144" i="25"/>
  <c r="CL200" i="25"/>
  <c r="CL195" i="25"/>
  <c r="CL201" i="25"/>
  <c r="CL196" i="25"/>
  <c r="CL25" i="25"/>
  <c r="CL62" i="25"/>
  <c r="CL63" i="25"/>
  <c r="CL29" i="25"/>
  <c r="CL30" i="25"/>
  <c r="CL31" i="25"/>
  <c r="CL174" i="25"/>
  <c r="CL175" i="25"/>
  <c r="CL64" i="25"/>
  <c r="CL65" i="25"/>
  <c r="CL66" i="25"/>
  <c r="CL67" i="25"/>
  <c r="CL146" i="25"/>
  <c r="CL177" i="25"/>
  <c r="CL34" i="25"/>
  <c r="CL35" i="25"/>
  <c r="CL178" i="25"/>
  <c r="CL176" i="25"/>
  <c r="CL36" i="25"/>
  <c r="CL37" i="25"/>
  <c r="CL39" i="25"/>
  <c r="CL40" i="25"/>
  <c r="CL41" i="25"/>
  <c r="CL117" i="25"/>
  <c r="CL147" i="25"/>
  <c r="CL42" i="25"/>
  <c r="CL43" i="25"/>
  <c r="CL68" i="25"/>
  <c r="CL69" i="25"/>
  <c r="CL44" i="25"/>
  <c r="CL70" i="25"/>
  <c r="CL198" i="25"/>
  <c r="CL179" i="25"/>
  <c r="CL45" i="25"/>
  <c r="CL118" i="25"/>
  <c r="CL46" i="25"/>
  <c r="CL47" i="25"/>
  <c r="CL180" i="25"/>
  <c r="CL71" i="25"/>
  <c r="CL48" i="25"/>
  <c r="CL49" i="25"/>
  <c r="CL181" i="25"/>
  <c r="CL50" i="25"/>
  <c r="CL72" i="25"/>
  <c r="CL182" i="25"/>
  <c r="CL51" i="25"/>
  <c r="CL183" i="25"/>
  <c r="CL155" i="25"/>
  <c r="CL52" i="25"/>
  <c r="CL53" i="25"/>
  <c r="CL184" i="25"/>
  <c r="CL54" i="25"/>
  <c r="CL185" i="25"/>
  <c r="CL119" i="25"/>
  <c r="CL120" i="25"/>
  <c r="CL121" i="25"/>
  <c r="CL81" i="25"/>
  <c r="CL82" i="25"/>
  <c r="CL135" i="25"/>
  <c r="CL83" i="25"/>
  <c r="CL84" i="25"/>
  <c r="CL86" i="25"/>
  <c r="CL87" i="25"/>
  <c r="CL88" i="25"/>
  <c r="CL85" i="25"/>
  <c r="CL89" i="25"/>
  <c r="CL90" i="25"/>
  <c r="CL91" i="25"/>
  <c r="CL92" i="25"/>
  <c r="CL93" i="25"/>
  <c r="CL94" i="25"/>
  <c r="CL95" i="25"/>
  <c r="CL96" i="25"/>
  <c r="CL97" i="25"/>
  <c r="CL98" i="25"/>
  <c r="CL7" i="25"/>
  <c r="CL8" i="25"/>
  <c r="CL101" i="25"/>
  <c r="CL124" i="25"/>
  <c r="CL108" i="25"/>
  <c r="CL109" i="25"/>
  <c r="CL122" i="25"/>
  <c r="CL110" i="25"/>
  <c r="CL111" i="25"/>
  <c r="CL123" i="25"/>
  <c r="CL112" i="25"/>
  <c r="CL113" i="25"/>
  <c r="CL114" i="25"/>
  <c r="CL115" i="25"/>
  <c r="CL116" i="25"/>
  <c r="CO126" i="25"/>
  <c r="CO129" i="25"/>
  <c r="CO142" i="25"/>
  <c r="CP126" i="25"/>
  <c r="CP129" i="25"/>
  <c r="CP142" i="25"/>
  <c r="CT126" i="25"/>
  <c r="CS186" i="25"/>
  <c r="CT186" i="25" s="1"/>
  <c r="CS187" i="25"/>
  <c r="CT187" i="25" s="1"/>
  <c r="CS77" i="25"/>
  <c r="CT77" i="25" s="1"/>
  <c r="CS127" i="25"/>
  <c r="CT127" i="25" s="1"/>
  <c r="CS78" i="25"/>
  <c r="CT78" i="25" s="1"/>
  <c r="CS79" i="25"/>
  <c r="CT79" i="25" s="1"/>
  <c r="CS9" i="25"/>
  <c r="CT9" i="25" s="1"/>
  <c r="CS80" i="25"/>
  <c r="CT80" i="25" s="1"/>
  <c r="CS188" i="25"/>
  <c r="CT188" i="25" s="1"/>
  <c r="CT129" i="25"/>
  <c r="CS159" i="25"/>
  <c r="CT159" i="25" s="1"/>
  <c r="CS10" i="25"/>
  <c r="CT10" i="25" s="1"/>
  <c r="CS160" i="25"/>
  <c r="CT160" i="25" s="1"/>
  <c r="CS130" i="25"/>
  <c r="CT130" i="25" s="1"/>
  <c r="CS133" i="25"/>
  <c r="CT133" i="25" s="1"/>
  <c r="CS161" i="25"/>
  <c r="CT161" i="25" s="1"/>
  <c r="CS162" i="25"/>
  <c r="CT162" i="25" s="1"/>
  <c r="CS163" i="25"/>
  <c r="CT163" i="25" s="1"/>
  <c r="CS164" i="25"/>
  <c r="CT164" i="25" s="1"/>
  <c r="CS165" i="25"/>
  <c r="CT165" i="25" s="1"/>
  <c r="CS11" i="25"/>
  <c r="CT11" i="25" s="1"/>
  <c r="CS166" i="25"/>
  <c r="CT166" i="25" s="1"/>
  <c r="CS55" i="25"/>
  <c r="CT55" i="25" s="1"/>
  <c r="CS167" i="25"/>
  <c r="CT167" i="25" s="1"/>
  <c r="CS168" i="25"/>
  <c r="CT168" i="25" s="1"/>
  <c r="CS169" i="25"/>
  <c r="CT169" i="25" s="1"/>
  <c r="CS56" i="25"/>
  <c r="CT56" i="25" s="1"/>
  <c r="CS132" i="25"/>
  <c r="CT132" i="25" s="1"/>
  <c r="CS12" i="25"/>
  <c r="CT12" i="25" s="1"/>
  <c r="CS170" i="25"/>
  <c r="CT170" i="25" s="1"/>
  <c r="CS57" i="25"/>
  <c r="CT57" i="25" s="1"/>
  <c r="CS171" i="25"/>
  <c r="CT171" i="25" s="1"/>
  <c r="CS13" i="25"/>
  <c r="CT13" i="25" s="1"/>
  <c r="CS172" i="25"/>
  <c r="CT172" i="25" s="1"/>
  <c r="CS173" i="25"/>
  <c r="CT173" i="25" s="1"/>
  <c r="CS199" i="25"/>
  <c r="CT199" i="25" s="1"/>
  <c r="CS202" i="25"/>
  <c r="CT202" i="25" s="1"/>
  <c r="CS137" i="25"/>
  <c r="CT137" i="25" s="1"/>
  <c r="CS73" i="25"/>
  <c r="CT73" i="25" s="1"/>
  <c r="CS74" i="25"/>
  <c r="CT74" i="25" s="1"/>
  <c r="CS75" i="25"/>
  <c r="CT75" i="25" s="1"/>
  <c r="CS76" i="25"/>
  <c r="CT76" i="25" s="1"/>
  <c r="CS99" i="25"/>
  <c r="CT99" i="25" s="1"/>
  <c r="CS100" i="25"/>
  <c r="CT100" i="25" s="1"/>
  <c r="CS138" i="25"/>
  <c r="CT138" i="25" s="1"/>
  <c r="CS139" i="25"/>
  <c r="CT139" i="25" s="1"/>
  <c r="CS15" i="25"/>
  <c r="CT15" i="25" s="1"/>
  <c r="CS59" i="25"/>
  <c r="CT59" i="25" s="1"/>
  <c r="CS16" i="25"/>
  <c r="CT16" i="25" s="1"/>
  <c r="CS58" i="25"/>
  <c r="CT58" i="25" s="1"/>
  <c r="CS17" i="25"/>
  <c r="CT17" i="25" s="1"/>
  <c r="CS18" i="25"/>
  <c r="CT18" i="25" s="1"/>
  <c r="CS19" i="25"/>
  <c r="CT19" i="25" s="1"/>
  <c r="CS20" i="25"/>
  <c r="CT20" i="25" s="1"/>
  <c r="CS140" i="25"/>
  <c r="CT140" i="25" s="1"/>
  <c r="CS141" i="25"/>
  <c r="CT141" i="25" s="1"/>
  <c r="CS21" i="25"/>
  <c r="CT21" i="25" s="1"/>
  <c r="CS60" i="25"/>
  <c r="CT60" i="25" s="1"/>
  <c r="CS102" i="25"/>
  <c r="CT102" i="25" s="1"/>
  <c r="CS61" i="25"/>
  <c r="CT61" i="25" s="1"/>
  <c r="CS103" i="25"/>
  <c r="CT103" i="25" s="1"/>
  <c r="CS189" i="25"/>
  <c r="CT189" i="25" s="1"/>
  <c r="CS22" i="25"/>
  <c r="CT22" i="25" s="1"/>
  <c r="CS104" i="25"/>
  <c r="CT104" i="25" s="1"/>
  <c r="CS105" i="25"/>
  <c r="CT105" i="25" s="1"/>
  <c r="CS23" i="25"/>
  <c r="CT23" i="25" s="1"/>
  <c r="CS190" i="25"/>
  <c r="CT190" i="25" s="1"/>
  <c r="CS191" i="25"/>
  <c r="CT191" i="25" s="1"/>
  <c r="CS192" i="25"/>
  <c r="CT192" i="25" s="1"/>
  <c r="CT142" i="25"/>
  <c r="CS106" i="25"/>
  <c r="CT106" i="25" s="1"/>
  <c r="CS193" i="25"/>
  <c r="CT193" i="25" s="1"/>
  <c r="CS107" i="25"/>
  <c r="CT107" i="25" s="1"/>
  <c r="CS143" i="25"/>
  <c r="CT143" i="25" s="1"/>
  <c r="CS144" i="25"/>
  <c r="CT144" i="25" s="1"/>
  <c r="CS200" i="25"/>
  <c r="CT200" i="25" s="1"/>
  <c r="CS195" i="25"/>
  <c r="CT195" i="25" s="1"/>
  <c r="CS201" i="25"/>
  <c r="CT201" i="25" s="1"/>
  <c r="CS196" i="25"/>
  <c r="CT196" i="25" s="1"/>
  <c r="CS25" i="25"/>
  <c r="CT25" i="25" s="1"/>
  <c r="CS62" i="25"/>
  <c r="CT62" i="25" s="1"/>
  <c r="CS63" i="25"/>
  <c r="CT63" i="25" s="1"/>
  <c r="CS29" i="25"/>
  <c r="CT29" i="25" s="1"/>
  <c r="CS30" i="25"/>
  <c r="CT30" i="25" s="1"/>
  <c r="CS31" i="25"/>
  <c r="CT31" i="25" s="1"/>
  <c r="CS174" i="25"/>
  <c r="CS175" i="25"/>
  <c r="CT175" i="25" s="1"/>
  <c r="CS64" i="25"/>
  <c r="CT64" i="25" s="1"/>
  <c r="CS65" i="25"/>
  <c r="CT65" i="25" s="1"/>
  <c r="CS66" i="25"/>
  <c r="CT66" i="25" s="1"/>
  <c r="CS67" i="25"/>
  <c r="CT67" i="25" s="1"/>
  <c r="CS146" i="25"/>
  <c r="CT146" i="25" s="1"/>
  <c r="CS177" i="25"/>
  <c r="CT177" i="25" s="1"/>
  <c r="CS34" i="25"/>
  <c r="CT34" i="25" s="1"/>
  <c r="CS35" i="25"/>
  <c r="CT35" i="25" s="1"/>
  <c r="CS178" i="25"/>
  <c r="CT178" i="25" s="1"/>
  <c r="CS176" i="25"/>
  <c r="CT176" i="25" s="1"/>
  <c r="CS36" i="25"/>
  <c r="CT36" i="25" s="1"/>
  <c r="CS37" i="25"/>
  <c r="CT37" i="25" s="1"/>
  <c r="CS39" i="25"/>
  <c r="CT39" i="25" s="1"/>
  <c r="CS40" i="25"/>
  <c r="CT40" i="25" s="1"/>
  <c r="CS41" i="25"/>
  <c r="CT41" i="25" s="1"/>
  <c r="CS117" i="25"/>
  <c r="CT117" i="25" s="1"/>
  <c r="CS147" i="25"/>
  <c r="CT147" i="25" s="1"/>
  <c r="CS42" i="25"/>
  <c r="CT42" i="25" s="1"/>
  <c r="CS43" i="25"/>
  <c r="CT43" i="25" s="1"/>
  <c r="CS68" i="25"/>
  <c r="CT68" i="25" s="1"/>
  <c r="CS69" i="25"/>
  <c r="CT69" i="25" s="1"/>
  <c r="CS44" i="25"/>
  <c r="CT44" i="25" s="1"/>
  <c r="CS70" i="25"/>
  <c r="CT70" i="25" s="1"/>
  <c r="CS198" i="25"/>
  <c r="CT198" i="25" s="1"/>
  <c r="CS179" i="25"/>
  <c r="CS45" i="25"/>
  <c r="CT45" i="25" s="1"/>
  <c r="CS118" i="25"/>
  <c r="CT118" i="25" s="1"/>
  <c r="CS46" i="25"/>
  <c r="CT46" i="25" s="1"/>
  <c r="CS47" i="25"/>
  <c r="CT47" i="25" s="1"/>
  <c r="CS180" i="25"/>
  <c r="CT180" i="25" s="1"/>
  <c r="CS71" i="25"/>
  <c r="CT71" i="25" s="1"/>
  <c r="CS48" i="25"/>
  <c r="CT48" i="25" s="1"/>
  <c r="CS49" i="25"/>
  <c r="CS181" i="25"/>
  <c r="CT181" i="25" s="1"/>
  <c r="CS50" i="25"/>
  <c r="CT50" i="25" s="1"/>
  <c r="CS72" i="25"/>
  <c r="CT72" i="25" s="1"/>
  <c r="CS182" i="25"/>
  <c r="CT182" i="25" s="1"/>
  <c r="CS51" i="25"/>
  <c r="CT51" i="25" s="1"/>
  <c r="CS183" i="25"/>
  <c r="CT183" i="25" s="1"/>
  <c r="CS155" i="25"/>
  <c r="CT155" i="25" s="1"/>
  <c r="CS52" i="25"/>
  <c r="CT52" i="25" s="1"/>
  <c r="CS53" i="25"/>
  <c r="CT53" i="25" s="1"/>
  <c r="CS184" i="25"/>
  <c r="CT184" i="25" s="1"/>
  <c r="CS54" i="25"/>
  <c r="CT54" i="25" s="1"/>
  <c r="CS185" i="25"/>
  <c r="CT185" i="25" s="1"/>
  <c r="CS119" i="25"/>
  <c r="CT119" i="25" s="1"/>
  <c r="CS120" i="25"/>
  <c r="CT120" i="25" s="1"/>
  <c r="CS121" i="25"/>
  <c r="CT121" i="25" s="1"/>
  <c r="CS81" i="25"/>
  <c r="CT81" i="25" s="1"/>
  <c r="CS82" i="25"/>
  <c r="CT82" i="25" s="1"/>
  <c r="CS135" i="25"/>
  <c r="CT135" i="25" s="1"/>
  <c r="CS83" i="25"/>
  <c r="CT83" i="25" s="1"/>
  <c r="CS84" i="25"/>
  <c r="CT84" i="25" s="1"/>
  <c r="CS86" i="25"/>
  <c r="CT86" i="25" s="1"/>
  <c r="CS87" i="25"/>
  <c r="CT87" i="25" s="1"/>
  <c r="CS88" i="25"/>
  <c r="CS85" i="25"/>
  <c r="CT85" i="25" s="1"/>
  <c r="CS89" i="25"/>
  <c r="CT89" i="25" s="1"/>
  <c r="CS90" i="25"/>
  <c r="CT90" i="25" s="1"/>
  <c r="CS91" i="25"/>
  <c r="CT91" i="25" s="1"/>
  <c r="CS92" i="25"/>
  <c r="CT92" i="25" s="1"/>
  <c r="CS93" i="25"/>
  <c r="CT93" i="25" s="1"/>
  <c r="CS94" i="25"/>
  <c r="CT94" i="25" s="1"/>
  <c r="CS95" i="25"/>
  <c r="CT95" i="25" s="1"/>
  <c r="CS96" i="25"/>
  <c r="CT96" i="25" s="1"/>
  <c r="CS97" i="25"/>
  <c r="CT97" i="25" s="1"/>
  <c r="CS98" i="25"/>
  <c r="CT98" i="25" s="1"/>
  <c r="CS7" i="25"/>
  <c r="CT7" i="25" s="1"/>
  <c r="CS8" i="25"/>
  <c r="CT8" i="25" s="1"/>
  <c r="CS101" i="25"/>
  <c r="CT101" i="25" s="1"/>
  <c r="CS124" i="25"/>
  <c r="CT124" i="25" s="1"/>
  <c r="CS108" i="25"/>
  <c r="CT108" i="25" s="1"/>
  <c r="CS109" i="25"/>
  <c r="CT109" i="25" s="1"/>
  <c r="CS122" i="25"/>
  <c r="CT122" i="25" s="1"/>
  <c r="CS110" i="25"/>
  <c r="CT110" i="25" s="1"/>
  <c r="CS111" i="25"/>
  <c r="CT111" i="25" s="1"/>
  <c r="CS123" i="25"/>
  <c r="CT123" i="25" s="1"/>
  <c r="CS112" i="25"/>
  <c r="CS113" i="25"/>
  <c r="CT113" i="25" s="1"/>
  <c r="CS114" i="25"/>
  <c r="CT114" i="25" s="1"/>
  <c r="CS115" i="25"/>
  <c r="CT115" i="25" s="1"/>
  <c r="CS116" i="25"/>
  <c r="CT116" i="25" s="1"/>
  <c r="DA126" i="25"/>
  <c r="DA186" i="25"/>
  <c r="DA187" i="25"/>
  <c r="DA77" i="25"/>
  <c r="DA127" i="25"/>
  <c r="DA78" i="25"/>
  <c r="DA79" i="25"/>
  <c r="DA9" i="25"/>
  <c r="DA80" i="25"/>
  <c r="DA188" i="25"/>
  <c r="DA129" i="25"/>
  <c r="DA159" i="25"/>
  <c r="DA10" i="25"/>
  <c r="DA160" i="25"/>
  <c r="DA130" i="25"/>
  <c r="DA133" i="25"/>
  <c r="DA161" i="25"/>
  <c r="DA162" i="25"/>
  <c r="DA163" i="25"/>
  <c r="DA164" i="25"/>
  <c r="DA165" i="25"/>
  <c r="DA11" i="25"/>
  <c r="DA166" i="25"/>
  <c r="DA55" i="25"/>
  <c r="DA167" i="25"/>
  <c r="DA168" i="25"/>
  <c r="DA169" i="25"/>
  <c r="DA56" i="25"/>
  <c r="DA132" i="25"/>
  <c r="DA12" i="25"/>
  <c r="DA170" i="25"/>
  <c r="DA57" i="25"/>
  <c r="DA171" i="25"/>
  <c r="DA13" i="25"/>
  <c r="DA172" i="25"/>
  <c r="DA173" i="25"/>
  <c r="DA199" i="25"/>
  <c r="DA202" i="25"/>
  <c r="DA137" i="25"/>
  <c r="DA73" i="25"/>
  <c r="DA74" i="25"/>
  <c r="DA75" i="25"/>
  <c r="DA76" i="25"/>
  <c r="DA99" i="25"/>
  <c r="DA100" i="25"/>
  <c r="DA138" i="25"/>
  <c r="DA139" i="25"/>
  <c r="DA15" i="25"/>
  <c r="DA59" i="25"/>
  <c r="DA16" i="25"/>
  <c r="DA58" i="25"/>
  <c r="DA17" i="25"/>
  <c r="DA18" i="25"/>
  <c r="DA19" i="25"/>
  <c r="DA20" i="25"/>
  <c r="DA140" i="25"/>
  <c r="DA141" i="25"/>
  <c r="DA21" i="25"/>
  <c r="DA60" i="25"/>
  <c r="DA102" i="25"/>
  <c r="DA61" i="25"/>
  <c r="DA103" i="25"/>
  <c r="DA189" i="25"/>
  <c r="DA22" i="25"/>
  <c r="DA104" i="25"/>
  <c r="DA105" i="25"/>
  <c r="DA23" i="25"/>
  <c r="DA190" i="25"/>
  <c r="DA191" i="25"/>
  <c r="DA192" i="25"/>
  <c r="DA142" i="25"/>
  <c r="DA106" i="25"/>
  <c r="DA193" i="25"/>
  <c r="DA107" i="25"/>
  <c r="DA143" i="25"/>
  <c r="DA144" i="25"/>
  <c r="DA200" i="25"/>
  <c r="DA195" i="25"/>
  <c r="DA201" i="25"/>
  <c r="DA196" i="25"/>
  <c r="DA25" i="25"/>
  <c r="DA62" i="25"/>
  <c r="DA63" i="25"/>
  <c r="DA29" i="25"/>
  <c r="DA30" i="25"/>
  <c r="DA31" i="25"/>
  <c r="DA174" i="25"/>
  <c r="DA175" i="25"/>
  <c r="DA64" i="25"/>
  <c r="DA65" i="25"/>
  <c r="DA66" i="25"/>
  <c r="DA67" i="25"/>
  <c r="DA146" i="25"/>
  <c r="DA177" i="25"/>
  <c r="DA34" i="25"/>
  <c r="DA35" i="25"/>
  <c r="DA178" i="25"/>
  <c r="DA176" i="25"/>
  <c r="DA36" i="25"/>
  <c r="DA37" i="25"/>
  <c r="DA39" i="25"/>
  <c r="DA40" i="25"/>
  <c r="DA41" i="25"/>
  <c r="DA117" i="25"/>
  <c r="DA147" i="25"/>
  <c r="DA42" i="25"/>
  <c r="DA43" i="25"/>
  <c r="DA68" i="25"/>
  <c r="DA69" i="25"/>
  <c r="DA44" i="25"/>
  <c r="DA70" i="25"/>
  <c r="DA198" i="25"/>
  <c r="DA179" i="25"/>
  <c r="DA45" i="25"/>
  <c r="DA118" i="25"/>
  <c r="DA46" i="25"/>
  <c r="DA47" i="25"/>
  <c r="DA180" i="25"/>
  <c r="DA71" i="25"/>
  <c r="DA48" i="25"/>
  <c r="DA49" i="25"/>
  <c r="DA181" i="25"/>
  <c r="DA50" i="25"/>
  <c r="DA72" i="25"/>
  <c r="DA182" i="25"/>
  <c r="DA51" i="25"/>
  <c r="DA183" i="25"/>
  <c r="DA155" i="25"/>
  <c r="DA52" i="25"/>
  <c r="DA53" i="25"/>
  <c r="DA184" i="25"/>
  <c r="DA54" i="25"/>
  <c r="DA185" i="25"/>
  <c r="DA119" i="25"/>
  <c r="DA120" i="25"/>
  <c r="DA121" i="25"/>
  <c r="DA81" i="25"/>
  <c r="DA82" i="25"/>
  <c r="DA135" i="25"/>
  <c r="DA83" i="25"/>
  <c r="DA84" i="25"/>
  <c r="DA86" i="25"/>
  <c r="DA87" i="25"/>
  <c r="DA88" i="25"/>
  <c r="DA85" i="25"/>
  <c r="DA89" i="25"/>
  <c r="DA90" i="25"/>
  <c r="DA91" i="25"/>
  <c r="DA92" i="25"/>
  <c r="DA93" i="25"/>
  <c r="DA94" i="25"/>
  <c r="DA95" i="25"/>
  <c r="DA96" i="25"/>
  <c r="DA97" i="25"/>
  <c r="DA98" i="25"/>
  <c r="DA7" i="25"/>
  <c r="DA8" i="25"/>
  <c r="DA101" i="25"/>
  <c r="DA124" i="25"/>
  <c r="DA108" i="25"/>
  <c r="DA109" i="25"/>
  <c r="DA122" i="25"/>
  <c r="DA110" i="25"/>
  <c r="DA111" i="25"/>
  <c r="DA123" i="25"/>
  <c r="DA112" i="25"/>
  <c r="DA113" i="25"/>
  <c r="DA114" i="25"/>
  <c r="DA115" i="25"/>
  <c r="DA116" i="25"/>
  <c r="DB126" i="25"/>
  <c r="DB186" i="25"/>
  <c r="DB187" i="25"/>
  <c r="DB77" i="25"/>
  <c r="DB127" i="25"/>
  <c r="DB78" i="25"/>
  <c r="DB79" i="25"/>
  <c r="DB9" i="25"/>
  <c r="DB80" i="25"/>
  <c r="DB188" i="25"/>
  <c r="DB129" i="25"/>
  <c r="DB159" i="25"/>
  <c r="DB10" i="25"/>
  <c r="DB160" i="25"/>
  <c r="DB130" i="25"/>
  <c r="DB133" i="25"/>
  <c r="DB161" i="25"/>
  <c r="DB162" i="25"/>
  <c r="DB163" i="25"/>
  <c r="DB164" i="25"/>
  <c r="DB165" i="25"/>
  <c r="DB11" i="25"/>
  <c r="DB166" i="25"/>
  <c r="DB55" i="25"/>
  <c r="DB167" i="25"/>
  <c r="DB168" i="25"/>
  <c r="DB169" i="25"/>
  <c r="DB56" i="25"/>
  <c r="DB132" i="25"/>
  <c r="DB12" i="25"/>
  <c r="DB170" i="25"/>
  <c r="DB57" i="25"/>
  <c r="DB171" i="25"/>
  <c r="DB13" i="25"/>
  <c r="DB172" i="25"/>
  <c r="DB173" i="25"/>
  <c r="DB199" i="25"/>
  <c r="DB202" i="25"/>
  <c r="DB137" i="25"/>
  <c r="DB73" i="25"/>
  <c r="DB74" i="25"/>
  <c r="DB75" i="25"/>
  <c r="DB76" i="25"/>
  <c r="DB99" i="25"/>
  <c r="DB100" i="25"/>
  <c r="DB138" i="25"/>
  <c r="DB139" i="25"/>
  <c r="DB15" i="25"/>
  <c r="DB59" i="25"/>
  <c r="DB16" i="25"/>
  <c r="DB58" i="25"/>
  <c r="DB17" i="25"/>
  <c r="DB18" i="25"/>
  <c r="DB19" i="25"/>
  <c r="DB20" i="25"/>
  <c r="DB140" i="25"/>
  <c r="DB141" i="25"/>
  <c r="DB21" i="25"/>
  <c r="DB60" i="25"/>
  <c r="DB102" i="25"/>
  <c r="DB61" i="25"/>
  <c r="DB103" i="25"/>
  <c r="DB189" i="25"/>
  <c r="DB22" i="25"/>
  <c r="DB104" i="25"/>
  <c r="DB105" i="25"/>
  <c r="DB23" i="25"/>
  <c r="DB190" i="25"/>
  <c r="DB191" i="25"/>
  <c r="DB192" i="25"/>
  <c r="DB142" i="25"/>
  <c r="DB106" i="25"/>
  <c r="DB193" i="25"/>
  <c r="DB107" i="25"/>
  <c r="DB143" i="25"/>
  <c r="DB144" i="25"/>
  <c r="DB200" i="25"/>
  <c r="DB195" i="25"/>
  <c r="DB201" i="25"/>
  <c r="DB196" i="25"/>
  <c r="DB25" i="25"/>
  <c r="DB62" i="25"/>
  <c r="DB63" i="25"/>
  <c r="DB29" i="25"/>
  <c r="DB30" i="25"/>
  <c r="DB31" i="25"/>
  <c r="DB174" i="25"/>
  <c r="DB175" i="25"/>
  <c r="DB64" i="25"/>
  <c r="DB65" i="25"/>
  <c r="DB66" i="25"/>
  <c r="DB67" i="25"/>
  <c r="DB146" i="25"/>
  <c r="DB177" i="25"/>
  <c r="DB34" i="25"/>
  <c r="DB35" i="25"/>
  <c r="DB178" i="25"/>
  <c r="DB176" i="25"/>
  <c r="DB36" i="25"/>
  <c r="DB37" i="25"/>
  <c r="DB39" i="25"/>
  <c r="DB40" i="25"/>
  <c r="DB41" i="25"/>
  <c r="DB117" i="25"/>
  <c r="DB147" i="25"/>
  <c r="DB42" i="25"/>
  <c r="DB43" i="25"/>
  <c r="DB68" i="25"/>
  <c r="DB69" i="25"/>
  <c r="DB44" i="25"/>
  <c r="DB70" i="25"/>
  <c r="DB198" i="25"/>
  <c r="DB179" i="25"/>
  <c r="DB45" i="25"/>
  <c r="DB118" i="25"/>
  <c r="DB46" i="25"/>
  <c r="DB47" i="25"/>
  <c r="DB180" i="25"/>
  <c r="DB71" i="25"/>
  <c r="DB48" i="25"/>
  <c r="DB49" i="25"/>
  <c r="DB181" i="25"/>
  <c r="DB50" i="25"/>
  <c r="DB72" i="25"/>
  <c r="DB182" i="25"/>
  <c r="DB51" i="25"/>
  <c r="DB183" i="25"/>
  <c r="DB155" i="25"/>
  <c r="DB52" i="25"/>
  <c r="DB53" i="25"/>
  <c r="DB184" i="25"/>
  <c r="DB54" i="25"/>
  <c r="DB185" i="25"/>
  <c r="DB119" i="25"/>
  <c r="DB120" i="25"/>
  <c r="DB121" i="25"/>
  <c r="DB81" i="25"/>
  <c r="DB82" i="25"/>
  <c r="DB135" i="25"/>
  <c r="DB83" i="25"/>
  <c r="DB84" i="25"/>
  <c r="DB86" i="25"/>
  <c r="DB87" i="25"/>
  <c r="DB88" i="25"/>
  <c r="DB85" i="25"/>
  <c r="DB89" i="25"/>
  <c r="DB90" i="25"/>
  <c r="DB91" i="25"/>
  <c r="DB92" i="25"/>
  <c r="DB93" i="25"/>
  <c r="DB94" i="25"/>
  <c r="DB95" i="25"/>
  <c r="DB96" i="25"/>
  <c r="DB97" i="25"/>
  <c r="DB98" i="25"/>
  <c r="DB7" i="25"/>
  <c r="DB8" i="25"/>
  <c r="DB101" i="25"/>
  <c r="DB124" i="25"/>
  <c r="DB108" i="25"/>
  <c r="DB109" i="25"/>
  <c r="DB122" i="25"/>
  <c r="DB110" i="25"/>
  <c r="DB111" i="25"/>
  <c r="DB123" i="25"/>
  <c r="DB112" i="25"/>
  <c r="DB113" i="25"/>
  <c r="DB114" i="25"/>
  <c r="DB115" i="25"/>
  <c r="DB116" i="25"/>
  <c r="DD126" i="25"/>
  <c r="DD129" i="25"/>
  <c r="DD142" i="25"/>
  <c r="DG126" i="25"/>
  <c r="DG186" i="25"/>
  <c r="DG187" i="25"/>
  <c r="DG77" i="25"/>
  <c r="DG127" i="25"/>
  <c r="ED127" i="25" s="1"/>
  <c r="DG78" i="25"/>
  <c r="DG79" i="25"/>
  <c r="DG9" i="25"/>
  <c r="DG80" i="25"/>
  <c r="DG188" i="25"/>
  <c r="DG129" i="25"/>
  <c r="DG159" i="25"/>
  <c r="DG10" i="25"/>
  <c r="ED10" i="25" s="1"/>
  <c r="DG160" i="25"/>
  <c r="DG130" i="25"/>
  <c r="DG133" i="25"/>
  <c r="DG161" i="25"/>
  <c r="DG162" i="25"/>
  <c r="DG163" i="25"/>
  <c r="DG164" i="25"/>
  <c r="DG165" i="25"/>
  <c r="DG11" i="25"/>
  <c r="DG166" i="25"/>
  <c r="DG55" i="25"/>
  <c r="DG167" i="25"/>
  <c r="DG168" i="25"/>
  <c r="DG169" i="25"/>
  <c r="DG56" i="25"/>
  <c r="DG132" i="25"/>
  <c r="DG12" i="25"/>
  <c r="DG170" i="25"/>
  <c r="DG57" i="25"/>
  <c r="DG171" i="25"/>
  <c r="DG13" i="25"/>
  <c r="DG172" i="25"/>
  <c r="DG173" i="25"/>
  <c r="DG199" i="25"/>
  <c r="DG202" i="25"/>
  <c r="DG137" i="25"/>
  <c r="DG73" i="25"/>
  <c r="DG74" i="25"/>
  <c r="DG75" i="25"/>
  <c r="DG76" i="25"/>
  <c r="DG99" i="25"/>
  <c r="DG100" i="25"/>
  <c r="DG138" i="25"/>
  <c r="DG139" i="25"/>
  <c r="DG15" i="25"/>
  <c r="DG59" i="25"/>
  <c r="DG16" i="25"/>
  <c r="DG58" i="25"/>
  <c r="DG17" i="25"/>
  <c r="DG18" i="25"/>
  <c r="DG19" i="25"/>
  <c r="DG20" i="25"/>
  <c r="DG140" i="25"/>
  <c r="DG141" i="25"/>
  <c r="DG21" i="25"/>
  <c r="DG60" i="25"/>
  <c r="DG102" i="25"/>
  <c r="DG61" i="25"/>
  <c r="DG103" i="25"/>
  <c r="DG189" i="25"/>
  <c r="DG22" i="25"/>
  <c r="DG104" i="25"/>
  <c r="DG105" i="25"/>
  <c r="DG23" i="25"/>
  <c r="DG190" i="25"/>
  <c r="DG191" i="25"/>
  <c r="DG192" i="25"/>
  <c r="DG142" i="25"/>
  <c r="DG106" i="25"/>
  <c r="DG193" i="25"/>
  <c r="DG107" i="25"/>
  <c r="DG143" i="25"/>
  <c r="DG144" i="25"/>
  <c r="DG200" i="25"/>
  <c r="DG195" i="25"/>
  <c r="DG201" i="25"/>
  <c r="DG196" i="25"/>
  <c r="DG25" i="25"/>
  <c r="DG62" i="25"/>
  <c r="DG63" i="25"/>
  <c r="DG29" i="25"/>
  <c r="DG30" i="25"/>
  <c r="DG31" i="25"/>
  <c r="DG174" i="25"/>
  <c r="DG175" i="25"/>
  <c r="DG64" i="25"/>
  <c r="DG65" i="25"/>
  <c r="DG66" i="25"/>
  <c r="DG67" i="25"/>
  <c r="DG146" i="25"/>
  <c r="DG177" i="25"/>
  <c r="DG34" i="25"/>
  <c r="DG35" i="25"/>
  <c r="DG178" i="25"/>
  <c r="DG176" i="25"/>
  <c r="DG36" i="25"/>
  <c r="DG37" i="25"/>
  <c r="DG39" i="25"/>
  <c r="DG40" i="25"/>
  <c r="DG41" i="25"/>
  <c r="DG117" i="25"/>
  <c r="DG147" i="25"/>
  <c r="DG42" i="25"/>
  <c r="DG43" i="25"/>
  <c r="DG68" i="25"/>
  <c r="DG69" i="25"/>
  <c r="DG44" i="25"/>
  <c r="DG70" i="25"/>
  <c r="DG198" i="25"/>
  <c r="DG179" i="25"/>
  <c r="DG45" i="25"/>
  <c r="DG118" i="25"/>
  <c r="DG46" i="25"/>
  <c r="DG47" i="25"/>
  <c r="DG180" i="25"/>
  <c r="DG71" i="25"/>
  <c r="DG48" i="25"/>
  <c r="DG49" i="25"/>
  <c r="DG181" i="25"/>
  <c r="DG50" i="25"/>
  <c r="DG72" i="25"/>
  <c r="DG182" i="25"/>
  <c r="DG51" i="25"/>
  <c r="DG183" i="25"/>
  <c r="DG155" i="25"/>
  <c r="DG52" i="25"/>
  <c r="ED52" i="25" s="1"/>
  <c r="DG53" i="25"/>
  <c r="DG184" i="25"/>
  <c r="DG54" i="25"/>
  <c r="DG185" i="25"/>
  <c r="DG119" i="25"/>
  <c r="DG120" i="25"/>
  <c r="DG121" i="25"/>
  <c r="DG81" i="25"/>
  <c r="DG82" i="25"/>
  <c r="DG135" i="25"/>
  <c r="DG83" i="25"/>
  <c r="DG84" i="25"/>
  <c r="DG86" i="25"/>
  <c r="DG87" i="25"/>
  <c r="DG88" i="25"/>
  <c r="DG85" i="25"/>
  <c r="DG89" i="25"/>
  <c r="DG90" i="25"/>
  <c r="DG91" i="25"/>
  <c r="DG92" i="25"/>
  <c r="DG93" i="25"/>
  <c r="DG94" i="25"/>
  <c r="DG95" i="25"/>
  <c r="DG96" i="25"/>
  <c r="DG97" i="25"/>
  <c r="DG98" i="25"/>
  <c r="DG7" i="25"/>
  <c r="DG8" i="25"/>
  <c r="DG101" i="25"/>
  <c r="DG124" i="25"/>
  <c r="DG108" i="25"/>
  <c r="DG109" i="25"/>
  <c r="DG122" i="25"/>
  <c r="DG110" i="25"/>
  <c r="DG111" i="25"/>
  <c r="DG123" i="25"/>
  <c r="DG112" i="25"/>
  <c r="DG113" i="25"/>
  <c r="DG114" i="25"/>
  <c r="DG115" i="25"/>
  <c r="DG116" i="25"/>
  <c r="DK186" i="25"/>
  <c r="DK187" i="25"/>
  <c r="DK77" i="25"/>
  <c r="DK127" i="25"/>
  <c r="DK78" i="25"/>
  <c r="DK79" i="25"/>
  <c r="DK9" i="25"/>
  <c r="DK80" i="25"/>
  <c r="DK188" i="25"/>
  <c r="DK159" i="25"/>
  <c r="DK10" i="25"/>
  <c r="DK160" i="25"/>
  <c r="DK130" i="25"/>
  <c r="DK133" i="25"/>
  <c r="DK161" i="25"/>
  <c r="DK162" i="25"/>
  <c r="DK163" i="25"/>
  <c r="DK164" i="25"/>
  <c r="DK165" i="25"/>
  <c r="DK11" i="25"/>
  <c r="DK166" i="25"/>
  <c r="DK55" i="25"/>
  <c r="DK167" i="25"/>
  <c r="DK168" i="25"/>
  <c r="DK169" i="25"/>
  <c r="DK56" i="25"/>
  <c r="DK132" i="25"/>
  <c r="DK12" i="25"/>
  <c r="DK170" i="25"/>
  <c r="DK57" i="25"/>
  <c r="DK171" i="25"/>
  <c r="DK13" i="25"/>
  <c r="DK172" i="25"/>
  <c r="DK173" i="25"/>
  <c r="DK199" i="25"/>
  <c r="DK202" i="25"/>
  <c r="DK137" i="25"/>
  <c r="DK73" i="25"/>
  <c r="DK74" i="25"/>
  <c r="DK75" i="25"/>
  <c r="DK76" i="25"/>
  <c r="DK99" i="25"/>
  <c r="DK100" i="25"/>
  <c r="DK138" i="25"/>
  <c r="DK139" i="25"/>
  <c r="DK15" i="25"/>
  <c r="DK59" i="25"/>
  <c r="DK16" i="25"/>
  <c r="DK58" i="25"/>
  <c r="DK17" i="25"/>
  <c r="DK18" i="25"/>
  <c r="DK19" i="25"/>
  <c r="DK20" i="25"/>
  <c r="DK140" i="25"/>
  <c r="DK141" i="25"/>
  <c r="DK21" i="25"/>
  <c r="DK60" i="25"/>
  <c r="DK102" i="25"/>
  <c r="DK61" i="25"/>
  <c r="DK103" i="25"/>
  <c r="DK189" i="25"/>
  <c r="DK22" i="25"/>
  <c r="DK104" i="25"/>
  <c r="DK105" i="25"/>
  <c r="DK23" i="25"/>
  <c r="DK190" i="25"/>
  <c r="DK191" i="25"/>
  <c r="DK192" i="25"/>
  <c r="DK106" i="25"/>
  <c r="DK193" i="25"/>
  <c r="DK107" i="25"/>
  <c r="DK143" i="25"/>
  <c r="DK144" i="25"/>
  <c r="DK200" i="25"/>
  <c r="DK195" i="25"/>
  <c r="DK201" i="25"/>
  <c r="DK196" i="25"/>
  <c r="DK25" i="25"/>
  <c r="DK62" i="25"/>
  <c r="DK63" i="25"/>
  <c r="DK29" i="25"/>
  <c r="DK30" i="25"/>
  <c r="DK31" i="25"/>
  <c r="DK174" i="25"/>
  <c r="DK175" i="25"/>
  <c r="DK64" i="25"/>
  <c r="DK65" i="25"/>
  <c r="DK66" i="25"/>
  <c r="DK67" i="25"/>
  <c r="DK146" i="25"/>
  <c r="DK177" i="25"/>
  <c r="DK34" i="25"/>
  <c r="DK35" i="25"/>
  <c r="DK178" i="25"/>
  <c r="DK176" i="25"/>
  <c r="DK36" i="25"/>
  <c r="DK37" i="25"/>
  <c r="DK39" i="25"/>
  <c r="DK40" i="25"/>
  <c r="DK41" i="25"/>
  <c r="DK117" i="25"/>
  <c r="DK147" i="25"/>
  <c r="DK42" i="25"/>
  <c r="DK43" i="25"/>
  <c r="DK68" i="25"/>
  <c r="DK69" i="25"/>
  <c r="DK44" i="25"/>
  <c r="DK70" i="25"/>
  <c r="DK198" i="25"/>
  <c r="DK179" i="25"/>
  <c r="DK45" i="25"/>
  <c r="DK118" i="25"/>
  <c r="DK46" i="25"/>
  <c r="DK47" i="25"/>
  <c r="DK180" i="25"/>
  <c r="DK71" i="25"/>
  <c r="DK48" i="25"/>
  <c r="DK49" i="25"/>
  <c r="DK181" i="25"/>
  <c r="DK50" i="25"/>
  <c r="DK72" i="25"/>
  <c r="DK182" i="25"/>
  <c r="DK51" i="25"/>
  <c r="DK183" i="25"/>
  <c r="DK155" i="25"/>
  <c r="DK52" i="25"/>
  <c r="DK53" i="25"/>
  <c r="DK184" i="25"/>
  <c r="DK54" i="25"/>
  <c r="DK185" i="25"/>
  <c r="DK119" i="25"/>
  <c r="DK120" i="25"/>
  <c r="DK121" i="25"/>
  <c r="DK81" i="25"/>
  <c r="DK82" i="25"/>
  <c r="DK135" i="25"/>
  <c r="DK83" i="25"/>
  <c r="DK84" i="25"/>
  <c r="DK86" i="25"/>
  <c r="DK87" i="25"/>
  <c r="DK88" i="25"/>
  <c r="DK85" i="25"/>
  <c r="DK89" i="25"/>
  <c r="DK90" i="25"/>
  <c r="DK91" i="25"/>
  <c r="DK92" i="25"/>
  <c r="DK93" i="25"/>
  <c r="DK94" i="25"/>
  <c r="DK95" i="25"/>
  <c r="DK96" i="25"/>
  <c r="DK97" i="25"/>
  <c r="DK98" i="25"/>
  <c r="DK7" i="25"/>
  <c r="DK8" i="25"/>
  <c r="DK101" i="25"/>
  <c r="DK124" i="25"/>
  <c r="DK108" i="25"/>
  <c r="DK109" i="25"/>
  <c r="DK122" i="25"/>
  <c r="DK110" i="25"/>
  <c r="DK111" i="25"/>
  <c r="DK123" i="25"/>
  <c r="DK112" i="25"/>
  <c r="DK113" i="25"/>
  <c r="DK114" i="25"/>
  <c r="DK115" i="25"/>
  <c r="DK116" i="25"/>
  <c r="DL126" i="25"/>
  <c r="DL186" i="25"/>
  <c r="DS186" i="25" s="1"/>
  <c r="DL187" i="25"/>
  <c r="DS187" i="25" s="1"/>
  <c r="DL77" i="25"/>
  <c r="DS77" i="25" s="1"/>
  <c r="DL127" i="25"/>
  <c r="DS127" i="25" s="1"/>
  <c r="DL78" i="25"/>
  <c r="DS78" i="25" s="1"/>
  <c r="DL79" i="25"/>
  <c r="DS79" i="25" s="1"/>
  <c r="DL9" i="25"/>
  <c r="DS9" i="25" s="1"/>
  <c r="DL80" i="25"/>
  <c r="DS80" i="25" s="1"/>
  <c r="DL188" i="25"/>
  <c r="DS188" i="25" s="1"/>
  <c r="DL129" i="25"/>
  <c r="DL159" i="25"/>
  <c r="DS159" i="25" s="1"/>
  <c r="DL10" i="25"/>
  <c r="DS10" i="25" s="1"/>
  <c r="DL160" i="25"/>
  <c r="DS160" i="25" s="1"/>
  <c r="DL130" i="25"/>
  <c r="DS130" i="25" s="1"/>
  <c r="DL133" i="25"/>
  <c r="DS133" i="25" s="1"/>
  <c r="DL161" i="25"/>
  <c r="DS161" i="25" s="1"/>
  <c r="DL162" i="25"/>
  <c r="DS162" i="25" s="1"/>
  <c r="DL163" i="25"/>
  <c r="DS163" i="25" s="1"/>
  <c r="DL164" i="25"/>
  <c r="DS164" i="25" s="1"/>
  <c r="DL165" i="25"/>
  <c r="DS165" i="25" s="1"/>
  <c r="DL11" i="25"/>
  <c r="DS11" i="25" s="1"/>
  <c r="DL166" i="25"/>
  <c r="DS166" i="25" s="1"/>
  <c r="DL55" i="25"/>
  <c r="DS55" i="25" s="1"/>
  <c r="DL167" i="25"/>
  <c r="DS167" i="25" s="1"/>
  <c r="DL168" i="25"/>
  <c r="DS168" i="25" s="1"/>
  <c r="DL169" i="25"/>
  <c r="DS169" i="25" s="1"/>
  <c r="DL56" i="25"/>
  <c r="DS56" i="25" s="1"/>
  <c r="DL132" i="25"/>
  <c r="DS132" i="25" s="1"/>
  <c r="DL12" i="25"/>
  <c r="DS12" i="25" s="1"/>
  <c r="DL170" i="25"/>
  <c r="DS170" i="25" s="1"/>
  <c r="DL57" i="25"/>
  <c r="DS57" i="25" s="1"/>
  <c r="DL171" i="25"/>
  <c r="DS171" i="25" s="1"/>
  <c r="DL13" i="25"/>
  <c r="DS13" i="25" s="1"/>
  <c r="DL172" i="25"/>
  <c r="DS172" i="25" s="1"/>
  <c r="DL173" i="25"/>
  <c r="DS173" i="25" s="1"/>
  <c r="DL199" i="25"/>
  <c r="DS199" i="25" s="1"/>
  <c r="DL202" i="25"/>
  <c r="DS202" i="25" s="1"/>
  <c r="DL137" i="25"/>
  <c r="DS137" i="25" s="1"/>
  <c r="DL73" i="25"/>
  <c r="DS73" i="25" s="1"/>
  <c r="DL74" i="25"/>
  <c r="DS74" i="25" s="1"/>
  <c r="DL75" i="25"/>
  <c r="DS75" i="25" s="1"/>
  <c r="DL76" i="25"/>
  <c r="DL99" i="25"/>
  <c r="DS99" i="25" s="1"/>
  <c r="DL100" i="25"/>
  <c r="DS100" i="25" s="1"/>
  <c r="DL138" i="25"/>
  <c r="DS138" i="25" s="1"/>
  <c r="DL139" i="25"/>
  <c r="DS139" i="25" s="1"/>
  <c r="DL15" i="25"/>
  <c r="DS15" i="25" s="1"/>
  <c r="DL59" i="25"/>
  <c r="DS59" i="25" s="1"/>
  <c r="DL16" i="25"/>
  <c r="DS16" i="25" s="1"/>
  <c r="DL58" i="25"/>
  <c r="DS58" i="25" s="1"/>
  <c r="DL17" i="25"/>
  <c r="DS17" i="25" s="1"/>
  <c r="DL18" i="25"/>
  <c r="DS18" i="25" s="1"/>
  <c r="DL19" i="25"/>
  <c r="DS19" i="25" s="1"/>
  <c r="DL20" i="25"/>
  <c r="DS20" i="25" s="1"/>
  <c r="DL140" i="25"/>
  <c r="DS140" i="25" s="1"/>
  <c r="DL141" i="25"/>
  <c r="DS141" i="25" s="1"/>
  <c r="DL21" i="25"/>
  <c r="DS21" i="25" s="1"/>
  <c r="DL60" i="25"/>
  <c r="DS60" i="25" s="1"/>
  <c r="DL102" i="25"/>
  <c r="DS102" i="25" s="1"/>
  <c r="DL61" i="25"/>
  <c r="DS61" i="25" s="1"/>
  <c r="DL103" i="25"/>
  <c r="DS103" i="25" s="1"/>
  <c r="DL189" i="25"/>
  <c r="DS189" i="25" s="1"/>
  <c r="DL22" i="25"/>
  <c r="DS22" i="25" s="1"/>
  <c r="DL104" i="25"/>
  <c r="DS104" i="25" s="1"/>
  <c r="DL105" i="25"/>
  <c r="DS105" i="25" s="1"/>
  <c r="DL23" i="25"/>
  <c r="DS23" i="25" s="1"/>
  <c r="DL190" i="25"/>
  <c r="DS190" i="25" s="1"/>
  <c r="DL191" i="25"/>
  <c r="DS191" i="25" s="1"/>
  <c r="DL192" i="25"/>
  <c r="DL142" i="25"/>
  <c r="DL106" i="25"/>
  <c r="DS106" i="25" s="1"/>
  <c r="DL193" i="25"/>
  <c r="DS193" i="25" s="1"/>
  <c r="DL107" i="25"/>
  <c r="DS107" i="25" s="1"/>
  <c r="DL143" i="25"/>
  <c r="DS143" i="25" s="1"/>
  <c r="DL144" i="25"/>
  <c r="DS144" i="25" s="1"/>
  <c r="DL200" i="25"/>
  <c r="DS200" i="25" s="1"/>
  <c r="DL195" i="25"/>
  <c r="DS195" i="25" s="1"/>
  <c r="DL201" i="25"/>
  <c r="DS201" i="25" s="1"/>
  <c r="DL196" i="25"/>
  <c r="DS196" i="25" s="1"/>
  <c r="DL25" i="25"/>
  <c r="DS25" i="25" s="1"/>
  <c r="DL62" i="25"/>
  <c r="DS62" i="25" s="1"/>
  <c r="DL63" i="25"/>
  <c r="DS63" i="25" s="1"/>
  <c r="DL29" i="25"/>
  <c r="DS29" i="25" s="1"/>
  <c r="DL30" i="25"/>
  <c r="DS30" i="25" s="1"/>
  <c r="DL31" i="25"/>
  <c r="DS31" i="25" s="1"/>
  <c r="DL174" i="25"/>
  <c r="DS174" i="25" s="1"/>
  <c r="DL175" i="25"/>
  <c r="DS175" i="25" s="1"/>
  <c r="DL64" i="25"/>
  <c r="DS64" i="25" s="1"/>
  <c r="DL65" i="25"/>
  <c r="DS65" i="25" s="1"/>
  <c r="DL66" i="25"/>
  <c r="DS66" i="25" s="1"/>
  <c r="DL67" i="25"/>
  <c r="DS67" i="25" s="1"/>
  <c r="DL146" i="25"/>
  <c r="DS146" i="25" s="1"/>
  <c r="DL177" i="25"/>
  <c r="DS177" i="25" s="1"/>
  <c r="DL34" i="25"/>
  <c r="DS34" i="25" s="1"/>
  <c r="DL35" i="25"/>
  <c r="DS35" i="25" s="1"/>
  <c r="DL178" i="25"/>
  <c r="DS178" i="25" s="1"/>
  <c r="DL176" i="25"/>
  <c r="DS176" i="25" s="1"/>
  <c r="DL36" i="25"/>
  <c r="DS36" i="25" s="1"/>
  <c r="DL37" i="25"/>
  <c r="DS37" i="25" s="1"/>
  <c r="DL39" i="25"/>
  <c r="DS39" i="25" s="1"/>
  <c r="DL40" i="25"/>
  <c r="DS40" i="25" s="1"/>
  <c r="DL41" i="25"/>
  <c r="DS41" i="25" s="1"/>
  <c r="DL117" i="25"/>
  <c r="DS117" i="25" s="1"/>
  <c r="DL147" i="25"/>
  <c r="DS147" i="25" s="1"/>
  <c r="DL42" i="25"/>
  <c r="DS42" i="25" s="1"/>
  <c r="DL43" i="25"/>
  <c r="DS43" i="25" s="1"/>
  <c r="DL68" i="25"/>
  <c r="DS68" i="25" s="1"/>
  <c r="DL69" i="25"/>
  <c r="DS69" i="25" s="1"/>
  <c r="DL44" i="25"/>
  <c r="DS44" i="25" s="1"/>
  <c r="DL70" i="25"/>
  <c r="DS70" i="25" s="1"/>
  <c r="DL198" i="25"/>
  <c r="DS198" i="25" s="1"/>
  <c r="DL179" i="25"/>
  <c r="DS179" i="25" s="1"/>
  <c r="DL45" i="25"/>
  <c r="DS45" i="25" s="1"/>
  <c r="DL118" i="25"/>
  <c r="DS118" i="25" s="1"/>
  <c r="DL46" i="25"/>
  <c r="DS46" i="25" s="1"/>
  <c r="DL47" i="25"/>
  <c r="DS47" i="25" s="1"/>
  <c r="DL180" i="25"/>
  <c r="DS180" i="25" s="1"/>
  <c r="DL71" i="25"/>
  <c r="DS71" i="25" s="1"/>
  <c r="DL48" i="25"/>
  <c r="DS48" i="25" s="1"/>
  <c r="DL49" i="25"/>
  <c r="DS49" i="25" s="1"/>
  <c r="DL181" i="25"/>
  <c r="DS181" i="25" s="1"/>
  <c r="DL50" i="25"/>
  <c r="DS50" i="25" s="1"/>
  <c r="DL72" i="25"/>
  <c r="DS72" i="25" s="1"/>
  <c r="DL182" i="25"/>
  <c r="DS182" i="25" s="1"/>
  <c r="DL51" i="25"/>
  <c r="DS51" i="25" s="1"/>
  <c r="DL183" i="25"/>
  <c r="DS183" i="25" s="1"/>
  <c r="DL155" i="25"/>
  <c r="DS155" i="25" s="1"/>
  <c r="DL52" i="25"/>
  <c r="DS52" i="25" s="1"/>
  <c r="DL53" i="25"/>
  <c r="DS53" i="25" s="1"/>
  <c r="DL184" i="25"/>
  <c r="DS184" i="25" s="1"/>
  <c r="DL54" i="25"/>
  <c r="DS54" i="25" s="1"/>
  <c r="DL185" i="25"/>
  <c r="DS185" i="25" s="1"/>
  <c r="DL119" i="25"/>
  <c r="DS119" i="25" s="1"/>
  <c r="DL120" i="25"/>
  <c r="DS120" i="25" s="1"/>
  <c r="DL121" i="25"/>
  <c r="DS121" i="25" s="1"/>
  <c r="DL81" i="25"/>
  <c r="DS81" i="25" s="1"/>
  <c r="DL82" i="25"/>
  <c r="DS82" i="25" s="1"/>
  <c r="DL135" i="25"/>
  <c r="DS135" i="25" s="1"/>
  <c r="DL83" i="25"/>
  <c r="DS83" i="25" s="1"/>
  <c r="DL84" i="25"/>
  <c r="DL86" i="25"/>
  <c r="DS86" i="25" s="1"/>
  <c r="DL87" i="25"/>
  <c r="DS87" i="25" s="1"/>
  <c r="DL88" i="25"/>
  <c r="DS88" i="25" s="1"/>
  <c r="DL85" i="25"/>
  <c r="DS85" i="25" s="1"/>
  <c r="DL89" i="25"/>
  <c r="DS89" i="25" s="1"/>
  <c r="DL90" i="25"/>
  <c r="DS90" i="25" s="1"/>
  <c r="DL91" i="25"/>
  <c r="DS91" i="25" s="1"/>
  <c r="DL92" i="25"/>
  <c r="DS92" i="25" s="1"/>
  <c r="DL93" i="25"/>
  <c r="DS93" i="25" s="1"/>
  <c r="DL94" i="25"/>
  <c r="DS94" i="25" s="1"/>
  <c r="DL95" i="25"/>
  <c r="DS95" i="25" s="1"/>
  <c r="DL96" i="25"/>
  <c r="DS96" i="25" s="1"/>
  <c r="DL97" i="25"/>
  <c r="DS97" i="25" s="1"/>
  <c r="DL98" i="25"/>
  <c r="DS98" i="25" s="1"/>
  <c r="DL7" i="25"/>
  <c r="DS7" i="25" s="1"/>
  <c r="DL8" i="25"/>
  <c r="DS8" i="25" s="1"/>
  <c r="DL101" i="25"/>
  <c r="DS101" i="25" s="1"/>
  <c r="DL124" i="25"/>
  <c r="DS124" i="25" s="1"/>
  <c r="DL108" i="25"/>
  <c r="DS108" i="25" s="1"/>
  <c r="DL109" i="25"/>
  <c r="DS109" i="25" s="1"/>
  <c r="DL122" i="25"/>
  <c r="DS122" i="25" s="1"/>
  <c r="DL110" i="25"/>
  <c r="DS110" i="25" s="1"/>
  <c r="DL111" i="25"/>
  <c r="DS111" i="25" s="1"/>
  <c r="DL123" i="25"/>
  <c r="DS123" i="25" s="1"/>
  <c r="DL112" i="25"/>
  <c r="DS112" i="25" s="1"/>
  <c r="DL113" i="25"/>
  <c r="DS113" i="25" s="1"/>
  <c r="DL114" i="25"/>
  <c r="DS114" i="25" s="1"/>
  <c r="DL115" i="25"/>
  <c r="DS115" i="25" s="1"/>
  <c r="DL116" i="25"/>
  <c r="DS116" i="25" s="1"/>
  <c r="DU186" i="25"/>
  <c r="DU187" i="25"/>
  <c r="DU77" i="25"/>
  <c r="DU127" i="25"/>
  <c r="DU78" i="25"/>
  <c r="DU79" i="25"/>
  <c r="DU9" i="25"/>
  <c r="DU80" i="25"/>
  <c r="DU188" i="25"/>
  <c r="DU159" i="25"/>
  <c r="DU10" i="25"/>
  <c r="DU160" i="25"/>
  <c r="DU130" i="25"/>
  <c r="DU133" i="25"/>
  <c r="DU161" i="25"/>
  <c r="DU162" i="25"/>
  <c r="DU163" i="25"/>
  <c r="DU164" i="25"/>
  <c r="DU165" i="25"/>
  <c r="DU11" i="25"/>
  <c r="DU166" i="25"/>
  <c r="DU55" i="25"/>
  <c r="DU167" i="25"/>
  <c r="DU168" i="25"/>
  <c r="DU169" i="25"/>
  <c r="DU56" i="25"/>
  <c r="DU132" i="25"/>
  <c r="DU12" i="25"/>
  <c r="DU170" i="25"/>
  <c r="DU57" i="25"/>
  <c r="DU171" i="25"/>
  <c r="DU13" i="25"/>
  <c r="DU172" i="25"/>
  <c r="DU173" i="25"/>
  <c r="DU199" i="25"/>
  <c r="DU202" i="25"/>
  <c r="DU137" i="25"/>
  <c r="DU73" i="25"/>
  <c r="DU74" i="25"/>
  <c r="DU75" i="25"/>
  <c r="DU76" i="25"/>
  <c r="DU99" i="25"/>
  <c r="DU100" i="25"/>
  <c r="DU138" i="25"/>
  <c r="DU139" i="25"/>
  <c r="DU15" i="25"/>
  <c r="DU59" i="25"/>
  <c r="DU16" i="25"/>
  <c r="DU58" i="25"/>
  <c r="DU17" i="25"/>
  <c r="DU18" i="25"/>
  <c r="DU19" i="25"/>
  <c r="DU20" i="25"/>
  <c r="DU140" i="25"/>
  <c r="DU141" i="25"/>
  <c r="DU21" i="25"/>
  <c r="DU60" i="25"/>
  <c r="DU102" i="25"/>
  <c r="DU61" i="25"/>
  <c r="DU103" i="25"/>
  <c r="DU189" i="25"/>
  <c r="DU22" i="25"/>
  <c r="DU104" i="25"/>
  <c r="DU105" i="25"/>
  <c r="DU23" i="25"/>
  <c r="DU190" i="25"/>
  <c r="DU191" i="25"/>
  <c r="DU192" i="25"/>
  <c r="DU106" i="25"/>
  <c r="DU193" i="25"/>
  <c r="DU107" i="25"/>
  <c r="DU143" i="25"/>
  <c r="DU144" i="25"/>
  <c r="DU200" i="25"/>
  <c r="DU195" i="25"/>
  <c r="DU201" i="25"/>
  <c r="DU196" i="25"/>
  <c r="DU25" i="25"/>
  <c r="DU62" i="25"/>
  <c r="DU63" i="25"/>
  <c r="DU29" i="25"/>
  <c r="DU30" i="25"/>
  <c r="DU31" i="25"/>
  <c r="DU174" i="25"/>
  <c r="DU175" i="25"/>
  <c r="DU64" i="25"/>
  <c r="DU65" i="25"/>
  <c r="DU66" i="25"/>
  <c r="DU67" i="25"/>
  <c r="DU146" i="25"/>
  <c r="DU177" i="25"/>
  <c r="DU34" i="25"/>
  <c r="DU35" i="25"/>
  <c r="DU178" i="25"/>
  <c r="DU176" i="25"/>
  <c r="DU36" i="25"/>
  <c r="DU37" i="25"/>
  <c r="DU39" i="25"/>
  <c r="DU40" i="25"/>
  <c r="DU41" i="25"/>
  <c r="DU117" i="25"/>
  <c r="DU147" i="25"/>
  <c r="DU42" i="25"/>
  <c r="DU43" i="25"/>
  <c r="DU68" i="25"/>
  <c r="DU69" i="25"/>
  <c r="DU44" i="25"/>
  <c r="DU70" i="25"/>
  <c r="DU198" i="25"/>
  <c r="DU179" i="25"/>
  <c r="DU45" i="25"/>
  <c r="DU118" i="25"/>
  <c r="DU46" i="25"/>
  <c r="DU47" i="25"/>
  <c r="DU180" i="25"/>
  <c r="DU71" i="25"/>
  <c r="DU48" i="25"/>
  <c r="DU49" i="25"/>
  <c r="DU181" i="25"/>
  <c r="DU50" i="25"/>
  <c r="DU72" i="25"/>
  <c r="DU182" i="25"/>
  <c r="DU51" i="25"/>
  <c r="DU183" i="25"/>
  <c r="DU155" i="25"/>
  <c r="DU52" i="25"/>
  <c r="DU53" i="25"/>
  <c r="DU184" i="25"/>
  <c r="DU54" i="25"/>
  <c r="DU185" i="25"/>
  <c r="DU119" i="25"/>
  <c r="DU120" i="25"/>
  <c r="DU121" i="25"/>
  <c r="DU81" i="25"/>
  <c r="DU82" i="25"/>
  <c r="DU135" i="25"/>
  <c r="DU83" i="25"/>
  <c r="DU84" i="25"/>
  <c r="DU86" i="25"/>
  <c r="DU87" i="25"/>
  <c r="DU88" i="25"/>
  <c r="DU85" i="25"/>
  <c r="DU89" i="25"/>
  <c r="DU90" i="25"/>
  <c r="DU91" i="25"/>
  <c r="DU92" i="25"/>
  <c r="DU93" i="25"/>
  <c r="DU94" i="25"/>
  <c r="DU95" i="25"/>
  <c r="DU96" i="25"/>
  <c r="DU97" i="25"/>
  <c r="DU98" i="25"/>
  <c r="DU7" i="25"/>
  <c r="DU8" i="25"/>
  <c r="DU101" i="25"/>
  <c r="DU124" i="25"/>
  <c r="DU108" i="25"/>
  <c r="DU109" i="25"/>
  <c r="DU122" i="25"/>
  <c r="DU110" i="25"/>
  <c r="DU111" i="25"/>
  <c r="DU123" i="25"/>
  <c r="DU112" i="25"/>
  <c r="DU113" i="25"/>
  <c r="DU114" i="25"/>
  <c r="DU115" i="25"/>
  <c r="DU116" i="25"/>
  <c r="DV126" i="25"/>
  <c r="DW126" i="25" s="1"/>
  <c r="DV186" i="25"/>
  <c r="DY186" i="25" s="1"/>
  <c r="DV187" i="25"/>
  <c r="DW187" i="25" s="1"/>
  <c r="DV77" i="25"/>
  <c r="DW77" i="25" s="1"/>
  <c r="DV127" i="25"/>
  <c r="DY127" i="25" s="1"/>
  <c r="DV78" i="25"/>
  <c r="DY78" i="25" s="1"/>
  <c r="DV79" i="25"/>
  <c r="DY79" i="25" s="1"/>
  <c r="DV9" i="25"/>
  <c r="DY9" i="25" s="1"/>
  <c r="DV80" i="25"/>
  <c r="DY80" i="25" s="1"/>
  <c r="DV188" i="25"/>
  <c r="DY188" i="25" s="1"/>
  <c r="DV129" i="25"/>
  <c r="DW129" i="25" s="1"/>
  <c r="DV159" i="25"/>
  <c r="DV10" i="25"/>
  <c r="DY10" i="25" s="1"/>
  <c r="DV160" i="25"/>
  <c r="DW160" i="25" s="1"/>
  <c r="DV130" i="25"/>
  <c r="DY130" i="25" s="1"/>
  <c r="DV133" i="25"/>
  <c r="DY133" i="25" s="1"/>
  <c r="DV161" i="25"/>
  <c r="DY161" i="25" s="1"/>
  <c r="DV162" i="25"/>
  <c r="DY162" i="25" s="1"/>
  <c r="DV163" i="25"/>
  <c r="DV164" i="25"/>
  <c r="DW164" i="25" s="1"/>
  <c r="DV165" i="25"/>
  <c r="DY165" i="25" s="1"/>
  <c r="DV11" i="25"/>
  <c r="DW11" i="25" s="1"/>
  <c r="DV166" i="25"/>
  <c r="DY166" i="25" s="1"/>
  <c r="DV55" i="25"/>
  <c r="DY55" i="25" s="1"/>
  <c r="DV167" i="25"/>
  <c r="DV168" i="25"/>
  <c r="DW168" i="25" s="1"/>
  <c r="DV169" i="25"/>
  <c r="DW169" i="25" s="1"/>
  <c r="DV56" i="25"/>
  <c r="DY56" i="25" s="1"/>
  <c r="DV132" i="25"/>
  <c r="DW132" i="25" s="1"/>
  <c r="DV12" i="25"/>
  <c r="DW12" i="25" s="1"/>
  <c r="DV170" i="25"/>
  <c r="DY170" i="25" s="1"/>
  <c r="DV57" i="25"/>
  <c r="DV171" i="25"/>
  <c r="DY171" i="25" s="1"/>
  <c r="DV13" i="25"/>
  <c r="DW13" i="25" s="1"/>
  <c r="DV172" i="25"/>
  <c r="DW172" i="25" s="1"/>
  <c r="DV173" i="25"/>
  <c r="DY173" i="25" s="1"/>
  <c r="DV199" i="25"/>
  <c r="DY199" i="25" s="1"/>
  <c r="DV202" i="25"/>
  <c r="DW202" i="25" s="1"/>
  <c r="DV137" i="25"/>
  <c r="DY137" i="25" s="1"/>
  <c r="DV73" i="25"/>
  <c r="DW73" i="25" s="1"/>
  <c r="DV74" i="25"/>
  <c r="DV75" i="25"/>
  <c r="DW75" i="25" s="1"/>
  <c r="DV76" i="25"/>
  <c r="DW76" i="25" s="1"/>
  <c r="DV99" i="25"/>
  <c r="DY99" i="25" s="1"/>
  <c r="DV100" i="25"/>
  <c r="DW100" i="25" s="1"/>
  <c r="DV138" i="25"/>
  <c r="DY138" i="25" s="1"/>
  <c r="DV139" i="25"/>
  <c r="DY139" i="25" s="1"/>
  <c r="DV15" i="25"/>
  <c r="DY15" i="25" s="1"/>
  <c r="DV59" i="25"/>
  <c r="DW59" i="25" s="1"/>
  <c r="DV16" i="25"/>
  <c r="DW16" i="25" s="1"/>
  <c r="DV58" i="25"/>
  <c r="DW58" i="25" s="1"/>
  <c r="DV17" i="25"/>
  <c r="DW17" i="25" s="1"/>
  <c r="DV18" i="25"/>
  <c r="DW18" i="25" s="1"/>
  <c r="DV19" i="25"/>
  <c r="DY19" i="25" s="1"/>
  <c r="DV20" i="25"/>
  <c r="DW20" i="25" s="1"/>
  <c r="DV140" i="25"/>
  <c r="DY140" i="25" s="1"/>
  <c r="DV141" i="25"/>
  <c r="DW141" i="25" s="1"/>
  <c r="DV21" i="25"/>
  <c r="DW21" i="25" s="1"/>
  <c r="DV60" i="25"/>
  <c r="DY60" i="25" s="1"/>
  <c r="DV102" i="25"/>
  <c r="DW102" i="25" s="1"/>
  <c r="DV61" i="25"/>
  <c r="DY61" i="25" s="1"/>
  <c r="DV103" i="25"/>
  <c r="DW103" i="25" s="1"/>
  <c r="DV189" i="25"/>
  <c r="DY189" i="25" s="1"/>
  <c r="DV22" i="25"/>
  <c r="DW22" i="25" s="1"/>
  <c r="DV104" i="25"/>
  <c r="DV105" i="25"/>
  <c r="DY105" i="25" s="1"/>
  <c r="DV23" i="25"/>
  <c r="DW23" i="25" s="1"/>
  <c r="DV190" i="25"/>
  <c r="DY190" i="25" s="1"/>
  <c r="DV191" i="25"/>
  <c r="DY191" i="25" s="1"/>
  <c r="DV192" i="25"/>
  <c r="DY192" i="25" s="1"/>
  <c r="DV142" i="25"/>
  <c r="DW142" i="25" s="1"/>
  <c r="DV106" i="25"/>
  <c r="DW106" i="25" s="1"/>
  <c r="DV193" i="25"/>
  <c r="DY193" i="25" s="1"/>
  <c r="DV107" i="25"/>
  <c r="DW107" i="25" s="1"/>
  <c r="DV143" i="25"/>
  <c r="DY143" i="25" s="1"/>
  <c r="DV144" i="25"/>
  <c r="DV200" i="25"/>
  <c r="DY200" i="25" s="1"/>
  <c r="DV195" i="25"/>
  <c r="DY195" i="25" s="1"/>
  <c r="DV201" i="25"/>
  <c r="DW201" i="25" s="1"/>
  <c r="DV196" i="25"/>
  <c r="DW196" i="25" s="1"/>
  <c r="DV25" i="25"/>
  <c r="DY25" i="25" s="1"/>
  <c r="DV62" i="25"/>
  <c r="DW62" i="25" s="1"/>
  <c r="DV63" i="25"/>
  <c r="DW63" i="25" s="1"/>
  <c r="DV29" i="25"/>
  <c r="DW29" i="25" s="1"/>
  <c r="DV30" i="25"/>
  <c r="DW30" i="25" s="1"/>
  <c r="DV31" i="25"/>
  <c r="DY31" i="25" s="1"/>
  <c r="DV174" i="25"/>
  <c r="DW174" i="25" s="1"/>
  <c r="DV175" i="25"/>
  <c r="DW175" i="25" s="1"/>
  <c r="DV64" i="25"/>
  <c r="DV65" i="25"/>
  <c r="DY65" i="25" s="1"/>
  <c r="DV66" i="25"/>
  <c r="DW66" i="25" s="1"/>
  <c r="DV67" i="25"/>
  <c r="DW67" i="25" s="1"/>
  <c r="DV146" i="25"/>
  <c r="DY146" i="25" s="1"/>
  <c r="DV177" i="25"/>
  <c r="DW177" i="25" s="1"/>
  <c r="DV34" i="25"/>
  <c r="DY34" i="25" s="1"/>
  <c r="DV35" i="25"/>
  <c r="DY35" i="25" s="1"/>
  <c r="DV178" i="25"/>
  <c r="DV176" i="25"/>
  <c r="DW176" i="25" s="1"/>
  <c r="DV36" i="25"/>
  <c r="DW36" i="25" s="1"/>
  <c r="DV37" i="25"/>
  <c r="DW37" i="25" s="1"/>
  <c r="DV39" i="25"/>
  <c r="DV40" i="25"/>
  <c r="DY40" i="25" s="1"/>
  <c r="DV41" i="25"/>
  <c r="DW41" i="25" s="1"/>
  <c r="DV117" i="25"/>
  <c r="DW117" i="25" s="1"/>
  <c r="DV147" i="25"/>
  <c r="DW147" i="25" s="1"/>
  <c r="DV42" i="25"/>
  <c r="DW42" i="25" s="1"/>
  <c r="DV43" i="25"/>
  <c r="DW43" i="25" s="1"/>
  <c r="DV68" i="25"/>
  <c r="DW68" i="25" s="1"/>
  <c r="DV69" i="25"/>
  <c r="DV44" i="25"/>
  <c r="DW44" i="25" s="1"/>
  <c r="DV70" i="25"/>
  <c r="DW70" i="25" s="1"/>
  <c r="DV198" i="25"/>
  <c r="DY198" i="25" s="1"/>
  <c r="DV179" i="25"/>
  <c r="DY179" i="25" s="1"/>
  <c r="DV45" i="25"/>
  <c r="DW45" i="25" s="1"/>
  <c r="DV118" i="25"/>
  <c r="DY118" i="25" s="1"/>
  <c r="DV46" i="25"/>
  <c r="DW46" i="25" s="1"/>
  <c r="DV47" i="25"/>
  <c r="DY47" i="25" s="1"/>
  <c r="DV180" i="25"/>
  <c r="DW180" i="25" s="1"/>
  <c r="DV71" i="25"/>
  <c r="DW71" i="25" s="1"/>
  <c r="DV48" i="25"/>
  <c r="DY48" i="25" s="1"/>
  <c r="DV49" i="25"/>
  <c r="DY49" i="25" s="1"/>
  <c r="DV181" i="25"/>
  <c r="DY181" i="25" s="1"/>
  <c r="DV50" i="25"/>
  <c r="DY50" i="25" s="1"/>
  <c r="DV72" i="25"/>
  <c r="DY72" i="25" s="1"/>
  <c r="DV182" i="25"/>
  <c r="DW182" i="25" s="1"/>
  <c r="DV51" i="25"/>
  <c r="DW51" i="25" s="1"/>
  <c r="DV183" i="25"/>
  <c r="DY183" i="25" s="1"/>
  <c r="DV155" i="25"/>
  <c r="DW155" i="25" s="1"/>
  <c r="DV52" i="25"/>
  <c r="DY52" i="25" s="1"/>
  <c r="DV53" i="25"/>
  <c r="DY53" i="25" s="1"/>
  <c r="DV184" i="25"/>
  <c r="DY184" i="25" s="1"/>
  <c r="DV54" i="25"/>
  <c r="DY54" i="25" s="1"/>
  <c r="DV185" i="25"/>
  <c r="DW185" i="25" s="1"/>
  <c r="DV119" i="25"/>
  <c r="DW119" i="25" s="1"/>
  <c r="DV120" i="25"/>
  <c r="DY120" i="25" s="1"/>
  <c r="DV121" i="25"/>
  <c r="DW121" i="25" s="1"/>
  <c r="DV81" i="25"/>
  <c r="DW81" i="25" s="1"/>
  <c r="DV82" i="25"/>
  <c r="DY82" i="25" s="1"/>
  <c r="DV135" i="25"/>
  <c r="DW135" i="25" s="1"/>
  <c r="DV83" i="25"/>
  <c r="DV84" i="25"/>
  <c r="DW84" i="25" s="1"/>
  <c r="DV86" i="25"/>
  <c r="DW86" i="25" s="1"/>
  <c r="DV87" i="25"/>
  <c r="DY87" i="25" s="1"/>
  <c r="DV88" i="25"/>
  <c r="DW88" i="25" s="1"/>
  <c r="DV85" i="25"/>
  <c r="DW85" i="25" s="1"/>
  <c r="DV89" i="25"/>
  <c r="DV90" i="25"/>
  <c r="DY90" i="25" s="1"/>
  <c r="DV91" i="25"/>
  <c r="DY91" i="25" s="1"/>
  <c r="DV92" i="25"/>
  <c r="DW92" i="25" s="1"/>
  <c r="DV93" i="25"/>
  <c r="DY93" i="25" s="1"/>
  <c r="DV94" i="25"/>
  <c r="DW94" i="25" s="1"/>
  <c r="DV95" i="25"/>
  <c r="DY95" i="25" s="1"/>
  <c r="DV96" i="25"/>
  <c r="DY96" i="25" s="1"/>
  <c r="DV97" i="25"/>
  <c r="DW97" i="25" s="1"/>
  <c r="DV98" i="25"/>
  <c r="DW98" i="25" s="1"/>
  <c r="DV7" i="25"/>
  <c r="DW7" i="25" s="1"/>
  <c r="DV8" i="25"/>
  <c r="DW8" i="25" s="1"/>
  <c r="DV101" i="25"/>
  <c r="DY101" i="25" s="1"/>
  <c r="DV124" i="25"/>
  <c r="DV108" i="25"/>
  <c r="DY108" i="25" s="1"/>
  <c r="DV109" i="25"/>
  <c r="DY109" i="25" s="1"/>
  <c r="DV122" i="25"/>
  <c r="DY122" i="25" s="1"/>
  <c r="DV110" i="25"/>
  <c r="DW110" i="25" s="1"/>
  <c r="DV111" i="25"/>
  <c r="DW111" i="25" s="1"/>
  <c r="DV123" i="25"/>
  <c r="DW123" i="25" s="1"/>
  <c r="DV112" i="25"/>
  <c r="DW112" i="25" s="1"/>
  <c r="DV113" i="25"/>
  <c r="DV114" i="25"/>
  <c r="DY114" i="25" s="1"/>
  <c r="DV115" i="25"/>
  <c r="DW115" i="25" s="1"/>
  <c r="DV116" i="25"/>
  <c r="DY116" i="25" s="1"/>
  <c r="DX186" i="25"/>
  <c r="DX187" i="25"/>
  <c r="DX77" i="25"/>
  <c r="DX127" i="25"/>
  <c r="DX78" i="25"/>
  <c r="DX79" i="25"/>
  <c r="DX9" i="25"/>
  <c r="DX80" i="25"/>
  <c r="DX188" i="25"/>
  <c r="DX129" i="25"/>
  <c r="DX159" i="25"/>
  <c r="DX10" i="25"/>
  <c r="DX160" i="25"/>
  <c r="DX130" i="25"/>
  <c r="DX133" i="25"/>
  <c r="DX161" i="25"/>
  <c r="DX163" i="25"/>
  <c r="DX164" i="25"/>
  <c r="DX11" i="25"/>
  <c r="DX166" i="25"/>
  <c r="DX55" i="25"/>
  <c r="DX167" i="25"/>
  <c r="DX168" i="25"/>
  <c r="DX169" i="25"/>
  <c r="DX56" i="25"/>
  <c r="DX132" i="25"/>
  <c r="DX12" i="25"/>
  <c r="DX170" i="25"/>
  <c r="DX57" i="25"/>
  <c r="DX171" i="25"/>
  <c r="DX13" i="25"/>
  <c r="DX172" i="25"/>
  <c r="DX173" i="25"/>
  <c r="DX199" i="25"/>
  <c r="DX202" i="25"/>
  <c r="DX137" i="25"/>
  <c r="DX73" i="25"/>
  <c r="DX74" i="25"/>
  <c r="DX75" i="25"/>
  <c r="DX76" i="25"/>
  <c r="DX99" i="25"/>
  <c r="DX100" i="25"/>
  <c r="DX138" i="25"/>
  <c r="DX139" i="25"/>
  <c r="DX15" i="25"/>
  <c r="DX59" i="25"/>
  <c r="DX16" i="25"/>
  <c r="DX58" i="25"/>
  <c r="DX17" i="25"/>
  <c r="DX18" i="25"/>
  <c r="DX19" i="25"/>
  <c r="DX20" i="25"/>
  <c r="DX140" i="25"/>
  <c r="DX141" i="25"/>
  <c r="DX21" i="25"/>
  <c r="DX60" i="25"/>
  <c r="DX102" i="25"/>
  <c r="DX61" i="25"/>
  <c r="DX103" i="25"/>
  <c r="DX189" i="25"/>
  <c r="DX22" i="25"/>
  <c r="DX104" i="25"/>
  <c r="DX105" i="25"/>
  <c r="DX23" i="25"/>
  <c r="DX190" i="25"/>
  <c r="DX191" i="25"/>
  <c r="DX192" i="25"/>
  <c r="DX142" i="25"/>
  <c r="DX106" i="25"/>
  <c r="DX193" i="25"/>
  <c r="DX107" i="25"/>
  <c r="DX143" i="25"/>
  <c r="DX144" i="25"/>
  <c r="DX200" i="25"/>
  <c r="DX195" i="25"/>
  <c r="DX201" i="25"/>
  <c r="DX196" i="25"/>
  <c r="DX25" i="25"/>
  <c r="DX62" i="25"/>
  <c r="DX63" i="25"/>
  <c r="DX29" i="25"/>
  <c r="DX30" i="25"/>
  <c r="DX31" i="25"/>
  <c r="DX174" i="25"/>
  <c r="DX175" i="25"/>
  <c r="DX64" i="25"/>
  <c r="DX65" i="25"/>
  <c r="DX66" i="25"/>
  <c r="DX67" i="25"/>
  <c r="DX146" i="25"/>
  <c r="DX177" i="25"/>
  <c r="DX34" i="25"/>
  <c r="DX35" i="25"/>
  <c r="DX178" i="25"/>
  <c r="DX176" i="25"/>
  <c r="DX36" i="25"/>
  <c r="DX37" i="25"/>
  <c r="DX39" i="25"/>
  <c r="DX40" i="25"/>
  <c r="DX41" i="25"/>
  <c r="DX117" i="25"/>
  <c r="DX147" i="25"/>
  <c r="DX42" i="25"/>
  <c r="DX43" i="25"/>
  <c r="DX68" i="25"/>
  <c r="DX69" i="25"/>
  <c r="DX44" i="25"/>
  <c r="DX70" i="25"/>
  <c r="DX198" i="25"/>
  <c r="DX179" i="25"/>
  <c r="DX45" i="25"/>
  <c r="DX118" i="25"/>
  <c r="DX46" i="25"/>
  <c r="DX47" i="25"/>
  <c r="DX180" i="25"/>
  <c r="DX71" i="25"/>
  <c r="DX48" i="25"/>
  <c r="DX49" i="25"/>
  <c r="DX181" i="25"/>
  <c r="DX50" i="25"/>
  <c r="DX72" i="25"/>
  <c r="DX182" i="25"/>
  <c r="DX51" i="25"/>
  <c r="DX183" i="25"/>
  <c r="DX155" i="25"/>
  <c r="DX52" i="25"/>
  <c r="DX53" i="25"/>
  <c r="DX184" i="25"/>
  <c r="DX54" i="25"/>
  <c r="DX185" i="25"/>
  <c r="DX119" i="25"/>
  <c r="DX120" i="25"/>
  <c r="DX121" i="25"/>
  <c r="DX81" i="25"/>
  <c r="DX82" i="25"/>
  <c r="DX135" i="25"/>
  <c r="DX83" i="25"/>
  <c r="DX84" i="25"/>
  <c r="DX86" i="25"/>
  <c r="DX87" i="25"/>
  <c r="DX88" i="25"/>
  <c r="DX85" i="25"/>
  <c r="DX89" i="25"/>
  <c r="DX90" i="25"/>
  <c r="DX91" i="25"/>
  <c r="DX92" i="25"/>
  <c r="DX93" i="25"/>
  <c r="DX94" i="25"/>
  <c r="DX95" i="25"/>
  <c r="DX96" i="25"/>
  <c r="DX97" i="25"/>
  <c r="DX98" i="25"/>
  <c r="DX7" i="25"/>
  <c r="DX8" i="25"/>
  <c r="DX101" i="25"/>
  <c r="DX124" i="25"/>
  <c r="DX108" i="25"/>
  <c r="DX109" i="25"/>
  <c r="DX122" i="25"/>
  <c r="DX110" i="25"/>
  <c r="DX111" i="25"/>
  <c r="DX123" i="25"/>
  <c r="DX112" i="25"/>
  <c r="DX113" i="25"/>
  <c r="DX114" i="25"/>
  <c r="DX115" i="25"/>
  <c r="DX116" i="25"/>
  <c r="DZ126" i="25"/>
  <c r="DZ186" i="25"/>
  <c r="DZ187" i="25"/>
  <c r="DZ77" i="25"/>
  <c r="DZ127" i="25"/>
  <c r="DZ78" i="25"/>
  <c r="DZ79" i="25"/>
  <c r="DZ9" i="25"/>
  <c r="DZ80" i="25"/>
  <c r="DZ188" i="25"/>
  <c r="DZ129" i="25"/>
  <c r="DZ159" i="25"/>
  <c r="DZ10" i="25"/>
  <c r="DZ160" i="25"/>
  <c r="DZ130" i="25"/>
  <c r="DZ133" i="25"/>
  <c r="DZ161" i="25"/>
  <c r="DZ162" i="25"/>
  <c r="DZ163" i="25"/>
  <c r="DZ164" i="25"/>
  <c r="DZ165" i="25"/>
  <c r="DZ11" i="25"/>
  <c r="DZ166" i="25"/>
  <c r="DZ55" i="25"/>
  <c r="DZ167" i="25"/>
  <c r="DZ168" i="25"/>
  <c r="DZ169" i="25"/>
  <c r="DZ56" i="25"/>
  <c r="DZ132" i="25"/>
  <c r="DZ12" i="25"/>
  <c r="DZ170" i="25"/>
  <c r="DZ57" i="25"/>
  <c r="DZ171" i="25"/>
  <c r="DZ13" i="25"/>
  <c r="DZ172" i="25"/>
  <c r="DZ173" i="25"/>
  <c r="DZ199" i="25"/>
  <c r="DZ202" i="25"/>
  <c r="DZ137" i="25"/>
  <c r="DZ73" i="25"/>
  <c r="DZ74" i="25"/>
  <c r="DZ75" i="25"/>
  <c r="DZ76" i="25"/>
  <c r="DZ99" i="25"/>
  <c r="DZ100" i="25"/>
  <c r="DZ138" i="25"/>
  <c r="DZ139" i="25"/>
  <c r="DZ15" i="25"/>
  <c r="DZ59" i="25"/>
  <c r="DZ16" i="25"/>
  <c r="DZ58" i="25"/>
  <c r="DZ17" i="25"/>
  <c r="DZ18" i="25"/>
  <c r="DZ19" i="25"/>
  <c r="DZ20" i="25"/>
  <c r="DZ140" i="25"/>
  <c r="DZ141" i="25"/>
  <c r="DZ21" i="25"/>
  <c r="DZ60" i="25"/>
  <c r="DZ102" i="25"/>
  <c r="DZ61" i="25"/>
  <c r="DZ103" i="25"/>
  <c r="DZ189" i="25"/>
  <c r="DZ22" i="25"/>
  <c r="DZ104" i="25"/>
  <c r="DZ105" i="25"/>
  <c r="DZ23" i="25"/>
  <c r="DZ190" i="25"/>
  <c r="DZ191" i="25"/>
  <c r="DZ192" i="25"/>
  <c r="DZ142" i="25"/>
  <c r="DZ106" i="25"/>
  <c r="DZ193" i="25"/>
  <c r="DZ107" i="25"/>
  <c r="DZ143" i="25"/>
  <c r="DZ144" i="25"/>
  <c r="DZ200" i="25"/>
  <c r="DZ195" i="25"/>
  <c r="DZ201" i="25"/>
  <c r="DZ196" i="25"/>
  <c r="DZ25" i="25"/>
  <c r="DZ62" i="25"/>
  <c r="DZ63" i="25"/>
  <c r="DZ29" i="25"/>
  <c r="DZ30" i="25"/>
  <c r="DZ31" i="25"/>
  <c r="DZ174" i="25"/>
  <c r="DZ175" i="25"/>
  <c r="DZ64" i="25"/>
  <c r="DZ65" i="25"/>
  <c r="DZ66" i="25"/>
  <c r="DZ67" i="25"/>
  <c r="DZ146" i="25"/>
  <c r="DZ177" i="25"/>
  <c r="DZ34" i="25"/>
  <c r="DZ35" i="25"/>
  <c r="DZ178" i="25"/>
  <c r="DZ176" i="25"/>
  <c r="DZ36" i="25"/>
  <c r="DZ37" i="25"/>
  <c r="DZ39" i="25"/>
  <c r="DZ40" i="25"/>
  <c r="DZ41" i="25"/>
  <c r="DZ117" i="25"/>
  <c r="DZ147" i="25"/>
  <c r="DZ42" i="25"/>
  <c r="DZ43" i="25"/>
  <c r="DZ68" i="25"/>
  <c r="DZ69" i="25"/>
  <c r="DZ44" i="25"/>
  <c r="DZ70" i="25"/>
  <c r="DZ198" i="25"/>
  <c r="DZ179" i="25"/>
  <c r="DZ45" i="25"/>
  <c r="DZ118" i="25"/>
  <c r="DZ46" i="25"/>
  <c r="DZ47" i="25"/>
  <c r="DZ180" i="25"/>
  <c r="DZ71" i="25"/>
  <c r="DZ48" i="25"/>
  <c r="DZ49" i="25"/>
  <c r="DZ181" i="25"/>
  <c r="DZ50" i="25"/>
  <c r="DZ72" i="25"/>
  <c r="DZ182" i="25"/>
  <c r="DZ51" i="25"/>
  <c r="DZ183" i="25"/>
  <c r="DZ155" i="25"/>
  <c r="DZ52" i="25"/>
  <c r="DZ53" i="25"/>
  <c r="DZ184" i="25"/>
  <c r="DZ54" i="25"/>
  <c r="DZ185" i="25"/>
  <c r="DZ119" i="25"/>
  <c r="DZ120" i="25"/>
  <c r="DZ121" i="25"/>
  <c r="DZ81" i="25"/>
  <c r="DZ82" i="25"/>
  <c r="DZ135" i="25"/>
  <c r="DZ83" i="25"/>
  <c r="DZ84" i="25"/>
  <c r="DZ86" i="25"/>
  <c r="DZ87" i="25"/>
  <c r="DZ88" i="25"/>
  <c r="DZ85" i="25"/>
  <c r="DZ89" i="25"/>
  <c r="DZ90" i="25"/>
  <c r="DZ91" i="25"/>
  <c r="DZ92" i="25"/>
  <c r="DZ93" i="25"/>
  <c r="DZ94" i="25"/>
  <c r="DZ95" i="25"/>
  <c r="DZ96" i="25"/>
  <c r="DZ97" i="25"/>
  <c r="DZ98" i="25"/>
  <c r="DZ7" i="25"/>
  <c r="DZ8" i="25"/>
  <c r="DZ101" i="25"/>
  <c r="DZ124" i="25"/>
  <c r="DZ108" i="25"/>
  <c r="DZ109" i="25"/>
  <c r="DZ122" i="25"/>
  <c r="DZ110" i="25"/>
  <c r="DZ111" i="25"/>
  <c r="DZ123" i="25"/>
  <c r="DZ112" i="25"/>
  <c r="DZ113" i="25"/>
  <c r="DZ114" i="25"/>
  <c r="DZ115" i="25"/>
  <c r="DZ116" i="25"/>
  <c r="EA126" i="25"/>
  <c r="EA186" i="25"/>
  <c r="EA187" i="25"/>
  <c r="EA77" i="25"/>
  <c r="EA127" i="25"/>
  <c r="EA78" i="25"/>
  <c r="EA79" i="25"/>
  <c r="EA9" i="25"/>
  <c r="EA80" i="25"/>
  <c r="EA188" i="25"/>
  <c r="EA129" i="25"/>
  <c r="EA159" i="25"/>
  <c r="EA10" i="25"/>
  <c r="EA160" i="25"/>
  <c r="EA130" i="25"/>
  <c r="EA133" i="25"/>
  <c r="EA161" i="25"/>
  <c r="EA162" i="25"/>
  <c r="EA163" i="25"/>
  <c r="EA164" i="25"/>
  <c r="EA165" i="25"/>
  <c r="EA11" i="25"/>
  <c r="EA166" i="25"/>
  <c r="EA55" i="25"/>
  <c r="EA167" i="25"/>
  <c r="EA168" i="25"/>
  <c r="EA169" i="25"/>
  <c r="EA56" i="25"/>
  <c r="EA132" i="25"/>
  <c r="EA12" i="25"/>
  <c r="EA170" i="25"/>
  <c r="EA57" i="25"/>
  <c r="EA171" i="25"/>
  <c r="EA13" i="25"/>
  <c r="EA172" i="25"/>
  <c r="EA173" i="25"/>
  <c r="EA199" i="25"/>
  <c r="EA202" i="25"/>
  <c r="EA137" i="25"/>
  <c r="EA73" i="25"/>
  <c r="EA74" i="25"/>
  <c r="EA75" i="25"/>
  <c r="EA76" i="25"/>
  <c r="EA99" i="25"/>
  <c r="EA100" i="25"/>
  <c r="EA138" i="25"/>
  <c r="EA139" i="25"/>
  <c r="EA15" i="25"/>
  <c r="EA59" i="25"/>
  <c r="EA16" i="25"/>
  <c r="EA58" i="25"/>
  <c r="EA17" i="25"/>
  <c r="EA18" i="25"/>
  <c r="EA19" i="25"/>
  <c r="EA20" i="25"/>
  <c r="EA140" i="25"/>
  <c r="EA141" i="25"/>
  <c r="EA21" i="25"/>
  <c r="EA60" i="25"/>
  <c r="EA102" i="25"/>
  <c r="EA61" i="25"/>
  <c r="EA103" i="25"/>
  <c r="EA189" i="25"/>
  <c r="EA22" i="25"/>
  <c r="EA104" i="25"/>
  <c r="EA105" i="25"/>
  <c r="EA23" i="25"/>
  <c r="EA190" i="25"/>
  <c r="EA191" i="25"/>
  <c r="EA192" i="25"/>
  <c r="EA142" i="25"/>
  <c r="EA106" i="25"/>
  <c r="EA193" i="25"/>
  <c r="EA107" i="25"/>
  <c r="EA143" i="25"/>
  <c r="EA144" i="25"/>
  <c r="EA200" i="25"/>
  <c r="EA195" i="25"/>
  <c r="EA201" i="25"/>
  <c r="EA196" i="25"/>
  <c r="EA25" i="25"/>
  <c r="EA62" i="25"/>
  <c r="EA63" i="25"/>
  <c r="EA29" i="25"/>
  <c r="EA30" i="25"/>
  <c r="EA31" i="25"/>
  <c r="EA174" i="25"/>
  <c r="EA175" i="25"/>
  <c r="EA64" i="25"/>
  <c r="EA65" i="25"/>
  <c r="EA66" i="25"/>
  <c r="EA67" i="25"/>
  <c r="EA146" i="25"/>
  <c r="EA177" i="25"/>
  <c r="EA34" i="25"/>
  <c r="EA35" i="25"/>
  <c r="EA178" i="25"/>
  <c r="EA176" i="25"/>
  <c r="EA36" i="25"/>
  <c r="EA37" i="25"/>
  <c r="EA39" i="25"/>
  <c r="EA40" i="25"/>
  <c r="EA41" i="25"/>
  <c r="EA117" i="25"/>
  <c r="EA147" i="25"/>
  <c r="EA42" i="25"/>
  <c r="EA43" i="25"/>
  <c r="EA68" i="25"/>
  <c r="EA69" i="25"/>
  <c r="EA44" i="25"/>
  <c r="EA70" i="25"/>
  <c r="EA198" i="25"/>
  <c r="EA179" i="25"/>
  <c r="EA45" i="25"/>
  <c r="EA118" i="25"/>
  <c r="EA46" i="25"/>
  <c r="EA47" i="25"/>
  <c r="EA180" i="25"/>
  <c r="EA71" i="25"/>
  <c r="EA48" i="25"/>
  <c r="EA49" i="25"/>
  <c r="EA181" i="25"/>
  <c r="EA50" i="25"/>
  <c r="EA72" i="25"/>
  <c r="EA182" i="25"/>
  <c r="EA51" i="25"/>
  <c r="EA183" i="25"/>
  <c r="EA155" i="25"/>
  <c r="EA52" i="25"/>
  <c r="EA53" i="25"/>
  <c r="EA184" i="25"/>
  <c r="EA54" i="25"/>
  <c r="EA185" i="25"/>
  <c r="EA119" i="25"/>
  <c r="EA120" i="25"/>
  <c r="EA121" i="25"/>
  <c r="EA81" i="25"/>
  <c r="EA82" i="25"/>
  <c r="EA135" i="25"/>
  <c r="EA83" i="25"/>
  <c r="EA84" i="25"/>
  <c r="EA86" i="25"/>
  <c r="EA87" i="25"/>
  <c r="EA88" i="25"/>
  <c r="EA85" i="25"/>
  <c r="EA89" i="25"/>
  <c r="EA90" i="25"/>
  <c r="EA91" i="25"/>
  <c r="EA92" i="25"/>
  <c r="EA93" i="25"/>
  <c r="EA94" i="25"/>
  <c r="EA95" i="25"/>
  <c r="EA96" i="25"/>
  <c r="EA97" i="25"/>
  <c r="EA98" i="25"/>
  <c r="EA7" i="25"/>
  <c r="EA8" i="25"/>
  <c r="EA101" i="25"/>
  <c r="EA124" i="25"/>
  <c r="EA108" i="25"/>
  <c r="EA109" i="25"/>
  <c r="EA122" i="25"/>
  <c r="EA110" i="25"/>
  <c r="EA111" i="25"/>
  <c r="EA123" i="25"/>
  <c r="EA112" i="25"/>
  <c r="EA113" i="25"/>
  <c r="EA114" i="25"/>
  <c r="EA115" i="25"/>
  <c r="EA116" i="25"/>
  <c r="EB126" i="25"/>
  <c r="EB186" i="25"/>
  <c r="EB187" i="25"/>
  <c r="EB77" i="25"/>
  <c r="EB127" i="25"/>
  <c r="EB78" i="25"/>
  <c r="EB79" i="25"/>
  <c r="EB9" i="25"/>
  <c r="EB80" i="25"/>
  <c r="EB188" i="25"/>
  <c r="EB129" i="25"/>
  <c r="EB159" i="25"/>
  <c r="EB10" i="25"/>
  <c r="EB160" i="25"/>
  <c r="EB130" i="25"/>
  <c r="EB133" i="25"/>
  <c r="EB161" i="25"/>
  <c r="EB162" i="25"/>
  <c r="EB163" i="25"/>
  <c r="EB164" i="25"/>
  <c r="EB165" i="25"/>
  <c r="EB11" i="25"/>
  <c r="EB166" i="25"/>
  <c r="EB55" i="25"/>
  <c r="EB167" i="25"/>
  <c r="EB168" i="25"/>
  <c r="EB169" i="25"/>
  <c r="EB56" i="25"/>
  <c r="EB132" i="25"/>
  <c r="EB12" i="25"/>
  <c r="EB170" i="25"/>
  <c r="EB57" i="25"/>
  <c r="EB171" i="25"/>
  <c r="EB172" i="25"/>
  <c r="EB173" i="25"/>
  <c r="EB199" i="25"/>
  <c r="EB202" i="25"/>
  <c r="EB137" i="25"/>
  <c r="EB73" i="25"/>
  <c r="EB74" i="25"/>
  <c r="EB75" i="25"/>
  <c r="EB76" i="25"/>
  <c r="EB99" i="25"/>
  <c r="EB100" i="25"/>
  <c r="EB138" i="25"/>
  <c r="EB139" i="25"/>
  <c r="EB15" i="25"/>
  <c r="EB59" i="25"/>
  <c r="EB16" i="25"/>
  <c r="EB58" i="25"/>
  <c r="EB17" i="25"/>
  <c r="EB18" i="25"/>
  <c r="EB19" i="25"/>
  <c r="EB20" i="25"/>
  <c r="EB140" i="25"/>
  <c r="EB141" i="25"/>
  <c r="EB21" i="25"/>
  <c r="EB60" i="25"/>
  <c r="EB102" i="25"/>
  <c r="EB61" i="25"/>
  <c r="EB103" i="25"/>
  <c r="EB189" i="25"/>
  <c r="EB22" i="25"/>
  <c r="EB104" i="25"/>
  <c r="EB105" i="25"/>
  <c r="EB23" i="25"/>
  <c r="EB190" i="25"/>
  <c r="EB191" i="25"/>
  <c r="EB192" i="25"/>
  <c r="EB142" i="25"/>
  <c r="EB106" i="25"/>
  <c r="EB193" i="25"/>
  <c r="EB107" i="25"/>
  <c r="EB143" i="25"/>
  <c r="EB144" i="25"/>
  <c r="EB200" i="25"/>
  <c r="EB195" i="25"/>
  <c r="EB201" i="25"/>
  <c r="EB196" i="25"/>
  <c r="EB25" i="25"/>
  <c r="EB62" i="25"/>
  <c r="EB63" i="25"/>
  <c r="EB29" i="25"/>
  <c r="EB30" i="25"/>
  <c r="EB31" i="25"/>
  <c r="EB174" i="25"/>
  <c r="EB175" i="25"/>
  <c r="EB64" i="25"/>
  <c r="EB65" i="25"/>
  <c r="EB66" i="25"/>
  <c r="EB67" i="25"/>
  <c r="EB146" i="25"/>
  <c r="EB177" i="25"/>
  <c r="EB34" i="25"/>
  <c r="EB35" i="25"/>
  <c r="EB178" i="25"/>
  <c r="EB176" i="25"/>
  <c r="EB36" i="25"/>
  <c r="EB37" i="25"/>
  <c r="EB39" i="25"/>
  <c r="EB40" i="25"/>
  <c r="EB41" i="25"/>
  <c r="EB117" i="25"/>
  <c r="EB147" i="25"/>
  <c r="EB42" i="25"/>
  <c r="EB43" i="25"/>
  <c r="EB68" i="25"/>
  <c r="EB69" i="25"/>
  <c r="EB44" i="25"/>
  <c r="EB70" i="25"/>
  <c r="EB198" i="25"/>
  <c r="EB179" i="25"/>
  <c r="EB45" i="25"/>
  <c r="EB118" i="25"/>
  <c r="EB46" i="25"/>
  <c r="EB47" i="25"/>
  <c r="EB180" i="25"/>
  <c r="EB71" i="25"/>
  <c r="EB48" i="25"/>
  <c r="EB49" i="25"/>
  <c r="EB181" i="25"/>
  <c r="EB50" i="25"/>
  <c r="EB72" i="25"/>
  <c r="EB182" i="25"/>
  <c r="EB51" i="25"/>
  <c r="EB183" i="25"/>
  <c r="EB155" i="25"/>
  <c r="EB52" i="25"/>
  <c r="EB53" i="25"/>
  <c r="EB184" i="25"/>
  <c r="EB54" i="25"/>
  <c r="EB185" i="25"/>
  <c r="EB119" i="25"/>
  <c r="EB120" i="25"/>
  <c r="EB121" i="25"/>
  <c r="EB81" i="25"/>
  <c r="EB82" i="25"/>
  <c r="EB135" i="25"/>
  <c r="EB83" i="25"/>
  <c r="EB84" i="25"/>
  <c r="EB86" i="25"/>
  <c r="EB87" i="25"/>
  <c r="EB88" i="25"/>
  <c r="EB85" i="25"/>
  <c r="EB89" i="25"/>
  <c r="EB90" i="25"/>
  <c r="EB91" i="25"/>
  <c r="EB92" i="25"/>
  <c r="EB93" i="25"/>
  <c r="EB94" i="25"/>
  <c r="EB95" i="25"/>
  <c r="EB96" i="25"/>
  <c r="EB97" i="25"/>
  <c r="EB98" i="25"/>
  <c r="EB7" i="25"/>
  <c r="EB8" i="25"/>
  <c r="EB101" i="25"/>
  <c r="EB124" i="25"/>
  <c r="EB108" i="25"/>
  <c r="EB109" i="25"/>
  <c r="EB122" i="25"/>
  <c r="EB110" i="25"/>
  <c r="EB111" i="25"/>
  <c r="EB123" i="25"/>
  <c r="EB112" i="25"/>
  <c r="EB113" i="25"/>
  <c r="EB114" i="25"/>
  <c r="EB115" i="25"/>
  <c r="EB116" i="25"/>
  <c r="EE126" i="25"/>
  <c r="EE186" i="25"/>
  <c r="EE187" i="25"/>
  <c r="EE77" i="25"/>
  <c r="EE127" i="25"/>
  <c r="EE78" i="25"/>
  <c r="EE79" i="25"/>
  <c r="EE9" i="25"/>
  <c r="EE80" i="25"/>
  <c r="EE188" i="25"/>
  <c r="EE129" i="25"/>
  <c r="EE159" i="25"/>
  <c r="EE10" i="25"/>
  <c r="EE160" i="25"/>
  <c r="EE130" i="25"/>
  <c r="EE133" i="25"/>
  <c r="EE161" i="25"/>
  <c r="EE162" i="25"/>
  <c r="EE163" i="25"/>
  <c r="EE164" i="25"/>
  <c r="EE165" i="25"/>
  <c r="EE11" i="25"/>
  <c r="EE166" i="25"/>
  <c r="EE55" i="25"/>
  <c r="EE167" i="25"/>
  <c r="EE168" i="25"/>
  <c r="EE169" i="25"/>
  <c r="EE56" i="25"/>
  <c r="EE132" i="25"/>
  <c r="EE12" i="25"/>
  <c r="EE170" i="25"/>
  <c r="EE57" i="25"/>
  <c r="EE171" i="25"/>
  <c r="EE13" i="25"/>
  <c r="EE172" i="25"/>
  <c r="EE173" i="25"/>
  <c r="EE199" i="25"/>
  <c r="EE202" i="25"/>
  <c r="EE137" i="25"/>
  <c r="EE73" i="25"/>
  <c r="EE74" i="25"/>
  <c r="EE75" i="25"/>
  <c r="EE76" i="25"/>
  <c r="EE99" i="25"/>
  <c r="EE100" i="25"/>
  <c r="EE138" i="25"/>
  <c r="EE139" i="25"/>
  <c r="EE15" i="25"/>
  <c r="EE59" i="25"/>
  <c r="EE16" i="25"/>
  <c r="EE58" i="25"/>
  <c r="EE17" i="25"/>
  <c r="EE18" i="25"/>
  <c r="EE19" i="25"/>
  <c r="EE20" i="25"/>
  <c r="EE140" i="25"/>
  <c r="EE141" i="25"/>
  <c r="EE21" i="25"/>
  <c r="EE60" i="25"/>
  <c r="EE102" i="25"/>
  <c r="EE61" i="25"/>
  <c r="EE103" i="25"/>
  <c r="EE189" i="25"/>
  <c r="EE22" i="25"/>
  <c r="EE104" i="25"/>
  <c r="EE105" i="25"/>
  <c r="EE23" i="25"/>
  <c r="EE190" i="25"/>
  <c r="EE191" i="25"/>
  <c r="EE192" i="25"/>
  <c r="EE142" i="25"/>
  <c r="EE106" i="25"/>
  <c r="EE193" i="25"/>
  <c r="EE107" i="25"/>
  <c r="EE143" i="25"/>
  <c r="EE144" i="25"/>
  <c r="EE200" i="25"/>
  <c r="EE195" i="25"/>
  <c r="EE201" i="25"/>
  <c r="EE196" i="25"/>
  <c r="EE25" i="25"/>
  <c r="EE62" i="25"/>
  <c r="EE63" i="25"/>
  <c r="EE29" i="25"/>
  <c r="EE30" i="25"/>
  <c r="EE31" i="25"/>
  <c r="EE174" i="25"/>
  <c r="EE175" i="25"/>
  <c r="EE64" i="25"/>
  <c r="EE65" i="25"/>
  <c r="EE66" i="25"/>
  <c r="EE67" i="25"/>
  <c r="EE146" i="25"/>
  <c r="EE177" i="25"/>
  <c r="EE34" i="25"/>
  <c r="EE35" i="25"/>
  <c r="EE178" i="25"/>
  <c r="EE176" i="25"/>
  <c r="EE36" i="25"/>
  <c r="EE37" i="25"/>
  <c r="EE39" i="25"/>
  <c r="EE40" i="25"/>
  <c r="EE41" i="25"/>
  <c r="EE117" i="25"/>
  <c r="EE147" i="25"/>
  <c r="EE42" i="25"/>
  <c r="EE43" i="25"/>
  <c r="EE68" i="25"/>
  <c r="EE69" i="25"/>
  <c r="EE44" i="25"/>
  <c r="EE70" i="25"/>
  <c r="EE198" i="25"/>
  <c r="EE179" i="25"/>
  <c r="EE45" i="25"/>
  <c r="EE118" i="25"/>
  <c r="EE46" i="25"/>
  <c r="EE47" i="25"/>
  <c r="EE180" i="25"/>
  <c r="EE71" i="25"/>
  <c r="EE48" i="25"/>
  <c r="EE49" i="25"/>
  <c r="EE181" i="25"/>
  <c r="EE50" i="25"/>
  <c r="EE72" i="25"/>
  <c r="EE182" i="25"/>
  <c r="EE51" i="25"/>
  <c r="EE183" i="25"/>
  <c r="EE155" i="25"/>
  <c r="EE52" i="25"/>
  <c r="EE53" i="25"/>
  <c r="EE184" i="25"/>
  <c r="EE54" i="25"/>
  <c r="EE185" i="25"/>
  <c r="EE119" i="25"/>
  <c r="EE120" i="25"/>
  <c r="EE121" i="25"/>
  <c r="EE81" i="25"/>
  <c r="EE82" i="25"/>
  <c r="EE135" i="25"/>
  <c r="EE83" i="25"/>
  <c r="EE84" i="25"/>
  <c r="EE86" i="25"/>
  <c r="EE87" i="25"/>
  <c r="EE88" i="25"/>
  <c r="EE85" i="25"/>
  <c r="EE89" i="25"/>
  <c r="EE90" i="25"/>
  <c r="EE91" i="25"/>
  <c r="EE92" i="25"/>
  <c r="EE93" i="25"/>
  <c r="EE94" i="25"/>
  <c r="EE95" i="25"/>
  <c r="EE96" i="25"/>
  <c r="EE97" i="25"/>
  <c r="EE98" i="25"/>
  <c r="EE7" i="25"/>
  <c r="EE8" i="25"/>
  <c r="EE101" i="25"/>
  <c r="EE124" i="25"/>
  <c r="EE108" i="25"/>
  <c r="EE109" i="25"/>
  <c r="EE122" i="25"/>
  <c r="EE110" i="25"/>
  <c r="EE111" i="25"/>
  <c r="EE123" i="25"/>
  <c r="EE112" i="25"/>
  <c r="EE113" i="25"/>
  <c r="EE114" i="25"/>
  <c r="EE115" i="25"/>
  <c r="EE116" i="25"/>
  <c r="EF126" i="25"/>
  <c r="EF186" i="25"/>
  <c r="EF187" i="25"/>
  <c r="EF77" i="25"/>
  <c r="EF127" i="25"/>
  <c r="EF78" i="25"/>
  <c r="EF79" i="25"/>
  <c r="EF9" i="25"/>
  <c r="EF80" i="25"/>
  <c r="EF188" i="25"/>
  <c r="EF129" i="25"/>
  <c r="EF159" i="25"/>
  <c r="EF10" i="25"/>
  <c r="EF160" i="25"/>
  <c r="EF130" i="25"/>
  <c r="EF133" i="25"/>
  <c r="EF161" i="25"/>
  <c r="EF162" i="25"/>
  <c r="EF163" i="25"/>
  <c r="EF164" i="25"/>
  <c r="EF165" i="25"/>
  <c r="EF11" i="25"/>
  <c r="EF166" i="25"/>
  <c r="EF55" i="25"/>
  <c r="EF167" i="25"/>
  <c r="EF168" i="25"/>
  <c r="EF169" i="25"/>
  <c r="EF56" i="25"/>
  <c r="EF132" i="25"/>
  <c r="EF12" i="25"/>
  <c r="EF170" i="25"/>
  <c r="EF57" i="25"/>
  <c r="EF171" i="25"/>
  <c r="EF13" i="25"/>
  <c r="EF172" i="25"/>
  <c r="EF173" i="25"/>
  <c r="EF199" i="25"/>
  <c r="EF202" i="25"/>
  <c r="EF137" i="25"/>
  <c r="EF73" i="25"/>
  <c r="EF74" i="25"/>
  <c r="EF75" i="25"/>
  <c r="EF76" i="25"/>
  <c r="EF99" i="25"/>
  <c r="EF100" i="25"/>
  <c r="EF138" i="25"/>
  <c r="EF139" i="25"/>
  <c r="EF15" i="25"/>
  <c r="EF59" i="25"/>
  <c r="EF16" i="25"/>
  <c r="EF58" i="25"/>
  <c r="EF17" i="25"/>
  <c r="EF18" i="25"/>
  <c r="EF19" i="25"/>
  <c r="EF20" i="25"/>
  <c r="EF140" i="25"/>
  <c r="EF141" i="25"/>
  <c r="EF21" i="25"/>
  <c r="EF60" i="25"/>
  <c r="EF102" i="25"/>
  <c r="EF61" i="25"/>
  <c r="EF103" i="25"/>
  <c r="EF189" i="25"/>
  <c r="EF22" i="25"/>
  <c r="EF104" i="25"/>
  <c r="EF105" i="25"/>
  <c r="EF23" i="25"/>
  <c r="EF190" i="25"/>
  <c r="EF191" i="25"/>
  <c r="EF192" i="25"/>
  <c r="EF142" i="25"/>
  <c r="EF106" i="25"/>
  <c r="EF193" i="25"/>
  <c r="EF107" i="25"/>
  <c r="EF143" i="25"/>
  <c r="EF144" i="25"/>
  <c r="EF200" i="25"/>
  <c r="EF195" i="25"/>
  <c r="EF201" i="25"/>
  <c r="EF196" i="25"/>
  <c r="EF25" i="25"/>
  <c r="EF62" i="25"/>
  <c r="EF63" i="25"/>
  <c r="EF29" i="25"/>
  <c r="EF30" i="25"/>
  <c r="EF31" i="25"/>
  <c r="EF174" i="25"/>
  <c r="EF175" i="25"/>
  <c r="EF64" i="25"/>
  <c r="EF65" i="25"/>
  <c r="EF66" i="25"/>
  <c r="EF67" i="25"/>
  <c r="EF146" i="25"/>
  <c r="EF177" i="25"/>
  <c r="EF34" i="25"/>
  <c r="EF35" i="25"/>
  <c r="EF178" i="25"/>
  <c r="EF176" i="25"/>
  <c r="EF36" i="25"/>
  <c r="EF37" i="25"/>
  <c r="EF39" i="25"/>
  <c r="EF40" i="25"/>
  <c r="EF41" i="25"/>
  <c r="EF117" i="25"/>
  <c r="EF147" i="25"/>
  <c r="EF42" i="25"/>
  <c r="EF43" i="25"/>
  <c r="EF68" i="25"/>
  <c r="EF69" i="25"/>
  <c r="EF44" i="25"/>
  <c r="EF70" i="25"/>
  <c r="EF198" i="25"/>
  <c r="EF179" i="25"/>
  <c r="EF45" i="25"/>
  <c r="EF118" i="25"/>
  <c r="EF46" i="25"/>
  <c r="EF47" i="25"/>
  <c r="EF180" i="25"/>
  <c r="EF71" i="25"/>
  <c r="EF48" i="25"/>
  <c r="EF49" i="25"/>
  <c r="EF181" i="25"/>
  <c r="EF50" i="25"/>
  <c r="EF72" i="25"/>
  <c r="EF182" i="25"/>
  <c r="EF51" i="25"/>
  <c r="EF183" i="25"/>
  <c r="EF155" i="25"/>
  <c r="EF52" i="25"/>
  <c r="EF53" i="25"/>
  <c r="EF184" i="25"/>
  <c r="EF54" i="25"/>
  <c r="EF185" i="25"/>
  <c r="EF119" i="25"/>
  <c r="EF120" i="25"/>
  <c r="EF121" i="25"/>
  <c r="EF81" i="25"/>
  <c r="EF82" i="25"/>
  <c r="EF135" i="25"/>
  <c r="EF83" i="25"/>
  <c r="EF84" i="25"/>
  <c r="EF86" i="25"/>
  <c r="EF87" i="25"/>
  <c r="EF88" i="25"/>
  <c r="EF85" i="25"/>
  <c r="EF89" i="25"/>
  <c r="EF90" i="25"/>
  <c r="EF91" i="25"/>
  <c r="EF92" i="25"/>
  <c r="EF93" i="25"/>
  <c r="EF94" i="25"/>
  <c r="EF95" i="25"/>
  <c r="EF96" i="25"/>
  <c r="EF97" i="25"/>
  <c r="EF98" i="25"/>
  <c r="EF7" i="25"/>
  <c r="EF8" i="25"/>
  <c r="EF101" i="25"/>
  <c r="EF124" i="25"/>
  <c r="EF108" i="25"/>
  <c r="EF109" i="25"/>
  <c r="EF122" i="25"/>
  <c r="EF110" i="25"/>
  <c r="EF111" i="25"/>
  <c r="EF123" i="25"/>
  <c r="EF112" i="25"/>
  <c r="EF113" i="25"/>
  <c r="EF114" i="25"/>
  <c r="EF115" i="25"/>
  <c r="EF116" i="25"/>
  <c r="EG126" i="25"/>
  <c r="DE126" i="25" s="1"/>
  <c r="EG186" i="25"/>
  <c r="EG187" i="25"/>
  <c r="DE187" i="25" s="1"/>
  <c r="EG77" i="25"/>
  <c r="DH77" i="25" s="1"/>
  <c r="DI77" i="25" s="1"/>
  <c r="EG127" i="25"/>
  <c r="DE127" i="25" s="1"/>
  <c r="EG78" i="25"/>
  <c r="DE78" i="25" s="1"/>
  <c r="EG79" i="25"/>
  <c r="DE79" i="25" s="1"/>
  <c r="EG9" i="25"/>
  <c r="DH9" i="25" s="1"/>
  <c r="DI9" i="25" s="1"/>
  <c r="EG80" i="25"/>
  <c r="DE80" i="25" s="1"/>
  <c r="EG188" i="25"/>
  <c r="DE188" i="25" s="1"/>
  <c r="EG129" i="25"/>
  <c r="EG159" i="25"/>
  <c r="DE159" i="25" s="1"/>
  <c r="EG10" i="25"/>
  <c r="EG160" i="25"/>
  <c r="DE160" i="25" s="1"/>
  <c r="EG130" i="25"/>
  <c r="DE130" i="25" s="1"/>
  <c r="EG133" i="25"/>
  <c r="EG161" i="25"/>
  <c r="EG162" i="25"/>
  <c r="EG163" i="25"/>
  <c r="EG164" i="25"/>
  <c r="DE164" i="25" s="1"/>
  <c r="EG165" i="25"/>
  <c r="DE165" i="25" s="1"/>
  <c r="EG11" i="25"/>
  <c r="DE11" i="25" s="1"/>
  <c r="EG166" i="25"/>
  <c r="DE166" i="25" s="1"/>
  <c r="EG55" i="25"/>
  <c r="DE55" i="25" s="1"/>
  <c r="EG167" i="25"/>
  <c r="DE167" i="25" s="1"/>
  <c r="EG168" i="25"/>
  <c r="EG169" i="25"/>
  <c r="DH169" i="25" s="1"/>
  <c r="DI169" i="25" s="1"/>
  <c r="EG56" i="25"/>
  <c r="EG132" i="25"/>
  <c r="DE132" i="25" s="1"/>
  <c r="EG12" i="25"/>
  <c r="DH12" i="25" s="1"/>
  <c r="DI12" i="25" s="1"/>
  <c r="EG170" i="25"/>
  <c r="DE170" i="25" s="1"/>
  <c r="EG57" i="25"/>
  <c r="EG171" i="25"/>
  <c r="DH171" i="25" s="1"/>
  <c r="DI171" i="25" s="1"/>
  <c r="EG13" i="25"/>
  <c r="DE13" i="25" s="1"/>
  <c r="EG172" i="25"/>
  <c r="DH172" i="25" s="1"/>
  <c r="DI172" i="25" s="1"/>
  <c r="EG173" i="25"/>
  <c r="EG199" i="25"/>
  <c r="DE199" i="25" s="1"/>
  <c r="EG202" i="25"/>
  <c r="EG137" i="25"/>
  <c r="DH137" i="25" s="1"/>
  <c r="DI137" i="25" s="1"/>
  <c r="EG73" i="25"/>
  <c r="DH73" i="25" s="1"/>
  <c r="DI73" i="25" s="1"/>
  <c r="EG74" i="25"/>
  <c r="EG75" i="25"/>
  <c r="EG76" i="25"/>
  <c r="DH76" i="25" s="1"/>
  <c r="DI76" i="25" s="1"/>
  <c r="EG99" i="25"/>
  <c r="EG100" i="25"/>
  <c r="DH100" i="25" s="1"/>
  <c r="DI100" i="25" s="1"/>
  <c r="EG138" i="25"/>
  <c r="EG139" i="25"/>
  <c r="DH139" i="25" s="1"/>
  <c r="DI139" i="25" s="1"/>
  <c r="EG15" i="25"/>
  <c r="EG59" i="25"/>
  <c r="DH59" i="25" s="1"/>
  <c r="DI59" i="25" s="1"/>
  <c r="EG16" i="25"/>
  <c r="EG58" i="25"/>
  <c r="DH58" i="25" s="1"/>
  <c r="DI58" i="25" s="1"/>
  <c r="EG17" i="25"/>
  <c r="EG18" i="25"/>
  <c r="DH18" i="25" s="1"/>
  <c r="DI18" i="25" s="1"/>
  <c r="EG19" i="25"/>
  <c r="DE19" i="25" s="1"/>
  <c r="EG20" i="25"/>
  <c r="DH20" i="25" s="1"/>
  <c r="DI20" i="25" s="1"/>
  <c r="EG140" i="25"/>
  <c r="DE140" i="25" s="1"/>
  <c r="EG141" i="25"/>
  <c r="DH141" i="25" s="1"/>
  <c r="DI141" i="25" s="1"/>
  <c r="EG21" i="25"/>
  <c r="DH21" i="25" s="1"/>
  <c r="DI21" i="25" s="1"/>
  <c r="EG60" i="25"/>
  <c r="DE60" i="25" s="1"/>
  <c r="EG102" i="25"/>
  <c r="EG61" i="25"/>
  <c r="DH61" i="25" s="1"/>
  <c r="DI61" i="25" s="1"/>
  <c r="EG103" i="25"/>
  <c r="EG189" i="25"/>
  <c r="DH189" i="25" s="1"/>
  <c r="DI189" i="25" s="1"/>
  <c r="EG22" i="25"/>
  <c r="DH22" i="25" s="1"/>
  <c r="DI22" i="25" s="1"/>
  <c r="EG104" i="25"/>
  <c r="EG105" i="25"/>
  <c r="EG23" i="25"/>
  <c r="DE23" i="25" s="1"/>
  <c r="EG190" i="25"/>
  <c r="EG191" i="25"/>
  <c r="DE191" i="25" s="1"/>
  <c r="EG192" i="25"/>
  <c r="DE192" i="25" s="1"/>
  <c r="EG142" i="25"/>
  <c r="EG106" i="25"/>
  <c r="DE106" i="25" s="1"/>
  <c r="EG193" i="25"/>
  <c r="DH193" i="25" s="1"/>
  <c r="DI193" i="25" s="1"/>
  <c r="EG107" i="25"/>
  <c r="EG143" i="25"/>
  <c r="DE143" i="25" s="1"/>
  <c r="EG144" i="25"/>
  <c r="DE144" i="25" s="1"/>
  <c r="EG200" i="25"/>
  <c r="DE200" i="25" s="1"/>
  <c r="EG195" i="25"/>
  <c r="DE195" i="25" s="1"/>
  <c r="EG201" i="25"/>
  <c r="DH201" i="25" s="1"/>
  <c r="DI201" i="25" s="1"/>
  <c r="EG196" i="25"/>
  <c r="DE196" i="25" s="1"/>
  <c r="EG25" i="25"/>
  <c r="DH25" i="25" s="1"/>
  <c r="DI25" i="25" s="1"/>
  <c r="EG62" i="25"/>
  <c r="EG63" i="25"/>
  <c r="DE63" i="25" s="1"/>
  <c r="EG29" i="25"/>
  <c r="EG30" i="25"/>
  <c r="DE30" i="25" s="1"/>
  <c r="EG31" i="25"/>
  <c r="DE31" i="25" s="1"/>
  <c r="EG174" i="25"/>
  <c r="DH174" i="25" s="1"/>
  <c r="DI174" i="25" s="1"/>
  <c r="EG175" i="25"/>
  <c r="EG64" i="25"/>
  <c r="DE64" i="25" s="1"/>
  <c r="EG65" i="25"/>
  <c r="EG66" i="25"/>
  <c r="DE66" i="25" s="1"/>
  <c r="EG67" i="25"/>
  <c r="DE67" i="25" s="1"/>
  <c r="EG146" i="25"/>
  <c r="DE146" i="25" s="1"/>
  <c r="EG177" i="25"/>
  <c r="DE177" i="25" s="1"/>
  <c r="EG34" i="25"/>
  <c r="EG35" i="25"/>
  <c r="EG178" i="25"/>
  <c r="DE178" i="25" s="1"/>
  <c r="EG176" i="25"/>
  <c r="DH176" i="25" s="1"/>
  <c r="DI176" i="25" s="1"/>
  <c r="EG36" i="25"/>
  <c r="DE36" i="25" s="1"/>
  <c r="EG37" i="25"/>
  <c r="DE37" i="25" s="1"/>
  <c r="EG39" i="25"/>
  <c r="DH39" i="25" s="1"/>
  <c r="DI39" i="25" s="1"/>
  <c r="EG40" i="25"/>
  <c r="DH40" i="25" s="1"/>
  <c r="DI40" i="25" s="1"/>
  <c r="EG41" i="25"/>
  <c r="DE41" i="25" s="1"/>
  <c r="EG117" i="25"/>
  <c r="DE117" i="25" s="1"/>
  <c r="EG147" i="25"/>
  <c r="DH147" i="25" s="1"/>
  <c r="DI147" i="25" s="1"/>
  <c r="EG42" i="25"/>
  <c r="EG43" i="25"/>
  <c r="DH43" i="25" s="1"/>
  <c r="DI43" i="25" s="1"/>
  <c r="EG68" i="25"/>
  <c r="EG69" i="25"/>
  <c r="DE69" i="25" s="1"/>
  <c r="EG44" i="25"/>
  <c r="DE44" i="25" s="1"/>
  <c r="EG70" i="25"/>
  <c r="DE70" i="25" s="1"/>
  <c r="EG198" i="25"/>
  <c r="DE198" i="25" s="1"/>
  <c r="EG179" i="25"/>
  <c r="DE179" i="25" s="1"/>
  <c r="EG45" i="25"/>
  <c r="DE45" i="25" s="1"/>
  <c r="EG118" i="25"/>
  <c r="DE118" i="25" s="1"/>
  <c r="EG46" i="25"/>
  <c r="EG47" i="25"/>
  <c r="DE47" i="25" s="1"/>
  <c r="EG180" i="25"/>
  <c r="EG71" i="25"/>
  <c r="DE71" i="25" s="1"/>
  <c r="EG48" i="25"/>
  <c r="DE48" i="25" s="1"/>
  <c r="EG49" i="25"/>
  <c r="DH49" i="25" s="1"/>
  <c r="DI49" i="25" s="1"/>
  <c r="EG181" i="25"/>
  <c r="DE181" i="25" s="1"/>
  <c r="EG50" i="25"/>
  <c r="EG72" i="25"/>
  <c r="DH72" i="25" s="1"/>
  <c r="DI72" i="25" s="1"/>
  <c r="EG182" i="25"/>
  <c r="DH182" i="25" s="1"/>
  <c r="DI182" i="25" s="1"/>
  <c r="EG51" i="25"/>
  <c r="DH51" i="25" s="1"/>
  <c r="DI51" i="25" s="1"/>
  <c r="EG183" i="25"/>
  <c r="DE183" i="25" s="1"/>
  <c r="EG155" i="25"/>
  <c r="DH155" i="25" s="1"/>
  <c r="DI155" i="25" s="1"/>
  <c r="EG52" i="25"/>
  <c r="EG53" i="25"/>
  <c r="DH53" i="25" s="1"/>
  <c r="DI53" i="25" s="1"/>
  <c r="EG184" i="25"/>
  <c r="DE184" i="25" s="1"/>
  <c r="EG54" i="25"/>
  <c r="DE54" i="25" s="1"/>
  <c r="EG185" i="25"/>
  <c r="DE185" i="25" s="1"/>
  <c r="EG119" i="25"/>
  <c r="DH119" i="25" s="1"/>
  <c r="DI119" i="25" s="1"/>
  <c r="EG120" i="25"/>
  <c r="EG121" i="25"/>
  <c r="DE121" i="25" s="1"/>
  <c r="EG81" i="25"/>
  <c r="DH81" i="25" s="1"/>
  <c r="DI81" i="25" s="1"/>
  <c r="EG82" i="25"/>
  <c r="DE82" i="25" s="1"/>
  <c r="EG135" i="25"/>
  <c r="EG83" i="25"/>
  <c r="DE83" i="25" s="1"/>
  <c r="EG84" i="25"/>
  <c r="DH84" i="25" s="1"/>
  <c r="DI84" i="25" s="1"/>
  <c r="EG86" i="25"/>
  <c r="DE86" i="25" s="1"/>
  <c r="EG87" i="25"/>
  <c r="DE87" i="25" s="1"/>
  <c r="EG88" i="25"/>
  <c r="DH88" i="25" s="1"/>
  <c r="DI88" i="25" s="1"/>
  <c r="EG85" i="25"/>
  <c r="EG89" i="25"/>
  <c r="DH89" i="25" s="1"/>
  <c r="DI89" i="25" s="1"/>
  <c r="EG90" i="25"/>
  <c r="EG91" i="25"/>
  <c r="DH91" i="25" s="1"/>
  <c r="DI91" i="25" s="1"/>
  <c r="EG92" i="25"/>
  <c r="EG93" i="25"/>
  <c r="DH93" i="25" s="1"/>
  <c r="DI93" i="25" s="1"/>
  <c r="EG94" i="25"/>
  <c r="EG95" i="25"/>
  <c r="EG96" i="25"/>
  <c r="DE96" i="25" s="1"/>
  <c r="EG97" i="25"/>
  <c r="DE97" i="25" s="1"/>
  <c r="EG98" i="25"/>
  <c r="EG7" i="25"/>
  <c r="DE7" i="25" s="1"/>
  <c r="EG8" i="25"/>
  <c r="DE8" i="25" s="1"/>
  <c r="EG101" i="25"/>
  <c r="DE101" i="25" s="1"/>
  <c r="EG124" i="25"/>
  <c r="EG108" i="25"/>
  <c r="DH108" i="25" s="1"/>
  <c r="DI108" i="25" s="1"/>
  <c r="EG109" i="25"/>
  <c r="DH109" i="25" s="1"/>
  <c r="DI109" i="25" s="1"/>
  <c r="EG122" i="25"/>
  <c r="DH122" i="25" s="1"/>
  <c r="DI122" i="25" s="1"/>
  <c r="EG110" i="25"/>
  <c r="EG111" i="25"/>
  <c r="DE111" i="25" s="1"/>
  <c r="EG123" i="25"/>
  <c r="DE123" i="25" s="1"/>
  <c r="EG112" i="25"/>
  <c r="DH112" i="25" s="1"/>
  <c r="DI112" i="25" s="1"/>
  <c r="EG113" i="25"/>
  <c r="DE113" i="25" s="1"/>
  <c r="EG114" i="25"/>
  <c r="DE114" i="25" s="1"/>
  <c r="EG115" i="25"/>
  <c r="DE115" i="25" s="1"/>
  <c r="EG116" i="25"/>
  <c r="DH116" i="25" s="1"/>
  <c r="DI116" i="25" s="1"/>
  <c r="EH126" i="25"/>
  <c r="EH186" i="25"/>
  <c r="EH187" i="25"/>
  <c r="EH77" i="25"/>
  <c r="EH127" i="25"/>
  <c r="EH78" i="25"/>
  <c r="EH79" i="25"/>
  <c r="EH9" i="25"/>
  <c r="EH80" i="25"/>
  <c r="EH188" i="25"/>
  <c r="EH129" i="25"/>
  <c r="EH159" i="25"/>
  <c r="EH10" i="25"/>
  <c r="EH160" i="25"/>
  <c r="EH130" i="25"/>
  <c r="EH133" i="25"/>
  <c r="EH161" i="25"/>
  <c r="EH162" i="25"/>
  <c r="EH163" i="25"/>
  <c r="EH164" i="25"/>
  <c r="EH165" i="25"/>
  <c r="EH11" i="25"/>
  <c r="EH166" i="25"/>
  <c r="EH55" i="25"/>
  <c r="EH167" i="25"/>
  <c r="EH168" i="25"/>
  <c r="EH169" i="25"/>
  <c r="EH56" i="25"/>
  <c r="EH132" i="25"/>
  <c r="EH12" i="25"/>
  <c r="EH170" i="25"/>
  <c r="EH57" i="25"/>
  <c r="EH171" i="25"/>
  <c r="EH13" i="25"/>
  <c r="EH172" i="25"/>
  <c r="EH173" i="25"/>
  <c r="EH199" i="25"/>
  <c r="EH202" i="25"/>
  <c r="EH137" i="25"/>
  <c r="EH73" i="25"/>
  <c r="EH74" i="25"/>
  <c r="EH75" i="25"/>
  <c r="EH76" i="25"/>
  <c r="EH99" i="25"/>
  <c r="EH100" i="25"/>
  <c r="EH138" i="25"/>
  <c r="EH139" i="25"/>
  <c r="EH15" i="25"/>
  <c r="EH59" i="25"/>
  <c r="EH16" i="25"/>
  <c r="EH58" i="25"/>
  <c r="EH17" i="25"/>
  <c r="EH18" i="25"/>
  <c r="EH19" i="25"/>
  <c r="EH20" i="25"/>
  <c r="EH140" i="25"/>
  <c r="EH141" i="25"/>
  <c r="EH21" i="25"/>
  <c r="EH60" i="25"/>
  <c r="EH102" i="25"/>
  <c r="EH61" i="25"/>
  <c r="EH103" i="25"/>
  <c r="EH189" i="25"/>
  <c r="EH22" i="25"/>
  <c r="EH104" i="25"/>
  <c r="EH105" i="25"/>
  <c r="EH23" i="25"/>
  <c r="EH190" i="25"/>
  <c r="EH191" i="25"/>
  <c r="EH192" i="25"/>
  <c r="EH142" i="25"/>
  <c r="EH106" i="25"/>
  <c r="EH193" i="25"/>
  <c r="EH107" i="25"/>
  <c r="EH143" i="25"/>
  <c r="EH144" i="25"/>
  <c r="EH200" i="25"/>
  <c r="EH195" i="25"/>
  <c r="EH201" i="25"/>
  <c r="EH196" i="25"/>
  <c r="EH25" i="25"/>
  <c r="EH62" i="25"/>
  <c r="EH63" i="25"/>
  <c r="EH29" i="25"/>
  <c r="EH30" i="25"/>
  <c r="EH31" i="25"/>
  <c r="EH174" i="25"/>
  <c r="EH175" i="25"/>
  <c r="EH64" i="25"/>
  <c r="EH65" i="25"/>
  <c r="EH66" i="25"/>
  <c r="EH67" i="25"/>
  <c r="EH146" i="25"/>
  <c r="EH177" i="25"/>
  <c r="EH34" i="25"/>
  <c r="EH35" i="25"/>
  <c r="EH178" i="25"/>
  <c r="EH176" i="25"/>
  <c r="EH36" i="25"/>
  <c r="EH37" i="25"/>
  <c r="EH39" i="25"/>
  <c r="EH40" i="25"/>
  <c r="EH41" i="25"/>
  <c r="EH117" i="25"/>
  <c r="EH147" i="25"/>
  <c r="EH42" i="25"/>
  <c r="EH43" i="25"/>
  <c r="EH68" i="25"/>
  <c r="EH69" i="25"/>
  <c r="EH44" i="25"/>
  <c r="EH70" i="25"/>
  <c r="EH198" i="25"/>
  <c r="EH179" i="25"/>
  <c r="EH45" i="25"/>
  <c r="EH118" i="25"/>
  <c r="EH46" i="25"/>
  <c r="EH47" i="25"/>
  <c r="EH180" i="25"/>
  <c r="EH71" i="25"/>
  <c r="EH48" i="25"/>
  <c r="EH49" i="25"/>
  <c r="EH181" i="25"/>
  <c r="EH50" i="25"/>
  <c r="EH72" i="25"/>
  <c r="EH182" i="25"/>
  <c r="EH51" i="25"/>
  <c r="EH183" i="25"/>
  <c r="EH155" i="25"/>
  <c r="EH52" i="25"/>
  <c r="EH53" i="25"/>
  <c r="EH184" i="25"/>
  <c r="EH54" i="25"/>
  <c r="EH185" i="25"/>
  <c r="EH119" i="25"/>
  <c r="EH120" i="25"/>
  <c r="EH121" i="25"/>
  <c r="EH81" i="25"/>
  <c r="EH82" i="25"/>
  <c r="EH135" i="25"/>
  <c r="EH83" i="25"/>
  <c r="EH84" i="25"/>
  <c r="EH86" i="25"/>
  <c r="EH87" i="25"/>
  <c r="EH88" i="25"/>
  <c r="EH85" i="25"/>
  <c r="EH89" i="25"/>
  <c r="EH90" i="25"/>
  <c r="EH91" i="25"/>
  <c r="EH92" i="25"/>
  <c r="EH93" i="25"/>
  <c r="EH94" i="25"/>
  <c r="EH95" i="25"/>
  <c r="EH96" i="25"/>
  <c r="EH97" i="25"/>
  <c r="EH98" i="25"/>
  <c r="EH7" i="25"/>
  <c r="EH8" i="25"/>
  <c r="EH101" i="25"/>
  <c r="EH124" i="25"/>
  <c r="EH108" i="25"/>
  <c r="EH109" i="25"/>
  <c r="EH122" i="25"/>
  <c r="EH110" i="25"/>
  <c r="EH111" i="25"/>
  <c r="EH123" i="25"/>
  <c r="EH112" i="25"/>
  <c r="EH113" i="25"/>
  <c r="EH114" i="25"/>
  <c r="EH115" i="25"/>
  <c r="EH116" i="25"/>
  <c r="EI126" i="25"/>
  <c r="EI186" i="25"/>
  <c r="DT186" i="25" s="1"/>
  <c r="EI187" i="25"/>
  <c r="DT187" i="25" s="1"/>
  <c r="EI77" i="25"/>
  <c r="DT77" i="25" s="1"/>
  <c r="EI127" i="25"/>
  <c r="DT127" i="25" s="1"/>
  <c r="EI78" i="25"/>
  <c r="DT78" i="25" s="1"/>
  <c r="EI79" i="25"/>
  <c r="DT79" i="25" s="1"/>
  <c r="EI9" i="25"/>
  <c r="DT9" i="25" s="1"/>
  <c r="EI80" i="25"/>
  <c r="DT80" i="25" s="1"/>
  <c r="EI188" i="25"/>
  <c r="DT188" i="25" s="1"/>
  <c r="EI129" i="25"/>
  <c r="EI159" i="25"/>
  <c r="DT159" i="25" s="1"/>
  <c r="EI10" i="25"/>
  <c r="DT10" i="25" s="1"/>
  <c r="EI160" i="25"/>
  <c r="DT160" i="25" s="1"/>
  <c r="EI130" i="25"/>
  <c r="DT130" i="25" s="1"/>
  <c r="EI133" i="25"/>
  <c r="DT133" i="25" s="1"/>
  <c r="EI161" i="25"/>
  <c r="DT161" i="25" s="1"/>
  <c r="EI162" i="25"/>
  <c r="DT162" i="25" s="1"/>
  <c r="EI163" i="25"/>
  <c r="DT163" i="25" s="1"/>
  <c r="EI164" i="25"/>
  <c r="DT164" i="25" s="1"/>
  <c r="EI165" i="25"/>
  <c r="DT165" i="25" s="1"/>
  <c r="EI11" i="25"/>
  <c r="DT11" i="25" s="1"/>
  <c r="EI166" i="25"/>
  <c r="DT166" i="25" s="1"/>
  <c r="EI55" i="25"/>
  <c r="DT55" i="25" s="1"/>
  <c r="EI167" i="25"/>
  <c r="DT167" i="25" s="1"/>
  <c r="EI168" i="25"/>
  <c r="DT168" i="25" s="1"/>
  <c r="EI169" i="25"/>
  <c r="DT169" i="25" s="1"/>
  <c r="EI56" i="25"/>
  <c r="DT56" i="25" s="1"/>
  <c r="EI132" i="25"/>
  <c r="DT132" i="25" s="1"/>
  <c r="EI12" i="25"/>
  <c r="DT12" i="25" s="1"/>
  <c r="EI170" i="25"/>
  <c r="DT170" i="25" s="1"/>
  <c r="EI57" i="25"/>
  <c r="DT57" i="25" s="1"/>
  <c r="EI171" i="25"/>
  <c r="DT171" i="25" s="1"/>
  <c r="EI13" i="25"/>
  <c r="DT13" i="25" s="1"/>
  <c r="EI172" i="25"/>
  <c r="DT172" i="25" s="1"/>
  <c r="EI173" i="25"/>
  <c r="DT173" i="25" s="1"/>
  <c r="EI199" i="25"/>
  <c r="DT199" i="25" s="1"/>
  <c r="EI202" i="25"/>
  <c r="DT202" i="25" s="1"/>
  <c r="EI137" i="25"/>
  <c r="DT137" i="25" s="1"/>
  <c r="EI73" i="25"/>
  <c r="DT73" i="25" s="1"/>
  <c r="EI74" i="25"/>
  <c r="DT74" i="25" s="1"/>
  <c r="EI75" i="25"/>
  <c r="DT75" i="25" s="1"/>
  <c r="EI76" i="25"/>
  <c r="DT76" i="25" s="1"/>
  <c r="EI99" i="25"/>
  <c r="DT99" i="25" s="1"/>
  <c r="EI100" i="25"/>
  <c r="DT100" i="25" s="1"/>
  <c r="EI138" i="25"/>
  <c r="DT138" i="25" s="1"/>
  <c r="EI139" i="25"/>
  <c r="DT139" i="25" s="1"/>
  <c r="EI15" i="25"/>
  <c r="DT15" i="25" s="1"/>
  <c r="EI59" i="25"/>
  <c r="DT59" i="25" s="1"/>
  <c r="EI16" i="25"/>
  <c r="DT16" i="25" s="1"/>
  <c r="EI58" i="25"/>
  <c r="DT58" i="25" s="1"/>
  <c r="EI17" i="25"/>
  <c r="DT17" i="25" s="1"/>
  <c r="EI18" i="25"/>
  <c r="DT18" i="25" s="1"/>
  <c r="EI19" i="25"/>
  <c r="DT19" i="25" s="1"/>
  <c r="EI20" i="25"/>
  <c r="DT20" i="25" s="1"/>
  <c r="EI140" i="25"/>
  <c r="DT140" i="25" s="1"/>
  <c r="EI141" i="25"/>
  <c r="DT141" i="25" s="1"/>
  <c r="EI21" i="25"/>
  <c r="DT21" i="25" s="1"/>
  <c r="EI60" i="25"/>
  <c r="DT60" i="25" s="1"/>
  <c r="EI102" i="25"/>
  <c r="DT102" i="25" s="1"/>
  <c r="EI61" i="25"/>
  <c r="DT61" i="25" s="1"/>
  <c r="EI103" i="25"/>
  <c r="DT103" i="25" s="1"/>
  <c r="EI189" i="25"/>
  <c r="DT189" i="25" s="1"/>
  <c r="EI22" i="25"/>
  <c r="DT22" i="25" s="1"/>
  <c r="EI104" i="25"/>
  <c r="DT104" i="25" s="1"/>
  <c r="EI105" i="25"/>
  <c r="DT105" i="25" s="1"/>
  <c r="EI23" i="25"/>
  <c r="DT23" i="25" s="1"/>
  <c r="EI190" i="25"/>
  <c r="DT190" i="25" s="1"/>
  <c r="EI191" i="25"/>
  <c r="DT191" i="25" s="1"/>
  <c r="EI192" i="25"/>
  <c r="DT192" i="25" s="1"/>
  <c r="EI142" i="25"/>
  <c r="EI106" i="25"/>
  <c r="DT106" i="25" s="1"/>
  <c r="EI193" i="25"/>
  <c r="DT193" i="25" s="1"/>
  <c r="EI107" i="25"/>
  <c r="DT107" i="25" s="1"/>
  <c r="EI143" i="25"/>
  <c r="DT143" i="25" s="1"/>
  <c r="EI144" i="25"/>
  <c r="DT144" i="25" s="1"/>
  <c r="EI200" i="25"/>
  <c r="DT200" i="25" s="1"/>
  <c r="EI195" i="25"/>
  <c r="DT195" i="25" s="1"/>
  <c r="EI201" i="25"/>
  <c r="DT201" i="25" s="1"/>
  <c r="EI196" i="25"/>
  <c r="DT196" i="25" s="1"/>
  <c r="EI25" i="25"/>
  <c r="DT25" i="25" s="1"/>
  <c r="EI62" i="25"/>
  <c r="DT62" i="25" s="1"/>
  <c r="EI63" i="25"/>
  <c r="DT63" i="25" s="1"/>
  <c r="EI29" i="25"/>
  <c r="DT29" i="25" s="1"/>
  <c r="EI30" i="25"/>
  <c r="DT30" i="25" s="1"/>
  <c r="EI31" i="25"/>
  <c r="DT31" i="25" s="1"/>
  <c r="EI174" i="25"/>
  <c r="DT174" i="25" s="1"/>
  <c r="EI175" i="25"/>
  <c r="DT175" i="25" s="1"/>
  <c r="EI64" i="25"/>
  <c r="DT64" i="25" s="1"/>
  <c r="EI65" i="25"/>
  <c r="DT65" i="25" s="1"/>
  <c r="EI66" i="25"/>
  <c r="DT66" i="25" s="1"/>
  <c r="EI67" i="25"/>
  <c r="DT67" i="25" s="1"/>
  <c r="EI146" i="25"/>
  <c r="DT146" i="25" s="1"/>
  <c r="EI177" i="25"/>
  <c r="DT177" i="25" s="1"/>
  <c r="EI34" i="25"/>
  <c r="DT34" i="25" s="1"/>
  <c r="EI35" i="25"/>
  <c r="DT35" i="25" s="1"/>
  <c r="EI178" i="25"/>
  <c r="DT178" i="25" s="1"/>
  <c r="EI176" i="25"/>
  <c r="DT176" i="25" s="1"/>
  <c r="EI36" i="25"/>
  <c r="DT36" i="25" s="1"/>
  <c r="EI37" i="25"/>
  <c r="DT37" i="25" s="1"/>
  <c r="EI39" i="25"/>
  <c r="DT39" i="25" s="1"/>
  <c r="EI40" i="25"/>
  <c r="DT40" i="25" s="1"/>
  <c r="EI41" i="25"/>
  <c r="DT41" i="25" s="1"/>
  <c r="EI117" i="25"/>
  <c r="DT117" i="25" s="1"/>
  <c r="EI147" i="25"/>
  <c r="DT147" i="25" s="1"/>
  <c r="EI42" i="25"/>
  <c r="DT42" i="25" s="1"/>
  <c r="EI43" i="25"/>
  <c r="DT43" i="25" s="1"/>
  <c r="EI68" i="25"/>
  <c r="DT68" i="25" s="1"/>
  <c r="EI69" i="25"/>
  <c r="DT69" i="25" s="1"/>
  <c r="EI44" i="25"/>
  <c r="DT44" i="25" s="1"/>
  <c r="EI70" i="25"/>
  <c r="DT70" i="25" s="1"/>
  <c r="EI198" i="25"/>
  <c r="DT198" i="25" s="1"/>
  <c r="EI179" i="25"/>
  <c r="DT179" i="25" s="1"/>
  <c r="EI45" i="25"/>
  <c r="DT45" i="25" s="1"/>
  <c r="EI118" i="25"/>
  <c r="DT118" i="25" s="1"/>
  <c r="EI46" i="25"/>
  <c r="DT46" i="25" s="1"/>
  <c r="EI47" i="25"/>
  <c r="DT47" i="25" s="1"/>
  <c r="EI180" i="25"/>
  <c r="DT180" i="25" s="1"/>
  <c r="EI71" i="25"/>
  <c r="DT71" i="25" s="1"/>
  <c r="EI48" i="25"/>
  <c r="DT48" i="25" s="1"/>
  <c r="EI49" i="25"/>
  <c r="DT49" i="25" s="1"/>
  <c r="EI181" i="25"/>
  <c r="DT181" i="25" s="1"/>
  <c r="EI50" i="25"/>
  <c r="DT50" i="25" s="1"/>
  <c r="EI72" i="25"/>
  <c r="DT72" i="25" s="1"/>
  <c r="EI182" i="25"/>
  <c r="DT182" i="25" s="1"/>
  <c r="EI51" i="25"/>
  <c r="DT51" i="25" s="1"/>
  <c r="EI183" i="25"/>
  <c r="DT183" i="25" s="1"/>
  <c r="EI155" i="25"/>
  <c r="DT155" i="25" s="1"/>
  <c r="EI52" i="25"/>
  <c r="DT52" i="25" s="1"/>
  <c r="EI53" i="25"/>
  <c r="DT53" i="25" s="1"/>
  <c r="EI184" i="25"/>
  <c r="DT184" i="25" s="1"/>
  <c r="EI54" i="25"/>
  <c r="DT54" i="25" s="1"/>
  <c r="EI185" i="25"/>
  <c r="DT185" i="25" s="1"/>
  <c r="EI119" i="25"/>
  <c r="DT119" i="25" s="1"/>
  <c r="EI120" i="25"/>
  <c r="DT120" i="25" s="1"/>
  <c r="EI121" i="25"/>
  <c r="DT121" i="25" s="1"/>
  <c r="EI81" i="25"/>
  <c r="DT81" i="25" s="1"/>
  <c r="EI82" i="25"/>
  <c r="DT82" i="25" s="1"/>
  <c r="EI135" i="25"/>
  <c r="DT135" i="25" s="1"/>
  <c r="EI83" i="25"/>
  <c r="DT83" i="25" s="1"/>
  <c r="EI84" i="25"/>
  <c r="DT84" i="25" s="1"/>
  <c r="EI86" i="25"/>
  <c r="DT86" i="25" s="1"/>
  <c r="EI87" i="25"/>
  <c r="DT87" i="25" s="1"/>
  <c r="EI88" i="25"/>
  <c r="DT88" i="25" s="1"/>
  <c r="EI85" i="25"/>
  <c r="DT85" i="25" s="1"/>
  <c r="EI89" i="25"/>
  <c r="DT89" i="25" s="1"/>
  <c r="EI90" i="25"/>
  <c r="DT90" i="25" s="1"/>
  <c r="EI91" i="25"/>
  <c r="DT91" i="25" s="1"/>
  <c r="EI92" i="25"/>
  <c r="DT92" i="25" s="1"/>
  <c r="EI93" i="25"/>
  <c r="DT93" i="25" s="1"/>
  <c r="EI94" i="25"/>
  <c r="DT94" i="25" s="1"/>
  <c r="EI95" i="25"/>
  <c r="DT95" i="25" s="1"/>
  <c r="EI96" i="25"/>
  <c r="DT96" i="25" s="1"/>
  <c r="EI97" i="25"/>
  <c r="DT97" i="25" s="1"/>
  <c r="EI98" i="25"/>
  <c r="DT98" i="25" s="1"/>
  <c r="EI7" i="25"/>
  <c r="DT7" i="25" s="1"/>
  <c r="EI8" i="25"/>
  <c r="DT8" i="25" s="1"/>
  <c r="EI101" i="25"/>
  <c r="DT101" i="25" s="1"/>
  <c r="EI124" i="25"/>
  <c r="DT124" i="25" s="1"/>
  <c r="EI108" i="25"/>
  <c r="DT108" i="25" s="1"/>
  <c r="EI109" i="25"/>
  <c r="DT109" i="25" s="1"/>
  <c r="EI122" i="25"/>
  <c r="DT122" i="25" s="1"/>
  <c r="EI110" i="25"/>
  <c r="DT110" i="25" s="1"/>
  <c r="EI111" i="25"/>
  <c r="DT111" i="25" s="1"/>
  <c r="EI123" i="25"/>
  <c r="DT123" i="25" s="1"/>
  <c r="EI112" i="25"/>
  <c r="DT112" i="25" s="1"/>
  <c r="EI113" i="25"/>
  <c r="DT113" i="25" s="1"/>
  <c r="EI114" i="25"/>
  <c r="DT114" i="25" s="1"/>
  <c r="EI115" i="25"/>
  <c r="DT115" i="25" s="1"/>
  <c r="EI116" i="25"/>
  <c r="DT116" i="25" s="1"/>
  <c r="EJ126" i="25"/>
  <c r="EJ186" i="25"/>
  <c r="EJ187" i="25"/>
  <c r="EJ77" i="25"/>
  <c r="EJ127" i="25"/>
  <c r="EJ78" i="25"/>
  <c r="EJ79" i="25"/>
  <c r="EJ9" i="25"/>
  <c r="EJ80" i="25"/>
  <c r="EJ188" i="25"/>
  <c r="EJ129" i="25"/>
  <c r="EJ159" i="25"/>
  <c r="EJ10" i="25"/>
  <c r="EJ160" i="25"/>
  <c r="EJ130" i="25"/>
  <c r="EJ133" i="25"/>
  <c r="EJ161" i="25"/>
  <c r="EJ162" i="25"/>
  <c r="EJ163" i="25"/>
  <c r="EJ164" i="25"/>
  <c r="EJ165" i="25"/>
  <c r="EJ11" i="25"/>
  <c r="EJ166" i="25"/>
  <c r="EJ55" i="25"/>
  <c r="EJ167" i="25"/>
  <c r="EJ168" i="25"/>
  <c r="EJ169" i="25"/>
  <c r="EJ56" i="25"/>
  <c r="EJ132" i="25"/>
  <c r="EJ12" i="25"/>
  <c r="EJ170" i="25"/>
  <c r="EJ57" i="25"/>
  <c r="EJ171" i="25"/>
  <c r="EJ13" i="25"/>
  <c r="EJ172" i="25"/>
  <c r="EJ173" i="25"/>
  <c r="EJ199" i="25"/>
  <c r="EJ202" i="25"/>
  <c r="EJ137" i="25"/>
  <c r="EJ73" i="25"/>
  <c r="EJ74" i="25"/>
  <c r="EJ75" i="25"/>
  <c r="EJ76" i="25"/>
  <c r="EJ99" i="25"/>
  <c r="EJ100" i="25"/>
  <c r="EJ138" i="25"/>
  <c r="EJ139" i="25"/>
  <c r="EJ15" i="25"/>
  <c r="EJ59" i="25"/>
  <c r="EJ16" i="25"/>
  <c r="EJ58" i="25"/>
  <c r="EJ17" i="25"/>
  <c r="EJ18" i="25"/>
  <c r="EJ19" i="25"/>
  <c r="EJ20" i="25"/>
  <c r="EJ140" i="25"/>
  <c r="EJ141" i="25"/>
  <c r="EJ21" i="25"/>
  <c r="EJ60" i="25"/>
  <c r="EJ102" i="25"/>
  <c r="EJ61" i="25"/>
  <c r="EJ103" i="25"/>
  <c r="EJ189" i="25"/>
  <c r="EJ22" i="25"/>
  <c r="EJ104" i="25"/>
  <c r="EJ105" i="25"/>
  <c r="EJ23" i="25"/>
  <c r="EJ190" i="25"/>
  <c r="EJ191" i="25"/>
  <c r="EJ192" i="25"/>
  <c r="EJ142" i="25"/>
  <c r="EJ106" i="25"/>
  <c r="EJ193" i="25"/>
  <c r="EJ107" i="25"/>
  <c r="EJ143" i="25"/>
  <c r="EJ144" i="25"/>
  <c r="EJ200" i="25"/>
  <c r="EJ195" i="25"/>
  <c r="EJ201" i="25"/>
  <c r="EJ196" i="25"/>
  <c r="EJ25" i="25"/>
  <c r="EJ62" i="25"/>
  <c r="EJ63" i="25"/>
  <c r="EJ29" i="25"/>
  <c r="EJ30" i="25"/>
  <c r="EJ31" i="25"/>
  <c r="EJ174" i="25"/>
  <c r="EJ175" i="25"/>
  <c r="EJ64" i="25"/>
  <c r="EJ65" i="25"/>
  <c r="EJ66" i="25"/>
  <c r="EJ67" i="25"/>
  <c r="EJ146" i="25"/>
  <c r="EJ177" i="25"/>
  <c r="EJ34" i="25"/>
  <c r="EJ35" i="25"/>
  <c r="EJ178" i="25"/>
  <c r="EJ176" i="25"/>
  <c r="EJ36" i="25"/>
  <c r="EJ37" i="25"/>
  <c r="EJ39" i="25"/>
  <c r="EJ40" i="25"/>
  <c r="EJ41" i="25"/>
  <c r="EJ117" i="25"/>
  <c r="EJ147" i="25"/>
  <c r="EJ42" i="25"/>
  <c r="EJ43" i="25"/>
  <c r="EJ68" i="25"/>
  <c r="EJ69" i="25"/>
  <c r="EJ44" i="25"/>
  <c r="EJ70" i="25"/>
  <c r="EJ198" i="25"/>
  <c r="EJ179" i="25"/>
  <c r="EJ45" i="25"/>
  <c r="EJ118" i="25"/>
  <c r="EJ46" i="25"/>
  <c r="EJ47" i="25"/>
  <c r="EJ180" i="25"/>
  <c r="EJ71" i="25"/>
  <c r="EJ48" i="25"/>
  <c r="EJ49" i="25"/>
  <c r="EJ181" i="25"/>
  <c r="EJ50" i="25"/>
  <c r="EJ72" i="25"/>
  <c r="EJ182" i="25"/>
  <c r="EJ51" i="25"/>
  <c r="EJ183" i="25"/>
  <c r="EJ155" i="25"/>
  <c r="EJ52" i="25"/>
  <c r="EJ53" i="25"/>
  <c r="EJ184" i="25"/>
  <c r="EJ54" i="25"/>
  <c r="EJ185" i="25"/>
  <c r="EJ119" i="25"/>
  <c r="EJ120" i="25"/>
  <c r="EJ121" i="25"/>
  <c r="EJ81" i="25"/>
  <c r="EJ82" i="25"/>
  <c r="EJ135" i="25"/>
  <c r="EJ83" i="25"/>
  <c r="EJ84" i="25"/>
  <c r="EJ86" i="25"/>
  <c r="EJ87" i="25"/>
  <c r="EJ88" i="25"/>
  <c r="EJ85" i="25"/>
  <c r="EJ89" i="25"/>
  <c r="EJ90" i="25"/>
  <c r="EJ91" i="25"/>
  <c r="EJ92" i="25"/>
  <c r="EJ93" i="25"/>
  <c r="EJ94" i="25"/>
  <c r="EJ95" i="25"/>
  <c r="EJ96" i="25"/>
  <c r="EJ97" i="25"/>
  <c r="EJ98" i="25"/>
  <c r="EJ7" i="25"/>
  <c r="EJ101" i="25"/>
  <c r="EJ124" i="25"/>
  <c r="EJ108" i="25"/>
  <c r="EJ109" i="25"/>
  <c r="EJ122" i="25"/>
  <c r="EJ110" i="25"/>
  <c r="EJ111" i="25"/>
  <c r="EJ123" i="25"/>
  <c r="EJ112" i="25"/>
  <c r="EJ113" i="25"/>
  <c r="EJ114" i="25"/>
  <c r="EJ115" i="25"/>
  <c r="EJ116" i="25"/>
  <c r="EK126" i="25"/>
  <c r="EK186" i="25"/>
  <c r="EK187" i="25"/>
  <c r="EK77" i="25"/>
  <c r="EK127" i="25"/>
  <c r="EK78" i="25"/>
  <c r="EK79" i="25"/>
  <c r="EK9" i="25"/>
  <c r="EK80" i="25"/>
  <c r="EK188" i="25"/>
  <c r="EK129" i="25"/>
  <c r="EK159" i="25"/>
  <c r="EK10" i="25"/>
  <c r="EK160" i="25"/>
  <c r="EK130" i="25"/>
  <c r="EK133" i="25"/>
  <c r="EK161" i="25"/>
  <c r="EK162" i="25"/>
  <c r="EK163" i="25"/>
  <c r="EK164" i="25"/>
  <c r="EK165" i="25"/>
  <c r="EK11" i="25"/>
  <c r="EK166" i="25"/>
  <c r="EK55" i="25"/>
  <c r="EK167" i="25"/>
  <c r="EK168" i="25"/>
  <c r="EK169" i="25"/>
  <c r="EK56" i="25"/>
  <c r="EK132" i="25"/>
  <c r="EK12" i="25"/>
  <c r="EK170" i="25"/>
  <c r="EK57" i="25"/>
  <c r="EK171" i="25"/>
  <c r="EK13" i="25"/>
  <c r="EK172" i="25"/>
  <c r="EK173" i="25"/>
  <c r="EK199" i="25"/>
  <c r="EK202" i="25"/>
  <c r="EK137" i="25"/>
  <c r="EK73" i="25"/>
  <c r="EK74" i="25"/>
  <c r="EK75" i="25"/>
  <c r="EK76" i="25"/>
  <c r="EK99" i="25"/>
  <c r="EK100" i="25"/>
  <c r="EK138" i="25"/>
  <c r="EK139" i="25"/>
  <c r="EK15" i="25"/>
  <c r="EK59" i="25"/>
  <c r="EK16" i="25"/>
  <c r="EK58" i="25"/>
  <c r="EK17" i="25"/>
  <c r="EK18" i="25"/>
  <c r="EK19" i="25"/>
  <c r="EK20" i="25"/>
  <c r="EK140" i="25"/>
  <c r="EK141" i="25"/>
  <c r="EK21" i="25"/>
  <c r="EK60" i="25"/>
  <c r="EK102" i="25"/>
  <c r="EK61" i="25"/>
  <c r="EK103" i="25"/>
  <c r="EK189" i="25"/>
  <c r="EK22" i="25"/>
  <c r="EK104" i="25"/>
  <c r="EK105" i="25"/>
  <c r="EK23" i="25"/>
  <c r="EK190" i="25"/>
  <c r="EK191" i="25"/>
  <c r="EK192" i="25"/>
  <c r="EK142" i="25"/>
  <c r="EK106" i="25"/>
  <c r="EK193" i="25"/>
  <c r="EK107" i="25"/>
  <c r="EK143" i="25"/>
  <c r="EK144" i="25"/>
  <c r="EK200" i="25"/>
  <c r="EK195" i="25"/>
  <c r="EK201" i="25"/>
  <c r="EK196" i="25"/>
  <c r="EK25" i="25"/>
  <c r="EK62" i="25"/>
  <c r="EK63" i="25"/>
  <c r="EK29" i="25"/>
  <c r="EK30" i="25"/>
  <c r="EK31" i="25"/>
  <c r="EK174" i="25"/>
  <c r="EK175" i="25"/>
  <c r="EK64" i="25"/>
  <c r="EK65" i="25"/>
  <c r="EK66" i="25"/>
  <c r="EK67" i="25"/>
  <c r="EK146" i="25"/>
  <c r="EK177" i="25"/>
  <c r="EK34" i="25"/>
  <c r="EK35" i="25"/>
  <c r="EK178" i="25"/>
  <c r="EK176" i="25"/>
  <c r="EK36" i="25"/>
  <c r="EK37" i="25"/>
  <c r="EK39" i="25"/>
  <c r="EK40" i="25"/>
  <c r="EK41" i="25"/>
  <c r="EK117" i="25"/>
  <c r="EK147" i="25"/>
  <c r="EK42" i="25"/>
  <c r="EK43" i="25"/>
  <c r="EK68" i="25"/>
  <c r="EK69" i="25"/>
  <c r="EK44" i="25"/>
  <c r="EK70" i="25"/>
  <c r="EK198" i="25"/>
  <c r="EK179" i="25"/>
  <c r="EK45" i="25"/>
  <c r="EK118" i="25"/>
  <c r="EK46" i="25"/>
  <c r="EK47" i="25"/>
  <c r="EK180" i="25"/>
  <c r="EK71" i="25"/>
  <c r="EK48" i="25"/>
  <c r="EK49" i="25"/>
  <c r="EK181" i="25"/>
  <c r="EK50" i="25"/>
  <c r="EK72" i="25"/>
  <c r="EK182" i="25"/>
  <c r="EK51" i="25"/>
  <c r="EK183" i="25"/>
  <c r="EK155" i="25"/>
  <c r="EK52" i="25"/>
  <c r="EK53" i="25"/>
  <c r="EK184" i="25"/>
  <c r="EK54" i="25"/>
  <c r="EK185" i="25"/>
  <c r="EK119" i="25"/>
  <c r="EK120" i="25"/>
  <c r="EK121" i="25"/>
  <c r="EK81" i="25"/>
  <c r="EK82" i="25"/>
  <c r="EK135" i="25"/>
  <c r="EK83" i="25"/>
  <c r="EK84" i="25"/>
  <c r="EK86" i="25"/>
  <c r="EK87" i="25"/>
  <c r="EK88" i="25"/>
  <c r="EK85" i="25"/>
  <c r="EK89" i="25"/>
  <c r="EK90" i="25"/>
  <c r="EK91" i="25"/>
  <c r="EK92" i="25"/>
  <c r="EK93" i="25"/>
  <c r="EK94" i="25"/>
  <c r="EK95" i="25"/>
  <c r="EK96" i="25"/>
  <c r="EK97" i="25"/>
  <c r="EK98" i="25"/>
  <c r="EK7" i="25"/>
  <c r="EK8" i="25"/>
  <c r="EK101" i="25"/>
  <c r="EK124" i="25"/>
  <c r="EK108" i="25"/>
  <c r="EK109" i="25"/>
  <c r="EK122" i="25"/>
  <c r="EK110" i="25"/>
  <c r="EK111" i="25"/>
  <c r="EK123" i="25"/>
  <c r="EK112" i="25"/>
  <c r="EK113" i="25"/>
  <c r="EK114" i="25"/>
  <c r="EK115" i="25"/>
  <c r="EK116" i="25"/>
  <c r="EL126" i="25"/>
  <c r="EL186" i="25"/>
  <c r="EL187" i="25"/>
  <c r="EL77" i="25"/>
  <c r="EL127" i="25"/>
  <c r="EL78" i="25"/>
  <c r="EL79" i="25"/>
  <c r="EL9" i="25"/>
  <c r="EL80" i="25"/>
  <c r="EL188" i="25"/>
  <c r="EL129" i="25"/>
  <c r="EL159" i="25"/>
  <c r="EL10" i="25"/>
  <c r="EL160" i="25"/>
  <c r="EL130" i="25"/>
  <c r="EL133" i="25"/>
  <c r="EL161" i="25"/>
  <c r="EL162" i="25"/>
  <c r="EL163" i="25"/>
  <c r="EL164" i="25"/>
  <c r="EL165" i="25"/>
  <c r="EL11" i="25"/>
  <c r="EL166" i="25"/>
  <c r="EL55" i="25"/>
  <c r="EL167" i="25"/>
  <c r="EL168" i="25"/>
  <c r="EL169" i="25"/>
  <c r="EL56" i="25"/>
  <c r="EL132" i="25"/>
  <c r="EL12" i="25"/>
  <c r="EL170" i="25"/>
  <c r="EL57" i="25"/>
  <c r="EL171" i="25"/>
  <c r="EL13" i="25"/>
  <c r="EL172" i="25"/>
  <c r="EL173" i="25"/>
  <c r="EL199" i="25"/>
  <c r="EL202" i="25"/>
  <c r="EL137" i="25"/>
  <c r="EL73" i="25"/>
  <c r="EL74" i="25"/>
  <c r="EL75" i="25"/>
  <c r="EL76" i="25"/>
  <c r="EL99" i="25"/>
  <c r="EL100" i="25"/>
  <c r="EL138" i="25"/>
  <c r="EL139" i="25"/>
  <c r="EL15" i="25"/>
  <c r="EL59" i="25"/>
  <c r="EL16" i="25"/>
  <c r="EL58" i="25"/>
  <c r="EL17" i="25"/>
  <c r="EL18" i="25"/>
  <c r="EL19" i="25"/>
  <c r="EL20" i="25"/>
  <c r="EL140" i="25"/>
  <c r="EL141" i="25"/>
  <c r="EL21" i="25"/>
  <c r="EL60" i="25"/>
  <c r="EL102" i="25"/>
  <c r="EL61" i="25"/>
  <c r="EL103" i="25"/>
  <c r="EL189" i="25"/>
  <c r="EL22" i="25"/>
  <c r="EL104" i="25"/>
  <c r="EL105" i="25"/>
  <c r="EL23" i="25"/>
  <c r="EL190" i="25"/>
  <c r="EL191" i="25"/>
  <c r="EL192" i="25"/>
  <c r="EL142" i="25"/>
  <c r="EL106" i="25"/>
  <c r="EL193" i="25"/>
  <c r="EL107" i="25"/>
  <c r="EL143" i="25"/>
  <c r="EL144" i="25"/>
  <c r="EL200" i="25"/>
  <c r="EL195" i="25"/>
  <c r="EL201" i="25"/>
  <c r="EL196" i="25"/>
  <c r="EL25" i="25"/>
  <c r="EL62" i="25"/>
  <c r="EL63" i="25"/>
  <c r="EL29" i="25"/>
  <c r="EL30" i="25"/>
  <c r="EL31" i="25"/>
  <c r="EL174" i="25"/>
  <c r="EL175" i="25"/>
  <c r="EL64" i="25"/>
  <c r="EL65" i="25"/>
  <c r="EL66" i="25"/>
  <c r="EL67" i="25"/>
  <c r="EL146" i="25"/>
  <c r="EL177" i="25"/>
  <c r="EL34" i="25"/>
  <c r="EL35" i="25"/>
  <c r="EL178" i="25"/>
  <c r="EL176" i="25"/>
  <c r="EL36" i="25"/>
  <c r="EL37" i="25"/>
  <c r="EL39" i="25"/>
  <c r="EL40" i="25"/>
  <c r="EL41" i="25"/>
  <c r="EL117" i="25"/>
  <c r="EL147" i="25"/>
  <c r="EL42" i="25"/>
  <c r="EL43" i="25"/>
  <c r="EL68" i="25"/>
  <c r="EL69" i="25"/>
  <c r="EL44" i="25"/>
  <c r="EL70" i="25"/>
  <c r="EL198" i="25"/>
  <c r="EL179" i="25"/>
  <c r="EL45" i="25"/>
  <c r="EL118" i="25"/>
  <c r="EL46" i="25"/>
  <c r="EL47" i="25"/>
  <c r="EL180" i="25"/>
  <c r="EL71" i="25"/>
  <c r="EL48" i="25"/>
  <c r="EL49" i="25"/>
  <c r="EL181" i="25"/>
  <c r="EL50" i="25"/>
  <c r="EL72" i="25"/>
  <c r="EL182" i="25"/>
  <c r="EL51" i="25"/>
  <c r="EL183" i="25"/>
  <c r="EL155" i="25"/>
  <c r="EL52" i="25"/>
  <c r="EL53" i="25"/>
  <c r="EL184" i="25"/>
  <c r="EL54" i="25"/>
  <c r="EL185" i="25"/>
  <c r="EL119" i="25"/>
  <c r="EL120" i="25"/>
  <c r="EL121" i="25"/>
  <c r="EL81" i="25"/>
  <c r="EL82" i="25"/>
  <c r="EL135" i="25"/>
  <c r="EL83" i="25"/>
  <c r="EL84" i="25"/>
  <c r="EL86" i="25"/>
  <c r="EL87" i="25"/>
  <c r="EL88" i="25"/>
  <c r="EL85" i="25"/>
  <c r="EL89" i="25"/>
  <c r="EL90" i="25"/>
  <c r="EL91" i="25"/>
  <c r="EL92" i="25"/>
  <c r="EL93" i="25"/>
  <c r="EL94" i="25"/>
  <c r="EL95" i="25"/>
  <c r="EL96" i="25"/>
  <c r="EL97" i="25"/>
  <c r="EL98" i="25"/>
  <c r="EL7" i="25"/>
  <c r="EL8" i="25"/>
  <c r="EL101" i="25"/>
  <c r="EL124" i="25"/>
  <c r="EL108" i="25"/>
  <c r="EL109" i="25"/>
  <c r="EL122" i="25"/>
  <c r="EL110" i="25"/>
  <c r="EL111" i="25"/>
  <c r="EL123" i="25"/>
  <c r="EL112" i="25"/>
  <c r="EL113" i="25"/>
  <c r="EL114" i="25"/>
  <c r="EL115" i="25"/>
  <c r="EL116" i="25"/>
  <c r="EM126" i="25"/>
  <c r="EM186" i="25"/>
  <c r="EM187" i="25"/>
  <c r="EM77" i="25"/>
  <c r="EM127" i="25"/>
  <c r="EM78" i="25"/>
  <c r="EM79" i="25"/>
  <c r="EM9" i="25"/>
  <c r="EM80" i="25"/>
  <c r="EM188" i="25"/>
  <c r="EM129" i="25"/>
  <c r="EM159" i="25"/>
  <c r="EM10" i="25"/>
  <c r="EM160" i="25"/>
  <c r="EM130" i="25"/>
  <c r="EM133" i="25"/>
  <c r="EM161" i="25"/>
  <c r="EM162" i="25"/>
  <c r="EM163" i="25"/>
  <c r="EM164" i="25"/>
  <c r="EM165" i="25"/>
  <c r="EM11" i="25"/>
  <c r="EM166" i="25"/>
  <c r="EM55" i="25"/>
  <c r="EM167" i="25"/>
  <c r="EM168" i="25"/>
  <c r="EM169" i="25"/>
  <c r="EM56" i="25"/>
  <c r="EM132" i="25"/>
  <c r="EM12" i="25"/>
  <c r="EM170" i="25"/>
  <c r="EM57" i="25"/>
  <c r="EM171" i="25"/>
  <c r="EM13" i="25"/>
  <c r="EM172" i="25"/>
  <c r="EM173" i="25"/>
  <c r="EM199" i="25"/>
  <c r="EM202" i="25"/>
  <c r="EM137" i="25"/>
  <c r="EM73" i="25"/>
  <c r="EM74" i="25"/>
  <c r="EM75" i="25"/>
  <c r="EM76" i="25"/>
  <c r="EM99" i="25"/>
  <c r="EM100" i="25"/>
  <c r="EM138" i="25"/>
  <c r="EM139" i="25"/>
  <c r="EM15" i="25"/>
  <c r="EM59" i="25"/>
  <c r="EM16" i="25"/>
  <c r="EM58" i="25"/>
  <c r="EM17" i="25"/>
  <c r="EM18" i="25"/>
  <c r="EM19" i="25"/>
  <c r="EM20" i="25"/>
  <c r="EM140" i="25"/>
  <c r="EM141" i="25"/>
  <c r="EM21" i="25"/>
  <c r="EM60" i="25"/>
  <c r="EM102" i="25"/>
  <c r="EM61" i="25"/>
  <c r="EM103" i="25"/>
  <c r="EM189" i="25"/>
  <c r="EM22" i="25"/>
  <c r="EM104" i="25"/>
  <c r="EM105" i="25"/>
  <c r="EM23" i="25"/>
  <c r="EM190" i="25"/>
  <c r="EM191" i="25"/>
  <c r="EM192" i="25"/>
  <c r="EM142" i="25"/>
  <c r="EM106" i="25"/>
  <c r="EM193" i="25"/>
  <c r="EM107" i="25"/>
  <c r="EM143" i="25"/>
  <c r="EM144" i="25"/>
  <c r="EM200" i="25"/>
  <c r="EM195" i="25"/>
  <c r="EM201" i="25"/>
  <c r="EM196" i="25"/>
  <c r="EM25" i="25"/>
  <c r="EM62" i="25"/>
  <c r="EM63" i="25"/>
  <c r="EM29" i="25"/>
  <c r="EM30" i="25"/>
  <c r="EM31" i="25"/>
  <c r="EM174" i="25"/>
  <c r="EM175" i="25"/>
  <c r="EM64" i="25"/>
  <c r="EM65" i="25"/>
  <c r="EM66" i="25"/>
  <c r="EM67" i="25"/>
  <c r="EM146" i="25"/>
  <c r="EM177" i="25"/>
  <c r="EM34" i="25"/>
  <c r="EM35" i="25"/>
  <c r="EM178" i="25"/>
  <c r="EM176" i="25"/>
  <c r="EM36" i="25"/>
  <c r="EM37" i="25"/>
  <c r="EM39" i="25"/>
  <c r="EM40" i="25"/>
  <c r="EM41" i="25"/>
  <c r="EM117" i="25"/>
  <c r="EM147" i="25"/>
  <c r="EM42" i="25"/>
  <c r="EM43" i="25"/>
  <c r="EM68" i="25"/>
  <c r="EM69" i="25"/>
  <c r="EM44" i="25"/>
  <c r="EM70" i="25"/>
  <c r="EM198" i="25"/>
  <c r="EM179" i="25"/>
  <c r="EM45" i="25"/>
  <c r="EM118" i="25"/>
  <c r="EM46" i="25"/>
  <c r="EM47" i="25"/>
  <c r="EM180" i="25"/>
  <c r="EM71" i="25"/>
  <c r="EM48" i="25"/>
  <c r="EM49" i="25"/>
  <c r="EM181" i="25"/>
  <c r="EM50" i="25"/>
  <c r="EM72" i="25"/>
  <c r="EM182" i="25"/>
  <c r="EM51" i="25"/>
  <c r="EM183" i="25"/>
  <c r="EM155" i="25"/>
  <c r="EM52" i="25"/>
  <c r="EM53" i="25"/>
  <c r="EM184" i="25"/>
  <c r="EM54" i="25"/>
  <c r="EM185" i="25"/>
  <c r="EM119" i="25"/>
  <c r="EM120" i="25"/>
  <c r="EM121" i="25"/>
  <c r="EM81" i="25"/>
  <c r="EM82" i="25"/>
  <c r="EM135" i="25"/>
  <c r="EM83" i="25"/>
  <c r="EM84" i="25"/>
  <c r="EM86" i="25"/>
  <c r="EM87" i="25"/>
  <c r="EM88" i="25"/>
  <c r="EM85" i="25"/>
  <c r="EM89" i="25"/>
  <c r="EM90" i="25"/>
  <c r="EM91" i="25"/>
  <c r="EM92" i="25"/>
  <c r="EM93" i="25"/>
  <c r="EM94" i="25"/>
  <c r="EM95" i="25"/>
  <c r="EM96" i="25"/>
  <c r="EM97" i="25"/>
  <c r="EM98" i="25"/>
  <c r="EM7" i="25"/>
  <c r="EM8" i="25"/>
  <c r="EM101" i="25"/>
  <c r="EM124" i="25"/>
  <c r="EM108" i="25"/>
  <c r="EM109" i="25"/>
  <c r="EM122" i="25"/>
  <c r="EM110" i="25"/>
  <c r="EM111" i="25"/>
  <c r="EM123" i="25"/>
  <c r="EM112" i="25"/>
  <c r="EM113" i="25"/>
  <c r="EM114" i="25"/>
  <c r="EM115" i="25"/>
  <c r="EM116" i="25"/>
  <c r="EO126" i="25"/>
  <c r="EO186" i="25"/>
  <c r="EO187" i="25"/>
  <c r="EO77" i="25"/>
  <c r="EO127" i="25"/>
  <c r="EO78" i="25"/>
  <c r="EO79" i="25"/>
  <c r="EO9" i="25"/>
  <c r="EO80" i="25"/>
  <c r="EO188" i="25"/>
  <c r="EO129" i="25"/>
  <c r="EO159" i="25"/>
  <c r="EO10" i="25"/>
  <c r="EO160" i="25"/>
  <c r="EO130" i="25"/>
  <c r="EO133" i="25"/>
  <c r="EO161" i="25"/>
  <c r="EO162" i="25"/>
  <c r="EO163" i="25"/>
  <c r="EO164" i="25"/>
  <c r="EO165" i="25"/>
  <c r="EO11" i="25"/>
  <c r="EO166" i="25"/>
  <c r="EO55" i="25"/>
  <c r="EO167" i="25"/>
  <c r="EO168" i="25"/>
  <c r="EO169" i="25"/>
  <c r="EO56" i="25"/>
  <c r="EO132" i="25"/>
  <c r="EO12" i="25"/>
  <c r="EO170" i="25"/>
  <c r="EO57" i="25"/>
  <c r="EO171" i="25"/>
  <c r="EO13" i="25"/>
  <c r="EO172" i="25"/>
  <c r="EO173" i="25"/>
  <c r="EO199" i="25"/>
  <c r="EO202" i="25"/>
  <c r="EO137" i="25"/>
  <c r="EO73" i="25"/>
  <c r="EO74" i="25"/>
  <c r="EO75" i="25"/>
  <c r="EO76" i="25"/>
  <c r="EO99" i="25"/>
  <c r="EO100" i="25"/>
  <c r="EO138" i="25"/>
  <c r="EO139" i="25"/>
  <c r="EO15" i="25"/>
  <c r="EO59" i="25"/>
  <c r="EO16" i="25"/>
  <c r="EO58" i="25"/>
  <c r="EO17" i="25"/>
  <c r="EO18" i="25"/>
  <c r="EO19" i="25"/>
  <c r="EO20" i="25"/>
  <c r="EO140" i="25"/>
  <c r="EO141" i="25"/>
  <c r="EO21" i="25"/>
  <c r="EO60" i="25"/>
  <c r="EO102" i="25"/>
  <c r="EO61" i="25"/>
  <c r="EO103" i="25"/>
  <c r="EO189" i="25"/>
  <c r="EO22" i="25"/>
  <c r="EO104" i="25"/>
  <c r="EO105" i="25"/>
  <c r="EO23" i="25"/>
  <c r="EO190" i="25"/>
  <c r="EO191" i="25"/>
  <c r="EO192" i="25"/>
  <c r="EO142" i="25"/>
  <c r="EO106" i="25"/>
  <c r="EO193" i="25"/>
  <c r="EO107" i="25"/>
  <c r="EO143" i="25"/>
  <c r="EO144" i="25"/>
  <c r="EO200" i="25"/>
  <c r="EO195" i="25"/>
  <c r="EO201" i="25"/>
  <c r="EO196" i="25"/>
  <c r="EO25" i="25"/>
  <c r="EO62" i="25"/>
  <c r="EO63" i="25"/>
  <c r="EO29" i="25"/>
  <c r="EO30" i="25"/>
  <c r="EO31" i="25"/>
  <c r="EO174" i="25"/>
  <c r="EO175" i="25"/>
  <c r="EO64" i="25"/>
  <c r="EO65" i="25"/>
  <c r="EO66" i="25"/>
  <c r="EO67" i="25"/>
  <c r="EO146" i="25"/>
  <c r="EO177" i="25"/>
  <c r="EO34" i="25"/>
  <c r="EO35" i="25"/>
  <c r="EO178" i="25"/>
  <c r="EO176" i="25"/>
  <c r="EO36" i="25"/>
  <c r="EO37" i="25"/>
  <c r="EO39" i="25"/>
  <c r="EO40" i="25"/>
  <c r="EO41" i="25"/>
  <c r="EO117" i="25"/>
  <c r="EO147" i="25"/>
  <c r="EO42" i="25"/>
  <c r="EO43" i="25"/>
  <c r="EO68" i="25"/>
  <c r="EO69" i="25"/>
  <c r="EO44" i="25"/>
  <c r="EO70" i="25"/>
  <c r="EO198" i="25"/>
  <c r="EO179" i="25"/>
  <c r="EO45" i="25"/>
  <c r="EO118" i="25"/>
  <c r="EO46" i="25"/>
  <c r="EO47" i="25"/>
  <c r="EO180" i="25"/>
  <c r="EO71" i="25"/>
  <c r="EO48" i="25"/>
  <c r="EO49" i="25"/>
  <c r="EO181" i="25"/>
  <c r="EO50" i="25"/>
  <c r="EO72" i="25"/>
  <c r="EO182" i="25"/>
  <c r="EO51" i="25"/>
  <c r="EO183" i="25"/>
  <c r="EO155" i="25"/>
  <c r="EO52" i="25"/>
  <c r="EO53" i="25"/>
  <c r="EO184" i="25"/>
  <c r="EO54" i="25"/>
  <c r="EO185" i="25"/>
  <c r="EO119" i="25"/>
  <c r="EO120" i="25"/>
  <c r="EO121" i="25"/>
  <c r="EO81" i="25"/>
  <c r="EO82" i="25"/>
  <c r="EO135" i="25"/>
  <c r="EO83" i="25"/>
  <c r="EO84" i="25"/>
  <c r="EO86" i="25"/>
  <c r="EO87" i="25"/>
  <c r="EO88" i="25"/>
  <c r="EO85" i="25"/>
  <c r="EO89" i="25"/>
  <c r="EO90" i="25"/>
  <c r="EO91" i="25"/>
  <c r="EO92" i="25"/>
  <c r="EO93" i="25"/>
  <c r="EO94" i="25"/>
  <c r="EO95" i="25"/>
  <c r="EO96" i="25"/>
  <c r="EO97" i="25"/>
  <c r="EO98" i="25"/>
  <c r="EO7" i="25"/>
  <c r="EO8" i="25"/>
  <c r="EO101" i="25"/>
  <c r="EO124" i="25"/>
  <c r="EO108" i="25"/>
  <c r="EO109" i="25"/>
  <c r="EO122" i="25"/>
  <c r="EO110" i="25"/>
  <c r="EO111" i="25"/>
  <c r="EO123" i="25"/>
  <c r="EO112" i="25"/>
  <c r="EO113" i="25"/>
  <c r="EO114" i="25"/>
  <c r="EO115" i="25"/>
  <c r="EO116" i="25"/>
  <c r="EP126" i="25"/>
  <c r="EP186" i="25"/>
  <c r="EP187" i="25"/>
  <c r="EP77" i="25"/>
  <c r="EP127" i="25"/>
  <c r="EP78" i="25"/>
  <c r="EP79" i="25"/>
  <c r="EP9" i="25"/>
  <c r="EP80" i="25"/>
  <c r="EP188" i="25"/>
  <c r="EP129" i="25"/>
  <c r="EP159" i="25"/>
  <c r="EP10" i="25"/>
  <c r="EP160" i="25"/>
  <c r="EP130" i="25"/>
  <c r="EP133" i="25"/>
  <c r="EP161" i="25"/>
  <c r="EP162" i="25"/>
  <c r="EP163" i="25"/>
  <c r="EP164" i="25"/>
  <c r="EP165" i="25"/>
  <c r="EP11" i="25"/>
  <c r="EP166" i="25"/>
  <c r="EP55" i="25"/>
  <c r="EP167" i="25"/>
  <c r="EP168" i="25"/>
  <c r="EP169" i="25"/>
  <c r="EP56" i="25"/>
  <c r="EP132" i="25"/>
  <c r="EP12" i="25"/>
  <c r="EP170" i="25"/>
  <c r="EP57" i="25"/>
  <c r="EP171" i="25"/>
  <c r="EP13" i="25"/>
  <c r="EP172" i="25"/>
  <c r="EP173" i="25"/>
  <c r="EP199" i="25"/>
  <c r="EP202" i="25"/>
  <c r="EP137" i="25"/>
  <c r="EP73" i="25"/>
  <c r="EP74" i="25"/>
  <c r="EP75" i="25"/>
  <c r="EP76" i="25"/>
  <c r="EP99" i="25"/>
  <c r="EP100" i="25"/>
  <c r="EP138" i="25"/>
  <c r="EP139" i="25"/>
  <c r="EP15" i="25"/>
  <c r="EP59" i="25"/>
  <c r="EP16" i="25"/>
  <c r="EP58" i="25"/>
  <c r="EP17" i="25"/>
  <c r="EP18" i="25"/>
  <c r="EP19" i="25"/>
  <c r="EP20" i="25"/>
  <c r="EP140" i="25"/>
  <c r="EP141" i="25"/>
  <c r="EP21" i="25"/>
  <c r="EP60" i="25"/>
  <c r="EP102" i="25"/>
  <c r="EP61" i="25"/>
  <c r="EP103" i="25"/>
  <c r="EP189" i="25"/>
  <c r="EP22" i="25"/>
  <c r="EP104" i="25"/>
  <c r="EP105" i="25"/>
  <c r="EP23" i="25"/>
  <c r="EP190" i="25"/>
  <c r="EP191" i="25"/>
  <c r="EP192" i="25"/>
  <c r="EP142" i="25"/>
  <c r="EP106" i="25"/>
  <c r="EP193" i="25"/>
  <c r="EP107" i="25"/>
  <c r="EP143" i="25"/>
  <c r="EP144" i="25"/>
  <c r="EP200" i="25"/>
  <c r="EP195" i="25"/>
  <c r="EP201" i="25"/>
  <c r="EP196" i="25"/>
  <c r="EP25" i="25"/>
  <c r="EP62" i="25"/>
  <c r="EP63" i="25"/>
  <c r="EP29" i="25"/>
  <c r="EP30" i="25"/>
  <c r="EP31" i="25"/>
  <c r="EP174" i="25"/>
  <c r="EP175" i="25"/>
  <c r="EP64" i="25"/>
  <c r="EP65" i="25"/>
  <c r="EP66" i="25"/>
  <c r="EP67" i="25"/>
  <c r="EP146" i="25"/>
  <c r="EP177" i="25"/>
  <c r="EP34" i="25"/>
  <c r="EP35" i="25"/>
  <c r="EP178" i="25"/>
  <c r="EP176" i="25"/>
  <c r="EP36" i="25"/>
  <c r="EP37" i="25"/>
  <c r="EP39" i="25"/>
  <c r="EP40" i="25"/>
  <c r="EP41" i="25"/>
  <c r="EP117" i="25"/>
  <c r="EP147" i="25"/>
  <c r="EP42" i="25"/>
  <c r="EP43" i="25"/>
  <c r="EP68" i="25"/>
  <c r="EP69" i="25"/>
  <c r="EP44" i="25"/>
  <c r="EP70" i="25"/>
  <c r="EP198" i="25"/>
  <c r="EP179" i="25"/>
  <c r="EP45" i="25"/>
  <c r="EP118" i="25"/>
  <c r="EP46" i="25"/>
  <c r="EP47" i="25"/>
  <c r="EP180" i="25"/>
  <c r="EP71" i="25"/>
  <c r="EP48" i="25"/>
  <c r="EP49" i="25"/>
  <c r="EP181" i="25"/>
  <c r="EP50" i="25"/>
  <c r="EP72" i="25"/>
  <c r="EP182" i="25"/>
  <c r="EP51" i="25"/>
  <c r="EP183" i="25"/>
  <c r="EP155" i="25"/>
  <c r="EP52" i="25"/>
  <c r="EP53" i="25"/>
  <c r="EP184" i="25"/>
  <c r="EP54" i="25"/>
  <c r="EP185" i="25"/>
  <c r="EP119" i="25"/>
  <c r="EP120" i="25"/>
  <c r="EP121" i="25"/>
  <c r="EP81" i="25"/>
  <c r="EP82" i="25"/>
  <c r="EP135" i="25"/>
  <c r="EP83" i="25"/>
  <c r="EP84" i="25"/>
  <c r="EP86" i="25"/>
  <c r="EP87" i="25"/>
  <c r="EP88" i="25"/>
  <c r="EP85" i="25"/>
  <c r="EP89" i="25"/>
  <c r="EP90" i="25"/>
  <c r="EP91" i="25"/>
  <c r="EP92" i="25"/>
  <c r="EP93" i="25"/>
  <c r="EP94" i="25"/>
  <c r="EP95" i="25"/>
  <c r="EP96" i="25"/>
  <c r="EP97" i="25"/>
  <c r="EP98" i="25"/>
  <c r="EP7" i="25"/>
  <c r="EP8" i="25"/>
  <c r="EP101" i="25"/>
  <c r="EP124" i="25"/>
  <c r="EP108" i="25"/>
  <c r="EP109" i="25"/>
  <c r="EP122" i="25"/>
  <c r="EP110" i="25"/>
  <c r="EP111" i="25"/>
  <c r="EP123" i="25"/>
  <c r="EP112" i="25"/>
  <c r="EP113" i="25"/>
  <c r="EP114" i="25"/>
  <c r="EP115" i="25"/>
  <c r="EP116" i="25"/>
  <c r="DW199" i="25"/>
  <c r="DY63" i="25"/>
  <c r="DY18" i="25"/>
  <c r="DW10" i="25"/>
  <c r="DW127" i="25"/>
  <c r="DW91" i="25"/>
  <c r="DW165" i="25"/>
  <c r="DD200" i="25"/>
  <c r="DC200" i="25" s="1"/>
  <c r="DJ200" i="25" s="1"/>
  <c r="DE20" i="25"/>
  <c r="DE61" i="25"/>
  <c r="CT112" i="25"/>
  <c r="CT88" i="25"/>
  <c r="CT179" i="25"/>
  <c r="CT174" i="25"/>
  <c r="CT49" i="25"/>
  <c r="CW142" i="25"/>
  <c r="CW129" i="25"/>
  <c r="CW126" i="25"/>
  <c r="N43" i="89"/>
  <c r="E62" i="89"/>
  <c r="E81" i="89"/>
  <c r="E43" i="89"/>
  <c r="H118" i="92"/>
  <c r="D4" i="129"/>
  <c r="D2" i="89" s="1"/>
  <c r="G49" i="89" s="1"/>
  <c r="E4" i="129"/>
  <c r="E2" i="89" s="1"/>
  <c r="G68" i="89" s="1"/>
  <c r="F4" i="129"/>
  <c r="F2" i="89" s="1"/>
  <c r="G87" i="89" s="1"/>
  <c r="O87" i="89" s="1"/>
  <c r="G4" i="129"/>
  <c r="G2" i="89" s="1"/>
  <c r="G104" i="89" s="1"/>
  <c r="H4" i="129"/>
  <c r="H2" i="89" s="1"/>
  <c r="G117" i="89" s="1"/>
  <c r="I4" i="129"/>
  <c r="I2" i="89" s="1"/>
  <c r="G151" i="89" s="1"/>
  <c r="J4" i="129"/>
  <c r="J2" i="89" s="1"/>
  <c r="G132" i="89" s="1"/>
  <c r="K4" i="129"/>
  <c r="K2" i="89"/>
  <c r="L4" i="129"/>
  <c r="L2" i="89" s="1"/>
  <c r="M25" i="122"/>
  <c r="M27" i="122"/>
  <c r="M28" i="122"/>
  <c r="M29" i="122"/>
  <c r="M30" i="122"/>
  <c r="M31" i="122"/>
  <c r="M32" i="122"/>
  <c r="M33" i="122"/>
  <c r="M34" i="122"/>
  <c r="M35" i="122"/>
  <c r="M38" i="122"/>
  <c r="M39" i="122"/>
  <c r="M40" i="122"/>
  <c r="M41" i="122"/>
  <c r="E113" i="89"/>
  <c r="E100" i="89"/>
  <c r="T172" i="89"/>
  <c r="W177" i="89"/>
  <c r="M26" i="122"/>
  <c r="M24" i="122"/>
  <c r="M23" i="122"/>
  <c r="M22" i="122"/>
  <c r="M21" i="122"/>
  <c r="M20" i="122"/>
  <c r="M19" i="122"/>
  <c r="M18" i="122"/>
  <c r="M17" i="122"/>
  <c r="M16" i="122"/>
  <c r="M15" i="122"/>
  <c r="M14" i="122"/>
  <c r="M13" i="122"/>
  <c r="M12" i="122"/>
  <c r="M11" i="122"/>
  <c r="M10" i="122"/>
  <c r="M9" i="122"/>
  <c r="M8" i="122"/>
  <c r="M7" i="122"/>
  <c r="M6" i="122"/>
  <c r="Y54" i="92"/>
  <c r="H164" i="89"/>
  <c r="J53" i="92"/>
  <c r="X53" i="92"/>
  <c r="H240" i="92"/>
  <c r="H237" i="92"/>
  <c r="H223" i="92"/>
  <c r="K135" i="92"/>
  <c r="C133" i="92"/>
  <c r="C131" i="92"/>
  <c r="E378" i="92"/>
  <c r="M237" i="92"/>
  <c r="H221" i="92"/>
  <c r="K134" i="92"/>
  <c r="C134" i="92"/>
  <c r="D131" i="92"/>
  <c r="F162" i="92"/>
  <c r="L240" i="92"/>
  <c r="L237" i="92"/>
  <c r="C222" i="92"/>
  <c r="K133" i="92"/>
  <c r="C137" i="92"/>
  <c r="E162" i="92"/>
  <c r="C178" i="92"/>
  <c r="I53" i="92"/>
  <c r="E377" i="92"/>
  <c r="H218" i="92"/>
  <c r="C135" i="92"/>
  <c r="G131" i="92"/>
  <c r="C162" i="92"/>
  <c r="D176" i="92"/>
  <c r="F160" i="92"/>
  <c r="D378" i="92"/>
  <c r="H222" i="92"/>
  <c r="K132" i="92"/>
  <c r="C132" i="92"/>
  <c r="G130" i="92"/>
  <c r="E176" i="92"/>
  <c r="H241" i="92"/>
  <c r="L218" i="92"/>
  <c r="K137" i="92"/>
  <c r="D132" i="92"/>
  <c r="D137" i="92"/>
  <c r="E160" i="92"/>
  <c r="D178" i="92"/>
  <c r="L241" i="92"/>
  <c r="L221" i="92"/>
  <c r="K136" i="92"/>
  <c r="D136" i="92"/>
  <c r="D135" i="92"/>
  <c r="D160" i="92"/>
  <c r="C176" i="92"/>
  <c r="D377" i="92"/>
  <c r="I237" i="92"/>
  <c r="H224" i="92"/>
  <c r="K131" i="92"/>
  <c r="C136" i="92"/>
  <c r="D133" i="92"/>
  <c r="C160" i="92"/>
  <c r="E178" i="92"/>
  <c r="D162" i="92"/>
  <c r="I54" i="92"/>
  <c r="W97" i="89" l="1"/>
  <c r="S233" i="89"/>
  <c r="T233" i="89" s="1"/>
  <c r="O81" i="89"/>
  <c r="E234" i="89"/>
  <c r="F234" i="89" s="1"/>
  <c r="CG195" i="25"/>
  <c r="CG138" i="25"/>
  <c r="X82" i="89"/>
  <c r="O100" i="89"/>
  <c r="W44" i="89"/>
  <c r="B44" i="89"/>
  <c r="W63" i="89"/>
  <c r="B63" i="89"/>
  <c r="V27" i="89"/>
  <c r="B25" i="89"/>
  <c r="W29" i="89"/>
  <c r="B29" i="89"/>
  <c r="P48" i="89"/>
  <c r="Q48" i="89" s="1"/>
  <c r="B48" i="89"/>
  <c r="W67" i="89"/>
  <c r="B67" i="89"/>
  <c r="P55" i="89"/>
  <c r="Q55" i="89" s="1"/>
  <c r="P120" i="89"/>
  <c r="Q120" i="89" s="1"/>
  <c r="CG92" i="25"/>
  <c r="ED8" i="25"/>
  <c r="ED144" i="25"/>
  <c r="ED190" i="25"/>
  <c r="DY126" i="25"/>
  <c r="DW80" i="25"/>
  <c r="ED49" i="25"/>
  <c r="ED51" i="25"/>
  <c r="DW140" i="25"/>
  <c r="DW48" i="25"/>
  <c r="DW120" i="25"/>
  <c r="DY94" i="25"/>
  <c r="DW198" i="25"/>
  <c r="P141" i="89"/>
  <c r="Q141" i="89" s="1"/>
  <c r="R151" i="89"/>
  <c r="W151" i="89"/>
  <c r="U151" i="89"/>
  <c r="O164" i="89"/>
  <c r="P164" i="89" s="1"/>
  <c r="Q164" i="89" s="1"/>
  <c r="V151" i="89"/>
  <c r="S151" i="89"/>
  <c r="P151" i="89"/>
  <c r="Q151" i="89" s="1"/>
  <c r="X151" i="89"/>
  <c r="T151" i="89"/>
  <c r="W160" i="89"/>
  <c r="V160" i="89"/>
  <c r="P160" i="89"/>
  <c r="Q160" i="89" s="1"/>
  <c r="U160" i="89"/>
  <c r="T160" i="89"/>
  <c r="S160" i="89"/>
  <c r="X160" i="89"/>
  <c r="R160" i="89"/>
  <c r="ED36" i="25"/>
  <c r="DH199" i="25"/>
  <c r="DI199" i="25" s="1"/>
  <c r="DH200" i="25"/>
  <c r="DI200" i="25" s="1"/>
  <c r="DY17" i="25"/>
  <c r="DY67" i="25"/>
  <c r="DW56" i="25"/>
  <c r="DY110" i="25"/>
  <c r="DW99" i="25"/>
  <c r="CG137" i="25"/>
  <c r="CG115" i="25"/>
  <c r="CG62" i="25"/>
  <c r="CG16" i="25"/>
  <c r="CG75" i="25"/>
  <c r="CG13" i="25"/>
  <c r="DY11" i="25"/>
  <c r="DY103" i="25"/>
  <c r="CG139" i="25"/>
  <c r="DY185" i="25"/>
  <c r="CG116" i="25"/>
  <c r="ED114" i="25"/>
  <c r="ED95" i="25"/>
  <c r="ED88" i="25"/>
  <c r="ED121" i="25"/>
  <c r="CG103" i="25"/>
  <c r="CG12" i="25"/>
  <c r="ED47" i="25"/>
  <c r="ED18" i="25"/>
  <c r="ED68" i="25"/>
  <c r="ED67" i="25"/>
  <c r="ED108" i="25"/>
  <c r="DD78" i="25"/>
  <c r="DC78" i="25" s="1"/>
  <c r="DJ78" i="25" s="1"/>
  <c r="DD55" i="25"/>
  <c r="DC55" i="25" s="1"/>
  <c r="DJ55" i="25" s="1"/>
  <c r="DY172" i="25"/>
  <c r="DW116" i="25"/>
  <c r="CG160" i="25"/>
  <c r="DW118" i="25"/>
  <c r="DW181" i="25"/>
  <c r="DY36" i="25"/>
  <c r="DW60" i="25"/>
  <c r="DW122" i="25"/>
  <c r="CQ142" i="25"/>
  <c r="DY43" i="25"/>
  <c r="DW82" i="25"/>
  <c r="DW53" i="25"/>
  <c r="DY77" i="25"/>
  <c r="DY23" i="25"/>
  <c r="DY76" i="25"/>
  <c r="DY58" i="25"/>
  <c r="DY66" i="25"/>
  <c r="DY164" i="25"/>
  <c r="DY97" i="25"/>
  <c r="DW143" i="25"/>
  <c r="CZ126" i="25"/>
  <c r="DY169" i="25"/>
  <c r="DE76" i="25"/>
  <c r="DH66" i="25"/>
  <c r="DI66" i="25" s="1"/>
  <c r="DE169" i="25"/>
  <c r="DH143" i="25"/>
  <c r="DI143" i="25" s="1"/>
  <c r="DH160" i="25"/>
  <c r="DI160" i="25" s="1"/>
  <c r="DD11" i="25"/>
  <c r="DC11" i="25" s="1"/>
  <c r="DJ11" i="25" s="1"/>
  <c r="DD132" i="25"/>
  <c r="DC132" i="25" s="1"/>
  <c r="DJ132" i="25" s="1"/>
  <c r="DE72" i="25"/>
  <c r="DE100" i="25"/>
  <c r="DD83" i="25"/>
  <c r="DC83" i="25" s="1"/>
  <c r="DJ83" i="25" s="1"/>
  <c r="DE53" i="25"/>
  <c r="DH115" i="25"/>
  <c r="DI115" i="25" s="1"/>
  <c r="DH187" i="25"/>
  <c r="DI187" i="25" s="1"/>
  <c r="DH32" i="25"/>
  <c r="DI32" i="25" s="1"/>
  <c r="DH97" i="25"/>
  <c r="DI97" i="25" s="1"/>
  <c r="DE77" i="25"/>
  <c r="DH60" i="25"/>
  <c r="DI60" i="25" s="1"/>
  <c r="DE43" i="25"/>
  <c r="DE89" i="25"/>
  <c r="DH36" i="25"/>
  <c r="DI36" i="25" s="1"/>
  <c r="DE172" i="25"/>
  <c r="DE58" i="25"/>
  <c r="DH23" i="25"/>
  <c r="DI23" i="25" s="1"/>
  <c r="DH181" i="25"/>
  <c r="DI181" i="25" s="1"/>
  <c r="DE122" i="25"/>
  <c r="DH164" i="25"/>
  <c r="DI164" i="25" s="1"/>
  <c r="DH63" i="25"/>
  <c r="DI63" i="25" s="1"/>
  <c r="DE116" i="25"/>
  <c r="V118" i="89"/>
  <c r="S220" i="89"/>
  <c r="T220" i="89" s="1"/>
  <c r="X105" i="89"/>
  <c r="S221" i="89"/>
  <c r="T221" i="89" s="1"/>
  <c r="W88" i="89"/>
  <c r="S222" i="89"/>
  <c r="T222" i="89" s="1"/>
  <c r="U50" i="89"/>
  <c r="S224" i="89"/>
  <c r="T224" i="89" s="1"/>
  <c r="U69" i="89"/>
  <c r="S223" i="89"/>
  <c r="U223" i="89" s="1"/>
  <c r="X89" i="89"/>
  <c r="E222" i="89"/>
  <c r="F222" i="89" s="1"/>
  <c r="X119" i="89"/>
  <c r="E220" i="89"/>
  <c r="F220" i="89" s="1"/>
  <c r="X106" i="89"/>
  <c r="E221" i="89"/>
  <c r="F221" i="89" s="1"/>
  <c r="S51" i="89"/>
  <c r="E224" i="89"/>
  <c r="F224" i="89" s="1"/>
  <c r="W70" i="89"/>
  <c r="E223" i="89"/>
  <c r="F223" i="89" s="1"/>
  <c r="P32" i="89"/>
  <c r="Q32" i="89" s="1"/>
  <c r="E225" i="89"/>
  <c r="G225" i="89" s="1"/>
  <c r="P86" i="89"/>
  <c r="Q86" i="89" s="1"/>
  <c r="P95" i="89"/>
  <c r="Q95" i="89" s="1"/>
  <c r="P85" i="89"/>
  <c r="Q85" i="89" s="1"/>
  <c r="V36" i="89"/>
  <c r="P36" i="89"/>
  <c r="Q36" i="89" s="1"/>
  <c r="U38" i="89"/>
  <c r="P41" i="89"/>
  <c r="Q41" i="89" s="1"/>
  <c r="P65" i="89"/>
  <c r="Q65" i="89" s="1"/>
  <c r="P89" i="89"/>
  <c r="Q89" i="89" s="1"/>
  <c r="P115" i="89"/>
  <c r="Q115" i="89" s="1"/>
  <c r="S33" i="89"/>
  <c r="P46" i="89"/>
  <c r="Q46" i="89" s="1"/>
  <c r="P98" i="89"/>
  <c r="Q98" i="89" s="1"/>
  <c r="T35" i="89"/>
  <c r="V26" i="89"/>
  <c r="S174" i="89"/>
  <c r="T42" i="89"/>
  <c r="S177" i="89"/>
  <c r="T177" i="89" s="1"/>
  <c r="S176" i="89"/>
  <c r="T176" i="89" s="1"/>
  <c r="S175" i="89"/>
  <c r="T175" i="89" s="1"/>
  <c r="AH35" i="89"/>
  <c r="P83" i="89"/>
  <c r="Q83" i="89" s="1"/>
  <c r="P33" i="89"/>
  <c r="Q33" i="89" s="1"/>
  <c r="P88" i="89"/>
  <c r="Q88" i="89" s="1"/>
  <c r="P102" i="89"/>
  <c r="Q102" i="89" s="1"/>
  <c r="S41" i="89"/>
  <c r="P127" i="89"/>
  <c r="Q127" i="89" s="1"/>
  <c r="AG41" i="89"/>
  <c r="AG32" i="89"/>
  <c r="U41" i="89"/>
  <c r="AH41" i="89"/>
  <c r="P84" i="89"/>
  <c r="Q84" i="89" s="1"/>
  <c r="T41" i="89"/>
  <c r="W41" i="89"/>
  <c r="X41" i="89"/>
  <c r="R127" i="89"/>
  <c r="P78" i="89"/>
  <c r="Q78" i="89" s="1"/>
  <c r="P51" i="89"/>
  <c r="Q51" i="89" s="1"/>
  <c r="P139" i="89"/>
  <c r="Q139" i="89" s="1"/>
  <c r="AG35" i="89"/>
  <c r="AH33" i="89"/>
  <c r="P60" i="89"/>
  <c r="Q60" i="89" s="1"/>
  <c r="P70" i="89"/>
  <c r="Q70" i="89" s="1"/>
  <c r="P90" i="89"/>
  <c r="Q90" i="89" s="1"/>
  <c r="AG34" i="89"/>
  <c r="AH27" i="89"/>
  <c r="U82" i="89"/>
  <c r="P34" i="89"/>
  <c r="Q34" i="89" s="1"/>
  <c r="P82" i="89"/>
  <c r="Q82" i="89" s="1"/>
  <c r="AG33" i="89"/>
  <c r="U26" i="89"/>
  <c r="V82" i="89"/>
  <c r="P35" i="89"/>
  <c r="Q35" i="89" s="1"/>
  <c r="P109" i="89"/>
  <c r="Q109" i="89" s="1"/>
  <c r="U27" i="89"/>
  <c r="T144" i="89"/>
  <c r="P71" i="89"/>
  <c r="Q71" i="89" s="1"/>
  <c r="P99" i="89"/>
  <c r="Q99" i="89" s="1"/>
  <c r="W35" i="89"/>
  <c r="U144" i="89"/>
  <c r="P80" i="89"/>
  <c r="Q80" i="89" s="1"/>
  <c r="S35" i="89"/>
  <c r="V144" i="89"/>
  <c r="W36" i="89"/>
  <c r="P103" i="89"/>
  <c r="Q103" i="89" s="1"/>
  <c r="S36" i="89"/>
  <c r="T28" i="89"/>
  <c r="U42" i="89"/>
  <c r="W28" i="89"/>
  <c r="P38" i="89"/>
  <c r="Q38" i="89" s="1"/>
  <c r="P47" i="89"/>
  <c r="Q47" i="89" s="1"/>
  <c r="P64" i="89"/>
  <c r="Q64" i="89" s="1"/>
  <c r="P74" i="89"/>
  <c r="Q74" i="89" s="1"/>
  <c r="P105" i="89"/>
  <c r="Q105" i="89" s="1"/>
  <c r="P122" i="89"/>
  <c r="Q122" i="89" s="1"/>
  <c r="S37" i="89"/>
  <c r="T33" i="89"/>
  <c r="AH42" i="89"/>
  <c r="AH25" i="89"/>
  <c r="X25" i="89"/>
  <c r="T90" i="89"/>
  <c r="W144" i="89"/>
  <c r="P106" i="89"/>
  <c r="Q106" i="89" s="1"/>
  <c r="P124" i="89"/>
  <c r="Q124" i="89" s="1"/>
  <c r="S38" i="89"/>
  <c r="U28" i="89"/>
  <c r="R74" i="89"/>
  <c r="R66" i="89"/>
  <c r="S125" i="89"/>
  <c r="P42" i="89"/>
  <c r="Q42" i="89" s="1"/>
  <c r="P53" i="89"/>
  <c r="Q53" i="89" s="1"/>
  <c r="P66" i="89"/>
  <c r="Q66" i="89" s="1"/>
  <c r="P125" i="89"/>
  <c r="Q125" i="89" s="1"/>
  <c r="S25" i="89"/>
  <c r="T36" i="89"/>
  <c r="AH38" i="89"/>
  <c r="W42" i="89"/>
  <c r="W128" i="89"/>
  <c r="P25" i="89"/>
  <c r="Q25" i="89" s="1"/>
  <c r="P54" i="89"/>
  <c r="Q54" i="89" s="1"/>
  <c r="P93" i="89"/>
  <c r="Q93" i="89" s="1"/>
  <c r="P144" i="89"/>
  <c r="Q144" i="89" s="1"/>
  <c r="S28" i="89"/>
  <c r="S42" i="89"/>
  <c r="AG29" i="89"/>
  <c r="T38" i="89"/>
  <c r="AH37" i="89"/>
  <c r="S130" i="89"/>
  <c r="P28" i="89"/>
  <c r="Q28" i="89" s="1"/>
  <c r="P56" i="89"/>
  <c r="Q56" i="89" s="1"/>
  <c r="P75" i="89"/>
  <c r="Q75" i="89" s="1"/>
  <c r="P94" i="89"/>
  <c r="Q94" i="89" s="1"/>
  <c r="P114" i="89"/>
  <c r="Q114" i="89" s="1"/>
  <c r="P130" i="89"/>
  <c r="Q130" i="89" s="1"/>
  <c r="S29" i="89"/>
  <c r="AG28" i="89"/>
  <c r="U37" i="89"/>
  <c r="W38" i="89"/>
  <c r="X28" i="89"/>
  <c r="S144" i="89"/>
  <c r="P45" i="89"/>
  <c r="Q45" i="89" s="1"/>
  <c r="P116" i="89"/>
  <c r="Q116" i="89" s="1"/>
  <c r="AG38" i="89"/>
  <c r="AH28" i="89"/>
  <c r="X40" i="89"/>
  <c r="V40" i="89"/>
  <c r="P76" i="89"/>
  <c r="Q76" i="89" s="1"/>
  <c r="AH26" i="89"/>
  <c r="R34" i="89"/>
  <c r="V34" i="89"/>
  <c r="P37" i="89"/>
  <c r="Q37" i="89" s="1"/>
  <c r="P29" i="89"/>
  <c r="Q29" i="89" s="1"/>
  <c r="P79" i="89"/>
  <c r="Q79" i="89" s="1"/>
  <c r="P69" i="89"/>
  <c r="Q69" i="89" s="1"/>
  <c r="P140" i="89"/>
  <c r="Q140" i="89" s="1"/>
  <c r="S34" i="89"/>
  <c r="T26" i="89"/>
  <c r="U40" i="89"/>
  <c r="AH36" i="89"/>
  <c r="W34" i="89"/>
  <c r="X35" i="89"/>
  <c r="V35" i="89"/>
  <c r="S44" i="89"/>
  <c r="U55" i="89"/>
  <c r="U65" i="89"/>
  <c r="S82" i="89"/>
  <c r="V86" i="89"/>
  <c r="S103" i="89"/>
  <c r="W118" i="89"/>
  <c r="W127" i="89"/>
  <c r="S139" i="89"/>
  <c r="P44" i="89"/>
  <c r="Q44" i="89" s="1"/>
  <c r="P57" i="89"/>
  <c r="Q57" i="89" s="1"/>
  <c r="P92" i="89"/>
  <c r="Q92" i="89" s="1"/>
  <c r="P129" i="89"/>
  <c r="Q129" i="89" s="1"/>
  <c r="T27" i="89"/>
  <c r="U29" i="89"/>
  <c r="X36" i="89"/>
  <c r="T44" i="89"/>
  <c r="W57" i="89"/>
  <c r="S67" i="89"/>
  <c r="T82" i="89"/>
  <c r="X88" i="89"/>
  <c r="V105" i="89"/>
  <c r="S120" i="89"/>
  <c r="X127" i="89"/>
  <c r="U140" i="89"/>
  <c r="P26" i="89"/>
  <c r="Q26" i="89" s="1"/>
  <c r="P40" i="89"/>
  <c r="Q40" i="89" s="1"/>
  <c r="P59" i="89"/>
  <c r="Q59" i="89" s="1"/>
  <c r="P67" i="89"/>
  <c r="Q67" i="89" s="1"/>
  <c r="P107" i="89"/>
  <c r="Q107" i="89" s="1"/>
  <c r="P118" i="89"/>
  <c r="Q118" i="89" s="1"/>
  <c r="AG40" i="89"/>
  <c r="T40" i="89"/>
  <c r="AH34" i="89"/>
  <c r="X29" i="89"/>
  <c r="V29" i="89"/>
  <c r="U44" i="89"/>
  <c r="T59" i="89"/>
  <c r="V69" i="89"/>
  <c r="T107" i="89"/>
  <c r="W122" i="89"/>
  <c r="P27" i="89"/>
  <c r="Q27" i="89" s="1"/>
  <c r="P108" i="89"/>
  <c r="Q108" i="89" s="1"/>
  <c r="S26" i="89"/>
  <c r="T29" i="89"/>
  <c r="U34" i="89"/>
  <c r="U31" i="89"/>
  <c r="V31" i="89"/>
  <c r="W37" i="89"/>
  <c r="V37" i="89"/>
  <c r="X44" i="89"/>
  <c r="V44" i="89"/>
  <c r="S63" i="89"/>
  <c r="W72" i="89"/>
  <c r="X92" i="89"/>
  <c r="V108" i="89"/>
  <c r="P72" i="89"/>
  <c r="Q72" i="89" s="1"/>
  <c r="T174" i="89"/>
  <c r="P119" i="89"/>
  <c r="Q119" i="89" s="1"/>
  <c r="P138" i="89"/>
  <c r="Q138" i="89" s="1"/>
  <c r="P143" i="89"/>
  <c r="Q143" i="89" s="1"/>
  <c r="S27" i="89"/>
  <c r="AG37" i="89"/>
  <c r="AG27" i="89"/>
  <c r="AH29" i="89"/>
  <c r="W40" i="89"/>
  <c r="X32" i="89"/>
  <c r="V32" i="89"/>
  <c r="X38" i="89"/>
  <c r="X42" i="89"/>
  <c r="V42" i="89"/>
  <c r="T63" i="89"/>
  <c r="U74" i="89"/>
  <c r="W82" i="89"/>
  <c r="T94" i="89"/>
  <c r="W112" i="89"/>
  <c r="S127" i="89"/>
  <c r="U131" i="89"/>
  <c r="E211" i="89"/>
  <c r="F211" i="89" s="1"/>
  <c r="V39" i="89"/>
  <c r="P63" i="89"/>
  <c r="Q63" i="89" s="1"/>
  <c r="P73" i="89"/>
  <c r="Q73" i="89" s="1"/>
  <c r="P97" i="89"/>
  <c r="Q97" i="89" s="1"/>
  <c r="P112" i="89"/>
  <c r="Q112" i="89" s="1"/>
  <c r="P131" i="89"/>
  <c r="Q131" i="89" s="1"/>
  <c r="S40" i="89"/>
  <c r="AG36" i="89"/>
  <c r="AG26" i="89"/>
  <c r="T34" i="89"/>
  <c r="U36" i="89"/>
  <c r="AH40" i="89"/>
  <c r="X26" i="89"/>
  <c r="X33" i="89"/>
  <c r="V33" i="89"/>
  <c r="X63" i="89"/>
  <c r="T46" i="89"/>
  <c r="U63" i="89"/>
  <c r="S76" i="89"/>
  <c r="V95" i="89"/>
  <c r="X103" i="89"/>
  <c r="T127" i="89"/>
  <c r="W133" i="89"/>
  <c r="X66" i="89"/>
  <c r="S47" i="89"/>
  <c r="V63" i="89"/>
  <c r="V78" i="89"/>
  <c r="S84" i="89"/>
  <c r="X97" i="89"/>
  <c r="S115" i="89"/>
  <c r="U127" i="89"/>
  <c r="S135" i="89"/>
  <c r="X75" i="89"/>
  <c r="S53" i="89"/>
  <c r="T80" i="89"/>
  <c r="T85" i="89"/>
  <c r="T99" i="89"/>
  <c r="U116" i="89"/>
  <c r="W137" i="89"/>
  <c r="DE174" i="25"/>
  <c r="DW159" i="25"/>
  <c r="DY159" i="25"/>
  <c r="CP112" i="25"/>
  <c r="CP181" i="25"/>
  <c r="CG201" i="25"/>
  <c r="CG181" i="25"/>
  <c r="DE119" i="25"/>
  <c r="ED182" i="25"/>
  <c r="ED177" i="25"/>
  <c r="ED195" i="25"/>
  <c r="ED192" i="25"/>
  <c r="ED103" i="25"/>
  <c r="ED138" i="25"/>
  <c r="ED202" i="25"/>
  <c r="ED12" i="25"/>
  <c r="ED166" i="25"/>
  <c r="ED79" i="25"/>
  <c r="DW148" i="25"/>
  <c r="DH71" i="25"/>
  <c r="DI71" i="25" s="1"/>
  <c r="DE189" i="25"/>
  <c r="DE139" i="25"/>
  <c r="DD47" i="25"/>
  <c r="DC47" i="25" s="1"/>
  <c r="DJ47" i="25" s="1"/>
  <c r="DE201" i="25"/>
  <c r="DD146" i="25"/>
  <c r="DC146" i="25" s="1"/>
  <c r="DJ146" i="25" s="1"/>
  <c r="DE91" i="25"/>
  <c r="DH69" i="25"/>
  <c r="DI69" i="25" s="1"/>
  <c r="DH30" i="25"/>
  <c r="DI30" i="25" s="1"/>
  <c r="DE18" i="25"/>
  <c r="DE39" i="25"/>
  <c r="DH47" i="25"/>
  <c r="DI47" i="25" s="1"/>
  <c r="DD54" i="25"/>
  <c r="DC54" i="25" s="1"/>
  <c r="DJ54" i="25" s="1"/>
  <c r="DD111" i="25"/>
  <c r="DC111" i="25" s="1"/>
  <c r="DJ111" i="25" s="1"/>
  <c r="DH11" i="25"/>
  <c r="DI11" i="25" s="1"/>
  <c r="V101" i="89"/>
  <c r="P52" i="89"/>
  <c r="Q52" i="89" s="1"/>
  <c r="P101" i="89"/>
  <c r="Q101" i="89" s="1"/>
  <c r="P111" i="89"/>
  <c r="Q111" i="89" s="1"/>
  <c r="P134" i="89"/>
  <c r="Q134" i="89" s="1"/>
  <c r="W33" i="89"/>
  <c r="R35" i="89"/>
  <c r="R65" i="89"/>
  <c r="X60" i="89"/>
  <c r="X51" i="89"/>
  <c r="X67" i="89"/>
  <c r="X76" i="89"/>
  <c r="U46" i="89"/>
  <c r="T48" i="89"/>
  <c r="U52" i="89"/>
  <c r="S54" i="89"/>
  <c r="T55" i="89"/>
  <c r="V57" i="89"/>
  <c r="S59" i="89"/>
  <c r="U61" i="89"/>
  <c r="S64" i="89"/>
  <c r="V65" i="89"/>
  <c r="T67" i="89"/>
  <c r="W69" i="89"/>
  <c r="U71" i="89"/>
  <c r="S73" i="89"/>
  <c r="V74" i="89"/>
  <c r="T76" i="89"/>
  <c r="W78" i="89"/>
  <c r="U80" i="89"/>
  <c r="T84" i="89"/>
  <c r="U85" i="89"/>
  <c r="W86" i="89"/>
  <c r="S89" i="89"/>
  <c r="U90" i="89"/>
  <c r="W91" i="89"/>
  <c r="S93" i="89"/>
  <c r="U94" i="89"/>
  <c r="W95" i="89"/>
  <c r="S98" i="89"/>
  <c r="U99" i="89"/>
  <c r="W101" i="89"/>
  <c r="T103" i="89"/>
  <c r="W105" i="89"/>
  <c r="U107" i="89"/>
  <c r="W108" i="89"/>
  <c r="U111" i="89"/>
  <c r="X112" i="89"/>
  <c r="X102" i="89"/>
  <c r="T115" i="89"/>
  <c r="V116" i="89"/>
  <c r="X118" i="89"/>
  <c r="T120" i="89"/>
  <c r="V121" i="89"/>
  <c r="X122" i="89"/>
  <c r="T125" i="89"/>
  <c r="X128" i="89"/>
  <c r="T130" i="89"/>
  <c r="V131" i="89"/>
  <c r="X133" i="89"/>
  <c r="T135" i="89"/>
  <c r="V136" i="89"/>
  <c r="X137" i="89"/>
  <c r="T139" i="89"/>
  <c r="V140" i="89"/>
  <c r="X52" i="89"/>
  <c r="T52" i="89"/>
  <c r="V61" i="89"/>
  <c r="U121" i="89"/>
  <c r="P31" i="89"/>
  <c r="Q31" i="89" s="1"/>
  <c r="P91" i="89"/>
  <c r="Q91" i="89" s="1"/>
  <c r="P128" i="89"/>
  <c r="Q128" i="89" s="1"/>
  <c r="P137" i="89"/>
  <c r="Q137" i="89" s="1"/>
  <c r="X27" i="89"/>
  <c r="X37" i="89"/>
  <c r="R80" i="89"/>
  <c r="R136" i="89"/>
  <c r="R26" i="89"/>
  <c r="X59" i="89"/>
  <c r="X47" i="89"/>
  <c r="X69" i="89"/>
  <c r="X78" i="89"/>
  <c r="S45" i="89"/>
  <c r="V46" i="89"/>
  <c r="W51" i="89"/>
  <c r="V52" i="89"/>
  <c r="T54" i="89"/>
  <c r="S55" i="89"/>
  <c r="U57" i="89"/>
  <c r="S60" i="89"/>
  <c r="T61" i="89"/>
  <c r="T64" i="89"/>
  <c r="W65" i="89"/>
  <c r="U67" i="89"/>
  <c r="S70" i="89"/>
  <c r="V71" i="89"/>
  <c r="T73" i="89"/>
  <c r="W74" i="89"/>
  <c r="U76" i="89"/>
  <c r="S79" i="89"/>
  <c r="V80" i="89"/>
  <c r="S83" i="89"/>
  <c r="U84" i="89"/>
  <c r="V85" i="89"/>
  <c r="X86" i="89"/>
  <c r="T89" i="89"/>
  <c r="V90" i="89"/>
  <c r="X91" i="89"/>
  <c r="T93" i="89"/>
  <c r="V94" i="89"/>
  <c r="X95" i="89"/>
  <c r="T98" i="89"/>
  <c r="V99" i="89"/>
  <c r="X101" i="89"/>
  <c r="U103" i="89"/>
  <c r="S106" i="89"/>
  <c r="V107" i="89"/>
  <c r="S109" i="89"/>
  <c r="V111" i="89"/>
  <c r="X111" i="89"/>
  <c r="S114" i="89"/>
  <c r="U115" i="89"/>
  <c r="W116" i="89"/>
  <c r="S119" i="89"/>
  <c r="U120" i="89"/>
  <c r="W121" i="89"/>
  <c r="S124" i="89"/>
  <c r="U125" i="89"/>
  <c r="S129" i="89"/>
  <c r="U130" i="89"/>
  <c r="W131" i="89"/>
  <c r="S134" i="89"/>
  <c r="U135" i="89"/>
  <c r="W136" i="89"/>
  <c r="S138" i="89"/>
  <c r="U139" i="89"/>
  <c r="W140" i="89"/>
  <c r="S143" i="89"/>
  <c r="P121" i="89"/>
  <c r="Q121" i="89" s="1"/>
  <c r="R79" i="89"/>
  <c r="R135" i="89"/>
  <c r="X57" i="89"/>
  <c r="X46" i="89"/>
  <c r="X70" i="89"/>
  <c r="X79" i="89"/>
  <c r="T45" i="89"/>
  <c r="W46" i="89"/>
  <c r="V51" i="89"/>
  <c r="W52" i="89"/>
  <c r="U54" i="89"/>
  <c r="S56" i="89"/>
  <c r="T57" i="89"/>
  <c r="T60" i="89"/>
  <c r="S61" i="89"/>
  <c r="U64" i="89"/>
  <c r="S66" i="89"/>
  <c r="V67" i="89"/>
  <c r="T70" i="89"/>
  <c r="W71" i="89"/>
  <c r="U73" i="89"/>
  <c r="S75" i="89"/>
  <c r="V76" i="89"/>
  <c r="T79" i="89"/>
  <c r="W80" i="89"/>
  <c r="T83" i="89"/>
  <c r="V84" i="89"/>
  <c r="W85" i="89"/>
  <c r="S88" i="89"/>
  <c r="U89" i="89"/>
  <c r="W90" i="89"/>
  <c r="S92" i="89"/>
  <c r="U93" i="89"/>
  <c r="W94" i="89"/>
  <c r="S97" i="89"/>
  <c r="U98" i="89"/>
  <c r="W99" i="89"/>
  <c r="S102" i="89"/>
  <c r="V103" i="89"/>
  <c r="T106" i="89"/>
  <c r="W107" i="89"/>
  <c r="T109" i="89"/>
  <c r="W111" i="89"/>
  <c r="X109" i="89"/>
  <c r="T114" i="89"/>
  <c r="V115" i="89"/>
  <c r="X116" i="89"/>
  <c r="T119" i="89"/>
  <c r="V120" i="89"/>
  <c r="X121" i="89"/>
  <c r="T124" i="89"/>
  <c r="V125" i="89"/>
  <c r="T129" i="89"/>
  <c r="V130" i="89"/>
  <c r="X131" i="89"/>
  <c r="T134" i="89"/>
  <c r="V135" i="89"/>
  <c r="X136" i="89"/>
  <c r="T138" i="89"/>
  <c r="V139" i="89"/>
  <c r="X140" i="89"/>
  <c r="T143" i="89"/>
  <c r="T111" i="89"/>
  <c r="U136" i="89"/>
  <c r="P135" i="89"/>
  <c r="Q135" i="89" s="1"/>
  <c r="W27" i="89"/>
  <c r="R97" i="89"/>
  <c r="R70" i="89"/>
  <c r="X56" i="89"/>
  <c r="X45" i="89"/>
  <c r="X71" i="89"/>
  <c r="X80" i="89"/>
  <c r="U45" i="89"/>
  <c r="W47" i="89"/>
  <c r="U51" i="89"/>
  <c r="W53" i="89"/>
  <c r="V54" i="89"/>
  <c r="T56" i="89"/>
  <c r="U60" i="89"/>
  <c r="V64" i="89"/>
  <c r="T66" i="89"/>
  <c r="U70" i="89"/>
  <c r="S72" i="89"/>
  <c r="V73" i="89"/>
  <c r="T75" i="89"/>
  <c r="U79" i="89"/>
  <c r="U83" i="89"/>
  <c r="W84" i="89"/>
  <c r="X85" i="89"/>
  <c r="T88" i="89"/>
  <c r="V89" i="89"/>
  <c r="X90" i="89"/>
  <c r="T92" i="89"/>
  <c r="V93" i="89"/>
  <c r="X94" i="89"/>
  <c r="T97" i="89"/>
  <c r="V98" i="89"/>
  <c r="X99" i="89"/>
  <c r="T102" i="89"/>
  <c r="U106" i="89"/>
  <c r="R108" i="89"/>
  <c r="U109" i="89"/>
  <c r="S112" i="89"/>
  <c r="X108" i="89"/>
  <c r="U114" i="89"/>
  <c r="W115" i="89"/>
  <c r="S118" i="89"/>
  <c r="U119" i="89"/>
  <c r="W120" i="89"/>
  <c r="S122" i="89"/>
  <c r="U124" i="89"/>
  <c r="W125" i="89"/>
  <c r="S128" i="89"/>
  <c r="U129" i="89"/>
  <c r="W130" i="89"/>
  <c r="S133" i="89"/>
  <c r="U134" i="89"/>
  <c r="W135" i="89"/>
  <c r="S137" i="89"/>
  <c r="U138" i="89"/>
  <c r="W139" i="89"/>
  <c r="U143" i="89"/>
  <c r="T71" i="89"/>
  <c r="V91" i="89"/>
  <c r="AH31" i="89"/>
  <c r="W26" i="89"/>
  <c r="R118" i="89"/>
  <c r="X55" i="89"/>
  <c r="X72" i="89"/>
  <c r="V45" i="89"/>
  <c r="V47" i="89"/>
  <c r="T51" i="89"/>
  <c r="V53" i="89"/>
  <c r="W54" i="89"/>
  <c r="U56" i="89"/>
  <c r="W59" i="89"/>
  <c r="V60" i="89"/>
  <c r="W64" i="89"/>
  <c r="U66" i="89"/>
  <c r="S69" i="89"/>
  <c r="V70" i="89"/>
  <c r="T72" i="89"/>
  <c r="W73" i="89"/>
  <c r="U75" i="89"/>
  <c r="S78" i="89"/>
  <c r="V79" i="89"/>
  <c r="V83" i="89"/>
  <c r="S86" i="89"/>
  <c r="U88" i="89"/>
  <c r="W89" i="89"/>
  <c r="S91" i="89"/>
  <c r="U92" i="89"/>
  <c r="W93" i="89"/>
  <c r="S95" i="89"/>
  <c r="U97" i="89"/>
  <c r="W98" i="89"/>
  <c r="S101" i="89"/>
  <c r="U102" i="89"/>
  <c r="S105" i="89"/>
  <c r="V106" i="89"/>
  <c r="S108" i="89"/>
  <c r="V109" i="89"/>
  <c r="T112" i="89"/>
  <c r="X107" i="89"/>
  <c r="V114" i="89"/>
  <c r="T118" i="89"/>
  <c r="V119" i="89"/>
  <c r="T122" i="89"/>
  <c r="V124" i="89"/>
  <c r="T128" i="89"/>
  <c r="V129" i="89"/>
  <c r="T133" i="89"/>
  <c r="V134" i="89"/>
  <c r="T137" i="89"/>
  <c r="V138" i="89"/>
  <c r="V143" i="89"/>
  <c r="X61" i="89"/>
  <c r="P61" i="89"/>
  <c r="Q61" i="89" s="1"/>
  <c r="P133" i="89"/>
  <c r="Q133" i="89" s="1"/>
  <c r="R95" i="89"/>
  <c r="U47" i="89"/>
  <c r="U53" i="89"/>
  <c r="W55" i="89"/>
  <c r="V56" i="89"/>
  <c r="V59" i="89"/>
  <c r="S65" i="89"/>
  <c r="V66" i="89"/>
  <c r="T69" i="89"/>
  <c r="U72" i="89"/>
  <c r="S74" i="89"/>
  <c r="V75" i="89"/>
  <c r="T78" i="89"/>
  <c r="W83" i="89"/>
  <c r="R85" i="89"/>
  <c r="T86" i="89"/>
  <c r="V88" i="89"/>
  <c r="T91" i="89"/>
  <c r="V92" i="89"/>
  <c r="T95" i="89"/>
  <c r="V97" i="89"/>
  <c r="T101" i="89"/>
  <c r="V102" i="89"/>
  <c r="T105" i="89"/>
  <c r="W106" i="89"/>
  <c r="T108" i="89"/>
  <c r="U112" i="89"/>
  <c r="W114" i="89"/>
  <c r="S116" i="89"/>
  <c r="U118" i="89"/>
  <c r="W119" i="89"/>
  <c r="S121" i="89"/>
  <c r="U122" i="89"/>
  <c r="W124" i="89"/>
  <c r="U128" i="89"/>
  <c r="W129" i="89"/>
  <c r="S131" i="89"/>
  <c r="U133" i="89"/>
  <c r="W134" i="89"/>
  <c r="S136" i="89"/>
  <c r="U137" i="89"/>
  <c r="W138" i="89"/>
  <c r="S140" i="89"/>
  <c r="W143" i="89"/>
  <c r="P136" i="89"/>
  <c r="Q136" i="89" s="1"/>
  <c r="R109" i="89"/>
  <c r="R116" i="89"/>
  <c r="X53" i="89"/>
  <c r="X65" i="89"/>
  <c r="X74" i="89"/>
  <c r="U105" i="89"/>
  <c r="ED45" i="25"/>
  <c r="ED42" i="25"/>
  <c r="ED176" i="25"/>
  <c r="ED65" i="25"/>
  <c r="ED111" i="25"/>
  <c r="ED91" i="25"/>
  <c r="ED83" i="25"/>
  <c r="DW25" i="25"/>
  <c r="CP84" i="25"/>
  <c r="CP192" i="25"/>
  <c r="CG7" i="25"/>
  <c r="CG83" i="25"/>
  <c r="CG47" i="25"/>
  <c r="CG69" i="25"/>
  <c r="CG146" i="25"/>
  <c r="CG30" i="25"/>
  <c r="CG200" i="25"/>
  <c r="CG18" i="25"/>
  <c r="CG132" i="25"/>
  <c r="CG78" i="25"/>
  <c r="CG114" i="25"/>
  <c r="CG155" i="25"/>
  <c r="CG147" i="25"/>
  <c r="CG178" i="25"/>
  <c r="CG64" i="25"/>
  <c r="CG74" i="25"/>
  <c r="CG186" i="25"/>
  <c r="CP65" i="25"/>
  <c r="CO105" i="25"/>
  <c r="CQ105" i="25" s="1"/>
  <c r="ED112" i="25"/>
  <c r="ED101" i="25"/>
  <c r="ED93" i="25"/>
  <c r="ED86" i="25"/>
  <c r="ED119" i="25"/>
  <c r="ED201" i="25"/>
  <c r="ED142" i="25"/>
  <c r="ED189" i="25"/>
  <c r="ED139" i="25"/>
  <c r="ED137" i="25"/>
  <c r="ED170" i="25"/>
  <c r="ED55" i="25"/>
  <c r="ED9" i="25"/>
  <c r="DE38" i="25"/>
  <c r="ED180" i="25"/>
  <c r="ED44" i="25"/>
  <c r="ED31" i="25"/>
  <c r="ED19" i="25"/>
  <c r="DH165" i="25"/>
  <c r="DI165" i="25" s="1"/>
  <c r="DD34" i="25"/>
  <c r="DC34" i="25" s="1"/>
  <c r="DJ34" i="25" s="1"/>
  <c r="DD133" i="25"/>
  <c r="DC133" i="25" s="1"/>
  <c r="DJ133" i="25" s="1"/>
  <c r="DD9" i="25"/>
  <c r="DC9" i="25" s="1"/>
  <c r="DJ9" i="25" s="1"/>
  <c r="DY142" i="25"/>
  <c r="DY201" i="25"/>
  <c r="DW133" i="25"/>
  <c r="DY174" i="25"/>
  <c r="CP81" i="25"/>
  <c r="CG118" i="25"/>
  <c r="CG60" i="25"/>
  <c r="DW170" i="25"/>
  <c r="CP137" i="25"/>
  <c r="DY70" i="25"/>
  <c r="DY51" i="25"/>
  <c r="DY20" i="25"/>
  <c r="DY119" i="25"/>
  <c r="DW137" i="25"/>
  <c r="DW93" i="25"/>
  <c r="DD92" i="25"/>
  <c r="DC92" i="25" s="1"/>
  <c r="DJ92" i="25" s="1"/>
  <c r="DD180" i="25"/>
  <c r="DC180" i="25" s="1"/>
  <c r="DJ180" i="25" s="1"/>
  <c r="DD103" i="25"/>
  <c r="DC103" i="25" s="1"/>
  <c r="DJ103" i="25" s="1"/>
  <c r="DD138" i="25"/>
  <c r="DC138" i="25" s="1"/>
  <c r="DJ138" i="25" s="1"/>
  <c r="DD202" i="25"/>
  <c r="DC202" i="25" s="1"/>
  <c r="DJ202" i="25" s="1"/>
  <c r="CP187" i="25"/>
  <c r="CP8" i="25"/>
  <c r="CP130" i="25"/>
  <c r="CO79" i="25"/>
  <c r="CQ79" i="25" s="1"/>
  <c r="CU79" i="25" s="1"/>
  <c r="CX79" i="25" s="1"/>
  <c r="CY79" i="25" s="1"/>
  <c r="CP52" i="25"/>
  <c r="CG25" i="25"/>
  <c r="CG167" i="25"/>
  <c r="CZ129" i="25"/>
  <c r="DW54" i="25"/>
  <c r="DW146" i="25"/>
  <c r="DW191" i="25"/>
  <c r="DW72" i="25"/>
  <c r="DY100" i="25"/>
  <c r="DY160" i="25"/>
  <c r="DW61" i="25"/>
  <c r="DW200" i="25"/>
  <c r="DH144" i="25"/>
  <c r="DI144" i="25" s="1"/>
  <c r="DW47" i="25"/>
  <c r="DW55" i="25"/>
  <c r="DY71" i="25"/>
  <c r="ED113" i="25"/>
  <c r="ED94" i="25"/>
  <c r="ED87" i="25"/>
  <c r="ED120" i="25"/>
  <c r="ED136" i="25"/>
  <c r="DD192" i="25"/>
  <c r="DC192" i="25" s="1"/>
  <c r="DJ192" i="25" s="1"/>
  <c r="DD40" i="25"/>
  <c r="DC40" i="25" s="1"/>
  <c r="DJ40" i="25" s="1"/>
  <c r="DE84" i="25"/>
  <c r="DH44" i="25"/>
  <c r="DI44" i="25" s="1"/>
  <c r="DD12" i="25"/>
  <c r="DC12" i="25" s="1"/>
  <c r="DJ12" i="25" s="1"/>
  <c r="DW34" i="25"/>
  <c r="ED69" i="25"/>
  <c r="ED146" i="25"/>
  <c r="ED29" i="25"/>
  <c r="CG113" i="25"/>
  <c r="CG94" i="25"/>
  <c r="CG183" i="25"/>
  <c r="CG48" i="25"/>
  <c r="CG117" i="25"/>
  <c r="CG196" i="25"/>
  <c r="CG106" i="25"/>
  <c r="CG140" i="25"/>
  <c r="CG161" i="25"/>
  <c r="CG110" i="25"/>
  <c r="CG90" i="25"/>
  <c r="CG184" i="25"/>
  <c r="CG50" i="25"/>
  <c r="CG68" i="25"/>
  <c r="CG144" i="25"/>
  <c r="CG190" i="25"/>
  <c r="CG17" i="25"/>
  <c r="CG99" i="25"/>
  <c r="CG56" i="25"/>
  <c r="CG127" i="25"/>
  <c r="DE12" i="25"/>
  <c r="DD31" i="25"/>
  <c r="DC31" i="25" s="1"/>
  <c r="DJ31" i="25" s="1"/>
  <c r="DY112" i="25"/>
  <c r="DD19" i="25"/>
  <c r="DC19" i="25" s="1"/>
  <c r="DJ19" i="25" s="1"/>
  <c r="DW101" i="25"/>
  <c r="ED124" i="25"/>
  <c r="ED183" i="25"/>
  <c r="ED196" i="25"/>
  <c r="ED106" i="25"/>
  <c r="ED22" i="25"/>
  <c r="ED140" i="25"/>
  <c r="ED15" i="25"/>
  <c r="ED73" i="25"/>
  <c r="ED57" i="25"/>
  <c r="ED161" i="25"/>
  <c r="ED80" i="25"/>
  <c r="ED126" i="25"/>
  <c r="ED71" i="25"/>
  <c r="ED41" i="25"/>
  <c r="ED174" i="25"/>
  <c r="ED39" i="25"/>
  <c r="EC150" i="25"/>
  <c r="EC136" i="25"/>
  <c r="EC113" i="25"/>
  <c r="EC101" i="25"/>
  <c r="EC94" i="25"/>
  <c r="EC87" i="25"/>
  <c r="EC120" i="25"/>
  <c r="EC14" i="25"/>
  <c r="EC180" i="25"/>
  <c r="EC69" i="25"/>
  <c r="EC31" i="25"/>
  <c r="EC146" i="25"/>
  <c r="EC29" i="25"/>
  <c r="EC201" i="25"/>
  <c r="EC142" i="25"/>
  <c r="EC189" i="25"/>
  <c r="EC19" i="25"/>
  <c r="EC139" i="25"/>
  <c r="EC137" i="25"/>
  <c r="EC170" i="25"/>
  <c r="EC55" i="25"/>
  <c r="EC133" i="25"/>
  <c r="EC9" i="25"/>
  <c r="V50" i="89"/>
  <c r="X48" i="89"/>
  <c r="S48" i="89"/>
  <c r="W50" i="89"/>
  <c r="X50" i="89"/>
  <c r="P50" i="89"/>
  <c r="Q50" i="89" s="1"/>
  <c r="S50" i="89"/>
  <c r="T50" i="89"/>
  <c r="U48" i="89"/>
  <c r="V48" i="89"/>
  <c r="W48" i="89"/>
  <c r="U32" i="89"/>
  <c r="W31" i="89"/>
  <c r="T32" i="89"/>
  <c r="S32" i="89"/>
  <c r="AH32" i="89"/>
  <c r="W32" i="89"/>
  <c r="AG31" i="89"/>
  <c r="X31" i="89"/>
  <c r="S31" i="89"/>
  <c r="T31" i="89"/>
  <c r="DD116" i="25"/>
  <c r="DC116" i="25" s="1"/>
  <c r="DJ116" i="25" s="1"/>
  <c r="DD53" i="25"/>
  <c r="DC53" i="25" s="1"/>
  <c r="DJ53" i="25" s="1"/>
  <c r="DD36" i="25"/>
  <c r="DC36" i="25" s="1"/>
  <c r="DJ36" i="25" s="1"/>
  <c r="DD66" i="25"/>
  <c r="DC66" i="25" s="1"/>
  <c r="DJ66" i="25" s="1"/>
  <c r="DD23" i="25"/>
  <c r="DC23" i="25" s="1"/>
  <c r="DJ23" i="25" s="1"/>
  <c r="DD60" i="25"/>
  <c r="DC60" i="25" s="1"/>
  <c r="DJ60" i="25" s="1"/>
  <c r="DD172" i="25"/>
  <c r="DC172" i="25" s="1"/>
  <c r="DJ172" i="25" s="1"/>
  <c r="DD169" i="25"/>
  <c r="DC169" i="25" s="1"/>
  <c r="DJ169" i="25" s="1"/>
  <c r="DD164" i="25"/>
  <c r="DC164" i="25" s="1"/>
  <c r="DJ164" i="25" s="1"/>
  <c r="DD77" i="25"/>
  <c r="DC77" i="25" s="1"/>
  <c r="DJ77" i="25" s="1"/>
  <c r="CO11" i="25"/>
  <c r="CQ11" i="25" s="1"/>
  <c r="CR11" i="25" s="1"/>
  <c r="CV11" i="25" s="1"/>
  <c r="CW11" i="25" s="1"/>
  <c r="CZ11" i="25" s="1"/>
  <c r="CO78" i="25"/>
  <c r="CQ78" i="25" s="1"/>
  <c r="CR78" i="25" s="1"/>
  <c r="CV78" i="25" s="1"/>
  <c r="CW78" i="25" s="1"/>
  <c r="CZ78" i="25" s="1"/>
  <c r="CP95" i="25"/>
  <c r="CP88" i="25"/>
  <c r="CO155" i="25"/>
  <c r="CQ155" i="25" s="1"/>
  <c r="CU155" i="25" s="1"/>
  <c r="CX155" i="25" s="1"/>
  <c r="CY155" i="25" s="1"/>
  <c r="CP179" i="25"/>
  <c r="CP178" i="25"/>
  <c r="CO193" i="25"/>
  <c r="CQ193" i="25" s="1"/>
  <c r="CU193" i="25" s="1"/>
  <c r="CX193" i="25" s="1"/>
  <c r="CY193" i="25" s="1"/>
  <c r="CP162" i="25"/>
  <c r="CO113" i="25"/>
  <c r="CQ113" i="25" s="1"/>
  <c r="CO198" i="25"/>
  <c r="CQ198" i="25" s="1"/>
  <c r="CU198" i="25" s="1"/>
  <c r="CX198" i="25" s="1"/>
  <c r="CY198" i="25" s="1"/>
  <c r="CO57" i="25"/>
  <c r="CQ57" i="25" s="1"/>
  <c r="CU57" i="25" s="1"/>
  <c r="CX57" i="25" s="1"/>
  <c r="CY57" i="25" s="1"/>
  <c r="CO110" i="25"/>
  <c r="CQ110" i="25" s="1"/>
  <c r="CR110" i="25" s="1"/>
  <c r="CV110" i="25" s="1"/>
  <c r="CW110" i="25" s="1"/>
  <c r="CZ110" i="25" s="1"/>
  <c r="CO184" i="25"/>
  <c r="CQ184" i="25" s="1"/>
  <c r="CR184" i="25" s="1"/>
  <c r="CV184" i="25" s="1"/>
  <c r="CW184" i="25" s="1"/>
  <c r="CZ184" i="25" s="1"/>
  <c r="CO37" i="25"/>
  <c r="CQ37" i="25" s="1"/>
  <c r="CR37" i="25" s="1"/>
  <c r="CV37" i="25" s="1"/>
  <c r="CW37" i="25" s="1"/>
  <c r="CZ37" i="25" s="1"/>
  <c r="CP67" i="25"/>
  <c r="DW105" i="25"/>
  <c r="CP91" i="25"/>
  <c r="CP47" i="25"/>
  <c r="DY81" i="25"/>
  <c r="CP69" i="25"/>
  <c r="DY115" i="25"/>
  <c r="DY16" i="25"/>
  <c r="DY176" i="25"/>
  <c r="DD82" i="25"/>
  <c r="DC82" i="25" s="1"/>
  <c r="DJ82" i="25" s="1"/>
  <c r="CP18" i="25"/>
  <c r="DY13" i="25"/>
  <c r="DY21" i="25"/>
  <c r="DY42" i="25"/>
  <c r="CZ142" i="25"/>
  <c r="DE142" i="25"/>
  <c r="DD93" i="25"/>
  <c r="DC93" i="25" s="1"/>
  <c r="DJ93" i="25" s="1"/>
  <c r="CO168" i="25"/>
  <c r="CQ168" i="25" s="1"/>
  <c r="DH34" i="25"/>
  <c r="DI34" i="25" s="1"/>
  <c r="DD86" i="25"/>
  <c r="DC86" i="25" s="1"/>
  <c r="DJ86" i="25" s="1"/>
  <c r="DH133" i="25"/>
  <c r="DI133" i="25" s="1"/>
  <c r="DH86" i="25"/>
  <c r="DI86" i="25" s="1"/>
  <c r="DH55" i="25"/>
  <c r="DI55" i="25" s="1"/>
  <c r="DE137" i="25"/>
  <c r="DH41" i="25"/>
  <c r="DI41" i="25" s="1"/>
  <c r="DE34" i="25"/>
  <c r="DE133" i="25"/>
  <c r="DD137" i="25"/>
  <c r="DC137" i="25" s="1"/>
  <c r="DJ137" i="25" s="1"/>
  <c r="DH70" i="25"/>
  <c r="DI70" i="25" s="1"/>
  <c r="CP54" i="25"/>
  <c r="DE112" i="25"/>
  <c r="DH142" i="25"/>
  <c r="DI142" i="25" s="1"/>
  <c r="DD70" i="25"/>
  <c r="DC70" i="25" s="1"/>
  <c r="DJ70" i="25" s="1"/>
  <c r="DE9" i="25"/>
  <c r="DH170" i="25"/>
  <c r="DI170" i="25" s="1"/>
  <c r="DE51" i="25"/>
  <c r="DE93" i="25"/>
  <c r="DY129" i="25"/>
  <c r="DW65" i="25"/>
  <c r="DW52" i="25"/>
  <c r="DY85" i="25"/>
  <c r="DE147" i="25"/>
  <c r="DE141" i="25"/>
  <c r="DW96" i="25"/>
  <c r="CG112" i="25"/>
  <c r="CG189" i="25"/>
  <c r="CG20" i="25"/>
  <c r="CG133" i="25"/>
  <c r="CG9" i="25"/>
  <c r="CG36" i="25"/>
  <c r="CG143" i="25"/>
  <c r="CG77" i="25"/>
  <c r="DD63" i="25"/>
  <c r="DC63" i="25" s="1"/>
  <c r="DJ63" i="25" s="1"/>
  <c r="DY168" i="25"/>
  <c r="CP48" i="25"/>
  <c r="CP73" i="25"/>
  <c r="CO118" i="25"/>
  <c r="CQ118" i="25" s="1"/>
  <c r="CR118" i="25" s="1"/>
  <c r="CV118" i="25" s="1"/>
  <c r="CW118" i="25" s="1"/>
  <c r="CZ118" i="25" s="1"/>
  <c r="DW161" i="25"/>
  <c r="DY187" i="25"/>
  <c r="DY132" i="25"/>
  <c r="DW109" i="25"/>
  <c r="DY107" i="25"/>
  <c r="DW87" i="25"/>
  <c r="DW78" i="25"/>
  <c r="DY45" i="25"/>
  <c r="DY30" i="25"/>
  <c r="DW40" i="25"/>
  <c r="DY202" i="25"/>
  <c r="DW192" i="25"/>
  <c r="DY177" i="25"/>
  <c r="DY44" i="25"/>
  <c r="DW130" i="25"/>
  <c r="DY92" i="25"/>
  <c r="DW138" i="25"/>
  <c r="DW31" i="25"/>
  <c r="DY123" i="25"/>
  <c r="DW19" i="25"/>
  <c r="DY12" i="25"/>
  <c r="DY157" i="25"/>
  <c r="DW166" i="25"/>
  <c r="DW79" i="25"/>
  <c r="DD45" i="25"/>
  <c r="DC45" i="25" s="1"/>
  <c r="DJ45" i="25" s="1"/>
  <c r="ED198" i="25"/>
  <c r="ED117" i="25"/>
  <c r="DD84" i="25"/>
  <c r="DC84" i="25" s="1"/>
  <c r="DJ84" i="25" s="1"/>
  <c r="DH31" i="25"/>
  <c r="DI31" i="25" s="1"/>
  <c r="DD188" i="25"/>
  <c r="DC188" i="25" s="1"/>
  <c r="DJ188" i="25" s="1"/>
  <c r="ED50" i="25"/>
  <c r="DH79" i="25"/>
  <c r="DI79" i="25" s="1"/>
  <c r="DH180" i="25"/>
  <c r="DI180" i="25" s="1"/>
  <c r="DD44" i="25"/>
  <c r="DC44" i="25" s="1"/>
  <c r="DJ44" i="25" s="1"/>
  <c r="DE180" i="25"/>
  <c r="DH8" i="25"/>
  <c r="DI8" i="25" s="1"/>
  <c r="DD79" i="25"/>
  <c r="DC79" i="25" s="1"/>
  <c r="DJ79" i="25" s="1"/>
  <c r="DH19" i="25"/>
  <c r="DI19" i="25" s="1"/>
  <c r="DD185" i="25"/>
  <c r="DC185" i="25" s="1"/>
  <c r="DJ185" i="25" s="1"/>
  <c r="DD8" i="25"/>
  <c r="DC8" i="25" s="1"/>
  <c r="DJ8" i="25" s="1"/>
  <c r="DD166" i="25"/>
  <c r="DC166" i="25" s="1"/>
  <c r="DJ166" i="25" s="1"/>
  <c r="DH103" i="25"/>
  <c r="DI103" i="25" s="1"/>
  <c r="DY180" i="25"/>
  <c r="CO144" i="25"/>
  <c r="CQ144" i="25" s="1"/>
  <c r="CR144" i="25" s="1"/>
  <c r="CV144" i="25" s="1"/>
  <c r="CW144" i="25" s="1"/>
  <c r="CZ144" i="25" s="1"/>
  <c r="DY155" i="25"/>
  <c r="CP46" i="25"/>
  <c r="CO73" i="25"/>
  <c r="CQ73" i="25" s="1"/>
  <c r="CR73" i="25" s="1"/>
  <c r="CV73" i="25" s="1"/>
  <c r="CW73" i="25" s="1"/>
  <c r="CZ73" i="25" s="1"/>
  <c r="CP56" i="25"/>
  <c r="CP165" i="25"/>
  <c r="CO10" i="25"/>
  <c r="CQ10" i="25" s="1"/>
  <c r="CU10" i="25" s="1"/>
  <c r="CX10" i="25" s="1"/>
  <c r="CY10" i="25" s="1"/>
  <c r="CP124" i="25"/>
  <c r="CO94" i="25"/>
  <c r="CQ94" i="25" s="1"/>
  <c r="CU94" i="25" s="1"/>
  <c r="CX94" i="25" s="1"/>
  <c r="CY94" i="25" s="1"/>
  <c r="CO87" i="25"/>
  <c r="CQ87" i="25" s="1"/>
  <c r="CR87" i="25" s="1"/>
  <c r="CV87" i="25" s="1"/>
  <c r="CW87" i="25" s="1"/>
  <c r="CZ87" i="25" s="1"/>
  <c r="CP183" i="25"/>
  <c r="CO35" i="25"/>
  <c r="CQ35" i="25" s="1"/>
  <c r="CU35" i="25" s="1"/>
  <c r="CX35" i="25" s="1"/>
  <c r="CY35" i="25" s="1"/>
  <c r="CO196" i="25"/>
  <c r="CQ196" i="25" s="1"/>
  <c r="CU196" i="25" s="1"/>
  <c r="CX196" i="25" s="1"/>
  <c r="CY196" i="25" s="1"/>
  <c r="CP140" i="25"/>
  <c r="CP80" i="25"/>
  <c r="CO86" i="25"/>
  <c r="CQ86" i="25" s="1"/>
  <c r="CR86" i="25" s="1"/>
  <c r="CV86" i="25" s="1"/>
  <c r="CW86" i="25" s="1"/>
  <c r="CZ86" i="25" s="1"/>
  <c r="CO119" i="25"/>
  <c r="CQ119" i="25" s="1"/>
  <c r="CU119" i="25" s="1"/>
  <c r="CX119" i="25" s="1"/>
  <c r="CY119" i="25" s="1"/>
  <c r="CO51" i="25"/>
  <c r="CQ51" i="25" s="1"/>
  <c r="CU51" i="25" s="1"/>
  <c r="CX51" i="25" s="1"/>
  <c r="CY51" i="25" s="1"/>
  <c r="CP174" i="25"/>
  <c r="CO201" i="25"/>
  <c r="CQ201" i="25" s="1"/>
  <c r="CU201" i="25" s="1"/>
  <c r="CX201" i="25" s="1"/>
  <c r="CY201" i="25" s="1"/>
  <c r="CO189" i="25"/>
  <c r="CQ189" i="25" s="1"/>
  <c r="CR189" i="25" s="1"/>
  <c r="CV189" i="25" s="1"/>
  <c r="CW189" i="25" s="1"/>
  <c r="CZ189" i="25" s="1"/>
  <c r="CO139" i="25"/>
  <c r="CQ139" i="25" s="1"/>
  <c r="CR139" i="25" s="1"/>
  <c r="CV139" i="25" s="1"/>
  <c r="CW139" i="25" s="1"/>
  <c r="CZ139" i="25" s="1"/>
  <c r="CO170" i="25"/>
  <c r="CQ170" i="25" s="1"/>
  <c r="CU170" i="25" s="1"/>
  <c r="CX170" i="25" s="1"/>
  <c r="CY170" i="25" s="1"/>
  <c r="CO55" i="25"/>
  <c r="CQ55" i="25" s="1"/>
  <c r="CU55" i="25" s="1"/>
  <c r="CX55" i="25" s="1"/>
  <c r="CY55" i="25" s="1"/>
  <c r="CO122" i="25"/>
  <c r="CQ122" i="25" s="1"/>
  <c r="CP97" i="25"/>
  <c r="CP82" i="25"/>
  <c r="CO43" i="25"/>
  <c r="CQ43" i="25" s="1"/>
  <c r="CU43" i="25" s="1"/>
  <c r="CX43" i="25" s="1"/>
  <c r="CY43" i="25" s="1"/>
  <c r="CP36" i="25"/>
  <c r="CO143" i="25"/>
  <c r="CQ143" i="25" s="1"/>
  <c r="CR143" i="25" s="1"/>
  <c r="CV143" i="25" s="1"/>
  <c r="CW143" i="25" s="1"/>
  <c r="CZ143" i="25" s="1"/>
  <c r="CP23" i="25"/>
  <c r="CP60" i="25"/>
  <c r="CO76" i="25"/>
  <c r="CQ76" i="25" s="1"/>
  <c r="CU76" i="25" s="1"/>
  <c r="CX76" i="25" s="1"/>
  <c r="CY76" i="25" s="1"/>
  <c r="CG101" i="25"/>
  <c r="CG93" i="25"/>
  <c r="CG86" i="25"/>
  <c r="CG119" i="25"/>
  <c r="CG51" i="25"/>
  <c r="CG71" i="25"/>
  <c r="CG70" i="25"/>
  <c r="CG41" i="25"/>
  <c r="CG34" i="25"/>
  <c r="CG174" i="25"/>
  <c r="CG142" i="25"/>
  <c r="CG170" i="25"/>
  <c r="CG55" i="25"/>
  <c r="CG122" i="25"/>
  <c r="CG97" i="25"/>
  <c r="CG89" i="25"/>
  <c r="CG82" i="25"/>
  <c r="CG53" i="25"/>
  <c r="CG43" i="25"/>
  <c r="CG66" i="25"/>
  <c r="CG63" i="25"/>
  <c r="CG23" i="25"/>
  <c r="CG58" i="25"/>
  <c r="CG76" i="25"/>
  <c r="CG172" i="25"/>
  <c r="CG169" i="25"/>
  <c r="CG164" i="25"/>
  <c r="CG159" i="25"/>
  <c r="CP68" i="25"/>
  <c r="CP43" i="25"/>
  <c r="CP86" i="25"/>
  <c r="DH80" i="25"/>
  <c r="DI80" i="25" s="1"/>
  <c r="CP98" i="25"/>
  <c r="CP17" i="25"/>
  <c r="CO172" i="25"/>
  <c r="CQ172" i="25" s="1"/>
  <c r="CR172" i="25" s="1"/>
  <c r="CV172" i="25" s="1"/>
  <c r="CW172" i="25" s="1"/>
  <c r="CZ172" i="25" s="1"/>
  <c r="CP110" i="25"/>
  <c r="CP90" i="25"/>
  <c r="CO29" i="25"/>
  <c r="CQ29" i="25" s="1"/>
  <c r="CU29" i="25" s="1"/>
  <c r="CX29" i="25" s="1"/>
  <c r="CY29" i="25" s="1"/>
  <c r="CP190" i="25"/>
  <c r="CP94" i="25"/>
  <c r="CQ126" i="25"/>
  <c r="DE73" i="25"/>
  <c r="DY88" i="25"/>
  <c r="DD73" i="25"/>
  <c r="DC73" i="25" s="1"/>
  <c r="DJ73" i="25" s="1"/>
  <c r="CP143" i="25"/>
  <c r="DW95" i="25"/>
  <c r="DY121" i="25"/>
  <c r="DH183" i="25"/>
  <c r="DI183" i="25" s="1"/>
  <c r="DW108" i="25"/>
  <c r="DW162" i="25"/>
  <c r="EC144" i="25"/>
  <c r="EC190" i="25"/>
  <c r="EC102" i="25"/>
  <c r="EC45" i="25"/>
  <c r="EC99" i="25"/>
  <c r="EC173" i="25"/>
  <c r="EC56" i="25"/>
  <c r="EC165" i="25"/>
  <c r="EC10" i="25"/>
  <c r="EC127" i="25"/>
  <c r="CP139" i="25"/>
  <c r="DW114" i="25"/>
  <c r="CP170" i="25"/>
  <c r="DY59" i="25"/>
  <c r="DW193" i="25"/>
  <c r="DW179" i="25"/>
  <c r="DW49" i="25"/>
  <c r="DD183" i="25"/>
  <c r="DC183" i="25" s="1"/>
  <c r="DJ183" i="25" s="1"/>
  <c r="EC158" i="25"/>
  <c r="EC134" i="25"/>
  <c r="EC112" i="25"/>
  <c r="EC108" i="25"/>
  <c r="EC93" i="25"/>
  <c r="EC86" i="25"/>
  <c r="EC119" i="25"/>
  <c r="EC182" i="25"/>
  <c r="EC47" i="25"/>
  <c r="EC68" i="25"/>
  <c r="EC35" i="25"/>
  <c r="EC67" i="25"/>
  <c r="EC28" i="25"/>
  <c r="EC195" i="25"/>
  <c r="EC192" i="25"/>
  <c r="EC103" i="25"/>
  <c r="EC18" i="25"/>
  <c r="EC138" i="25"/>
  <c r="EC202" i="25"/>
  <c r="EC12" i="25"/>
  <c r="EC166" i="25"/>
  <c r="EC130" i="25"/>
  <c r="EC79" i="25"/>
  <c r="CO182" i="25"/>
  <c r="CQ182" i="25" s="1"/>
  <c r="CU182" i="25" s="1"/>
  <c r="CX182" i="25" s="1"/>
  <c r="CY182" i="25" s="1"/>
  <c r="CO180" i="25"/>
  <c r="CQ180" i="25" s="1"/>
  <c r="CR180" i="25" s="1"/>
  <c r="CV180" i="25" s="1"/>
  <c r="CW180" i="25" s="1"/>
  <c r="CZ180" i="25" s="1"/>
  <c r="CP202" i="25"/>
  <c r="CO200" i="25"/>
  <c r="CQ200" i="25" s="1"/>
  <c r="CR200" i="25" s="1"/>
  <c r="CV200" i="25" s="1"/>
  <c r="CW200" i="25" s="1"/>
  <c r="CZ200" i="25" s="1"/>
  <c r="CP199" i="25"/>
  <c r="CP49" i="25"/>
  <c r="CP141" i="25"/>
  <c r="CG111" i="25"/>
  <c r="CG54" i="25"/>
  <c r="CG39" i="25"/>
  <c r="CG61" i="25"/>
  <c r="CG121" i="25"/>
  <c r="CG59" i="25"/>
  <c r="CG188" i="25"/>
  <c r="CP85" i="25"/>
  <c r="DD124" i="25"/>
  <c r="DC124" i="25" s="1"/>
  <c r="DJ124" i="25" s="1"/>
  <c r="DD94" i="25"/>
  <c r="DC94" i="25" s="1"/>
  <c r="DJ94" i="25" s="1"/>
  <c r="DD120" i="25"/>
  <c r="DC120" i="25" s="1"/>
  <c r="DJ120" i="25" s="1"/>
  <c r="DD35" i="25"/>
  <c r="DC35" i="25" s="1"/>
  <c r="DJ35" i="25" s="1"/>
  <c r="DD175" i="25"/>
  <c r="DC175" i="25" s="1"/>
  <c r="DJ175" i="25" s="1"/>
  <c r="DD106" i="25"/>
  <c r="DC106" i="25" s="1"/>
  <c r="DJ106" i="25" s="1"/>
  <c r="DD15" i="25"/>
  <c r="DC15" i="25" s="1"/>
  <c r="DJ15" i="25" s="1"/>
  <c r="DD57" i="25"/>
  <c r="DC57" i="25" s="1"/>
  <c r="DJ57" i="25" s="1"/>
  <c r="DD161" i="25"/>
  <c r="DC161" i="25" s="1"/>
  <c r="DJ161" i="25" s="1"/>
  <c r="DH130" i="25"/>
  <c r="DI130" i="25" s="1"/>
  <c r="DH202" i="25"/>
  <c r="DI202" i="25" s="1"/>
  <c r="DH177" i="25"/>
  <c r="DI177" i="25" s="1"/>
  <c r="DE103" i="25"/>
  <c r="DH195" i="25"/>
  <c r="DI195" i="25" s="1"/>
  <c r="DH92" i="25"/>
  <c r="DI92" i="25" s="1"/>
  <c r="DY41" i="25"/>
  <c r="DH123" i="25"/>
  <c r="DI123" i="25" s="1"/>
  <c r="DY86" i="25"/>
  <c r="DW189" i="25"/>
  <c r="DD130" i="25"/>
  <c r="DC130" i="25" s="1"/>
  <c r="DJ130" i="25" s="1"/>
  <c r="DE202" i="25"/>
  <c r="DD177" i="25"/>
  <c r="DC177" i="25" s="1"/>
  <c r="DJ177" i="25" s="1"/>
  <c r="DH138" i="25"/>
  <c r="DI138" i="25" s="1"/>
  <c r="DD195" i="25"/>
  <c r="DC195" i="25" s="1"/>
  <c r="DJ195" i="25" s="1"/>
  <c r="DE182" i="25"/>
  <c r="DE92" i="25"/>
  <c r="DD123" i="25"/>
  <c r="DC123" i="25" s="1"/>
  <c r="DJ123" i="25" s="1"/>
  <c r="CG96" i="25"/>
  <c r="CG81" i="25"/>
  <c r="CG44" i="25"/>
  <c r="DH166" i="25"/>
  <c r="DI166" i="25" s="1"/>
  <c r="DE138" i="25"/>
  <c r="DH192" i="25"/>
  <c r="DI192" i="25" s="1"/>
  <c r="DE40" i="25"/>
  <c r="DH185" i="25"/>
  <c r="DI185" i="25" s="1"/>
  <c r="DW9" i="25"/>
  <c r="DW139" i="25"/>
  <c r="ED53" i="25"/>
  <c r="ED48" i="25"/>
  <c r="ED40" i="25"/>
  <c r="ED98" i="25"/>
  <c r="R42" i="89"/>
  <c r="R53" i="89"/>
  <c r="R94" i="89"/>
  <c r="R103" i="89"/>
  <c r="R115" i="89"/>
  <c r="R144" i="89"/>
  <c r="R57" i="89"/>
  <c r="R25" i="89"/>
  <c r="R33" i="89"/>
  <c r="R45" i="89"/>
  <c r="R50" i="89"/>
  <c r="R54" i="89"/>
  <c r="R64" i="89"/>
  <c r="R69" i="89"/>
  <c r="R73" i="89"/>
  <c r="R78" i="89"/>
  <c r="R84" i="89"/>
  <c r="R93" i="89"/>
  <c r="R114" i="89"/>
  <c r="R124" i="89"/>
  <c r="R134" i="89"/>
  <c r="R143" i="89"/>
  <c r="R41" i="89"/>
  <c r="R32" i="89"/>
  <c r="R47" i="89"/>
  <c r="R61" i="89"/>
  <c r="R83" i="89"/>
  <c r="R92" i="89"/>
  <c r="R102" i="89"/>
  <c r="R107" i="89"/>
  <c r="R112" i="89"/>
  <c r="R122" i="89"/>
  <c r="R133" i="89"/>
  <c r="R40" i="89"/>
  <c r="R31" i="89"/>
  <c r="R44" i="89"/>
  <c r="R48" i="89"/>
  <c r="R63" i="89"/>
  <c r="R67" i="89"/>
  <c r="R72" i="89"/>
  <c r="R76" i="89"/>
  <c r="R82" i="89"/>
  <c r="R91" i="89"/>
  <c r="R101" i="89"/>
  <c r="R121" i="89"/>
  <c r="R131" i="89"/>
  <c r="R140" i="89"/>
  <c r="R125" i="89"/>
  <c r="R38" i="89"/>
  <c r="R29" i="89"/>
  <c r="R51" i="89"/>
  <c r="R55" i="89"/>
  <c r="R90" i="89"/>
  <c r="R99" i="89"/>
  <c r="R106" i="89"/>
  <c r="R111" i="89"/>
  <c r="R120" i="89"/>
  <c r="R130" i="89"/>
  <c r="R139" i="89"/>
  <c r="R37" i="89"/>
  <c r="R28" i="89"/>
  <c r="R52" i="89"/>
  <c r="R56" i="89"/>
  <c r="R71" i="89"/>
  <c r="R75" i="89"/>
  <c r="R89" i="89"/>
  <c r="R98" i="89"/>
  <c r="R119" i="89"/>
  <c r="R129" i="89"/>
  <c r="R138" i="89"/>
  <c r="R36" i="89"/>
  <c r="R27" i="89"/>
  <c r="R59" i="89"/>
  <c r="R88" i="89"/>
  <c r="R105" i="89"/>
  <c r="R128" i="89"/>
  <c r="R137" i="89"/>
  <c r="R46" i="89"/>
  <c r="R60" i="89"/>
  <c r="R86" i="89"/>
  <c r="CG19" i="25"/>
  <c r="DD85" i="25"/>
  <c r="DC85" i="25" s="1"/>
  <c r="DJ85" i="25" s="1"/>
  <c r="DD81" i="25"/>
  <c r="DC81" i="25" s="1"/>
  <c r="DJ81" i="25" s="1"/>
  <c r="DH118" i="25"/>
  <c r="DI118" i="25" s="1"/>
  <c r="DH82" i="25"/>
  <c r="DI82" i="25" s="1"/>
  <c r="ED7" i="25"/>
  <c r="ED54" i="25"/>
  <c r="DD28" i="25"/>
  <c r="DC28" i="25" s="1"/>
  <c r="DJ28" i="25" s="1"/>
  <c r="ED116" i="25"/>
  <c r="ED122" i="25"/>
  <c r="ED97" i="25"/>
  <c r="ED89" i="25"/>
  <c r="ED62" i="25"/>
  <c r="ED107" i="25"/>
  <c r="ED105" i="25"/>
  <c r="ED21" i="25"/>
  <c r="ED16" i="25"/>
  <c r="ED75" i="25"/>
  <c r="ED13" i="25"/>
  <c r="ED168" i="25"/>
  <c r="ED163" i="25"/>
  <c r="ED129" i="25"/>
  <c r="ED187" i="25"/>
  <c r="DH28" i="25"/>
  <c r="DI28" i="25" s="1"/>
  <c r="ED64" i="25"/>
  <c r="DE85" i="25"/>
  <c r="DH96" i="25"/>
  <c r="DI96" i="25" s="1"/>
  <c r="DD109" i="25"/>
  <c r="DC109" i="25" s="1"/>
  <c r="DJ109" i="25" s="1"/>
  <c r="DO127" i="25"/>
  <c r="DP127" i="25" s="1"/>
  <c r="DQ127" i="25" s="1"/>
  <c r="DR127" i="25" s="1"/>
  <c r="DH85" i="25"/>
  <c r="DI85" i="25" s="1"/>
  <c r="DE109" i="25"/>
  <c r="DD115" i="25"/>
  <c r="DC115" i="25" s="1"/>
  <c r="DJ115" i="25" s="1"/>
  <c r="DD96" i="25"/>
  <c r="DC96" i="25" s="1"/>
  <c r="DJ96" i="25" s="1"/>
  <c r="CG38" i="25"/>
  <c r="DE81" i="25"/>
  <c r="CG27" i="25"/>
  <c r="CG79" i="25"/>
  <c r="CG105" i="25"/>
  <c r="DD18" i="25"/>
  <c r="DC18" i="25" s="1"/>
  <c r="DJ18" i="25" s="1"/>
  <c r="DH7" i="25"/>
  <c r="DI7" i="25" s="1"/>
  <c r="DH54" i="25"/>
  <c r="DI54" i="25" s="1"/>
  <c r="DH146" i="25"/>
  <c r="DI146" i="25" s="1"/>
  <c r="DH83" i="25"/>
  <c r="DI83" i="25" s="1"/>
  <c r="ED115" i="25"/>
  <c r="ED109" i="25"/>
  <c r="ED96" i="25"/>
  <c r="ED85" i="25"/>
  <c r="DH191" i="25"/>
  <c r="DI191" i="25" s="1"/>
  <c r="DH78" i="25"/>
  <c r="DI78" i="25" s="1"/>
  <c r="DH132" i="25"/>
  <c r="DI132" i="25" s="1"/>
  <c r="DH111" i="25"/>
  <c r="DI111" i="25" s="1"/>
  <c r="ED155" i="25"/>
  <c r="ED25" i="25"/>
  <c r="ED193" i="25"/>
  <c r="ED59" i="25"/>
  <c r="ED74" i="25"/>
  <c r="ED171" i="25"/>
  <c r="ED167" i="25"/>
  <c r="ED162" i="25"/>
  <c r="ED188" i="25"/>
  <c r="ED186" i="25"/>
  <c r="EC149" i="25"/>
  <c r="EC153" i="25"/>
  <c r="EC115" i="25"/>
  <c r="EC109" i="25"/>
  <c r="EC96" i="25"/>
  <c r="EC85" i="25"/>
  <c r="EC98" i="25"/>
  <c r="EC155" i="25"/>
  <c r="EC48" i="25"/>
  <c r="EC70" i="25"/>
  <c r="EC40" i="25"/>
  <c r="EC32" i="25"/>
  <c r="EC175" i="25"/>
  <c r="EC25" i="25"/>
  <c r="EC193" i="25"/>
  <c r="EC104" i="25"/>
  <c r="EC141" i="25"/>
  <c r="EC59" i="25"/>
  <c r="EC74" i="25"/>
  <c r="EC171" i="25"/>
  <c r="EC167" i="25"/>
  <c r="EC162" i="25"/>
  <c r="EC188" i="25"/>
  <c r="EC186" i="25"/>
  <c r="ED148" i="25"/>
  <c r="ED128" i="25"/>
  <c r="DO115" i="25"/>
  <c r="DP115" i="25" s="1"/>
  <c r="DQ115" i="25" s="1"/>
  <c r="DR115" i="25" s="1"/>
  <c r="DO84" i="25"/>
  <c r="DP84" i="25" s="1"/>
  <c r="DQ84" i="25" s="1"/>
  <c r="DR84" i="25" s="1"/>
  <c r="DO185" i="25"/>
  <c r="DP185" i="25" s="1"/>
  <c r="DQ185" i="25" s="1"/>
  <c r="DR185" i="25" s="1"/>
  <c r="DO72" i="25"/>
  <c r="DP72" i="25" s="1"/>
  <c r="DQ72" i="25" s="1"/>
  <c r="DR72" i="25" s="1"/>
  <c r="DO48" i="25"/>
  <c r="DP48" i="25" s="1"/>
  <c r="DQ48" i="25" s="1"/>
  <c r="DR48" i="25" s="1"/>
  <c r="DO100" i="25"/>
  <c r="DP100" i="25" s="1"/>
  <c r="DQ100" i="25" s="1"/>
  <c r="DR100" i="25" s="1"/>
  <c r="DO74" i="25"/>
  <c r="DP74" i="25" s="1"/>
  <c r="DQ74" i="25" s="1"/>
  <c r="DR74" i="25" s="1"/>
  <c r="DO199" i="25"/>
  <c r="DP199" i="25" s="1"/>
  <c r="DQ199" i="25" s="1"/>
  <c r="DR199" i="25" s="1"/>
  <c r="DO167" i="25"/>
  <c r="DP167" i="25" s="1"/>
  <c r="DQ167" i="25" s="1"/>
  <c r="DR167" i="25" s="1"/>
  <c r="DO11" i="25"/>
  <c r="DP11" i="25" s="1"/>
  <c r="DQ11" i="25" s="1"/>
  <c r="DR11" i="25" s="1"/>
  <c r="DO186" i="25"/>
  <c r="DP186" i="25" s="1"/>
  <c r="DQ186" i="25" s="1"/>
  <c r="DR186" i="25" s="1"/>
  <c r="CP55" i="25"/>
  <c r="CP89" i="25"/>
  <c r="CO181" i="25"/>
  <c r="CQ181" i="25" s="1"/>
  <c r="CO60" i="25"/>
  <c r="CQ60" i="25" s="1"/>
  <c r="CU60" i="25" s="1"/>
  <c r="CX60" i="25" s="1"/>
  <c r="CY60" i="25" s="1"/>
  <c r="CO164" i="25"/>
  <c r="CQ164" i="25" s="1"/>
  <c r="CU164" i="25" s="1"/>
  <c r="CX164" i="25" s="1"/>
  <c r="CY164" i="25" s="1"/>
  <c r="CP115" i="25"/>
  <c r="CP45" i="25"/>
  <c r="CO42" i="25"/>
  <c r="CQ42" i="25" s="1"/>
  <c r="CP176" i="25"/>
  <c r="DD32" i="25"/>
  <c r="DC32" i="25" s="1"/>
  <c r="DJ32" i="25" s="1"/>
  <c r="DO195" i="25"/>
  <c r="DP195" i="25" s="1"/>
  <c r="DQ195" i="25" s="1"/>
  <c r="DR195" i="25" s="1"/>
  <c r="DO192" i="25"/>
  <c r="DP192" i="25" s="1"/>
  <c r="DQ192" i="25" s="1"/>
  <c r="DR192" i="25" s="1"/>
  <c r="DO13" i="25"/>
  <c r="DP13" i="25" s="1"/>
  <c r="DQ13" i="25" s="1"/>
  <c r="DR13" i="25" s="1"/>
  <c r="DO12" i="25"/>
  <c r="DP12" i="25" s="1"/>
  <c r="DQ12" i="25" s="1"/>
  <c r="DR12" i="25" s="1"/>
  <c r="DO187" i="25"/>
  <c r="DP187" i="25" s="1"/>
  <c r="DQ187" i="25" s="1"/>
  <c r="DR187" i="25" s="1"/>
  <c r="DD69" i="25"/>
  <c r="DC69" i="25" s="1"/>
  <c r="DJ69" i="25" s="1"/>
  <c r="DD30" i="25"/>
  <c r="DC30" i="25" s="1"/>
  <c r="DJ30" i="25" s="1"/>
  <c r="DD191" i="25"/>
  <c r="DC191" i="25" s="1"/>
  <c r="DJ191" i="25" s="1"/>
  <c r="CO70" i="25"/>
  <c r="CQ70" i="25" s="1"/>
  <c r="CU70" i="25" s="1"/>
  <c r="CX70" i="25" s="1"/>
  <c r="CY70" i="25" s="1"/>
  <c r="CP41" i="25"/>
  <c r="CO174" i="25"/>
  <c r="CQ174" i="25" s="1"/>
  <c r="CR174" i="25" s="1"/>
  <c r="CV174" i="25" s="1"/>
  <c r="CW174" i="25" s="1"/>
  <c r="CZ174" i="25" s="1"/>
  <c r="CG158" i="25"/>
  <c r="CG32" i="25"/>
  <c r="CO45" i="25"/>
  <c r="CQ45" i="25" s="1"/>
  <c r="CU45" i="25" s="1"/>
  <c r="CX45" i="25" s="1"/>
  <c r="CY45" i="25" s="1"/>
  <c r="DD80" i="25"/>
  <c r="DC80" i="25" s="1"/>
  <c r="DJ80" i="25" s="1"/>
  <c r="DE15" i="25"/>
  <c r="DE22" i="25"/>
  <c r="DH196" i="25"/>
  <c r="DI196" i="25" s="1"/>
  <c r="DH120" i="25"/>
  <c r="DI120" i="25" s="1"/>
  <c r="DW173" i="25"/>
  <c r="DY102" i="25"/>
  <c r="ED72" i="25"/>
  <c r="ED200" i="25"/>
  <c r="ED191" i="25"/>
  <c r="ED61" i="25"/>
  <c r="ED100" i="25"/>
  <c r="ED199" i="25"/>
  <c r="ED132" i="25"/>
  <c r="ED11" i="25"/>
  <c r="ED160" i="25"/>
  <c r="ED78" i="25"/>
  <c r="DH161" i="25"/>
  <c r="DI161" i="25" s="1"/>
  <c r="DH94" i="25"/>
  <c r="DI94" i="25" s="1"/>
  <c r="DD22" i="25"/>
  <c r="DC22" i="25" s="1"/>
  <c r="DJ22" i="25" s="1"/>
  <c r="DE161" i="25"/>
  <c r="DW50" i="25"/>
  <c r="DY46" i="25"/>
  <c r="DW190" i="25"/>
  <c r="DW184" i="25"/>
  <c r="DD140" i="25"/>
  <c r="DC140" i="25" s="1"/>
  <c r="DJ140" i="25" s="1"/>
  <c r="DE175" i="25"/>
  <c r="DH175" i="25"/>
  <c r="DI175" i="25" s="1"/>
  <c r="DD48" i="25"/>
  <c r="DC48" i="25" s="1"/>
  <c r="DJ48" i="25" s="1"/>
  <c r="DH57" i="25"/>
  <c r="DI57" i="25" s="1"/>
  <c r="DY29" i="25"/>
  <c r="DY98" i="25"/>
  <c r="DW90" i="25"/>
  <c r="DY68" i="25"/>
  <c r="DY135" i="25"/>
  <c r="DH35" i="25"/>
  <c r="DI35" i="25" s="1"/>
  <c r="DD196" i="25"/>
  <c r="DC196" i="25" s="1"/>
  <c r="DJ196" i="25" s="1"/>
  <c r="DE57" i="25"/>
  <c r="DH48" i="25"/>
  <c r="DI48" i="25" s="1"/>
  <c r="DH126" i="25"/>
  <c r="DI126" i="25" s="1"/>
  <c r="ED46" i="25"/>
  <c r="ED37" i="25"/>
  <c r="ED17" i="25"/>
  <c r="ED82" i="25"/>
  <c r="ED43" i="25"/>
  <c r="ED66" i="25"/>
  <c r="DO14" i="25"/>
  <c r="DP14" i="25" s="1"/>
  <c r="DQ14" i="25" s="1"/>
  <c r="DR14" i="25" s="1"/>
  <c r="DO146" i="25"/>
  <c r="DP146" i="25" s="1"/>
  <c r="DQ146" i="25" s="1"/>
  <c r="DR146" i="25" s="1"/>
  <c r="DD184" i="25"/>
  <c r="DC184" i="25" s="1"/>
  <c r="DJ184" i="25" s="1"/>
  <c r="DD50" i="25"/>
  <c r="DC50" i="25" s="1"/>
  <c r="DJ50" i="25" s="1"/>
  <c r="DD46" i="25"/>
  <c r="DC46" i="25" s="1"/>
  <c r="DJ46" i="25" s="1"/>
  <c r="DD102" i="25"/>
  <c r="DC102" i="25" s="1"/>
  <c r="DJ102" i="25" s="1"/>
  <c r="DD17" i="25"/>
  <c r="DC17" i="25" s="1"/>
  <c r="DJ17" i="25" s="1"/>
  <c r="DD99" i="25"/>
  <c r="DC99" i="25" s="1"/>
  <c r="DJ99" i="25" s="1"/>
  <c r="DD173" i="25"/>
  <c r="DC173" i="25" s="1"/>
  <c r="DJ173" i="25" s="1"/>
  <c r="DD56" i="25"/>
  <c r="DC56" i="25" s="1"/>
  <c r="DJ56" i="25" s="1"/>
  <c r="DD10" i="25"/>
  <c r="DC10" i="25" s="1"/>
  <c r="DJ10" i="25" s="1"/>
  <c r="ED34" i="25"/>
  <c r="ED123" i="25"/>
  <c r="ED92" i="25"/>
  <c r="ED84" i="25"/>
  <c r="ED185" i="25"/>
  <c r="ED145" i="25"/>
  <c r="CG98" i="25"/>
  <c r="CG135" i="25"/>
  <c r="CG46" i="25"/>
  <c r="CG37" i="25"/>
  <c r="CG67" i="25"/>
  <c r="CG29" i="25"/>
  <c r="CG102" i="25"/>
  <c r="CG173" i="25"/>
  <c r="CG165" i="25"/>
  <c r="CG10" i="25"/>
  <c r="CG108" i="25"/>
  <c r="CG95" i="25"/>
  <c r="CG88" i="25"/>
  <c r="CG49" i="25"/>
  <c r="CG179" i="25"/>
  <c r="CG193" i="25"/>
  <c r="CG104" i="25"/>
  <c r="CG141" i="25"/>
  <c r="CG171" i="25"/>
  <c r="CG162" i="25"/>
  <c r="CG91" i="25"/>
  <c r="CG72" i="25"/>
  <c r="CG191" i="25"/>
  <c r="CG100" i="25"/>
  <c r="CG199" i="25"/>
  <c r="CG11" i="25"/>
  <c r="CG26" i="25"/>
  <c r="DW14" i="25"/>
  <c r="DD26" i="25"/>
  <c r="DC26" i="25" s="1"/>
  <c r="DJ26" i="25" s="1"/>
  <c r="ED27" i="25"/>
  <c r="CG28" i="25"/>
  <c r="DD65" i="25"/>
  <c r="DC65" i="25" s="1"/>
  <c r="DJ65" i="25" s="1"/>
  <c r="DD62" i="25"/>
  <c r="DC62" i="25" s="1"/>
  <c r="DJ62" i="25" s="1"/>
  <c r="DD75" i="25"/>
  <c r="DC75" i="25" s="1"/>
  <c r="DJ75" i="25" s="1"/>
  <c r="DD163" i="25"/>
  <c r="DC163" i="25" s="1"/>
  <c r="DJ163" i="25" s="1"/>
  <c r="DD128" i="25"/>
  <c r="DC128" i="25" s="1"/>
  <c r="DJ128" i="25" s="1"/>
  <c r="CP172" i="25"/>
  <c r="CP169" i="25"/>
  <c r="CP164" i="25"/>
  <c r="CP159" i="25"/>
  <c r="CO112" i="25"/>
  <c r="CQ112" i="25" s="1"/>
  <c r="CP101" i="25"/>
  <c r="CP93" i="25"/>
  <c r="CP119" i="25"/>
  <c r="CP51" i="25"/>
  <c r="CP70" i="25"/>
  <c r="CO41" i="25"/>
  <c r="CQ41" i="25" s="1"/>
  <c r="CP34" i="25"/>
  <c r="CP201" i="25"/>
  <c r="CP189" i="25"/>
  <c r="CP20" i="25"/>
  <c r="CO137" i="25"/>
  <c r="CQ137" i="25" s="1"/>
  <c r="CP133" i="25"/>
  <c r="CO123" i="25"/>
  <c r="CQ123" i="25" s="1"/>
  <c r="CP92" i="25"/>
  <c r="CP185" i="25"/>
  <c r="CP44" i="25"/>
  <c r="CP40" i="25"/>
  <c r="CP177" i="25"/>
  <c r="CP195" i="25"/>
  <c r="CO192" i="25"/>
  <c r="CQ192" i="25" s="1"/>
  <c r="CU192" i="25" s="1"/>
  <c r="CX192" i="25" s="1"/>
  <c r="CY192" i="25" s="1"/>
  <c r="CO19" i="25"/>
  <c r="CQ19" i="25" s="1"/>
  <c r="CO138" i="25"/>
  <c r="CQ138" i="25" s="1"/>
  <c r="CU138" i="25" s="1"/>
  <c r="CX138" i="25" s="1"/>
  <c r="CY138" i="25" s="1"/>
  <c r="CO202" i="25"/>
  <c r="CQ202" i="25" s="1"/>
  <c r="CO130" i="25"/>
  <c r="CQ130" i="25" s="1"/>
  <c r="CU130" i="25" s="1"/>
  <c r="CX130" i="25" s="1"/>
  <c r="CY130" i="25" s="1"/>
  <c r="CO96" i="25"/>
  <c r="CQ96" i="25" s="1"/>
  <c r="CO81" i="25"/>
  <c r="CQ81" i="25" s="1"/>
  <c r="CO52" i="25"/>
  <c r="CQ52" i="25" s="1"/>
  <c r="CP62" i="25"/>
  <c r="CP107" i="25"/>
  <c r="CP105" i="25"/>
  <c r="CO75" i="25"/>
  <c r="CQ75" i="25" s="1"/>
  <c r="CG123" i="25"/>
  <c r="CG8" i="25"/>
  <c r="CG84" i="25"/>
  <c r="CG185" i="25"/>
  <c r="CG182" i="25"/>
  <c r="CG180" i="25"/>
  <c r="CG40" i="25"/>
  <c r="CG177" i="25"/>
  <c r="CG31" i="25"/>
  <c r="CG192" i="25"/>
  <c r="CG202" i="25"/>
  <c r="CG166" i="25"/>
  <c r="CG130" i="25"/>
  <c r="CG109" i="25"/>
  <c r="CG85" i="25"/>
  <c r="CG52" i="25"/>
  <c r="CG45" i="25"/>
  <c r="CG42" i="25"/>
  <c r="CG176" i="25"/>
  <c r="CG65" i="25"/>
  <c r="CG107" i="25"/>
  <c r="CG21" i="25"/>
  <c r="CG168" i="25"/>
  <c r="CG163" i="25"/>
  <c r="CG129" i="25"/>
  <c r="CG187" i="25"/>
  <c r="DH26" i="25"/>
  <c r="DI26" i="25" s="1"/>
  <c r="EC8" i="25"/>
  <c r="ED20" i="25"/>
  <c r="ED154" i="25"/>
  <c r="EC24" i="25"/>
  <c r="EC20" i="25"/>
  <c r="EC23" i="25"/>
  <c r="CO74" i="25"/>
  <c r="CQ74" i="25" s="1"/>
  <c r="CO171" i="25"/>
  <c r="CQ171" i="25" s="1"/>
  <c r="CR171" i="25" s="1"/>
  <c r="CV171" i="25" s="1"/>
  <c r="CW171" i="25" s="1"/>
  <c r="CZ171" i="25" s="1"/>
  <c r="CP167" i="25"/>
  <c r="CP188" i="25"/>
  <c r="CP186" i="25"/>
  <c r="CO7" i="25"/>
  <c r="CQ7" i="25" s="1"/>
  <c r="CR7" i="25" s="1"/>
  <c r="CV7" i="25" s="1"/>
  <c r="CW7" i="25" s="1"/>
  <c r="CZ7" i="25" s="1"/>
  <c r="CO54" i="25"/>
  <c r="CQ54" i="25" s="1"/>
  <c r="CO72" i="25"/>
  <c r="CQ72" i="25" s="1"/>
  <c r="CO69" i="25"/>
  <c r="CQ69" i="25" s="1"/>
  <c r="CO146" i="25"/>
  <c r="CQ146" i="25" s="1"/>
  <c r="CO30" i="25"/>
  <c r="CQ30" i="25" s="1"/>
  <c r="CU30" i="25" s="1"/>
  <c r="CX30" i="25" s="1"/>
  <c r="CY30" i="25" s="1"/>
  <c r="CO191" i="25"/>
  <c r="CQ191" i="25" s="1"/>
  <c r="CU191" i="25" s="1"/>
  <c r="CX191" i="25" s="1"/>
  <c r="CY191" i="25" s="1"/>
  <c r="CO61" i="25"/>
  <c r="CQ61" i="25" s="1"/>
  <c r="CU61" i="25" s="1"/>
  <c r="CX61" i="25" s="1"/>
  <c r="CY61" i="25" s="1"/>
  <c r="CO18" i="25"/>
  <c r="CQ18" i="25" s="1"/>
  <c r="CU18" i="25" s="1"/>
  <c r="CX18" i="25" s="1"/>
  <c r="CY18" i="25" s="1"/>
  <c r="CO100" i="25"/>
  <c r="CQ100" i="25" s="1"/>
  <c r="CO132" i="25"/>
  <c r="CQ132" i="25" s="1"/>
  <c r="CP160" i="25"/>
  <c r="CP78" i="25"/>
  <c r="EC54" i="25"/>
  <c r="CG148" i="25"/>
  <c r="CG128" i="25"/>
  <c r="ED165" i="25"/>
  <c r="EC106" i="25"/>
  <c r="EC22" i="25"/>
  <c r="EC140" i="25"/>
  <c r="EC15" i="25"/>
  <c r="EC73" i="25"/>
  <c r="EC57" i="25"/>
  <c r="EC161" i="25"/>
  <c r="EC80" i="25"/>
  <c r="EC126" i="25"/>
  <c r="EC37" i="25"/>
  <c r="EC61" i="25"/>
  <c r="EC17" i="25"/>
  <c r="EC100" i="25"/>
  <c r="EC199" i="25"/>
  <c r="EC132" i="25"/>
  <c r="EC11" i="25"/>
  <c r="EC160" i="25"/>
  <c r="EC78" i="25"/>
  <c r="CO89" i="25"/>
  <c r="CQ89" i="25" s="1"/>
  <c r="CR89" i="25" s="1"/>
  <c r="CV89" i="25" s="1"/>
  <c r="CW89" i="25" s="1"/>
  <c r="CZ89" i="25" s="1"/>
  <c r="CP118" i="25"/>
  <c r="CO36" i="25"/>
  <c r="CQ36" i="25" s="1"/>
  <c r="CR36" i="25" s="1"/>
  <c r="CV36" i="25" s="1"/>
  <c r="CW36" i="25" s="1"/>
  <c r="CZ36" i="25" s="1"/>
  <c r="DD7" i="25"/>
  <c r="DC7" i="25" s="1"/>
  <c r="DJ7" i="25" s="1"/>
  <c r="DD91" i="25"/>
  <c r="DC91" i="25" s="1"/>
  <c r="DJ91" i="25" s="1"/>
  <c r="DD72" i="25"/>
  <c r="DC72" i="25" s="1"/>
  <c r="DJ72" i="25" s="1"/>
  <c r="DD39" i="25"/>
  <c r="DC39" i="25" s="1"/>
  <c r="DJ39" i="25" s="1"/>
  <c r="DD61" i="25"/>
  <c r="DC61" i="25" s="1"/>
  <c r="DJ61" i="25" s="1"/>
  <c r="DD100" i="25"/>
  <c r="DC100" i="25" s="1"/>
  <c r="DJ100" i="25" s="1"/>
  <c r="DD199" i="25"/>
  <c r="DC199" i="25" s="1"/>
  <c r="DJ199" i="25" s="1"/>
  <c r="DD160" i="25"/>
  <c r="DC160" i="25" s="1"/>
  <c r="DJ160" i="25" s="1"/>
  <c r="DD110" i="25"/>
  <c r="DC110" i="25" s="1"/>
  <c r="DJ110" i="25" s="1"/>
  <c r="DH110" i="25"/>
  <c r="DI110" i="25" s="1"/>
  <c r="CO44" i="25"/>
  <c r="CQ44" i="25" s="1"/>
  <c r="CU44" i="25" s="1"/>
  <c r="CX44" i="25" s="1"/>
  <c r="CY44" i="25" s="1"/>
  <c r="CO20" i="25"/>
  <c r="CQ20" i="25" s="1"/>
  <c r="CU20" i="25" s="1"/>
  <c r="CX20" i="25" s="1"/>
  <c r="CY20" i="25" s="1"/>
  <c r="DH102" i="25"/>
  <c r="DI102" i="25" s="1"/>
  <c r="CO34" i="25"/>
  <c r="CQ34" i="25" s="1"/>
  <c r="CR34" i="25" s="1"/>
  <c r="CV34" i="25" s="1"/>
  <c r="CW34" i="25" s="1"/>
  <c r="CZ34" i="25" s="1"/>
  <c r="CO159" i="25"/>
  <c r="CQ159" i="25" s="1"/>
  <c r="CR159" i="25" s="1"/>
  <c r="CO169" i="25"/>
  <c r="CQ169" i="25" s="1"/>
  <c r="CU169" i="25" s="1"/>
  <c r="CX169" i="25" s="1"/>
  <c r="CY169" i="25" s="1"/>
  <c r="DE98" i="25"/>
  <c r="DH98" i="25"/>
  <c r="DI98" i="25" s="1"/>
  <c r="DD98" i="25"/>
  <c r="DC98" i="25" s="1"/>
  <c r="DJ98" i="25" s="1"/>
  <c r="DD190" i="25"/>
  <c r="DC190" i="25" s="1"/>
  <c r="DJ190" i="25" s="1"/>
  <c r="DE190" i="25"/>
  <c r="DH190" i="25"/>
  <c r="DI190" i="25" s="1"/>
  <c r="CP77" i="25"/>
  <c r="CO77" i="25"/>
  <c r="CQ77" i="25" s="1"/>
  <c r="CU77" i="25" s="1"/>
  <c r="CX77" i="25" s="1"/>
  <c r="CY77" i="25" s="1"/>
  <c r="CP9" i="25"/>
  <c r="CO9" i="25"/>
  <c r="CQ9" i="25" s="1"/>
  <c r="CU9" i="25" s="1"/>
  <c r="CX9" i="25" s="1"/>
  <c r="CY9" i="25" s="1"/>
  <c r="CP122" i="25"/>
  <c r="CO82" i="25"/>
  <c r="CQ82" i="25" s="1"/>
  <c r="CR82" i="25" s="1"/>
  <c r="CV82" i="25" s="1"/>
  <c r="CW82" i="25" s="1"/>
  <c r="CZ82" i="25" s="1"/>
  <c r="CP66" i="25"/>
  <c r="CO66" i="25"/>
  <c r="CQ66" i="25" s="1"/>
  <c r="CR66" i="25" s="1"/>
  <c r="CV66" i="25" s="1"/>
  <c r="CW66" i="25" s="1"/>
  <c r="CZ66" i="25" s="1"/>
  <c r="CO23" i="25"/>
  <c r="CQ23" i="25" s="1"/>
  <c r="CR23" i="25" s="1"/>
  <c r="CV23" i="25" s="1"/>
  <c r="CW23" i="25" s="1"/>
  <c r="CZ23" i="25" s="1"/>
  <c r="CP58" i="25"/>
  <c r="CO58" i="25"/>
  <c r="CQ58" i="25" s="1"/>
  <c r="CU58" i="25" s="1"/>
  <c r="CX58" i="25" s="1"/>
  <c r="CY58" i="25" s="1"/>
  <c r="CP76" i="25"/>
  <c r="CP31" i="25"/>
  <c r="CO31" i="25"/>
  <c r="CQ31" i="25" s="1"/>
  <c r="CU31" i="25" s="1"/>
  <c r="CX31" i="25" s="1"/>
  <c r="CY31" i="25" s="1"/>
  <c r="CO166" i="25"/>
  <c r="CQ166" i="25" s="1"/>
  <c r="CU166" i="25" s="1"/>
  <c r="CX166" i="25" s="1"/>
  <c r="CY166" i="25" s="1"/>
  <c r="CP166" i="25"/>
  <c r="CP13" i="25"/>
  <c r="CO13" i="25"/>
  <c r="CQ13" i="25" s="1"/>
  <c r="CR13" i="25" s="1"/>
  <c r="CV13" i="25" s="1"/>
  <c r="CW13" i="25" s="1"/>
  <c r="CZ13" i="25" s="1"/>
  <c r="CP163" i="25"/>
  <c r="DD90" i="25"/>
  <c r="DC90" i="25" s="1"/>
  <c r="DJ90" i="25" s="1"/>
  <c r="DE90" i="25"/>
  <c r="DE46" i="25"/>
  <c r="DH46" i="25"/>
  <c r="DI46" i="25" s="1"/>
  <c r="DE29" i="25"/>
  <c r="DH29" i="25"/>
  <c r="DI29" i="25" s="1"/>
  <c r="DD144" i="25"/>
  <c r="DC144" i="25" s="1"/>
  <c r="DJ144" i="25" s="1"/>
  <c r="DH50" i="25"/>
  <c r="DI50" i="25" s="1"/>
  <c r="DE102" i="25"/>
  <c r="CO71" i="25"/>
  <c r="CQ71" i="25" s="1"/>
  <c r="CU71" i="25" s="1"/>
  <c r="CX71" i="25" s="1"/>
  <c r="CY71" i="25" s="1"/>
  <c r="CP71" i="25"/>
  <c r="CP116" i="25"/>
  <c r="CO97" i="25"/>
  <c r="CQ97" i="25" s="1"/>
  <c r="CO53" i="25"/>
  <c r="CQ53" i="25" s="1"/>
  <c r="CR53" i="25" s="1"/>
  <c r="CV53" i="25" s="1"/>
  <c r="CW53" i="25" s="1"/>
  <c r="CZ53" i="25" s="1"/>
  <c r="CP53" i="25"/>
  <c r="CO63" i="25"/>
  <c r="CQ63" i="25" s="1"/>
  <c r="CR63" i="25" s="1"/>
  <c r="CV63" i="25" s="1"/>
  <c r="CW63" i="25" s="1"/>
  <c r="CZ63" i="25" s="1"/>
  <c r="CP63" i="25"/>
  <c r="CO177" i="25"/>
  <c r="CQ177" i="25" s="1"/>
  <c r="CU177" i="25" s="1"/>
  <c r="CX177" i="25" s="1"/>
  <c r="CY177" i="25" s="1"/>
  <c r="CO185" i="25"/>
  <c r="CQ185" i="25" s="1"/>
  <c r="CU185" i="25" s="1"/>
  <c r="CX185" i="25" s="1"/>
  <c r="CY185" i="25" s="1"/>
  <c r="DH184" i="25"/>
  <c r="DI184" i="25" s="1"/>
  <c r="DD29" i="25"/>
  <c r="DC29" i="25" s="1"/>
  <c r="DJ29" i="25" s="1"/>
  <c r="DH67" i="25"/>
  <c r="DI67" i="25" s="1"/>
  <c r="CO101" i="25"/>
  <c r="CQ101" i="25" s="1"/>
  <c r="CR101" i="25" s="1"/>
  <c r="CV101" i="25" s="1"/>
  <c r="CW101" i="25" s="1"/>
  <c r="CZ101" i="25" s="1"/>
  <c r="CO133" i="25"/>
  <c r="CQ133" i="25" s="1"/>
  <c r="CU133" i="25" s="1"/>
  <c r="CX133" i="25" s="1"/>
  <c r="CY133" i="25" s="1"/>
  <c r="CP75" i="25"/>
  <c r="DY147" i="25"/>
  <c r="DW178" i="25"/>
  <c r="DY178" i="25"/>
  <c r="DY64" i="25"/>
  <c r="DW64" i="25"/>
  <c r="DW104" i="25"/>
  <c r="DY104" i="25"/>
  <c r="DW74" i="25"/>
  <c r="DY74" i="25"/>
  <c r="DS192" i="25"/>
  <c r="DH173" i="25"/>
  <c r="DI173" i="25" s="1"/>
  <c r="DE173" i="25"/>
  <c r="DW113" i="25"/>
  <c r="DY113" i="25"/>
  <c r="DD68" i="25"/>
  <c r="DC68" i="25" s="1"/>
  <c r="DJ68" i="25" s="1"/>
  <c r="DH68" i="25"/>
  <c r="DI68" i="25" s="1"/>
  <c r="DE99" i="25"/>
  <c r="DH99" i="25"/>
  <c r="DI99" i="25" s="1"/>
  <c r="DE10" i="25"/>
  <c r="DH10" i="25"/>
  <c r="DI10" i="25" s="1"/>
  <c r="DD165" i="25"/>
  <c r="DC165" i="25" s="1"/>
  <c r="DJ165" i="25" s="1"/>
  <c r="DD37" i="25"/>
  <c r="DC37" i="25" s="1"/>
  <c r="DJ37" i="25" s="1"/>
  <c r="DH135" i="25"/>
  <c r="DI135" i="25" s="1"/>
  <c r="DD135" i="25"/>
  <c r="DC135" i="25" s="1"/>
  <c r="DJ135" i="25" s="1"/>
  <c r="DE135" i="25"/>
  <c r="DY141" i="25"/>
  <c r="DE56" i="25"/>
  <c r="DH17" i="25"/>
  <c r="DI17" i="25" s="1"/>
  <c r="CO93" i="25"/>
  <c r="CQ93" i="25" s="1"/>
  <c r="CR93" i="25" s="1"/>
  <c r="CV93" i="25" s="1"/>
  <c r="CW93" i="25" s="1"/>
  <c r="CZ93" i="25" s="1"/>
  <c r="CO116" i="25"/>
  <c r="CQ116" i="25" s="1"/>
  <c r="CR116" i="25" s="1"/>
  <c r="CV116" i="25" s="1"/>
  <c r="CW116" i="25" s="1"/>
  <c r="CZ116" i="25" s="1"/>
  <c r="ED118" i="25"/>
  <c r="ED63" i="25"/>
  <c r="ED102" i="25"/>
  <c r="ED99" i="25"/>
  <c r="ED173" i="25"/>
  <c r="ED56" i="25"/>
  <c r="CP32" i="25"/>
  <c r="CP114" i="25"/>
  <c r="CP108" i="25"/>
  <c r="CO95" i="25"/>
  <c r="CQ95" i="25" s="1"/>
  <c r="CP121" i="25"/>
  <c r="CP155" i="25"/>
  <c r="CP147" i="25"/>
  <c r="CO178" i="25"/>
  <c r="CQ178" i="25" s="1"/>
  <c r="CU178" i="25" s="1"/>
  <c r="CX178" i="25" s="1"/>
  <c r="CY178" i="25" s="1"/>
  <c r="CP64" i="25"/>
  <c r="CO25" i="25"/>
  <c r="CQ25" i="25" s="1"/>
  <c r="CR25" i="25" s="1"/>
  <c r="CV25" i="25" s="1"/>
  <c r="CW25" i="25" s="1"/>
  <c r="CZ25" i="25" s="1"/>
  <c r="CO104" i="25"/>
  <c r="CQ104" i="25" s="1"/>
  <c r="CU104" i="25" s="1"/>
  <c r="CX104" i="25" s="1"/>
  <c r="CY104" i="25" s="1"/>
  <c r="CO141" i="25"/>
  <c r="CQ141" i="25" s="1"/>
  <c r="CO98" i="25"/>
  <c r="CQ98" i="25" s="1"/>
  <c r="CO90" i="25"/>
  <c r="CQ90" i="25" s="1"/>
  <c r="CR90" i="25" s="1"/>
  <c r="CV90" i="25" s="1"/>
  <c r="CW90" i="25" s="1"/>
  <c r="CZ90" i="25" s="1"/>
  <c r="CO135" i="25"/>
  <c r="CQ135" i="25" s="1"/>
  <c r="CR135" i="25" s="1"/>
  <c r="CV135" i="25" s="1"/>
  <c r="CW135" i="25" s="1"/>
  <c r="CZ135" i="25" s="1"/>
  <c r="CP184" i="25"/>
  <c r="CP50" i="25"/>
  <c r="CO46" i="25"/>
  <c r="CQ46" i="25" s="1"/>
  <c r="CU46" i="25" s="1"/>
  <c r="CX46" i="25" s="1"/>
  <c r="CY46" i="25" s="1"/>
  <c r="CO68" i="25"/>
  <c r="CQ68" i="25" s="1"/>
  <c r="CR68" i="25" s="1"/>
  <c r="CV68" i="25" s="1"/>
  <c r="CW68" i="25" s="1"/>
  <c r="CZ68" i="25" s="1"/>
  <c r="CP37" i="25"/>
  <c r="CO67" i="25"/>
  <c r="CQ67" i="25" s="1"/>
  <c r="CU67" i="25" s="1"/>
  <c r="CX67" i="25" s="1"/>
  <c r="CY67" i="25" s="1"/>
  <c r="CP29" i="25"/>
  <c r="CP144" i="25"/>
  <c r="CO190" i="25"/>
  <c r="CQ190" i="25" s="1"/>
  <c r="CU190" i="25" s="1"/>
  <c r="CX190" i="25" s="1"/>
  <c r="CY190" i="25" s="1"/>
  <c r="CP102" i="25"/>
  <c r="CO17" i="25"/>
  <c r="CQ17" i="25" s="1"/>
  <c r="CU17" i="25" s="1"/>
  <c r="CX17" i="25" s="1"/>
  <c r="CY17" i="25" s="1"/>
  <c r="CP99" i="25"/>
  <c r="CP173" i="25"/>
  <c r="CO56" i="25"/>
  <c r="CQ56" i="25" s="1"/>
  <c r="CR56" i="25" s="1"/>
  <c r="CV56" i="25" s="1"/>
  <c r="CW56" i="25" s="1"/>
  <c r="CZ56" i="25" s="1"/>
  <c r="CO165" i="25"/>
  <c r="CQ165" i="25" s="1"/>
  <c r="CU165" i="25" s="1"/>
  <c r="CX165" i="25" s="1"/>
  <c r="CY165" i="25" s="1"/>
  <c r="CP10" i="25"/>
  <c r="CP127" i="25"/>
  <c r="CP113" i="25"/>
  <c r="CO124" i="25"/>
  <c r="CQ124" i="25" s="1"/>
  <c r="CR124" i="25" s="1"/>
  <c r="CV124" i="25" s="1"/>
  <c r="CW124" i="25" s="1"/>
  <c r="CZ124" i="25" s="1"/>
  <c r="CP87" i="25"/>
  <c r="CP120" i="25"/>
  <c r="CO183" i="25"/>
  <c r="CQ183" i="25" s="1"/>
  <c r="CU183" i="25" s="1"/>
  <c r="CX183" i="25" s="1"/>
  <c r="CY183" i="25" s="1"/>
  <c r="CO48" i="25"/>
  <c r="CQ48" i="25" s="1"/>
  <c r="CR48" i="25" s="1"/>
  <c r="CV48" i="25" s="1"/>
  <c r="CW48" i="25" s="1"/>
  <c r="CZ48" i="25" s="1"/>
  <c r="CP198" i="25"/>
  <c r="CO117" i="25"/>
  <c r="CQ117" i="25" s="1"/>
  <c r="CR117" i="25" s="1"/>
  <c r="CV117" i="25" s="1"/>
  <c r="CW117" i="25" s="1"/>
  <c r="CZ117" i="25" s="1"/>
  <c r="CP35" i="25"/>
  <c r="CP175" i="25"/>
  <c r="CP196" i="25"/>
  <c r="CO106" i="25"/>
  <c r="CQ106" i="25" s="1"/>
  <c r="CR106" i="25" s="1"/>
  <c r="CV106" i="25" s="1"/>
  <c r="CW106" i="25" s="1"/>
  <c r="CZ106" i="25" s="1"/>
  <c r="CO22" i="25"/>
  <c r="CQ22" i="25" s="1"/>
  <c r="CU22" i="25" s="1"/>
  <c r="CX22" i="25" s="1"/>
  <c r="CY22" i="25" s="1"/>
  <c r="CO140" i="25"/>
  <c r="CQ140" i="25" s="1"/>
  <c r="CP15" i="25"/>
  <c r="CP57" i="25"/>
  <c r="CO161" i="25"/>
  <c r="CQ161" i="25" s="1"/>
  <c r="CR161" i="25" s="1"/>
  <c r="CV161" i="25" s="1"/>
  <c r="CW161" i="25" s="1"/>
  <c r="CZ161" i="25" s="1"/>
  <c r="CO80" i="25"/>
  <c r="CQ80" i="25" s="1"/>
  <c r="CR80" i="25" s="1"/>
  <c r="CV80" i="25" s="1"/>
  <c r="CW80" i="25" s="1"/>
  <c r="CZ80" i="25" s="1"/>
  <c r="CG124" i="25"/>
  <c r="CG87" i="25"/>
  <c r="CG120" i="25"/>
  <c r="CG198" i="25"/>
  <c r="CG35" i="25"/>
  <c r="CG175" i="25"/>
  <c r="CG22" i="25"/>
  <c r="CG15" i="25"/>
  <c r="CG73" i="25"/>
  <c r="CG57" i="25"/>
  <c r="CG80" i="25"/>
  <c r="CG126" i="25"/>
  <c r="DW154" i="25"/>
  <c r="DO170" i="25"/>
  <c r="DP170" i="25" s="1"/>
  <c r="DQ170" i="25" s="1"/>
  <c r="DR170" i="25" s="1"/>
  <c r="ED197" i="25"/>
  <c r="DD112" i="25"/>
  <c r="DC112" i="25" s="1"/>
  <c r="DJ112" i="25" s="1"/>
  <c r="DD119" i="25"/>
  <c r="DC119" i="25" s="1"/>
  <c r="DJ119" i="25" s="1"/>
  <c r="DD51" i="25"/>
  <c r="DC51" i="25" s="1"/>
  <c r="DJ51" i="25" s="1"/>
  <c r="DD71" i="25"/>
  <c r="DC71" i="25" s="1"/>
  <c r="DJ71" i="25" s="1"/>
  <c r="DD41" i="25"/>
  <c r="DC41" i="25" s="1"/>
  <c r="DJ41" i="25" s="1"/>
  <c r="DD174" i="25"/>
  <c r="DC174" i="25" s="1"/>
  <c r="DJ174" i="25" s="1"/>
  <c r="DD201" i="25"/>
  <c r="DC201" i="25" s="1"/>
  <c r="DJ201" i="25" s="1"/>
  <c r="DD189" i="25"/>
  <c r="DC189" i="25" s="1"/>
  <c r="DJ189" i="25" s="1"/>
  <c r="DD20" i="25"/>
  <c r="DC20" i="25" s="1"/>
  <c r="DJ20" i="25" s="1"/>
  <c r="DD139" i="25"/>
  <c r="DC139" i="25" s="1"/>
  <c r="DJ139" i="25" s="1"/>
  <c r="DD170" i="25"/>
  <c r="DC170" i="25" s="1"/>
  <c r="DJ170" i="25" s="1"/>
  <c r="ED151" i="25"/>
  <c r="DE148" i="25"/>
  <c r="DY27" i="25"/>
  <c r="DD155" i="25"/>
  <c r="DC155" i="25" s="1"/>
  <c r="DJ155" i="25" s="1"/>
  <c r="DD167" i="25"/>
  <c r="DC167" i="25" s="1"/>
  <c r="DJ167" i="25" s="1"/>
  <c r="CO175" i="25"/>
  <c r="CQ175" i="25" s="1"/>
  <c r="DH188" i="25"/>
  <c r="DI188" i="25" s="1"/>
  <c r="DY84" i="25"/>
  <c r="DY7" i="25"/>
  <c r="CO50" i="25"/>
  <c r="CQ50" i="25" s="1"/>
  <c r="CU50" i="25" s="1"/>
  <c r="CX50" i="25" s="1"/>
  <c r="CY50" i="25" s="1"/>
  <c r="CO15" i="25"/>
  <c r="CQ15" i="25" s="1"/>
  <c r="CO99" i="25"/>
  <c r="CQ99" i="25" s="1"/>
  <c r="CR99" i="25" s="1"/>
  <c r="CV99" i="25" s="1"/>
  <c r="CW99" i="25" s="1"/>
  <c r="CZ99" i="25" s="1"/>
  <c r="CP117" i="25"/>
  <c r="DO36" i="25"/>
  <c r="DP36" i="25" s="1"/>
  <c r="DQ36" i="25" s="1"/>
  <c r="DR36" i="25" s="1"/>
  <c r="DO148" i="25"/>
  <c r="DP148" i="25" s="1"/>
  <c r="DQ148" i="25" s="1"/>
  <c r="DR148" i="25" s="1"/>
  <c r="DO151" i="25"/>
  <c r="DP151" i="25" s="1"/>
  <c r="DQ151" i="25" s="1"/>
  <c r="DR151" i="25" s="1"/>
  <c r="DO197" i="25"/>
  <c r="DP197" i="25" s="1"/>
  <c r="DQ197" i="25" s="1"/>
  <c r="DR197" i="25" s="1"/>
  <c r="DO118" i="25"/>
  <c r="DP118" i="25" s="1"/>
  <c r="DQ118" i="25" s="1"/>
  <c r="DR118" i="25" s="1"/>
  <c r="DO63" i="25"/>
  <c r="DP63" i="25" s="1"/>
  <c r="DQ63" i="25" s="1"/>
  <c r="DR63" i="25" s="1"/>
  <c r="CO127" i="25"/>
  <c r="CQ127" i="25" s="1"/>
  <c r="CO173" i="25"/>
  <c r="CQ173" i="25" s="1"/>
  <c r="CR173" i="25" s="1"/>
  <c r="CV173" i="25" s="1"/>
  <c r="CW173" i="25" s="1"/>
  <c r="CZ173" i="25" s="1"/>
  <c r="CO120" i="25"/>
  <c r="CQ120" i="25" s="1"/>
  <c r="CP161" i="25"/>
  <c r="DY117" i="25"/>
  <c r="CO102" i="25"/>
  <c r="CQ102" i="25" s="1"/>
  <c r="CU102" i="25" s="1"/>
  <c r="CX102" i="25" s="1"/>
  <c r="CY102" i="25" s="1"/>
  <c r="CP104" i="25"/>
  <c r="DW35" i="25"/>
  <c r="DW15" i="25"/>
  <c r="CP106" i="25"/>
  <c r="ED135" i="25"/>
  <c r="DE197" i="25"/>
  <c r="DH150" i="25"/>
  <c r="DI150" i="25" s="1"/>
  <c r="CG149" i="25"/>
  <c r="CG153" i="25"/>
  <c r="CP61" i="25"/>
  <c r="CP132" i="25"/>
  <c r="CP30" i="25"/>
  <c r="ED143" i="25"/>
  <c r="DW145" i="25"/>
  <c r="DW32" i="25"/>
  <c r="DE171" i="25"/>
  <c r="CO12" i="25"/>
  <c r="CQ12" i="25" s="1"/>
  <c r="CR12" i="25" s="1"/>
  <c r="CV12" i="25" s="1"/>
  <c r="CW12" i="25" s="1"/>
  <c r="CZ12" i="25" s="1"/>
  <c r="CP79" i="25"/>
  <c r="CO115" i="25"/>
  <c r="CQ115" i="25" s="1"/>
  <c r="CP109" i="25"/>
  <c r="CP96" i="25"/>
  <c r="CO85" i="25"/>
  <c r="CQ85" i="25" s="1"/>
  <c r="CR85" i="25" s="1"/>
  <c r="CV85" i="25" s="1"/>
  <c r="CW85" i="25" s="1"/>
  <c r="CZ85" i="25" s="1"/>
  <c r="CP42" i="25"/>
  <c r="CO176" i="25"/>
  <c r="CQ176" i="25" s="1"/>
  <c r="CR176" i="25" s="1"/>
  <c r="CV176" i="25" s="1"/>
  <c r="CW176" i="25" s="1"/>
  <c r="CZ176" i="25" s="1"/>
  <c r="CO65" i="25"/>
  <c r="CQ65" i="25" s="1"/>
  <c r="CO62" i="25"/>
  <c r="CQ62" i="25" s="1"/>
  <c r="CO107" i="25"/>
  <c r="CQ107" i="25" s="1"/>
  <c r="CO21" i="25"/>
  <c r="CQ21" i="25" s="1"/>
  <c r="CP16" i="25"/>
  <c r="CP168" i="25"/>
  <c r="CO163" i="25"/>
  <c r="CQ163" i="25" s="1"/>
  <c r="CO187" i="25"/>
  <c r="CQ187" i="25" s="1"/>
  <c r="CP151" i="25"/>
  <c r="DD193" i="25"/>
  <c r="DC193" i="25" s="1"/>
  <c r="DJ193" i="25" s="1"/>
  <c r="DH179" i="25"/>
  <c r="DI179" i="25" s="1"/>
  <c r="DD171" i="25"/>
  <c r="DC171" i="25" s="1"/>
  <c r="DJ171" i="25" s="1"/>
  <c r="DE59" i="25"/>
  <c r="DY22" i="25"/>
  <c r="DE193" i="25"/>
  <c r="DW171" i="25"/>
  <c r="CP135" i="25"/>
  <c r="DY106" i="25"/>
  <c r="CP22" i="25"/>
  <c r="DW186" i="25"/>
  <c r="DY175" i="25"/>
  <c r="DD59" i="25"/>
  <c r="DC59" i="25" s="1"/>
  <c r="DJ59" i="25" s="1"/>
  <c r="DY182" i="25"/>
  <c r="DY196" i="25"/>
  <c r="DW188" i="25"/>
  <c r="DY73" i="25"/>
  <c r="EC82" i="25"/>
  <c r="EC84" i="25"/>
  <c r="EC43" i="25"/>
  <c r="EC66" i="25"/>
  <c r="DW28" i="25"/>
  <c r="CO33" i="25"/>
  <c r="CQ33" i="25" s="1"/>
  <c r="CO14" i="25"/>
  <c r="CQ14" i="25" s="1"/>
  <c r="CR14" i="25" s="1"/>
  <c r="CV14" i="25" s="1"/>
  <c r="CW14" i="25" s="1"/>
  <c r="CZ14" i="25" s="1"/>
  <c r="ED164" i="25"/>
  <c r="EC44" i="25"/>
  <c r="DO56" i="25"/>
  <c r="DP56" i="25" s="1"/>
  <c r="DQ56" i="25" s="1"/>
  <c r="DR56" i="25" s="1"/>
  <c r="DY153" i="25"/>
  <c r="EC125" i="25"/>
  <c r="EC81" i="25"/>
  <c r="EC184" i="25"/>
  <c r="EC179" i="25"/>
  <c r="EC147" i="25"/>
  <c r="EC30" i="25"/>
  <c r="EC83" i="25"/>
  <c r="DD88" i="25"/>
  <c r="DC88" i="25" s="1"/>
  <c r="DJ88" i="25" s="1"/>
  <c r="DD186" i="25"/>
  <c r="DC186" i="25" s="1"/>
  <c r="DJ186" i="25" s="1"/>
  <c r="DW197" i="25"/>
  <c r="DD197" i="25"/>
  <c r="DC197" i="25" s="1"/>
  <c r="DJ197" i="25" s="1"/>
  <c r="DO136" i="25"/>
  <c r="DP136" i="25" s="1"/>
  <c r="DQ136" i="25" s="1"/>
  <c r="DR136" i="25" s="1"/>
  <c r="DO125" i="25"/>
  <c r="DP125" i="25" s="1"/>
  <c r="DQ125" i="25" s="1"/>
  <c r="DR125" i="25" s="1"/>
  <c r="DO101" i="25"/>
  <c r="DP101" i="25" s="1"/>
  <c r="DQ101" i="25" s="1"/>
  <c r="DR101" i="25" s="1"/>
  <c r="DO94" i="25"/>
  <c r="DP94" i="25" s="1"/>
  <c r="DQ94" i="25" s="1"/>
  <c r="DR94" i="25" s="1"/>
  <c r="DO201" i="25"/>
  <c r="DP201" i="25" s="1"/>
  <c r="DQ201" i="25" s="1"/>
  <c r="DR201" i="25" s="1"/>
  <c r="DO143" i="25"/>
  <c r="DP143" i="25" s="1"/>
  <c r="DQ143" i="25" s="1"/>
  <c r="DR143" i="25" s="1"/>
  <c r="DO142" i="25"/>
  <c r="DP142" i="25" s="1"/>
  <c r="DO189" i="25"/>
  <c r="DP189" i="25" s="1"/>
  <c r="DQ189" i="25" s="1"/>
  <c r="DR189" i="25" s="1"/>
  <c r="DO139" i="25"/>
  <c r="DP139" i="25" s="1"/>
  <c r="DQ139" i="25" s="1"/>
  <c r="DR139" i="25" s="1"/>
  <c r="DO76" i="25"/>
  <c r="DP76" i="25" s="1"/>
  <c r="DQ76" i="25" s="1"/>
  <c r="DR76" i="25" s="1"/>
  <c r="DO137" i="25"/>
  <c r="DP137" i="25" s="1"/>
  <c r="DQ137" i="25" s="1"/>
  <c r="DR137" i="25" s="1"/>
  <c r="DD67" i="25"/>
  <c r="DC67" i="25" s="1"/>
  <c r="DJ67" i="25" s="1"/>
  <c r="DH37" i="25"/>
  <c r="DI37" i="25" s="1"/>
  <c r="DE68" i="25"/>
  <c r="DE50" i="25"/>
  <c r="DH90" i="25"/>
  <c r="DI90" i="25" s="1"/>
  <c r="DE110" i="25"/>
  <c r="DE17" i="25"/>
  <c r="DH56" i="25"/>
  <c r="DI56" i="25" s="1"/>
  <c r="DD158" i="25"/>
  <c r="DC158" i="25" s="1"/>
  <c r="DJ158" i="25" s="1"/>
  <c r="DO168" i="25"/>
  <c r="DP168" i="25" s="1"/>
  <c r="DQ168" i="25" s="1"/>
  <c r="DR168" i="25" s="1"/>
  <c r="ED70" i="25"/>
  <c r="ED175" i="25"/>
  <c r="ED104" i="25"/>
  <c r="ED141" i="25"/>
  <c r="DH27" i="25"/>
  <c r="DI27" i="25" s="1"/>
  <c r="ED149" i="25"/>
  <c r="ED153" i="25"/>
  <c r="DH75" i="25"/>
  <c r="DI75" i="25" s="1"/>
  <c r="DE35" i="25"/>
  <c r="DH106" i="25"/>
  <c r="DI106" i="25" s="1"/>
  <c r="DH15" i="25"/>
  <c r="DI15" i="25" s="1"/>
  <c r="DY75" i="25"/>
  <c r="DY111" i="25"/>
  <c r="DH101" i="25"/>
  <c r="DI101" i="25" s="1"/>
  <c r="DW195" i="25"/>
  <c r="ED184" i="25"/>
  <c r="DH153" i="25"/>
  <c r="DI153" i="25" s="1"/>
  <c r="DW158" i="25"/>
  <c r="DD153" i="25"/>
  <c r="DC153" i="25" s="1"/>
  <c r="DJ153" i="25" s="1"/>
  <c r="DD38" i="25"/>
  <c r="DC38" i="25" s="1"/>
  <c r="DJ38" i="25" s="1"/>
  <c r="EC151" i="25"/>
  <c r="EC197" i="25"/>
  <c r="EC111" i="25"/>
  <c r="DO190" i="25"/>
  <c r="DP190" i="25" s="1"/>
  <c r="DQ190" i="25" s="1"/>
  <c r="DR190" i="25" s="1"/>
  <c r="ED81" i="25"/>
  <c r="ED181" i="25"/>
  <c r="ED23" i="25"/>
  <c r="DH149" i="25"/>
  <c r="DI149" i="25" s="1"/>
  <c r="DD149" i="25"/>
  <c r="DC149" i="25" s="1"/>
  <c r="DJ149" i="25" s="1"/>
  <c r="DO87" i="25"/>
  <c r="DP87" i="25" s="1"/>
  <c r="DQ87" i="25" s="1"/>
  <c r="DR87" i="25" s="1"/>
  <c r="DH117" i="25"/>
  <c r="DI117" i="25" s="1"/>
  <c r="DH198" i="25"/>
  <c r="DI198" i="25" s="1"/>
  <c r="DE62" i="25"/>
  <c r="DH186" i="25"/>
  <c r="DI186" i="25" s="1"/>
  <c r="DD101" i="25"/>
  <c r="DC101" i="25" s="1"/>
  <c r="DJ101" i="25" s="1"/>
  <c r="ED60" i="25"/>
  <c r="DW26" i="25"/>
  <c r="CG150" i="25"/>
  <c r="EC91" i="25"/>
  <c r="DH62" i="25"/>
  <c r="DI62" i="25" s="1"/>
  <c r="DE186" i="25"/>
  <c r="DH140" i="25"/>
  <c r="DI140" i="25" s="1"/>
  <c r="DD117" i="25"/>
  <c r="DC117" i="25" s="1"/>
  <c r="DJ117" i="25" s="1"/>
  <c r="DD198" i="25"/>
  <c r="DC198" i="25" s="1"/>
  <c r="DJ198" i="25" s="1"/>
  <c r="DD21" i="25"/>
  <c r="DC21" i="25" s="1"/>
  <c r="DJ21" i="25" s="1"/>
  <c r="DH45" i="25"/>
  <c r="DI45" i="25" s="1"/>
  <c r="DY8" i="25"/>
  <c r="DY37" i="25"/>
  <c r="ED179" i="25"/>
  <c r="ED30" i="25"/>
  <c r="ED58" i="25"/>
  <c r="ED76" i="25"/>
  <c r="ED125" i="25"/>
  <c r="EC51" i="25"/>
  <c r="EC49" i="25"/>
  <c r="EC118" i="25"/>
  <c r="EC42" i="25"/>
  <c r="EC176" i="25"/>
  <c r="DO54" i="25"/>
  <c r="DP54" i="25" s="1"/>
  <c r="DQ54" i="25" s="1"/>
  <c r="DR54" i="25" s="1"/>
  <c r="DO86" i="25"/>
  <c r="DP86" i="25" s="1"/>
  <c r="DQ86" i="25" s="1"/>
  <c r="DR86" i="25" s="1"/>
  <c r="DO119" i="25"/>
  <c r="DP119" i="25" s="1"/>
  <c r="DQ119" i="25" s="1"/>
  <c r="DR119" i="25" s="1"/>
  <c r="DO68" i="25"/>
  <c r="DP68" i="25" s="1"/>
  <c r="DQ68" i="25" s="1"/>
  <c r="DR68" i="25" s="1"/>
  <c r="DO35" i="25"/>
  <c r="DP35" i="25" s="1"/>
  <c r="DQ35" i="25" s="1"/>
  <c r="DR35" i="25" s="1"/>
  <c r="DO67" i="25"/>
  <c r="DP67" i="25" s="1"/>
  <c r="DQ67" i="25" s="1"/>
  <c r="DR67" i="25" s="1"/>
  <c r="ED147" i="25"/>
  <c r="ED172" i="25"/>
  <c r="ED169" i="25"/>
  <c r="CG152" i="25"/>
  <c r="CG157" i="25"/>
  <c r="CG154" i="25"/>
  <c r="EC65" i="25"/>
  <c r="DD122" i="25"/>
  <c r="DC122" i="25" s="1"/>
  <c r="DJ122" i="25" s="1"/>
  <c r="DD97" i="25"/>
  <c r="DC97" i="25" s="1"/>
  <c r="DJ97" i="25" s="1"/>
  <c r="DD89" i="25"/>
  <c r="DC89" i="25" s="1"/>
  <c r="DJ89" i="25" s="1"/>
  <c r="DD181" i="25"/>
  <c r="DC181" i="25" s="1"/>
  <c r="DJ181" i="25" s="1"/>
  <c r="DD118" i="25"/>
  <c r="DC118" i="25" s="1"/>
  <c r="DJ118" i="25" s="1"/>
  <c r="DD43" i="25"/>
  <c r="DC43" i="25" s="1"/>
  <c r="DJ43" i="25" s="1"/>
  <c r="DD143" i="25"/>
  <c r="DC143" i="25" s="1"/>
  <c r="DJ143" i="25" s="1"/>
  <c r="DD58" i="25"/>
  <c r="DC58" i="25" s="1"/>
  <c r="DJ58" i="25" s="1"/>
  <c r="DD76" i="25"/>
  <c r="DC76" i="25" s="1"/>
  <c r="DJ76" i="25" s="1"/>
  <c r="DD159" i="25"/>
  <c r="DC159" i="25" s="1"/>
  <c r="DJ159" i="25" s="1"/>
  <c r="CO195" i="25"/>
  <c r="CQ195" i="25" s="1"/>
  <c r="CR195" i="25" s="1"/>
  <c r="CV195" i="25" s="1"/>
  <c r="CW195" i="25" s="1"/>
  <c r="CZ195" i="25" s="1"/>
  <c r="CO103" i="25"/>
  <c r="CQ103" i="25" s="1"/>
  <c r="CU103" i="25" s="1"/>
  <c r="CX103" i="25" s="1"/>
  <c r="CY103" i="25" s="1"/>
  <c r="CO114" i="25"/>
  <c r="CQ114" i="25" s="1"/>
  <c r="CO108" i="25"/>
  <c r="CQ108" i="25" s="1"/>
  <c r="CO88" i="25"/>
  <c r="CQ88" i="25" s="1"/>
  <c r="CR88" i="25" s="1"/>
  <c r="CV88" i="25" s="1"/>
  <c r="CW88" i="25" s="1"/>
  <c r="CZ88" i="25" s="1"/>
  <c r="CO121" i="25"/>
  <c r="CQ121" i="25" s="1"/>
  <c r="CO49" i="25"/>
  <c r="CQ49" i="25" s="1"/>
  <c r="CR49" i="25" s="1"/>
  <c r="CV49" i="25" s="1"/>
  <c r="CW49" i="25" s="1"/>
  <c r="CZ49" i="25" s="1"/>
  <c r="CO179" i="25"/>
  <c r="CQ179" i="25" s="1"/>
  <c r="CO147" i="25"/>
  <c r="CQ147" i="25" s="1"/>
  <c r="CR147" i="25" s="1"/>
  <c r="CV147" i="25" s="1"/>
  <c r="CW147" i="25" s="1"/>
  <c r="CZ147" i="25" s="1"/>
  <c r="CO64" i="25"/>
  <c r="CQ64" i="25" s="1"/>
  <c r="CP25" i="25"/>
  <c r="CP193" i="25"/>
  <c r="CP74" i="25"/>
  <c r="CP171" i="25"/>
  <c r="CO167" i="25"/>
  <c r="CQ167" i="25" s="1"/>
  <c r="CU167" i="25" s="1"/>
  <c r="CX167" i="25" s="1"/>
  <c r="CY167" i="25" s="1"/>
  <c r="CO162" i="25"/>
  <c r="CQ162" i="25" s="1"/>
  <c r="CR162" i="25" s="1"/>
  <c r="CV162" i="25" s="1"/>
  <c r="CW162" i="25" s="1"/>
  <c r="CZ162" i="25" s="1"/>
  <c r="CO188" i="25"/>
  <c r="CQ188" i="25" s="1"/>
  <c r="CR188" i="25" s="1"/>
  <c r="CV188" i="25" s="1"/>
  <c r="CW188" i="25" s="1"/>
  <c r="CZ188" i="25" s="1"/>
  <c r="CO186" i="25"/>
  <c r="CQ186" i="25" s="1"/>
  <c r="CO111" i="25"/>
  <c r="CQ111" i="25" s="1"/>
  <c r="CP7" i="25"/>
  <c r="CO91" i="25"/>
  <c r="CQ91" i="25" s="1"/>
  <c r="CR91" i="25" s="1"/>
  <c r="CV91" i="25" s="1"/>
  <c r="CW91" i="25" s="1"/>
  <c r="CZ91" i="25" s="1"/>
  <c r="CP83" i="25"/>
  <c r="CP72" i="25"/>
  <c r="CO47" i="25"/>
  <c r="CQ47" i="25" s="1"/>
  <c r="CR47" i="25" s="1"/>
  <c r="CV47" i="25" s="1"/>
  <c r="CW47" i="25" s="1"/>
  <c r="CZ47" i="25" s="1"/>
  <c r="CP39" i="25"/>
  <c r="CP146" i="25"/>
  <c r="CP200" i="25"/>
  <c r="CP191" i="25"/>
  <c r="CP100" i="25"/>
  <c r="DD27" i="25"/>
  <c r="DC27" i="25" s="1"/>
  <c r="DJ27" i="25" s="1"/>
  <c r="CP157" i="25"/>
  <c r="EC63" i="25"/>
  <c r="DO46" i="25"/>
  <c r="DP46" i="25" s="1"/>
  <c r="DQ46" i="25" s="1"/>
  <c r="DR46" i="25" s="1"/>
  <c r="DO43" i="25"/>
  <c r="DP43" i="25" s="1"/>
  <c r="DQ43" i="25" s="1"/>
  <c r="DR43" i="25" s="1"/>
  <c r="DD179" i="25"/>
  <c r="DC179" i="25" s="1"/>
  <c r="DJ179" i="25" s="1"/>
  <c r="DD64" i="25"/>
  <c r="DC64" i="25" s="1"/>
  <c r="DJ64" i="25" s="1"/>
  <c r="DD25" i="25"/>
  <c r="DC25" i="25" s="1"/>
  <c r="DJ25" i="25" s="1"/>
  <c r="DD104" i="25"/>
  <c r="DC104" i="25" s="1"/>
  <c r="DJ104" i="25" s="1"/>
  <c r="DD74" i="25"/>
  <c r="DC74" i="25" s="1"/>
  <c r="DJ74" i="25" s="1"/>
  <c r="DD162" i="25"/>
  <c r="DC162" i="25" s="1"/>
  <c r="DJ162" i="25" s="1"/>
  <c r="ED110" i="25"/>
  <c r="ED90" i="25"/>
  <c r="ED178" i="25"/>
  <c r="ED159" i="25"/>
  <c r="ED77" i="25"/>
  <c r="EC52" i="25"/>
  <c r="DO111" i="25"/>
  <c r="DP111" i="25" s="1"/>
  <c r="DQ111" i="25" s="1"/>
  <c r="DR111" i="25" s="1"/>
  <c r="DO8" i="25"/>
  <c r="DP8" i="25" s="1"/>
  <c r="DQ8" i="25" s="1"/>
  <c r="DR8" i="25" s="1"/>
  <c r="DO95" i="25"/>
  <c r="DP95" i="25" s="1"/>
  <c r="DQ95" i="25" s="1"/>
  <c r="DR95" i="25" s="1"/>
  <c r="DO91" i="25"/>
  <c r="DP91" i="25" s="1"/>
  <c r="DQ91" i="25" s="1"/>
  <c r="DR91" i="25" s="1"/>
  <c r="DO88" i="25"/>
  <c r="DP88" i="25" s="1"/>
  <c r="DQ88" i="25" s="1"/>
  <c r="DR88" i="25" s="1"/>
  <c r="DH129" i="25"/>
  <c r="DI129" i="25" s="1"/>
  <c r="DE129" i="25"/>
  <c r="DH74" i="25"/>
  <c r="DI74" i="25" s="1"/>
  <c r="DE94" i="25"/>
  <c r="DD141" i="25"/>
  <c r="DC141" i="25" s="1"/>
  <c r="DJ141" i="25" s="1"/>
  <c r="DE162" i="25"/>
  <c r="DD187" i="25"/>
  <c r="DC187" i="25" s="1"/>
  <c r="DJ187" i="25" s="1"/>
  <c r="DE25" i="25"/>
  <c r="CP12" i="25"/>
  <c r="DH162" i="25"/>
  <c r="DI162" i="25" s="1"/>
  <c r="DH178" i="25"/>
  <c r="DI178" i="25" s="1"/>
  <c r="CQ129" i="25"/>
  <c r="CO109" i="25"/>
  <c r="CQ109" i="25" s="1"/>
  <c r="CU109" i="25" s="1"/>
  <c r="CX109" i="25" s="1"/>
  <c r="CY109" i="25" s="1"/>
  <c r="CO16" i="25"/>
  <c r="CQ16" i="25" s="1"/>
  <c r="CU16" i="25" s="1"/>
  <c r="CX16" i="25" s="1"/>
  <c r="CY16" i="25" s="1"/>
  <c r="CO39" i="25"/>
  <c r="CQ39" i="25" s="1"/>
  <c r="CU39" i="25" s="1"/>
  <c r="CX39" i="25" s="1"/>
  <c r="CY39" i="25" s="1"/>
  <c r="CP111" i="25"/>
  <c r="DY62" i="25"/>
  <c r="DE124" i="25"/>
  <c r="DD178" i="25"/>
  <c r="DC178" i="25" s="1"/>
  <c r="DJ178" i="25" s="1"/>
  <c r="DH104" i="25"/>
  <c r="DI104" i="25" s="1"/>
  <c r="DH87" i="25"/>
  <c r="DI87" i="25" s="1"/>
  <c r="DE49" i="25"/>
  <c r="DE120" i="25"/>
  <c r="DH124" i="25"/>
  <c r="DI124" i="25" s="1"/>
  <c r="DH167" i="25"/>
  <c r="DI167" i="25" s="1"/>
  <c r="DE74" i="25"/>
  <c r="DD87" i="25"/>
  <c r="DC87" i="25" s="1"/>
  <c r="DJ87" i="25" s="1"/>
  <c r="DW83" i="25"/>
  <c r="DY83" i="25"/>
  <c r="DY144" i="25"/>
  <c r="DW144" i="25"/>
  <c r="DW167" i="25"/>
  <c r="DY167" i="25"/>
  <c r="DW163" i="25"/>
  <c r="DY163" i="25"/>
  <c r="DD113" i="25"/>
  <c r="DC113" i="25" s="1"/>
  <c r="DJ113" i="25" s="1"/>
  <c r="DH113" i="25"/>
  <c r="DI113" i="25" s="1"/>
  <c r="DD49" i="25"/>
  <c r="DC49" i="25" s="1"/>
  <c r="DJ49" i="25" s="1"/>
  <c r="DH64" i="25"/>
  <c r="DI64" i="25" s="1"/>
  <c r="DE104" i="25"/>
  <c r="DD147" i="25"/>
  <c r="DC147" i="25" s="1"/>
  <c r="DJ147" i="25" s="1"/>
  <c r="DE155" i="25"/>
  <c r="CP21" i="25"/>
  <c r="CO83" i="25"/>
  <c r="CQ83" i="25" s="1"/>
  <c r="CU83" i="25" s="1"/>
  <c r="CX83" i="25" s="1"/>
  <c r="CY83" i="25" s="1"/>
  <c r="DY89" i="25"/>
  <c r="DW89" i="25"/>
  <c r="DY57" i="25"/>
  <c r="DW57" i="25"/>
  <c r="DE154" i="25"/>
  <c r="DH154" i="25"/>
  <c r="DI154" i="25" s="1"/>
  <c r="DD154" i="25"/>
  <c r="DC154" i="25" s="1"/>
  <c r="DJ154" i="25" s="1"/>
  <c r="DW152" i="25"/>
  <c r="DY152" i="25"/>
  <c r="DW124" i="25"/>
  <c r="DY124" i="25"/>
  <c r="CP123" i="25"/>
  <c r="CO8" i="25"/>
  <c r="CQ8" i="25" s="1"/>
  <c r="CO92" i="25"/>
  <c r="CQ92" i="25" s="1"/>
  <c r="CR92" i="25" s="1"/>
  <c r="CV92" i="25" s="1"/>
  <c r="CW92" i="25" s="1"/>
  <c r="CZ92" i="25" s="1"/>
  <c r="CO84" i="25"/>
  <c r="CQ84" i="25" s="1"/>
  <c r="CU84" i="25" s="1"/>
  <c r="CX84" i="25" s="1"/>
  <c r="CY84" i="25" s="1"/>
  <c r="CP182" i="25"/>
  <c r="CP180" i="25"/>
  <c r="CO40" i="25"/>
  <c r="CQ40" i="25" s="1"/>
  <c r="CP103" i="25"/>
  <c r="CP19" i="25"/>
  <c r="CP138" i="25"/>
  <c r="CO59" i="25"/>
  <c r="CQ59" i="25" s="1"/>
  <c r="CP59" i="25"/>
  <c r="CO199" i="25"/>
  <c r="CQ199" i="25" s="1"/>
  <c r="CP11" i="25"/>
  <c r="CO160" i="25"/>
  <c r="CQ160" i="25" s="1"/>
  <c r="CR160" i="25" s="1"/>
  <c r="CV160" i="25" s="1"/>
  <c r="CW160" i="25" s="1"/>
  <c r="CZ160" i="25" s="1"/>
  <c r="DY69" i="25"/>
  <c r="DW69" i="25"/>
  <c r="DY39" i="25"/>
  <c r="DW39" i="25"/>
  <c r="DS84" i="25"/>
  <c r="DS76" i="25"/>
  <c r="EC95" i="25"/>
  <c r="EC88" i="25"/>
  <c r="DO116" i="25"/>
  <c r="DP116" i="25" s="1"/>
  <c r="DQ116" i="25" s="1"/>
  <c r="DR116" i="25" s="1"/>
  <c r="DO180" i="25"/>
  <c r="DP180" i="25" s="1"/>
  <c r="DQ180" i="25" s="1"/>
  <c r="DR180" i="25" s="1"/>
  <c r="DO69" i="25"/>
  <c r="DP69" i="25" s="1"/>
  <c r="DQ69" i="25" s="1"/>
  <c r="DR69" i="25" s="1"/>
  <c r="DO147" i="25"/>
  <c r="DP147" i="25" s="1"/>
  <c r="DQ147" i="25" s="1"/>
  <c r="DR147" i="25" s="1"/>
  <c r="DO31" i="25"/>
  <c r="DP31" i="25" s="1"/>
  <c r="DQ31" i="25" s="1"/>
  <c r="DR31" i="25" s="1"/>
  <c r="DO99" i="25"/>
  <c r="DP99" i="25" s="1"/>
  <c r="DQ99" i="25" s="1"/>
  <c r="DR99" i="25" s="1"/>
  <c r="DO173" i="25"/>
  <c r="DP173" i="25" s="1"/>
  <c r="DQ173" i="25" s="1"/>
  <c r="DR173" i="25" s="1"/>
  <c r="DO165" i="25"/>
  <c r="DP165" i="25" s="1"/>
  <c r="DQ165" i="25" s="1"/>
  <c r="DR165" i="25" s="1"/>
  <c r="DO10" i="25"/>
  <c r="DP10" i="25" s="1"/>
  <c r="DQ10" i="25" s="1"/>
  <c r="DR10" i="25" s="1"/>
  <c r="DO80" i="25"/>
  <c r="DP80" i="25" s="1"/>
  <c r="DQ80" i="25" s="1"/>
  <c r="DR80" i="25" s="1"/>
  <c r="EC121" i="25"/>
  <c r="DO133" i="25"/>
  <c r="DP133" i="25" s="1"/>
  <c r="DQ133" i="25" s="1"/>
  <c r="DR133" i="25" s="1"/>
  <c r="EC36" i="25"/>
  <c r="EC183" i="25"/>
  <c r="EC71" i="25"/>
  <c r="EC41" i="25"/>
  <c r="EC72" i="25"/>
  <c r="CG24" i="25"/>
  <c r="EC39" i="25"/>
  <c r="DO103" i="25"/>
  <c r="DP103" i="25" s="1"/>
  <c r="DQ103" i="25" s="1"/>
  <c r="DR103" i="25" s="1"/>
  <c r="DO79" i="25"/>
  <c r="DP79" i="25" s="1"/>
  <c r="DQ79" i="25" s="1"/>
  <c r="DR79" i="25" s="1"/>
  <c r="CP148" i="25"/>
  <c r="CG151" i="25"/>
  <c r="ED158" i="25"/>
  <c r="ED35" i="25"/>
  <c r="EC148" i="25"/>
  <c r="EC128" i="25"/>
  <c r="EC177" i="25"/>
  <c r="DO34" i="25"/>
  <c r="DP34" i="25" s="1"/>
  <c r="DQ34" i="25" s="1"/>
  <c r="DR34" i="25" s="1"/>
  <c r="DO66" i="25"/>
  <c r="DP66" i="25" s="1"/>
  <c r="DQ66" i="25" s="1"/>
  <c r="DR66" i="25" s="1"/>
  <c r="DO175" i="25"/>
  <c r="DP175" i="25" s="1"/>
  <c r="DQ175" i="25" s="1"/>
  <c r="DR175" i="25" s="1"/>
  <c r="DO27" i="25"/>
  <c r="DP27" i="25" s="1"/>
  <c r="DQ27" i="25" s="1"/>
  <c r="DR27" i="25" s="1"/>
  <c r="EC114" i="25"/>
  <c r="EC124" i="25"/>
  <c r="EC174" i="25"/>
  <c r="EC196" i="25"/>
  <c r="DO44" i="25"/>
  <c r="DP44" i="25" s="1"/>
  <c r="DQ44" i="25" s="1"/>
  <c r="DR44" i="25" s="1"/>
  <c r="DO20" i="25"/>
  <c r="DP20" i="25" s="1"/>
  <c r="DQ20" i="25" s="1"/>
  <c r="DR20" i="25" s="1"/>
  <c r="DO51" i="25"/>
  <c r="DP51" i="25" s="1"/>
  <c r="DQ51" i="25" s="1"/>
  <c r="DR51" i="25" s="1"/>
  <c r="DO42" i="25"/>
  <c r="DP42" i="25" s="1"/>
  <c r="DQ42" i="25" s="1"/>
  <c r="DR42" i="25" s="1"/>
  <c r="DO39" i="25"/>
  <c r="DP39" i="25" s="1"/>
  <c r="DQ39" i="25" s="1"/>
  <c r="DR39" i="25" s="1"/>
  <c r="DO141" i="25"/>
  <c r="DP141" i="25" s="1"/>
  <c r="DQ141" i="25" s="1"/>
  <c r="DR141" i="25" s="1"/>
  <c r="DO17" i="25"/>
  <c r="DP17" i="25" s="1"/>
  <c r="DQ17" i="25" s="1"/>
  <c r="DR17" i="25" s="1"/>
  <c r="DD150" i="25"/>
  <c r="DC150" i="25" s="1"/>
  <c r="DJ150" i="25" s="1"/>
  <c r="DO110" i="25"/>
  <c r="DP110" i="25" s="1"/>
  <c r="DQ110" i="25" s="1"/>
  <c r="DR110" i="25" s="1"/>
  <c r="DO102" i="25"/>
  <c r="DP102" i="25" s="1"/>
  <c r="DQ102" i="25" s="1"/>
  <c r="DR102" i="25" s="1"/>
  <c r="DO140" i="25"/>
  <c r="DP140" i="25" s="1"/>
  <c r="DQ140" i="25" s="1"/>
  <c r="DR140" i="25" s="1"/>
  <c r="DD182" i="25"/>
  <c r="DC182" i="25" s="1"/>
  <c r="DJ182" i="25" s="1"/>
  <c r="DW183" i="25"/>
  <c r="ED134" i="25"/>
  <c r="DH128" i="25"/>
  <c r="DI128" i="25" s="1"/>
  <c r="DD148" i="25"/>
  <c r="DC148" i="25" s="1"/>
  <c r="DJ148" i="25" s="1"/>
  <c r="CO32" i="25"/>
  <c r="CQ32" i="25" s="1"/>
  <c r="CR32" i="25" s="1"/>
  <c r="CV32" i="25" s="1"/>
  <c r="CW32" i="25" s="1"/>
  <c r="CZ32" i="25" s="1"/>
  <c r="CP28" i="25"/>
  <c r="CG33" i="25"/>
  <c r="CG14" i="25"/>
  <c r="EC53" i="25"/>
  <c r="EC123" i="25"/>
  <c r="EC27" i="25"/>
  <c r="DO52" i="25"/>
  <c r="DP52" i="25" s="1"/>
  <c r="DQ52" i="25" s="1"/>
  <c r="DR52" i="25" s="1"/>
  <c r="DO153" i="25"/>
  <c r="DP153" i="25" s="1"/>
  <c r="DQ153" i="25" s="1"/>
  <c r="DR153" i="25" s="1"/>
  <c r="DO145" i="25"/>
  <c r="DP145" i="25" s="1"/>
  <c r="DQ145" i="25" s="1"/>
  <c r="DR145" i="25" s="1"/>
  <c r="DO135" i="25"/>
  <c r="DP135" i="25" s="1"/>
  <c r="DQ135" i="25" s="1"/>
  <c r="DR135" i="25" s="1"/>
  <c r="DO120" i="25"/>
  <c r="DP120" i="25" s="1"/>
  <c r="DQ120" i="25" s="1"/>
  <c r="DR120" i="25" s="1"/>
  <c r="DO176" i="25"/>
  <c r="DP176" i="25" s="1"/>
  <c r="DQ176" i="25" s="1"/>
  <c r="DR176" i="25" s="1"/>
  <c r="DO65" i="25"/>
  <c r="DP65" i="25" s="1"/>
  <c r="DQ65" i="25" s="1"/>
  <c r="DR65" i="25" s="1"/>
  <c r="DO174" i="25"/>
  <c r="DP174" i="25" s="1"/>
  <c r="DQ174" i="25" s="1"/>
  <c r="DR174" i="25" s="1"/>
  <c r="DO196" i="25"/>
  <c r="DP196" i="25" s="1"/>
  <c r="DQ196" i="25" s="1"/>
  <c r="DR196" i="25" s="1"/>
  <c r="DO200" i="25"/>
  <c r="DP200" i="25" s="1"/>
  <c r="DQ200" i="25" s="1"/>
  <c r="DR200" i="25" s="1"/>
  <c r="DO191" i="25"/>
  <c r="DP191" i="25" s="1"/>
  <c r="DQ191" i="25" s="1"/>
  <c r="DR191" i="25" s="1"/>
  <c r="DO138" i="25"/>
  <c r="DP138" i="25" s="1"/>
  <c r="DQ138" i="25" s="1"/>
  <c r="DR138" i="25" s="1"/>
  <c r="DO169" i="25"/>
  <c r="DP169" i="25" s="1"/>
  <c r="DQ169" i="25" s="1"/>
  <c r="DR169" i="25" s="1"/>
  <c r="DO55" i="25"/>
  <c r="DP55" i="25" s="1"/>
  <c r="DQ55" i="25" s="1"/>
  <c r="DR55" i="25" s="1"/>
  <c r="DO126" i="25"/>
  <c r="DP126" i="25" s="1"/>
  <c r="DY134" i="25"/>
  <c r="CP149" i="25"/>
  <c r="EC185" i="25"/>
  <c r="EC200" i="25"/>
  <c r="DO24" i="25"/>
  <c r="DP24" i="25" s="1"/>
  <c r="DQ24" i="25" s="1"/>
  <c r="DR24" i="25" s="1"/>
  <c r="DO128" i="25"/>
  <c r="DP128" i="25" s="1"/>
  <c r="DQ128" i="25" s="1"/>
  <c r="DR128" i="25" s="1"/>
  <c r="DO108" i="25"/>
  <c r="DP108" i="25" s="1"/>
  <c r="DQ108" i="25" s="1"/>
  <c r="DR108" i="25" s="1"/>
  <c r="DO144" i="25"/>
  <c r="DP144" i="25" s="1"/>
  <c r="DQ144" i="25" s="1"/>
  <c r="DR144" i="25" s="1"/>
  <c r="DO106" i="25"/>
  <c r="DP106" i="25" s="1"/>
  <c r="DQ106" i="25" s="1"/>
  <c r="DR106" i="25" s="1"/>
  <c r="DO22" i="25"/>
  <c r="DP22" i="25" s="1"/>
  <c r="DQ22" i="25" s="1"/>
  <c r="DR22" i="25" s="1"/>
  <c r="DO159" i="25"/>
  <c r="DP159" i="25" s="1"/>
  <c r="DQ159" i="25" s="1"/>
  <c r="DR159" i="25" s="1"/>
  <c r="DO9" i="25"/>
  <c r="DP9" i="25" s="1"/>
  <c r="DQ9" i="25" s="1"/>
  <c r="DR9" i="25" s="1"/>
  <c r="DY33" i="25"/>
  <c r="DD14" i="25"/>
  <c r="DC14" i="25" s="1"/>
  <c r="DJ14" i="25" s="1"/>
  <c r="EC152" i="25"/>
  <c r="EC157" i="25"/>
  <c r="EC116" i="25"/>
  <c r="EC122" i="25"/>
  <c r="EC97" i="25"/>
  <c r="EC89" i="25"/>
  <c r="EC7" i="25"/>
  <c r="EC198" i="25"/>
  <c r="EC117" i="25"/>
  <c r="EC33" i="25"/>
  <c r="EC64" i="25"/>
  <c r="EC62" i="25"/>
  <c r="EC107" i="25"/>
  <c r="EC21" i="25"/>
  <c r="EC16" i="25"/>
  <c r="EC13" i="25"/>
  <c r="EC168" i="25"/>
  <c r="EC163" i="25"/>
  <c r="EC187" i="25"/>
  <c r="DD127" i="25"/>
  <c r="DC127" i="25" s="1"/>
  <c r="DJ127" i="25" s="1"/>
  <c r="CG136" i="25"/>
  <c r="CG197" i="25"/>
  <c r="DW128" i="25"/>
  <c r="EC34" i="25"/>
  <c r="EC191" i="25"/>
  <c r="DO150" i="25"/>
  <c r="DP150" i="25" s="1"/>
  <c r="DQ150" i="25" s="1"/>
  <c r="DR150" i="25" s="1"/>
  <c r="DO124" i="25"/>
  <c r="DP124" i="25" s="1"/>
  <c r="DQ124" i="25" s="1"/>
  <c r="DR124" i="25" s="1"/>
  <c r="DO82" i="25"/>
  <c r="DP82" i="25" s="1"/>
  <c r="DQ82" i="25" s="1"/>
  <c r="DR82" i="25" s="1"/>
  <c r="DO96" i="25"/>
  <c r="DP96" i="25" s="1"/>
  <c r="DQ96" i="25" s="1"/>
  <c r="DR96" i="25" s="1"/>
  <c r="DO92" i="25"/>
  <c r="DP92" i="25" s="1"/>
  <c r="DQ92" i="25" s="1"/>
  <c r="DR92" i="25" s="1"/>
  <c r="DO182" i="25"/>
  <c r="DP182" i="25" s="1"/>
  <c r="DQ182" i="25" s="1"/>
  <c r="DR182" i="25" s="1"/>
  <c r="DO47" i="25"/>
  <c r="DP47" i="25" s="1"/>
  <c r="DQ47" i="25" s="1"/>
  <c r="DR47" i="25" s="1"/>
  <c r="DO29" i="25"/>
  <c r="DP29" i="25" s="1"/>
  <c r="DQ29" i="25" s="1"/>
  <c r="DR29" i="25" s="1"/>
  <c r="DO45" i="25"/>
  <c r="DP45" i="25" s="1"/>
  <c r="DQ45" i="25" s="1"/>
  <c r="DR45" i="25" s="1"/>
  <c r="DO73" i="25"/>
  <c r="DP73" i="25" s="1"/>
  <c r="DQ73" i="25" s="1"/>
  <c r="DR73" i="25" s="1"/>
  <c r="ED130" i="25"/>
  <c r="DH14" i="25"/>
  <c r="DI14" i="25" s="1"/>
  <c r="DO57" i="25"/>
  <c r="DP57" i="25" s="1"/>
  <c r="DQ57" i="25" s="1"/>
  <c r="DR57" i="25" s="1"/>
  <c r="DW150" i="25"/>
  <c r="DW38" i="25"/>
  <c r="ED28" i="25"/>
  <c r="EC154" i="25"/>
  <c r="EC92" i="25"/>
  <c r="EC46" i="25"/>
  <c r="DO113" i="25"/>
  <c r="DP113" i="25" s="1"/>
  <c r="DQ113" i="25" s="1"/>
  <c r="DR113" i="25" s="1"/>
  <c r="DO83" i="25"/>
  <c r="DP83" i="25" s="1"/>
  <c r="DQ83" i="25" s="1"/>
  <c r="DR83" i="25" s="1"/>
  <c r="DO121" i="25"/>
  <c r="DP121" i="25" s="1"/>
  <c r="DQ121" i="25" s="1"/>
  <c r="DR121" i="25" s="1"/>
  <c r="DO60" i="25"/>
  <c r="DP60" i="25" s="1"/>
  <c r="DQ60" i="25" s="1"/>
  <c r="DR60" i="25" s="1"/>
  <c r="DO19" i="25"/>
  <c r="DP19" i="25" s="1"/>
  <c r="DQ19" i="25" s="1"/>
  <c r="DR19" i="25" s="1"/>
  <c r="DO188" i="25"/>
  <c r="DP188" i="25" s="1"/>
  <c r="DQ188" i="25" s="1"/>
  <c r="DR188" i="25" s="1"/>
  <c r="ED24" i="25"/>
  <c r="ED150" i="25"/>
  <c r="EC145" i="25"/>
  <c r="DO37" i="25"/>
  <c r="DP37" i="25" s="1"/>
  <c r="DQ37" i="25" s="1"/>
  <c r="DR37" i="25" s="1"/>
  <c r="DO134" i="25"/>
  <c r="DP134" i="25" s="1"/>
  <c r="DQ134" i="25" s="1"/>
  <c r="DR134" i="25" s="1"/>
  <c r="DO49" i="25"/>
  <c r="DP49" i="25" s="1"/>
  <c r="DQ49" i="25" s="1"/>
  <c r="DR49" i="25" s="1"/>
  <c r="DO71" i="25"/>
  <c r="DP71" i="25" s="1"/>
  <c r="DQ71" i="25" s="1"/>
  <c r="DR71" i="25" s="1"/>
  <c r="DO41" i="25"/>
  <c r="DP41" i="25" s="1"/>
  <c r="DQ41" i="25" s="1"/>
  <c r="DR41" i="25" s="1"/>
  <c r="DO161" i="25"/>
  <c r="DP161" i="25" s="1"/>
  <c r="DQ161" i="25" s="1"/>
  <c r="DR161" i="25" s="1"/>
  <c r="DD108" i="25"/>
  <c r="DC108" i="25" s="1"/>
  <c r="DJ108" i="25" s="1"/>
  <c r="DE52" i="25"/>
  <c r="DD52" i="25"/>
  <c r="DC52" i="25" s="1"/>
  <c r="DJ52" i="25" s="1"/>
  <c r="DH52" i="25"/>
  <c r="DI52" i="25" s="1"/>
  <c r="DD107" i="25"/>
  <c r="DC107" i="25" s="1"/>
  <c r="DJ107" i="25" s="1"/>
  <c r="DH107" i="25"/>
  <c r="DI107" i="25" s="1"/>
  <c r="DE75" i="25"/>
  <c r="DE163" i="25"/>
  <c r="DE21" i="25"/>
  <c r="DH127" i="25"/>
  <c r="DI127" i="25" s="1"/>
  <c r="DE108" i="25"/>
  <c r="DE88" i="25"/>
  <c r="DD42" i="25"/>
  <c r="DC42" i="25" s="1"/>
  <c r="DJ42" i="25" s="1"/>
  <c r="DH42" i="25"/>
  <c r="DI42" i="25" s="1"/>
  <c r="DE42" i="25"/>
  <c r="DE176" i="25"/>
  <c r="DD176" i="25"/>
  <c r="DC176" i="25" s="1"/>
  <c r="DJ176" i="25" s="1"/>
  <c r="DH168" i="25"/>
  <c r="DI168" i="25" s="1"/>
  <c r="DE168" i="25"/>
  <c r="DD168" i="25"/>
  <c r="DC168" i="25" s="1"/>
  <c r="DJ168" i="25" s="1"/>
  <c r="DH159" i="25"/>
  <c r="DI159" i="25" s="1"/>
  <c r="DD114" i="25"/>
  <c r="DC114" i="25" s="1"/>
  <c r="DJ114" i="25" s="1"/>
  <c r="DH114" i="25"/>
  <c r="DI114" i="25" s="1"/>
  <c r="DH121" i="25"/>
  <c r="DI121" i="25" s="1"/>
  <c r="DD121" i="25"/>
  <c r="DC121" i="25" s="1"/>
  <c r="DJ121" i="25" s="1"/>
  <c r="DE65" i="25"/>
  <c r="DH105" i="25"/>
  <c r="DI105" i="25" s="1"/>
  <c r="DD105" i="25"/>
  <c r="DC105" i="25" s="1"/>
  <c r="DJ105" i="25" s="1"/>
  <c r="DH16" i="25"/>
  <c r="DI16" i="25" s="1"/>
  <c r="DD16" i="25"/>
  <c r="DC16" i="25" s="1"/>
  <c r="DJ16" i="25" s="1"/>
  <c r="DE95" i="25"/>
  <c r="DH95" i="25"/>
  <c r="DI95" i="25" s="1"/>
  <c r="DD13" i="25"/>
  <c r="DC13" i="25" s="1"/>
  <c r="DJ13" i="25" s="1"/>
  <c r="DH13" i="25"/>
  <c r="DI13" i="25" s="1"/>
  <c r="DE105" i="25"/>
  <c r="DD95" i="25"/>
  <c r="DC95" i="25" s="1"/>
  <c r="DJ95" i="25" s="1"/>
  <c r="DH65" i="25"/>
  <c r="DI65" i="25" s="1"/>
  <c r="DH163" i="25"/>
  <c r="DI163" i="25" s="1"/>
  <c r="DE16" i="25"/>
  <c r="DE107" i="25"/>
  <c r="CP27" i="25"/>
  <c r="CO27" i="25"/>
  <c r="CQ27" i="25" s="1"/>
  <c r="CR27" i="25" s="1"/>
  <c r="CV27" i="25" s="1"/>
  <c r="CW27" i="25" s="1"/>
  <c r="CZ27" i="25" s="1"/>
  <c r="CO26" i="25"/>
  <c r="CQ26" i="25" s="1"/>
  <c r="CR26" i="25" s="1"/>
  <c r="CV26" i="25" s="1"/>
  <c r="CW26" i="25" s="1"/>
  <c r="CZ26" i="25" s="1"/>
  <c r="CP26" i="25"/>
  <c r="DY24" i="25"/>
  <c r="DW24" i="25"/>
  <c r="DW125" i="25"/>
  <c r="DY125" i="25"/>
  <c r="CO158" i="25"/>
  <c r="CQ158" i="25" s="1"/>
  <c r="CR158" i="25" s="1"/>
  <c r="CV158" i="25" s="1"/>
  <c r="CW158" i="25" s="1"/>
  <c r="CZ158" i="25" s="1"/>
  <c r="CP158" i="25"/>
  <c r="CP153" i="25"/>
  <c r="CO153" i="25"/>
  <c r="CQ153" i="25" s="1"/>
  <c r="CR153" i="25" s="1"/>
  <c r="CV153" i="25" s="1"/>
  <c r="CW153" i="25" s="1"/>
  <c r="CZ153" i="25" s="1"/>
  <c r="DH24" i="25"/>
  <c r="DI24" i="25" s="1"/>
  <c r="DE24" i="25"/>
  <c r="DD24" i="25"/>
  <c r="DC24" i="25" s="1"/>
  <c r="DJ24" i="25" s="1"/>
  <c r="DW151" i="25"/>
  <c r="DY151" i="25"/>
  <c r="DS32" i="25"/>
  <c r="EC38" i="25"/>
  <c r="EC50" i="25"/>
  <c r="EC105" i="25"/>
  <c r="EC75" i="25"/>
  <c r="EC129" i="25"/>
  <c r="DE151" i="25"/>
  <c r="DD151" i="25"/>
  <c r="DC151" i="25" s="1"/>
  <c r="DJ151" i="25" s="1"/>
  <c r="DH151" i="25"/>
  <c r="DI151" i="25" s="1"/>
  <c r="DW149" i="25"/>
  <c r="DY149" i="25"/>
  <c r="DE125" i="25"/>
  <c r="DH125" i="25"/>
  <c r="DI125" i="25" s="1"/>
  <c r="DH152" i="25"/>
  <c r="DI152" i="25" s="1"/>
  <c r="DE152" i="25"/>
  <c r="DD152" i="25"/>
  <c r="DC152" i="25" s="1"/>
  <c r="DJ152" i="25" s="1"/>
  <c r="CO149" i="25"/>
  <c r="CQ149" i="25" s="1"/>
  <c r="CR149" i="25" s="1"/>
  <c r="CV149" i="25" s="1"/>
  <c r="CW149" i="25" s="1"/>
  <c r="CZ149" i="25" s="1"/>
  <c r="DH33" i="25"/>
  <c r="DI33" i="25" s="1"/>
  <c r="DE33" i="25"/>
  <c r="DD33" i="25"/>
  <c r="DC33" i="25" s="1"/>
  <c r="DJ33" i="25" s="1"/>
  <c r="ED133" i="25"/>
  <c r="ED14" i="25"/>
  <c r="ED32" i="25"/>
  <c r="DO93" i="25"/>
  <c r="DP93" i="25" s="1"/>
  <c r="DQ93" i="25" s="1"/>
  <c r="DR93" i="25" s="1"/>
  <c r="DO183" i="25"/>
  <c r="DP183" i="25" s="1"/>
  <c r="DQ183" i="25" s="1"/>
  <c r="DR183" i="25" s="1"/>
  <c r="DO177" i="25"/>
  <c r="DP177" i="25" s="1"/>
  <c r="DQ177" i="25" s="1"/>
  <c r="DR177" i="25" s="1"/>
  <c r="DO28" i="25"/>
  <c r="DP28" i="25" s="1"/>
  <c r="DQ28" i="25" s="1"/>
  <c r="DR28" i="25" s="1"/>
  <c r="DO61" i="25"/>
  <c r="DP61" i="25" s="1"/>
  <c r="DQ61" i="25" s="1"/>
  <c r="DR61" i="25" s="1"/>
  <c r="DO18" i="25"/>
  <c r="DP18" i="25" s="1"/>
  <c r="DQ18" i="25" s="1"/>
  <c r="DR18" i="25" s="1"/>
  <c r="DO132" i="25"/>
  <c r="DP132" i="25" s="1"/>
  <c r="DQ132" i="25" s="1"/>
  <c r="DR132" i="25" s="1"/>
  <c r="DO166" i="25"/>
  <c r="DP166" i="25" s="1"/>
  <c r="DQ166" i="25" s="1"/>
  <c r="DR166" i="25" s="1"/>
  <c r="CO145" i="25"/>
  <c r="CQ145" i="25" s="1"/>
  <c r="CP136" i="25"/>
  <c r="CO197" i="25"/>
  <c r="CQ197" i="25" s="1"/>
  <c r="CR197" i="25" s="1"/>
  <c r="CG134" i="25"/>
  <c r="CG125" i="25"/>
  <c r="DE158" i="25"/>
  <c r="CO151" i="25"/>
  <c r="CQ151" i="25" s="1"/>
  <c r="CO152" i="25"/>
  <c r="CQ152" i="25" s="1"/>
  <c r="CR152" i="25" s="1"/>
  <c r="CV152" i="25" s="1"/>
  <c r="CW152" i="25" s="1"/>
  <c r="CZ152" i="25" s="1"/>
  <c r="CO157" i="25"/>
  <c r="CQ157" i="25" s="1"/>
  <c r="CO154" i="25"/>
  <c r="CQ154" i="25" s="1"/>
  <c r="CU154" i="25" s="1"/>
  <c r="CX154" i="25" s="1"/>
  <c r="CY154" i="25" s="1"/>
  <c r="CO148" i="25"/>
  <c r="CQ148" i="25" s="1"/>
  <c r="CU148" i="25" s="1"/>
  <c r="CX148" i="25" s="1"/>
  <c r="CY148" i="25" s="1"/>
  <c r="CP128" i="25"/>
  <c r="EC58" i="25"/>
  <c r="EC76" i="25"/>
  <c r="EC172" i="25"/>
  <c r="EC169" i="25"/>
  <c r="EC164" i="25"/>
  <c r="EC159" i="25"/>
  <c r="EC77" i="25"/>
  <c r="DO130" i="25"/>
  <c r="DP130" i="25" s="1"/>
  <c r="DQ130" i="25" s="1"/>
  <c r="DR130" i="25" s="1"/>
  <c r="DO112" i="25"/>
  <c r="DP112" i="25" s="1"/>
  <c r="DQ112" i="25" s="1"/>
  <c r="DR112" i="25" s="1"/>
  <c r="DO85" i="25"/>
  <c r="DP85" i="25" s="1"/>
  <c r="DQ85" i="25" s="1"/>
  <c r="DR85" i="25" s="1"/>
  <c r="DO184" i="25"/>
  <c r="DP184" i="25" s="1"/>
  <c r="DQ184" i="25" s="1"/>
  <c r="DR184" i="25" s="1"/>
  <c r="DO70" i="25"/>
  <c r="DP70" i="25" s="1"/>
  <c r="DQ70" i="25" s="1"/>
  <c r="DR70" i="25" s="1"/>
  <c r="DO178" i="25"/>
  <c r="DP178" i="25" s="1"/>
  <c r="DQ178" i="25" s="1"/>
  <c r="DR178" i="25" s="1"/>
  <c r="DO25" i="25"/>
  <c r="DP25" i="25" s="1"/>
  <c r="DQ25" i="25" s="1"/>
  <c r="DR25" i="25" s="1"/>
  <c r="DO23" i="25"/>
  <c r="DP23" i="25" s="1"/>
  <c r="DQ23" i="25" s="1"/>
  <c r="DR23" i="25" s="1"/>
  <c r="DO59" i="25"/>
  <c r="DP59" i="25" s="1"/>
  <c r="DQ59" i="25" s="1"/>
  <c r="DR59" i="25" s="1"/>
  <c r="DO172" i="25"/>
  <c r="DP172" i="25" s="1"/>
  <c r="DQ172" i="25" s="1"/>
  <c r="DR172" i="25" s="1"/>
  <c r="DO162" i="25"/>
  <c r="DP162" i="25" s="1"/>
  <c r="DQ162" i="25" s="1"/>
  <c r="DR162" i="25" s="1"/>
  <c r="DO77" i="25"/>
  <c r="DP77" i="25" s="1"/>
  <c r="DQ77" i="25" s="1"/>
  <c r="DR77" i="25" s="1"/>
  <c r="DO15" i="25"/>
  <c r="DP15" i="25" s="1"/>
  <c r="DQ15" i="25" s="1"/>
  <c r="DR15" i="25" s="1"/>
  <c r="DO202" i="25"/>
  <c r="DP202" i="25" s="1"/>
  <c r="DQ202" i="25" s="1"/>
  <c r="DR202" i="25" s="1"/>
  <c r="DO160" i="25"/>
  <c r="DP160" i="25" s="1"/>
  <c r="DQ160" i="25" s="1"/>
  <c r="DR160" i="25" s="1"/>
  <c r="DO149" i="25"/>
  <c r="DP149" i="25" s="1"/>
  <c r="DQ149" i="25" s="1"/>
  <c r="DR149" i="25" s="1"/>
  <c r="DO158" i="25"/>
  <c r="DP158" i="25" s="1"/>
  <c r="DQ158" i="25" s="1"/>
  <c r="DR158" i="25" s="1"/>
  <c r="DO114" i="25"/>
  <c r="DP114" i="25" s="1"/>
  <c r="DQ114" i="25" s="1"/>
  <c r="DR114" i="25" s="1"/>
  <c r="DO123" i="25"/>
  <c r="DP123" i="25" s="1"/>
  <c r="DQ123" i="25" s="1"/>
  <c r="DR123" i="25" s="1"/>
  <c r="DO81" i="25"/>
  <c r="DP81" i="25" s="1"/>
  <c r="DQ81" i="25" s="1"/>
  <c r="DR81" i="25" s="1"/>
  <c r="DO98" i="25"/>
  <c r="DP98" i="25" s="1"/>
  <c r="DQ98" i="25" s="1"/>
  <c r="DR98" i="25" s="1"/>
  <c r="DO181" i="25"/>
  <c r="DP181" i="25" s="1"/>
  <c r="DQ181" i="25" s="1"/>
  <c r="DR181" i="25" s="1"/>
  <c r="DO40" i="25"/>
  <c r="DP40" i="25" s="1"/>
  <c r="DQ40" i="25" s="1"/>
  <c r="DR40" i="25" s="1"/>
  <c r="DO30" i="25"/>
  <c r="DP30" i="25" s="1"/>
  <c r="DQ30" i="25" s="1"/>
  <c r="DR30" i="25" s="1"/>
  <c r="DO193" i="25"/>
  <c r="DP193" i="25" s="1"/>
  <c r="DQ193" i="25" s="1"/>
  <c r="DR193" i="25" s="1"/>
  <c r="CO28" i="25"/>
  <c r="CQ28" i="25" s="1"/>
  <c r="CP33" i="25"/>
  <c r="CP14" i="25"/>
  <c r="CO24" i="25"/>
  <c r="CQ24" i="25" s="1"/>
  <c r="CU24" i="25" s="1"/>
  <c r="CX24" i="25" s="1"/>
  <c r="CY24" i="25" s="1"/>
  <c r="ED26" i="25"/>
  <c r="DO78" i="25"/>
  <c r="DP78" i="25" s="1"/>
  <c r="DQ78" i="25" s="1"/>
  <c r="DR78" i="25" s="1"/>
  <c r="CP24" i="25"/>
  <c r="ED38" i="25"/>
  <c r="ED152" i="25"/>
  <c r="ED157" i="25"/>
  <c r="ED33" i="25"/>
  <c r="DO53" i="25"/>
  <c r="DP53" i="25" s="1"/>
  <c r="DQ53" i="25" s="1"/>
  <c r="DR53" i="25" s="1"/>
  <c r="DO154" i="25"/>
  <c r="DP154" i="25" s="1"/>
  <c r="DQ154" i="25" s="1"/>
  <c r="DR154" i="25" s="1"/>
  <c r="DO109" i="25"/>
  <c r="DP109" i="25" s="1"/>
  <c r="DQ109" i="25" s="1"/>
  <c r="DR109" i="25" s="1"/>
  <c r="DO90" i="25"/>
  <c r="DP90" i="25" s="1"/>
  <c r="DQ90" i="25" s="1"/>
  <c r="DR90" i="25" s="1"/>
  <c r="DO155" i="25"/>
  <c r="DP155" i="25" s="1"/>
  <c r="DQ155" i="25" s="1"/>
  <c r="DR155" i="25" s="1"/>
  <c r="DO179" i="25"/>
  <c r="DP179" i="25" s="1"/>
  <c r="DQ179" i="25" s="1"/>
  <c r="DR179" i="25" s="1"/>
  <c r="DO32" i="25"/>
  <c r="DP32" i="25" s="1"/>
  <c r="DQ32" i="25" s="1"/>
  <c r="DR32" i="25" s="1"/>
  <c r="DO26" i="25"/>
  <c r="DP26" i="25" s="1"/>
  <c r="DQ26" i="25" s="1"/>
  <c r="DR26" i="25" s="1"/>
  <c r="DO104" i="25"/>
  <c r="DP104" i="25" s="1"/>
  <c r="DQ104" i="25" s="1"/>
  <c r="DR104" i="25" s="1"/>
  <c r="DO58" i="25"/>
  <c r="DP58" i="25" s="1"/>
  <c r="DQ58" i="25" s="1"/>
  <c r="DR58" i="25" s="1"/>
  <c r="DO171" i="25"/>
  <c r="DP171" i="25" s="1"/>
  <c r="DQ171" i="25" s="1"/>
  <c r="DR171" i="25" s="1"/>
  <c r="DO164" i="25"/>
  <c r="DP164" i="25" s="1"/>
  <c r="DQ164" i="25" s="1"/>
  <c r="DR164" i="25" s="1"/>
  <c r="DD125" i="25"/>
  <c r="DC125" i="25" s="1"/>
  <c r="DJ125" i="25" s="1"/>
  <c r="DS145" i="25"/>
  <c r="DW136" i="25"/>
  <c r="DY136" i="25"/>
  <c r="CT197" i="25"/>
  <c r="CO134" i="25"/>
  <c r="CQ134" i="25" s="1"/>
  <c r="CP134" i="25"/>
  <c r="CO136" i="25"/>
  <c r="CQ136" i="25" s="1"/>
  <c r="CP197" i="25"/>
  <c r="DE134" i="25"/>
  <c r="DD134" i="25"/>
  <c r="DC134" i="25" s="1"/>
  <c r="DJ134" i="25" s="1"/>
  <c r="DS134" i="25"/>
  <c r="CP145" i="25"/>
  <c r="DH136" i="25"/>
  <c r="DI136" i="25" s="1"/>
  <c r="DE136" i="25"/>
  <c r="DD136" i="25"/>
  <c r="DC136" i="25" s="1"/>
  <c r="DJ136" i="25" s="1"/>
  <c r="CO125" i="25"/>
  <c r="CQ125" i="25" s="1"/>
  <c r="CP125" i="25"/>
  <c r="CG145" i="25"/>
  <c r="DH145" i="25"/>
  <c r="DI145" i="25" s="1"/>
  <c r="DD145" i="25"/>
  <c r="DC145" i="25" s="1"/>
  <c r="DJ145" i="25" s="1"/>
  <c r="DS197" i="25"/>
  <c r="CP152" i="25"/>
  <c r="CO128" i="25"/>
  <c r="CQ128" i="25" s="1"/>
  <c r="DO89" i="25"/>
  <c r="DP89" i="25" s="1"/>
  <c r="DQ89" i="25" s="1"/>
  <c r="DR89" i="25" s="1"/>
  <c r="DO198" i="25"/>
  <c r="DP198" i="25" s="1"/>
  <c r="DQ198" i="25" s="1"/>
  <c r="DR198" i="25" s="1"/>
  <c r="DO62" i="25"/>
  <c r="DP62" i="25" s="1"/>
  <c r="DQ62" i="25" s="1"/>
  <c r="DR62" i="25" s="1"/>
  <c r="DO16" i="25"/>
  <c r="DP16" i="25" s="1"/>
  <c r="DQ16" i="25" s="1"/>
  <c r="DR16" i="25" s="1"/>
  <c r="DO163" i="25"/>
  <c r="DP163" i="25" s="1"/>
  <c r="DQ163" i="25" s="1"/>
  <c r="DR163" i="25" s="1"/>
  <c r="DO152" i="25"/>
  <c r="DP152" i="25" s="1"/>
  <c r="DQ152" i="25" s="1"/>
  <c r="DR152" i="25" s="1"/>
  <c r="DO7" i="25"/>
  <c r="DP7" i="25" s="1"/>
  <c r="DQ7" i="25" s="1"/>
  <c r="DR7" i="25" s="1"/>
  <c r="DO117" i="25"/>
  <c r="DP117" i="25" s="1"/>
  <c r="DQ117" i="25" s="1"/>
  <c r="DR117" i="25" s="1"/>
  <c r="DO107" i="25"/>
  <c r="DP107" i="25" s="1"/>
  <c r="DQ107" i="25" s="1"/>
  <c r="DR107" i="25" s="1"/>
  <c r="DO75" i="25"/>
  <c r="DP75" i="25" s="1"/>
  <c r="DQ75" i="25" s="1"/>
  <c r="DR75" i="25" s="1"/>
  <c r="DO129" i="25"/>
  <c r="DP129" i="25" s="1"/>
  <c r="DH157" i="25"/>
  <c r="DI157" i="25" s="1"/>
  <c r="CP154" i="25"/>
  <c r="CO38" i="25"/>
  <c r="CQ38" i="25" s="1"/>
  <c r="CR38" i="25" s="1"/>
  <c r="CP38" i="25"/>
  <c r="EC135" i="25"/>
  <c r="EC143" i="25"/>
  <c r="DD157" i="25"/>
  <c r="DC157" i="25" s="1"/>
  <c r="DJ157" i="25" s="1"/>
  <c r="CT38" i="25"/>
  <c r="EC110" i="25"/>
  <c r="EC178" i="25"/>
  <c r="DO122" i="25"/>
  <c r="DP122" i="25" s="1"/>
  <c r="DQ122" i="25" s="1"/>
  <c r="DR122" i="25" s="1"/>
  <c r="DO50" i="25"/>
  <c r="DP50" i="25" s="1"/>
  <c r="DQ50" i="25" s="1"/>
  <c r="DR50" i="25" s="1"/>
  <c r="DO33" i="25"/>
  <c r="DP33" i="25" s="1"/>
  <c r="DQ33" i="25" s="1"/>
  <c r="DR33" i="25" s="1"/>
  <c r="DO105" i="25"/>
  <c r="DP105" i="25" s="1"/>
  <c r="DQ105" i="25" s="1"/>
  <c r="DR105" i="25" s="1"/>
  <c r="EC181" i="25"/>
  <c r="EC60" i="25"/>
  <c r="CO150" i="25"/>
  <c r="CQ150" i="25" s="1"/>
  <c r="CP150" i="25"/>
  <c r="EC90" i="25"/>
  <c r="EC26" i="25"/>
  <c r="DO38" i="25"/>
  <c r="DP38" i="25" s="1"/>
  <c r="DQ38" i="25" s="1"/>
  <c r="DR38" i="25" s="1"/>
  <c r="DO157" i="25"/>
  <c r="DP157" i="25" s="1"/>
  <c r="DQ157" i="25" s="1"/>
  <c r="DR157" i="25" s="1"/>
  <c r="DO97" i="25"/>
  <c r="DP97" i="25" s="1"/>
  <c r="DQ97" i="25" s="1"/>
  <c r="DR97" i="25" s="1"/>
  <c r="DO64" i="25"/>
  <c r="DP64" i="25" s="1"/>
  <c r="DQ64" i="25" s="1"/>
  <c r="DR64" i="25" s="1"/>
  <c r="DO21" i="25"/>
  <c r="DP21" i="25" s="1"/>
  <c r="DQ21" i="25" s="1"/>
  <c r="DR21" i="25" s="1"/>
  <c r="J56" i="92"/>
  <c r="G133" i="92"/>
  <c r="M240" i="92"/>
  <c r="M221" i="92"/>
  <c r="I224" i="92"/>
  <c r="I223" i="92"/>
  <c r="I222" i="92"/>
  <c r="I221" i="92"/>
  <c r="D222" i="92"/>
  <c r="D221" i="92"/>
  <c r="G132" i="92"/>
  <c r="I241" i="92"/>
  <c r="I240" i="92"/>
  <c r="D134" i="92"/>
  <c r="M241" i="92"/>
  <c r="K54" i="92"/>
  <c r="O129" i="92"/>
  <c r="E193" i="89"/>
  <c r="F193" i="89" s="1"/>
  <c r="G81" i="89"/>
  <c r="E175" i="89" s="1"/>
  <c r="G43" i="89"/>
  <c r="E177" i="89" s="1"/>
  <c r="S39" i="89"/>
  <c r="AG39" i="89"/>
  <c r="X39" i="89"/>
  <c r="AH39" i="89"/>
  <c r="U39" i="89"/>
  <c r="P39" i="89"/>
  <c r="Q39" i="89" s="1"/>
  <c r="T39" i="89"/>
  <c r="R39" i="89"/>
  <c r="W39" i="89"/>
  <c r="E194" i="89"/>
  <c r="F194" i="89" s="1"/>
  <c r="G62" i="89"/>
  <c r="E176" i="89" s="1"/>
  <c r="T58" i="89"/>
  <c r="P58" i="89"/>
  <c r="Q58" i="89" s="1"/>
  <c r="S58" i="89"/>
  <c r="R58" i="89"/>
  <c r="W58" i="89"/>
  <c r="V58" i="89"/>
  <c r="U58" i="89"/>
  <c r="X58" i="89"/>
  <c r="G145" i="89"/>
  <c r="W77" i="89"/>
  <c r="V77" i="89"/>
  <c r="X77" i="89"/>
  <c r="U77" i="89"/>
  <c r="T77" i="89"/>
  <c r="P77" i="89"/>
  <c r="Q77" i="89" s="1"/>
  <c r="S77" i="89"/>
  <c r="R77" i="89"/>
  <c r="G164" i="89"/>
  <c r="U96" i="89"/>
  <c r="P96" i="89"/>
  <c r="Q96" i="89" s="1"/>
  <c r="T96" i="89"/>
  <c r="S96" i="89"/>
  <c r="R96" i="89"/>
  <c r="X96" i="89"/>
  <c r="W96" i="89"/>
  <c r="V96" i="89"/>
  <c r="W110" i="89"/>
  <c r="P110" i="89"/>
  <c r="Q110" i="89" s="1"/>
  <c r="X110" i="89"/>
  <c r="V110" i="89"/>
  <c r="U110" i="89"/>
  <c r="T110" i="89"/>
  <c r="S110" i="89"/>
  <c r="R110" i="89"/>
  <c r="E190" i="89"/>
  <c r="G126" i="89"/>
  <c r="E172" i="89" s="1"/>
  <c r="F172" i="89" s="1"/>
  <c r="G113" i="89"/>
  <c r="E173" i="89" s="1"/>
  <c r="G173" i="89" s="1"/>
  <c r="E191" i="89"/>
  <c r="G191" i="89" s="1"/>
  <c r="U123" i="89"/>
  <c r="P123" i="89"/>
  <c r="Q123" i="89" s="1"/>
  <c r="T123" i="89"/>
  <c r="S123" i="89"/>
  <c r="R123" i="89"/>
  <c r="X123" i="89"/>
  <c r="W123" i="89"/>
  <c r="V123" i="89"/>
  <c r="E174" i="89"/>
  <c r="E192" i="89"/>
  <c r="F192" i="89" s="1"/>
  <c r="W53" i="92"/>
  <c r="Y53" i="92" s="1"/>
  <c r="I56" i="92"/>
  <c r="K53" i="92"/>
  <c r="O130" i="92"/>
  <c r="W141" i="89" l="1"/>
  <c r="X141" i="89"/>
  <c r="R141" i="89"/>
  <c r="U141" i="89"/>
  <c r="T141" i="89"/>
  <c r="S141" i="89"/>
  <c r="V141" i="89"/>
  <c r="AC177" i="89"/>
  <c r="AD177" i="89" s="1"/>
  <c r="V164" i="89"/>
  <c r="T164" i="89"/>
  <c r="R164" i="89"/>
  <c r="S164" i="89"/>
  <c r="X164" i="89"/>
  <c r="U164" i="89"/>
  <c r="W164" i="89"/>
  <c r="O145" i="89"/>
  <c r="P145" i="89" s="1"/>
  <c r="Q145" i="89" s="1"/>
  <c r="K145" i="89"/>
  <c r="CU139" i="25"/>
  <c r="CX139" i="25" s="1"/>
  <c r="CY139" i="25" s="1"/>
  <c r="AC176" i="89"/>
  <c r="AD176" i="89" s="1"/>
  <c r="AC174" i="89"/>
  <c r="AD174" i="89" s="1"/>
  <c r="AC175" i="89"/>
  <c r="AD175" i="89" s="1"/>
  <c r="X176" i="89"/>
  <c r="E195" i="89"/>
  <c r="F195" i="89" s="1"/>
  <c r="V30" i="89"/>
  <c r="V43" i="89" s="1"/>
  <c r="AC173" i="89"/>
  <c r="AE173" i="89" s="1"/>
  <c r="AC172" i="89"/>
  <c r="AD172" i="89" s="1"/>
  <c r="CU143" i="25"/>
  <c r="CX143" i="25" s="1"/>
  <c r="CY143" i="25" s="1"/>
  <c r="CU11" i="25"/>
  <c r="CX11" i="25" s="1"/>
  <c r="CY11" i="25" s="1"/>
  <c r="CR20" i="25"/>
  <c r="CV20" i="25" s="1"/>
  <c r="CW20" i="25" s="1"/>
  <c r="CZ20" i="25" s="1"/>
  <c r="CR55" i="25"/>
  <c r="CV55" i="25" s="1"/>
  <c r="CW55" i="25" s="1"/>
  <c r="CZ55" i="25" s="1"/>
  <c r="CU86" i="25"/>
  <c r="CX86" i="25" s="1"/>
  <c r="CY86" i="25" s="1"/>
  <c r="CR51" i="25"/>
  <c r="CV51" i="25" s="1"/>
  <c r="CW51" i="25" s="1"/>
  <c r="CZ51" i="25" s="1"/>
  <c r="CU200" i="25"/>
  <c r="CX200" i="25" s="1"/>
  <c r="CY200" i="25" s="1"/>
  <c r="CU118" i="25"/>
  <c r="CX118" i="25" s="1"/>
  <c r="CY118" i="25" s="1"/>
  <c r="CR170" i="25"/>
  <c r="CV170" i="25" s="1"/>
  <c r="CW170" i="25" s="1"/>
  <c r="CZ170" i="25" s="1"/>
  <c r="CR43" i="25"/>
  <c r="CV43" i="25" s="1"/>
  <c r="CW43" i="25" s="1"/>
  <c r="CZ43" i="25" s="1"/>
  <c r="CU23" i="25"/>
  <c r="CX23" i="25" s="1"/>
  <c r="CY23" i="25" s="1"/>
  <c r="CU172" i="25"/>
  <c r="CX172" i="25" s="1"/>
  <c r="CY172" i="25" s="1"/>
  <c r="CR201" i="25"/>
  <c r="CV201" i="25" s="1"/>
  <c r="CW201" i="25" s="1"/>
  <c r="CZ201" i="25" s="1"/>
  <c r="CR166" i="25"/>
  <c r="CV166" i="25" s="1"/>
  <c r="CW166" i="25" s="1"/>
  <c r="CZ166" i="25" s="1"/>
  <c r="CU189" i="25"/>
  <c r="CX189" i="25" s="1"/>
  <c r="CY189" i="25" s="1"/>
  <c r="CU34" i="25"/>
  <c r="CX34" i="25" s="1"/>
  <c r="CY34" i="25" s="1"/>
  <c r="CR104" i="25"/>
  <c r="CV104" i="25" s="1"/>
  <c r="CW104" i="25" s="1"/>
  <c r="CZ104" i="25" s="1"/>
  <c r="CU122" i="25"/>
  <c r="CX122" i="25" s="1"/>
  <c r="CY122" i="25" s="1"/>
  <c r="CR122" i="25"/>
  <c r="CV122" i="25" s="1"/>
  <c r="CW122" i="25" s="1"/>
  <c r="CZ122" i="25" s="1"/>
  <c r="CU181" i="25"/>
  <c r="CX181" i="25" s="1"/>
  <c r="CY181" i="25" s="1"/>
  <c r="CR181" i="25"/>
  <c r="CV181" i="25" s="1"/>
  <c r="CW181" i="25" s="1"/>
  <c r="CZ181" i="25" s="1"/>
  <c r="CR76" i="25"/>
  <c r="CV76" i="25" s="1"/>
  <c r="CW76" i="25" s="1"/>
  <c r="CZ76" i="25" s="1"/>
  <c r="CR70" i="25"/>
  <c r="CV70" i="25" s="1"/>
  <c r="CW70" i="25" s="1"/>
  <c r="CZ70" i="25" s="1"/>
  <c r="CU116" i="25"/>
  <c r="CX116" i="25" s="1"/>
  <c r="CY116" i="25" s="1"/>
  <c r="CR185" i="25"/>
  <c r="CV185" i="25" s="1"/>
  <c r="CW185" i="25" s="1"/>
  <c r="CZ185" i="25" s="1"/>
  <c r="CU68" i="25"/>
  <c r="CX68" i="25" s="1"/>
  <c r="CY68" i="25" s="1"/>
  <c r="CU66" i="25"/>
  <c r="CX66" i="25" s="1"/>
  <c r="CY66" i="25" s="1"/>
  <c r="CU80" i="25"/>
  <c r="CX80" i="25" s="1"/>
  <c r="CY80" i="25" s="1"/>
  <c r="CU78" i="25"/>
  <c r="CX78" i="25" s="1"/>
  <c r="CY78" i="25" s="1"/>
  <c r="CU89" i="25"/>
  <c r="CX89" i="25" s="1"/>
  <c r="CY89" i="25" s="1"/>
  <c r="CU36" i="25"/>
  <c r="CX36" i="25" s="1"/>
  <c r="CY36" i="25" s="1"/>
  <c r="CU180" i="25"/>
  <c r="CX180" i="25" s="1"/>
  <c r="CY180" i="25" s="1"/>
  <c r="CR133" i="25"/>
  <c r="CV133" i="25" s="1"/>
  <c r="CW133" i="25" s="1"/>
  <c r="CZ133" i="25" s="1"/>
  <c r="CR60" i="25"/>
  <c r="CV60" i="25" s="1"/>
  <c r="CW60" i="25" s="1"/>
  <c r="CZ60" i="25" s="1"/>
  <c r="CR57" i="25"/>
  <c r="CV57" i="25" s="1"/>
  <c r="CW57" i="25" s="1"/>
  <c r="CZ57" i="25" s="1"/>
  <c r="CU135" i="25"/>
  <c r="CX135" i="25" s="1"/>
  <c r="CY135" i="25" s="1"/>
  <c r="CU93" i="25"/>
  <c r="CX93" i="25" s="1"/>
  <c r="CY93" i="25" s="1"/>
  <c r="CR79" i="25"/>
  <c r="CV79" i="25" s="1"/>
  <c r="CW79" i="25" s="1"/>
  <c r="CZ79" i="25" s="1"/>
  <c r="CU101" i="25"/>
  <c r="CX101" i="25" s="1"/>
  <c r="CY101" i="25" s="1"/>
  <c r="CR155" i="25"/>
  <c r="CV155" i="25" s="1"/>
  <c r="CW155" i="25" s="1"/>
  <c r="CZ155" i="25" s="1"/>
  <c r="G190" i="89"/>
  <c r="CR178" i="25"/>
  <c r="CV178" i="25" s="1"/>
  <c r="CW178" i="25" s="1"/>
  <c r="CZ178" i="25" s="1"/>
  <c r="CR9" i="25"/>
  <c r="CV9" i="25" s="1"/>
  <c r="CW9" i="25" s="1"/>
  <c r="CZ9" i="25" s="1"/>
  <c r="CR190" i="25"/>
  <c r="CV190" i="25" s="1"/>
  <c r="CW190" i="25" s="1"/>
  <c r="CZ190" i="25" s="1"/>
  <c r="CR193" i="25"/>
  <c r="CV193" i="25" s="1"/>
  <c r="CW193" i="25" s="1"/>
  <c r="CZ193" i="25" s="1"/>
  <c r="CR177" i="25"/>
  <c r="CV177" i="25" s="1"/>
  <c r="CW177" i="25" s="1"/>
  <c r="CZ177" i="25" s="1"/>
  <c r="CU87" i="25"/>
  <c r="CX87" i="25" s="1"/>
  <c r="CY87" i="25" s="1"/>
  <c r="CU174" i="25"/>
  <c r="CX174" i="25" s="1"/>
  <c r="CY174" i="25" s="1"/>
  <c r="CR46" i="25"/>
  <c r="CV46" i="25" s="1"/>
  <c r="CW46" i="25" s="1"/>
  <c r="CZ46" i="25" s="1"/>
  <c r="CU161" i="25"/>
  <c r="CX161" i="25" s="1"/>
  <c r="CY161" i="25" s="1"/>
  <c r="CR17" i="25"/>
  <c r="CV17" i="25" s="1"/>
  <c r="CW17" i="25" s="1"/>
  <c r="CZ17" i="25" s="1"/>
  <c r="CU27" i="25"/>
  <c r="CX27" i="25" s="1"/>
  <c r="CY27" i="25" s="1"/>
  <c r="CR84" i="25"/>
  <c r="CV84" i="25" s="1"/>
  <c r="CW84" i="25" s="1"/>
  <c r="CZ84" i="25" s="1"/>
  <c r="CR10" i="25"/>
  <c r="CV10" i="25" s="1"/>
  <c r="CW10" i="25" s="1"/>
  <c r="CZ10" i="25" s="1"/>
  <c r="CR191" i="25"/>
  <c r="CV191" i="25" s="1"/>
  <c r="CW191" i="25" s="1"/>
  <c r="CZ191" i="25" s="1"/>
  <c r="CR102" i="25"/>
  <c r="CV102" i="25" s="1"/>
  <c r="CW102" i="25" s="1"/>
  <c r="CZ102" i="25" s="1"/>
  <c r="CU37" i="25"/>
  <c r="CX37" i="25" s="1"/>
  <c r="CY37" i="25" s="1"/>
  <c r="CU53" i="25"/>
  <c r="CX53" i="25" s="1"/>
  <c r="CY53" i="25" s="1"/>
  <c r="CU25" i="25"/>
  <c r="CX25" i="25" s="1"/>
  <c r="CY25" i="25" s="1"/>
  <c r="CR98" i="25"/>
  <c r="CV98" i="25" s="1"/>
  <c r="CW98" i="25" s="1"/>
  <c r="CZ98" i="25" s="1"/>
  <c r="CU98" i="25"/>
  <c r="CX98" i="25" s="1"/>
  <c r="CY98" i="25" s="1"/>
  <c r="CR138" i="25"/>
  <c r="CV138" i="25" s="1"/>
  <c r="CW138" i="25" s="1"/>
  <c r="CZ138" i="25" s="1"/>
  <c r="CU176" i="25"/>
  <c r="CX176" i="25" s="1"/>
  <c r="CY176" i="25" s="1"/>
  <c r="CR58" i="25"/>
  <c r="CV58" i="25" s="1"/>
  <c r="CW58" i="25" s="1"/>
  <c r="CZ58" i="25" s="1"/>
  <c r="CU160" i="25"/>
  <c r="CX160" i="25" s="1"/>
  <c r="CY160" i="25" s="1"/>
  <c r="CR167" i="25"/>
  <c r="CV167" i="25" s="1"/>
  <c r="CW167" i="25" s="1"/>
  <c r="CZ167" i="25" s="1"/>
  <c r="CU56" i="25"/>
  <c r="CX56" i="25" s="1"/>
  <c r="CY56" i="25" s="1"/>
  <c r="CU85" i="25"/>
  <c r="CX85" i="25" s="1"/>
  <c r="CY85" i="25" s="1"/>
  <c r="CU63" i="25"/>
  <c r="CX63" i="25" s="1"/>
  <c r="CY63" i="25" s="1"/>
  <c r="CR22" i="25"/>
  <c r="CV22" i="25" s="1"/>
  <c r="CW22" i="25" s="1"/>
  <c r="CZ22" i="25" s="1"/>
  <c r="K56" i="92"/>
  <c r="CR148" i="25"/>
  <c r="CV148" i="25" s="1"/>
  <c r="CW148" i="25" s="1"/>
  <c r="CZ148" i="25" s="1"/>
  <c r="CU197" i="25"/>
  <c r="CX197" i="25" s="1"/>
  <c r="CY197" i="25" s="1"/>
  <c r="CU188" i="25"/>
  <c r="CX188" i="25" s="1"/>
  <c r="CY188" i="25" s="1"/>
  <c r="CR30" i="25"/>
  <c r="CV30" i="25" s="1"/>
  <c r="CW30" i="25" s="1"/>
  <c r="CZ30" i="25" s="1"/>
  <c r="CR100" i="25"/>
  <c r="CV100" i="25" s="1"/>
  <c r="CW100" i="25" s="1"/>
  <c r="CZ100" i="25" s="1"/>
  <c r="CU100" i="25"/>
  <c r="CX100" i="25" s="1"/>
  <c r="CY100" i="25" s="1"/>
  <c r="CR120" i="25"/>
  <c r="CV120" i="25" s="1"/>
  <c r="CW120" i="25" s="1"/>
  <c r="CZ120" i="25" s="1"/>
  <c r="CU120" i="25"/>
  <c r="CX120" i="25" s="1"/>
  <c r="CY120" i="25" s="1"/>
  <c r="CR141" i="25"/>
  <c r="CV141" i="25" s="1"/>
  <c r="CW141" i="25" s="1"/>
  <c r="CZ141" i="25" s="1"/>
  <c r="CU141" i="25"/>
  <c r="CX141" i="25" s="1"/>
  <c r="CY141" i="25" s="1"/>
  <c r="CU95" i="25"/>
  <c r="CX95" i="25" s="1"/>
  <c r="CY95" i="25" s="1"/>
  <c r="CR95" i="25"/>
  <c r="CV95" i="25" s="1"/>
  <c r="CW95" i="25" s="1"/>
  <c r="CZ95" i="25" s="1"/>
  <c r="CR77" i="25"/>
  <c r="CV77" i="25" s="1"/>
  <c r="CW77" i="25" s="1"/>
  <c r="CZ77" i="25" s="1"/>
  <c r="CR16" i="25"/>
  <c r="CV16" i="25" s="1"/>
  <c r="CW16" i="25" s="1"/>
  <c r="CZ16" i="25" s="1"/>
  <c r="CR130" i="25"/>
  <c r="CV130" i="25" s="1"/>
  <c r="CW130" i="25" s="1"/>
  <c r="CZ130" i="25" s="1"/>
  <c r="CU47" i="25"/>
  <c r="CX47" i="25" s="1"/>
  <c r="CY47" i="25" s="1"/>
  <c r="CR50" i="25"/>
  <c r="CV50" i="25" s="1"/>
  <c r="CW50" i="25" s="1"/>
  <c r="CZ50" i="25" s="1"/>
  <c r="CR164" i="25"/>
  <c r="CV164" i="25" s="1"/>
  <c r="CW164" i="25" s="1"/>
  <c r="CZ164" i="25" s="1"/>
  <c r="CR198" i="25"/>
  <c r="CV198" i="25" s="1"/>
  <c r="CW198" i="25" s="1"/>
  <c r="CZ198" i="25" s="1"/>
  <c r="CR169" i="25"/>
  <c r="CV169" i="25" s="1"/>
  <c r="CW169" i="25" s="1"/>
  <c r="CZ169" i="25" s="1"/>
  <c r="CR94" i="25"/>
  <c r="CV94" i="25" s="1"/>
  <c r="CW94" i="25" s="1"/>
  <c r="CZ94" i="25" s="1"/>
  <c r="CU48" i="25"/>
  <c r="CX48" i="25" s="1"/>
  <c r="CY48" i="25" s="1"/>
  <c r="CU146" i="25"/>
  <c r="CX146" i="25" s="1"/>
  <c r="CY146" i="25" s="1"/>
  <c r="CR146" i="25"/>
  <c r="CV146" i="25" s="1"/>
  <c r="CW146" i="25" s="1"/>
  <c r="CZ146" i="25" s="1"/>
  <c r="CU117" i="25"/>
  <c r="CX117" i="25" s="1"/>
  <c r="CY117" i="25" s="1"/>
  <c r="CR54" i="25"/>
  <c r="CV54" i="25" s="1"/>
  <c r="CW54" i="25" s="1"/>
  <c r="CZ54" i="25" s="1"/>
  <c r="CU54" i="25"/>
  <c r="CX54" i="25" s="1"/>
  <c r="CY54" i="25" s="1"/>
  <c r="CR19" i="25"/>
  <c r="CV19" i="25" s="1"/>
  <c r="CW19" i="25" s="1"/>
  <c r="CZ19" i="25" s="1"/>
  <c r="CU19" i="25"/>
  <c r="CX19" i="25" s="1"/>
  <c r="CY19" i="25" s="1"/>
  <c r="CU137" i="25"/>
  <c r="CX137" i="25" s="1"/>
  <c r="CY137" i="25" s="1"/>
  <c r="CR137" i="25"/>
  <c r="CV137" i="25" s="1"/>
  <c r="CW137" i="25" s="1"/>
  <c r="CZ137" i="25" s="1"/>
  <c r="CU49" i="25"/>
  <c r="CX49" i="25" s="1"/>
  <c r="CY49" i="25" s="1"/>
  <c r="CR67" i="25"/>
  <c r="CV67" i="25" s="1"/>
  <c r="CW67" i="25" s="1"/>
  <c r="CZ67" i="25" s="1"/>
  <c r="CR183" i="25"/>
  <c r="CV183" i="25" s="1"/>
  <c r="CW183" i="25" s="1"/>
  <c r="CZ183" i="25" s="1"/>
  <c r="CR29" i="25"/>
  <c r="CV29" i="25" s="1"/>
  <c r="CW29" i="25" s="1"/>
  <c r="CZ29" i="25" s="1"/>
  <c r="CU124" i="25"/>
  <c r="CX124" i="25" s="1"/>
  <c r="CY124" i="25" s="1"/>
  <c r="CU195" i="25"/>
  <c r="CX195" i="25" s="1"/>
  <c r="CY195" i="25" s="1"/>
  <c r="CR41" i="25"/>
  <c r="CV41" i="25" s="1"/>
  <c r="CW41" i="25" s="1"/>
  <c r="CZ41" i="25" s="1"/>
  <c r="CU41" i="25"/>
  <c r="CX41" i="25" s="1"/>
  <c r="CY41" i="25" s="1"/>
  <c r="CR69" i="25"/>
  <c r="CV69" i="25" s="1"/>
  <c r="CW69" i="25" s="1"/>
  <c r="CZ69" i="25" s="1"/>
  <c r="CU69" i="25"/>
  <c r="CX69" i="25" s="1"/>
  <c r="CY69" i="25" s="1"/>
  <c r="CU74" i="25"/>
  <c r="CX74" i="25" s="1"/>
  <c r="CY74" i="25" s="1"/>
  <c r="CR74" i="25"/>
  <c r="CV74" i="25" s="1"/>
  <c r="CW74" i="25" s="1"/>
  <c r="CZ74" i="25" s="1"/>
  <c r="CU110" i="25"/>
  <c r="CX110" i="25" s="1"/>
  <c r="CY110" i="25" s="1"/>
  <c r="CU99" i="25"/>
  <c r="CX99" i="25" s="1"/>
  <c r="CY99" i="25" s="1"/>
  <c r="CU106" i="25"/>
  <c r="CX106" i="25" s="1"/>
  <c r="CY106" i="25" s="1"/>
  <c r="CU96" i="25"/>
  <c r="CX96" i="25" s="1"/>
  <c r="CY96" i="25" s="1"/>
  <c r="CR96" i="25"/>
  <c r="CV96" i="25" s="1"/>
  <c r="CW96" i="25" s="1"/>
  <c r="CZ96" i="25" s="1"/>
  <c r="CU202" i="25"/>
  <c r="CX202" i="25" s="1"/>
  <c r="CY202" i="25" s="1"/>
  <c r="CR202" i="25"/>
  <c r="CV202" i="25" s="1"/>
  <c r="CW202" i="25" s="1"/>
  <c r="CZ202" i="25" s="1"/>
  <c r="CR132" i="25"/>
  <c r="CV132" i="25" s="1"/>
  <c r="CW132" i="25" s="1"/>
  <c r="CZ132" i="25" s="1"/>
  <c r="CU132" i="25"/>
  <c r="CX132" i="25" s="1"/>
  <c r="CY132" i="25" s="1"/>
  <c r="CR72" i="25"/>
  <c r="CV72" i="25" s="1"/>
  <c r="CW72" i="25" s="1"/>
  <c r="CZ72" i="25" s="1"/>
  <c r="CU72" i="25"/>
  <c r="CX72" i="25" s="1"/>
  <c r="CY72" i="25" s="1"/>
  <c r="CR123" i="25"/>
  <c r="CV123" i="25" s="1"/>
  <c r="CW123" i="25" s="1"/>
  <c r="CZ123" i="25" s="1"/>
  <c r="CU123" i="25"/>
  <c r="CX123" i="25" s="1"/>
  <c r="CY123" i="25" s="1"/>
  <c r="CR81" i="25"/>
  <c r="CV81" i="25" s="1"/>
  <c r="CW81" i="25" s="1"/>
  <c r="CZ81" i="25" s="1"/>
  <c r="CU81" i="25"/>
  <c r="CX81" i="25" s="1"/>
  <c r="CY81" i="25" s="1"/>
  <c r="CR154" i="25"/>
  <c r="CV154" i="25" s="1"/>
  <c r="CW154" i="25" s="1"/>
  <c r="CZ154" i="25" s="1"/>
  <c r="CR61" i="25"/>
  <c r="CV61" i="25" s="1"/>
  <c r="CW61" i="25" s="1"/>
  <c r="CZ61" i="25" s="1"/>
  <c r="CU147" i="25"/>
  <c r="CX147" i="25" s="1"/>
  <c r="CY147" i="25" s="1"/>
  <c r="CU91" i="25"/>
  <c r="CX91" i="25" s="1"/>
  <c r="CY91" i="25" s="1"/>
  <c r="CR35" i="25"/>
  <c r="CV35" i="25" s="1"/>
  <c r="CW35" i="25" s="1"/>
  <c r="CZ35" i="25" s="1"/>
  <c r="CR18" i="25"/>
  <c r="CV18" i="25" s="1"/>
  <c r="CW18" i="25" s="1"/>
  <c r="CZ18" i="25" s="1"/>
  <c r="CR44" i="25"/>
  <c r="CV44" i="25" s="1"/>
  <c r="CW44" i="25" s="1"/>
  <c r="CZ44" i="25" s="1"/>
  <c r="CR31" i="25"/>
  <c r="CV31" i="25" s="1"/>
  <c r="CW31" i="25" s="1"/>
  <c r="CZ31" i="25" s="1"/>
  <c r="CU7" i="25"/>
  <c r="CX7" i="25" s="1"/>
  <c r="CY7" i="25" s="1"/>
  <c r="CR192" i="25"/>
  <c r="CV192" i="25" s="1"/>
  <c r="CW192" i="25" s="1"/>
  <c r="CZ192" i="25" s="1"/>
  <c r="CU90" i="25"/>
  <c r="CX90" i="25" s="1"/>
  <c r="CY90" i="25" s="1"/>
  <c r="CR71" i="25"/>
  <c r="CV71" i="25" s="1"/>
  <c r="CW71" i="25" s="1"/>
  <c r="CZ71" i="25" s="1"/>
  <c r="CU92" i="25"/>
  <c r="CX92" i="25" s="1"/>
  <c r="CY92" i="25" s="1"/>
  <c r="CU82" i="25"/>
  <c r="CX82" i="25" s="1"/>
  <c r="CY82" i="25" s="1"/>
  <c r="CU144" i="25"/>
  <c r="CX144" i="25" s="1"/>
  <c r="CY144" i="25" s="1"/>
  <c r="CR165" i="25"/>
  <c r="CV165" i="25" s="1"/>
  <c r="CW165" i="25" s="1"/>
  <c r="CZ165" i="25" s="1"/>
  <c r="CU171" i="25"/>
  <c r="CX171" i="25" s="1"/>
  <c r="CY171" i="25" s="1"/>
  <c r="CR97" i="25"/>
  <c r="CV97" i="25" s="1"/>
  <c r="CW97" i="25" s="1"/>
  <c r="CZ97" i="25" s="1"/>
  <c r="CU97" i="25"/>
  <c r="CX97" i="25" s="1"/>
  <c r="CY97" i="25" s="1"/>
  <c r="CV197" i="25"/>
  <c r="CW197" i="25" s="1"/>
  <c r="CZ197" i="25" s="1"/>
  <c r="CU115" i="25"/>
  <c r="CX115" i="25" s="1"/>
  <c r="CY115" i="25" s="1"/>
  <c r="CR115" i="25"/>
  <c r="CV115" i="25" s="1"/>
  <c r="CW115" i="25" s="1"/>
  <c r="CZ115" i="25" s="1"/>
  <c r="CU175" i="25"/>
  <c r="CX175" i="25" s="1"/>
  <c r="CY175" i="25" s="1"/>
  <c r="CR175" i="25"/>
  <c r="CV175" i="25" s="1"/>
  <c r="CW175" i="25" s="1"/>
  <c r="CZ175" i="25" s="1"/>
  <c r="CU152" i="25"/>
  <c r="CX152" i="25" s="1"/>
  <c r="CY152" i="25" s="1"/>
  <c r="CU73" i="25"/>
  <c r="CX73" i="25" s="1"/>
  <c r="CY73" i="25" s="1"/>
  <c r="CU184" i="25"/>
  <c r="CX184" i="25" s="1"/>
  <c r="CY184" i="25" s="1"/>
  <c r="CU32" i="25"/>
  <c r="CX32" i="25" s="1"/>
  <c r="CY32" i="25" s="1"/>
  <c r="CU13" i="25"/>
  <c r="CX13" i="25" s="1"/>
  <c r="CY13" i="25" s="1"/>
  <c r="CU26" i="25"/>
  <c r="CX26" i="25" s="1"/>
  <c r="CY26" i="25" s="1"/>
  <c r="CU173" i="25"/>
  <c r="CX173" i="25" s="1"/>
  <c r="CY173" i="25" s="1"/>
  <c r="CU12" i="25"/>
  <c r="CX12" i="25" s="1"/>
  <c r="CY12" i="25" s="1"/>
  <c r="CU14" i="25"/>
  <c r="CX14" i="25" s="1"/>
  <c r="CY14" i="25" s="1"/>
  <c r="CR39" i="25"/>
  <c r="CV39" i="25" s="1"/>
  <c r="CW39" i="25" s="1"/>
  <c r="CZ39" i="25" s="1"/>
  <c r="CR64" i="25"/>
  <c r="CV64" i="25" s="1"/>
  <c r="CW64" i="25" s="1"/>
  <c r="CZ64" i="25" s="1"/>
  <c r="CU64" i="25"/>
  <c r="CX64" i="25" s="1"/>
  <c r="CY64" i="25" s="1"/>
  <c r="CR182" i="25"/>
  <c r="CV182" i="25" s="1"/>
  <c r="CW182" i="25" s="1"/>
  <c r="CZ182" i="25" s="1"/>
  <c r="CU162" i="25"/>
  <c r="CX162" i="25" s="1"/>
  <c r="CY162" i="25" s="1"/>
  <c r="CR83" i="25"/>
  <c r="CV83" i="25" s="1"/>
  <c r="CW83" i="25" s="1"/>
  <c r="CZ83" i="25" s="1"/>
  <c r="CU112" i="25"/>
  <c r="CX112" i="25" s="1"/>
  <c r="CY112" i="25" s="1"/>
  <c r="CR112" i="25"/>
  <c r="CV112" i="25" s="1"/>
  <c r="CW112" i="25" s="1"/>
  <c r="CZ112" i="25" s="1"/>
  <c r="CR24" i="25"/>
  <c r="CV24" i="25" s="1"/>
  <c r="CW24" i="25" s="1"/>
  <c r="CZ24" i="25" s="1"/>
  <c r="CR103" i="25"/>
  <c r="CV103" i="25" s="1"/>
  <c r="CW103" i="25" s="1"/>
  <c r="CZ103" i="25" s="1"/>
  <c r="CR196" i="25"/>
  <c r="CV196" i="25" s="1"/>
  <c r="CW196" i="25" s="1"/>
  <c r="CZ196" i="25" s="1"/>
  <c r="CR119" i="25"/>
  <c r="CV119" i="25" s="1"/>
  <c r="CW119" i="25" s="1"/>
  <c r="CZ119" i="25" s="1"/>
  <c r="CU140" i="25"/>
  <c r="CX140" i="25" s="1"/>
  <c r="CY140" i="25" s="1"/>
  <c r="CR140" i="25"/>
  <c r="CV140" i="25" s="1"/>
  <c r="CW140" i="25" s="1"/>
  <c r="CZ140" i="25" s="1"/>
  <c r="CR186" i="25"/>
  <c r="CV186" i="25" s="1"/>
  <c r="CW186" i="25" s="1"/>
  <c r="CZ186" i="25" s="1"/>
  <c r="CU186" i="25"/>
  <c r="CX186" i="25" s="1"/>
  <c r="CY186" i="25" s="1"/>
  <c r="CR45" i="25"/>
  <c r="CV45" i="25" s="1"/>
  <c r="CW45" i="25" s="1"/>
  <c r="CZ45" i="25" s="1"/>
  <c r="CU158" i="25"/>
  <c r="CX158" i="25" s="1"/>
  <c r="CY158" i="25" s="1"/>
  <c r="CU15" i="25"/>
  <c r="CX15" i="25" s="1"/>
  <c r="CY15" i="25" s="1"/>
  <c r="CR15" i="25"/>
  <c r="CV15" i="25" s="1"/>
  <c r="CW15" i="25" s="1"/>
  <c r="CZ15" i="25" s="1"/>
  <c r="CU149" i="25"/>
  <c r="CX149" i="25" s="1"/>
  <c r="CY149" i="25" s="1"/>
  <c r="CU199" i="25"/>
  <c r="CX199" i="25" s="1"/>
  <c r="CY199" i="25" s="1"/>
  <c r="CR199" i="25"/>
  <c r="CV199" i="25" s="1"/>
  <c r="CW199" i="25" s="1"/>
  <c r="CZ199" i="25" s="1"/>
  <c r="CR109" i="25"/>
  <c r="CV109" i="25" s="1"/>
  <c r="CW109" i="25" s="1"/>
  <c r="CZ109" i="25" s="1"/>
  <c r="CR187" i="25"/>
  <c r="CV187" i="25" s="1"/>
  <c r="CW187" i="25" s="1"/>
  <c r="CZ187" i="25" s="1"/>
  <c r="CU187" i="25"/>
  <c r="CX187" i="25" s="1"/>
  <c r="CY187" i="25" s="1"/>
  <c r="CU59" i="25"/>
  <c r="CX59" i="25" s="1"/>
  <c r="CY59" i="25" s="1"/>
  <c r="CR59" i="25"/>
  <c r="CV59" i="25" s="1"/>
  <c r="CW59" i="25" s="1"/>
  <c r="CZ59" i="25" s="1"/>
  <c r="CR40" i="25"/>
  <c r="CV40" i="25" s="1"/>
  <c r="CW40" i="25" s="1"/>
  <c r="CZ40" i="25" s="1"/>
  <c r="CU40" i="25"/>
  <c r="CX40" i="25" s="1"/>
  <c r="CY40" i="25" s="1"/>
  <c r="CR113" i="25"/>
  <c r="CV113" i="25" s="1"/>
  <c r="CW113" i="25" s="1"/>
  <c r="CZ113" i="25" s="1"/>
  <c r="CU113" i="25"/>
  <c r="CX113" i="25" s="1"/>
  <c r="CY113" i="25" s="1"/>
  <c r="CU179" i="25"/>
  <c r="CX179" i="25" s="1"/>
  <c r="CY179" i="25" s="1"/>
  <c r="CR179" i="25"/>
  <c r="CV179" i="25" s="1"/>
  <c r="CW179" i="25" s="1"/>
  <c r="CZ179" i="25" s="1"/>
  <c r="CR8" i="25"/>
  <c r="CV8" i="25" s="1"/>
  <c r="CW8" i="25" s="1"/>
  <c r="CZ8" i="25" s="1"/>
  <c r="CU8" i="25"/>
  <c r="CX8" i="25" s="1"/>
  <c r="CY8" i="25" s="1"/>
  <c r="CR111" i="25"/>
  <c r="CV111" i="25" s="1"/>
  <c r="CW111" i="25" s="1"/>
  <c r="CZ111" i="25" s="1"/>
  <c r="CU111" i="25"/>
  <c r="CX111" i="25" s="1"/>
  <c r="CY111" i="25" s="1"/>
  <c r="CU153" i="25"/>
  <c r="CX153" i="25" s="1"/>
  <c r="CY153" i="25" s="1"/>
  <c r="CR151" i="25"/>
  <c r="CV151" i="25" s="1"/>
  <c r="CW151" i="25" s="1"/>
  <c r="CZ151" i="25" s="1"/>
  <c r="CU151" i="25"/>
  <c r="CX151" i="25" s="1"/>
  <c r="CY151" i="25" s="1"/>
  <c r="CU62" i="25"/>
  <c r="CX62" i="25" s="1"/>
  <c r="CY62" i="25" s="1"/>
  <c r="CR62" i="25"/>
  <c r="CV62" i="25" s="1"/>
  <c r="CW62" i="25" s="1"/>
  <c r="CZ62" i="25" s="1"/>
  <c r="CU114" i="25"/>
  <c r="CX114" i="25" s="1"/>
  <c r="CY114" i="25" s="1"/>
  <c r="CR114" i="25"/>
  <c r="CV114" i="25" s="1"/>
  <c r="CW114" i="25" s="1"/>
  <c r="CZ114" i="25" s="1"/>
  <c r="CR163" i="25"/>
  <c r="CV163" i="25" s="1"/>
  <c r="CW163" i="25" s="1"/>
  <c r="CZ163" i="25" s="1"/>
  <c r="CU163" i="25"/>
  <c r="CX163" i="25" s="1"/>
  <c r="CY163" i="25" s="1"/>
  <c r="CU21" i="25"/>
  <c r="CX21" i="25" s="1"/>
  <c r="CY21" i="25" s="1"/>
  <c r="CR21" i="25"/>
  <c r="CV21" i="25" s="1"/>
  <c r="CW21" i="25" s="1"/>
  <c r="CZ21" i="25" s="1"/>
  <c r="CR42" i="25"/>
  <c r="CV42" i="25" s="1"/>
  <c r="CW42" i="25" s="1"/>
  <c r="CZ42" i="25" s="1"/>
  <c r="CU42" i="25"/>
  <c r="CX42" i="25" s="1"/>
  <c r="CY42" i="25" s="1"/>
  <c r="CU88" i="25"/>
  <c r="CX88" i="25" s="1"/>
  <c r="CY88" i="25" s="1"/>
  <c r="CU38" i="25"/>
  <c r="CX38" i="25" s="1"/>
  <c r="CY38" i="25" s="1"/>
  <c r="CR108" i="25"/>
  <c r="CV108" i="25" s="1"/>
  <c r="CW108" i="25" s="1"/>
  <c r="CZ108" i="25" s="1"/>
  <c r="CU108" i="25"/>
  <c r="CX108" i="25" s="1"/>
  <c r="CY108" i="25" s="1"/>
  <c r="CR33" i="25"/>
  <c r="CV33" i="25" s="1"/>
  <c r="CW33" i="25" s="1"/>
  <c r="CZ33" i="25" s="1"/>
  <c r="CU33" i="25"/>
  <c r="CX33" i="25" s="1"/>
  <c r="CY33" i="25" s="1"/>
  <c r="CU168" i="25"/>
  <c r="CX168" i="25" s="1"/>
  <c r="CY168" i="25" s="1"/>
  <c r="CR168" i="25"/>
  <c r="CV168" i="25" s="1"/>
  <c r="CW168" i="25" s="1"/>
  <c r="CZ168" i="25" s="1"/>
  <c r="CU75" i="25"/>
  <c r="CX75" i="25" s="1"/>
  <c r="CY75" i="25" s="1"/>
  <c r="CR75" i="25"/>
  <c r="CV75" i="25" s="1"/>
  <c r="CW75" i="25" s="1"/>
  <c r="CZ75" i="25" s="1"/>
  <c r="CU105" i="25"/>
  <c r="CX105" i="25" s="1"/>
  <c r="CY105" i="25" s="1"/>
  <c r="CR105" i="25"/>
  <c r="CV105" i="25" s="1"/>
  <c r="CW105" i="25" s="1"/>
  <c r="CZ105" i="25" s="1"/>
  <c r="CR107" i="25"/>
  <c r="CV107" i="25" s="1"/>
  <c r="CW107" i="25" s="1"/>
  <c r="CZ107" i="25" s="1"/>
  <c r="CU107" i="25"/>
  <c r="CX107" i="25" s="1"/>
  <c r="CY107" i="25" s="1"/>
  <c r="CU127" i="25"/>
  <c r="CX127" i="25" s="1"/>
  <c r="CY127" i="25" s="1"/>
  <c r="CR127" i="25"/>
  <c r="CV127" i="25" s="1"/>
  <c r="CW127" i="25" s="1"/>
  <c r="CZ127" i="25" s="1"/>
  <c r="CR121" i="25"/>
  <c r="CV121" i="25" s="1"/>
  <c r="CW121" i="25" s="1"/>
  <c r="CZ121" i="25" s="1"/>
  <c r="CU121" i="25"/>
  <c r="CX121" i="25" s="1"/>
  <c r="CY121" i="25" s="1"/>
  <c r="CU28" i="25"/>
  <c r="CX28" i="25" s="1"/>
  <c r="CY28" i="25" s="1"/>
  <c r="CR28" i="25"/>
  <c r="CV28" i="25" s="1"/>
  <c r="CW28" i="25" s="1"/>
  <c r="CZ28" i="25" s="1"/>
  <c r="CR52" i="25"/>
  <c r="CV52" i="25" s="1"/>
  <c r="CW52" i="25" s="1"/>
  <c r="CZ52" i="25" s="1"/>
  <c r="CU52" i="25"/>
  <c r="CX52" i="25" s="1"/>
  <c r="CY52" i="25" s="1"/>
  <c r="CU65" i="25"/>
  <c r="CX65" i="25" s="1"/>
  <c r="CY65" i="25" s="1"/>
  <c r="CR65" i="25"/>
  <c r="CV65" i="25" s="1"/>
  <c r="CW65" i="25" s="1"/>
  <c r="CZ65" i="25" s="1"/>
  <c r="CV159" i="25"/>
  <c r="CW159" i="25" s="1"/>
  <c r="CZ159" i="25" s="1"/>
  <c r="CU159" i="25"/>
  <c r="CX159" i="25" s="1"/>
  <c r="CY159" i="25" s="1"/>
  <c r="CR145" i="25"/>
  <c r="CV145" i="25" s="1"/>
  <c r="CW145" i="25" s="1"/>
  <c r="CZ145" i="25" s="1"/>
  <c r="CU145" i="25"/>
  <c r="CX145" i="25" s="1"/>
  <c r="CY145" i="25" s="1"/>
  <c r="CV38" i="25"/>
  <c r="CW38" i="25" s="1"/>
  <c r="CZ38" i="25" s="1"/>
  <c r="CR125" i="25"/>
  <c r="CV125" i="25" s="1"/>
  <c r="CW125" i="25" s="1"/>
  <c r="CZ125" i="25" s="1"/>
  <c r="CU125" i="25"/>
  <c r="CX125" i="25" s="1"/>
  <c r="CY125" i="25" s="1"/>
  <c r="CR150" i="25"/>
  <c r="CV150" i="25" s="1"/>
  <c r="CW150" i="25" s="1"/>
  <c r="CZ150" i="25" s="1"/>
  <c r="CU150" i="25"/>
  <c r="CX150" i="25" s="1"/>
  <c r="CY150" i="25" s="1"/>
  <c r="CR128" i="25"/>
  <c r="CV128" i="25" s="1"/>
  <c r="CW128" i="25" s="1"/>
  <c r="CZ128" i="25" s="1"/>
  <c r="CU128" i="25"/>
  <c r="CX128" i="25" s="1"/>
  <c r="CY128" i="25" s="1"/>
  <c r="CR157" i="25"/>
  <c r="CV157" i="25" s="1"/>
  <c r="CW157" i="25" s="1"/>
  <c r="CZ157" i="25" s="1"/>
  <c r="CU157" i="25"/>
  <c r="CX157" i="25" s="1"/>
  <c r="CY157" i="25" s="1"/>
  <c r="CR134" i="25"/>
  <c r="CV134" i="25" s="1"/>
  <c r="CW134" i="25" s="1"/>
  <c r="CZ134" i="25" s="1"/>
  <c r="CU134" i="25"/>
  <c r="CX134" i="25" s="1"/>
  <c r="CY134" i="25" s="1"/>
  <c r="CR136" i="25"/>
  <c r="CV136" i="25" s="1"/>
  <c r="CW136" i="25" s="1"/>
  <c r="CZ136" i="25" s="1"/>
  <c r="CU136" i="25"/>
  <c r="CX136" i="25" s="1"/>
  <c r="CY136" i="25" s="1"/>
  <c r="F177" i="89"/>
  <c r="U132" i="89"/>
  <c r="T132" i="89"/>
  <c r="S132" i="89"/>
  <c r="R132" i="89"/>
  <c r="X132" i="89"/>
  <c r="W132" i="89"/>
  <c r="P132" i="89"/>
  <c r="Q132" i="89" s="1"/>
  <c r="V132" i="89"/>
  <c r="H176" i="89"/>
  <c r="F175" i="89"/>
  <c r="P100" i="89"/>
  <c r="Q100" i="89" s="1"/>
  <c r="V68" i="89"/>
  <c r="V81" i="89" s="1"/>
  <c r="U68" i="89"/>
  <c r="U81" i="89" s="1"/>
  <c r="P68" i="89"/>
  <c r="Q68" i="89" s="1"/>
  <c r="T68" i="89"/>
  <c r="T81" i="89" s="1"/>
  <c r="S68" i="89"/>
  <c r="S81" i="89" s="1"/>
  <c r="X68" i="89"/>
  <c r="X81" i="89" s="1"/>
  <c r="R68" i="89"/>
  <c r="R81" i="89" s="1"/>
  <c r="W68" i="89"/>
  <c r="W81" i="89" s="1"/>
  <c r="U104" i="89"/>
  <c r="U113" i="89" s="1"/>
  <c r="T104" i="89"/>
  <c r="T113" i="89" s="1"/>
  <c r="S104" i="89"/>
  <c r="S113" i="89" s="1"/>
  <c r="O113" i="89"/>
  <c r="P113" i="89" s="1"/>
  <c r="Q113" i="89" s="1"/>
  <c r="R104" i="89"/>
  <c r="R113" i="89" s="1"/>
  <c r="P104" i="89"/>
  <c r="Q104" i="89" s="1"/>
  <c r="X104" i="89"/>
  <c r="X113" i="89" s="1"/>
  <c r="W104" i="89"/>
  <c r="W113" i="89" s="1"/>
  <c r="V104" i="89"/>
  <c r="V113" i="89" s="1"/>
  <c r="F176" i="89"/>
  <c r="T87" i="89"/>
  <c r="T100" i="89" s="1"/>
  <c r="S87" i="89"/>
  <c r="S100" i="89" s="1"/>
  <c r="R87" i="89"/>
  <c r="R100" i="89" s="1"/>
  <c r="X87" i="89"/>
  <c r="X100" i="89" s="1"/>
  <c r="W87" i="89"/>
  <c r="W100" i="89" s="1"/>
  <c r="V87" i="89"/>
  <c r="V100" i="89" s="1"/>
  <c r="P87" i="89"/>
  <c r="Q87" i="89" s="1"/>
  <c r="U87" i="89"/>
  <c r="U100" i="89" s="1"/>
  <c r="W49" i="89"/>
  <c r="W62" i="89" s="1"/>
  <c r="P49" i="89"/>
  <c r="Q49" i="89" s="1"/>
  <c r="P62" i="89"/>
  <c r="Q62" i="89" s="1"/>
  <c r="R49" i="89"/>
  <c r="R62" i="89" s="1"/>
  <c r="S49" i="89"/>
  <c r="S62" i="89" s="1"/>
  <c r="T49" i="89"/>
  <c r="T62" i="89" s="1"/>
  <c r="U49" i="89"/>
  <c r="U62" i="89" s="1"/>
  <c r="X49" i="89"/>
  <c r="X62" i="89" s="1"/>
  <c r="V49" i="89"/>
  <c r="V62" i="89" s="1"/>
  <c r="W117" i="89"/>
  <c r="W126" i="89" s="1"/>
  <c r="V117" i="89"/>
  <c r="V126" i="89" s="1"/>
  <c r="U117" i="89"/>
  <c r="U126" i="89" s="1"/>
  <c r="O126" i="89"/>
  <c r="P126" i="89" s="1"/>
  <c r="Q126" i="89" s="1"/>
  <c r="P117" i="89"/>
  <c r="Q117" i="89" s="1"/>
  <c r="T117" i="89"/>
  <c r="T126" i="89" s="1"/>
  <c r="S117" i="89"/>
  <c r="S126" i="89" s="1"/>
  <c r="R117" i="89"/>
  <c r="R126" i="89" s="1"/>
  <c r="X117" i="89"/>
  <c r="X126" i="89" s="1"/>
  <c r="AG30" i="89"/>
  <c r="AH30" i="89"/>
  <c r="S30" i="89"/>
  <c r="S43" i="89" s="1"/>
  <c r="S21" i="89" s="1"/>
  <c r="U30" i="89"/>
  <c r="U43" i="89" s="1"/>
  <c r="R30" i="89"/>
  <c r="R43" i="89" s="1"/>
  <c r="P30" i="89"/>
  <c r="Q30" i="89" s="1"/>
  <c r="W30" i="89"/>
  <c r="W43" i="89" s="1"/>
  <c r="T30" i="89"/>
  <c r="T43" i="89" s="1"/>
  <c r="P43" i="89"/>
  <c r="Q43" i="89" s="1"/>
  <c r="X30" i="89"/>
  <c r="X43" i="89" s="1"/>
  <c r="Q23" i="89" l="1"/>
  <c r="R21" i="89"/>
  <c r="V23" i="89"/>
  <c r="T23" i="89"/>
  <c r="T21" i="89"/>
  <c r="W23" i="89"/>
  <c r="U21" i="89"/>
  <c r="U23" i="89"/>
  <c r="P81" i="89"/>
  <c r="Q81" i="89" s="1"/>
  <c r="V142" i="89"/>
  <c r="V145" i="89" s="1"/>
  <c r="T142" i="89"/>
  <c r="T145" i="89" s="1"/>
  <c r="S142" i="89"/>
  <c r="S145" i="89" s="1"/>
  <c r="U142" i="89"/>
  <c r="U145" i="89" s="1"/>
  <c r="W142" i="89"/>
  <c r="W145" i="89" s="1"/>
  <c r="R142" i="89"/>
  <c r="R145" i="89" s="1"/>
  <c r="X142" i="89"/>
  <c r="X145" i="89" s="1"/>
  <c r="P142" i="89"/>
  <c r="Q142" i="89" s="1"/>
  <c r="T22" i="89"/>
  <c r="V22" i="89"/>
  <c r="Q22" i="89"/>
  <c r="R22" i="89"/>
  <c r="S22" i="89"/>
  <c r="U22" i="89"/>
  <c r="F174" i="89"/>
  <c r="AU176"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PIN</author>
    <author>tc={7CCD1736-E191-40E4-A3B9-9440656E3792}</author>
    <author>tc={9DFE2248-F842-4415-AE9F-2D0D6BB7C151}</author>
    <author>tc={166C3F2B-8DD4-4111-B4CB-6E6840E6A666}</author>
    <author>tc={0931F8E0-00FD-41AC-A843-55D15D104565}</author>
    <author>tc={B2E05BA6-522C-4AA7-A89F-BFEF87C0C98A}</author>
    <author>tc={65E04F2E-5A22-49E1-957F-62B3216A4E4A}</author>
    <author>DELL</author>
  </authors>
  <commentList>
    <comment ref="AA5" authorId="0" shapeId="0" xr:uid="{74083081-681B-448D-8840-BDCA16EED3DD}">
      <text>
        <r>
          <rPr>
            <b/>
            <sz val="9"/>
            <color indexed="81"/>
            <rFont val="Tahoma"/>
            <family val="2"/>
          </rPr>
          <t>Administrator:</t>
        </r>
        <r>
          <rPr>
            <sz val="9"/>
            <color indexed="81"/>
            <rFont val="Tahoma"/>
            <family val="2"/>
          </rPr>
          <t xml:space="preserve">
L x B x H x 6.24 x 4= L
(%1000)</t>
        </r>
      </text>
    </comment>
    <comment ref="H8" authorId="0" shapeId="0" xr:uid="{6EF54BA3-256C-474A-A9B1-8F3B74250D4E}">
      <text>
        <r>
          <rPr>
            <b/>
            <sz val="9"/>
            <color indexed="81"/>
            <rFont val="Tahoma"/>
            <family val="2"/>
          </rPr>
          <t>Administrator:</t>
        </r>
        <r>
          <rPr>
            <sz val="9"/>
            <color indexed="81"/>
            <rFont val="Tahoma"/>
            <family val="2"/>
          </rPr>
          <t xml:space="preserve">
Lian Bang village</t>
        </r>
      </text>
    </comment>
    <comment ref="Z14" authorId="0" shapeId="0" xr:uid="{FE455715-C65D-403E-96B0-73FCA78F8D4D}">
      <text>
        <r>
          <rPr>
            <b/>
            <sz val="9"/>
            <color indexed="81"/>
            <rFont val="Tahoma"/>
            <family val="2"/>
          </rPr>
          <t>Administrator:</t>
        </r>
        <r>
          <rPr>
            <sz val="9"/>
            <color indexed="81"/>
            <rFont val="Tahoma"/>
            <family val="2"/>
          </rPr>
          <t xml:space="preserve">
pin</t>
        </r>
      </text>
    </comment>
    <comment ref="BM14" authorId="0" shapeId="0" xr:uid="{A7E194D0-880F-4836-AF58-D25889244C51}">
      <text>
        <r>
          <rPr>
            <b/>
            <sz val="9"/>
            <color indexed="81"/>
            <rFont val="Tahoma"/>
            <family val="2"/>
          </rPr>
          <t>Administrator:</t>
        </r>
        <r>
          <rPr>
            <sz val="9"/>
            <color indexed="81"/>
            <rFont val="Tahoma"/>
            <family val="2"/>
          </rPr>
          <t xml:space="preserve">
pin</t>
        </r>
      </text>
    </comment>
    <comment ref="BY14" authorId="1" shapeId="0" xr:uid="{CD0AF807-B8EE-44B6-879E-359AEB42DFE3}">
      <text>
        <r>
          <rPr>
            <b/>
            <sz val="9"/>
            <color indexed="81"/>
            <rFont val="Tahoma"/>
            <family val="2"/>
          </rPr>
          <t>PIN:</t>
        </r>
        <r>
          <rPr>
            <sz val="9"/>
            <color indexed="81"/>
            <rFont val="Tahoma"/>
            <family val="2"/>
          </rPr>
          <t xml:space="preserve">
camode chair distribution</t>
        </r>
      </text>
    </comment>
    <comment ref="BM73" authorId="0" shapeId="0" xr:uid="{F8790B12-3EA5-46ED-B526-8B04086CE264}">
      <text>
        <r>
          <rPr>
            <b/>
            <sz val="9"/>
            <color indexed="81"/>
            <rFont val="Tahoma"/>
            <family val="2"/>
          </rPr>
          <t>Administrator:</t>
        </r>
        <r>
          <rPr>
            <sz val="9"/>
            <color indexed="81"/>
            <rFont val="Tahoma"/>
            <family val="2"/>
          </rPr>
          <t xml:space="preserve">
Metta
</t>
        </r>
      </text>
    </comment>
    <comment ref="BM75" authorId="0" shapeId="0" xr:uid="{643B6CAC-2A76-4BDE-831E-5372B9CCB633}">
      <text>
        <r>
          <rPr>
            <b/>
            <sz val="9"/>
            <color indexed="81"/>
            <rFont val="Tahoma"/>
            <family val="2"/>
          </rPr>
          <t>Administrator:</t>
        </r>
        <r>
          <rPr>
            <sz val="9"/>
            <color indexed="81"/>
            <rFont val="Tahoma"/>
            <family val="2"/>
          </rPr>
          <t xml:space="preserve">
Metta
</t>
        </r>
      </text>
    </comment>
    <comment ref="H85" authorId="0" shapeId="0" xr:uid="{B512002A-F11C-4846-8B24-7247EFBA4838}">
      <text>
        <r>
          <rPr>
            <b/>
            <sz val="9"/>
            <color indexed="81"/>
            <rFont val="Tahoma"/>
            <family val="2"/>
          </rPr>
          <t>Administrator:</t>
        </r>
        <r>
          <rPr>
            <sz val="9"/>
            <color indexed="81"/>
            <rFont val="Tahoma"/>
            <family val="2"/>
          </rPr>
          <t xml:space="preserve">
 Zup Aung Relocation</t>
        </r>
      </text>
    </comment>
    <comment ref="B126" authorId="0" shapeId="0" xr:uid="{55D1C6D0-4BDB-4B2C-BBB0-3535DF302452}">
      <text>
        <r>
          <rPr>
            <b/>
            <sz val="9"/>
            <color indexed="81"/>
            <rFont val="Tahoma"/>
            <family val="2"/>
          </rPr>
          <t>Administrator:</t>
        </r>
        <r>
          <rPr>
            <sz val="9"/>
            <color indexed="81"/>
            <rFont val="Tahoma"/>
            <family val="2"/>
          </rPr>
          <t xml:space="preserve">
previous Q, SI</t>
        </r>
      </text>
    </comment>
    <comment ref="C126" authorId="0" shapeId="0" xr:uid="{9464AC80-371F-43FC-89A9-CD36C4CD9C58}">
      <text>
        <r>
          <rPr>
            <b/>
            <sz val="9"/>
            <color indexed="81"/>
            <rFont val="Tahoma"/>
            <family val="2"/>
          </rPr>
          <t>Administrator:</t>
        </r>
        <r>
          <rPr>
            <sz val="9"/>
            <color indexed="81"/>
            <rFont val="Tahoma"/>
            <family val="2"/>
          </rPr>
          <t xml:space="preserve">
previous Q, SI</t>
        </r>
      </text>
    </comment>
    <comment ref="B129" authorId="0" shapeId="0" xr:uid="{A928A6C8-4B91-4FD6-A767-9C58434904EE}">
      <text>
        <r>
          <rPr>
            <b/>
            <sz val="9"/>
            <color indexed="81"/>
            <rFont val="Tahoma"/>
            <family val="2"/>
          </rPr>
          <t>Administrator:</t>
        </r>
        <r>
          <rPr>
            <sz val="9"/>
            <color indexed="81"/>
            <rFont val="Tahoma"/>
            <family val="2"/>
          </rPr>
          <t xml:space="preserve">
previous Q, SI</t>
        </r>
      </text>
    </comment>
    <comment ref="C129" authorId="0" shapeId="0" xr:uid="{1B6BDC36-B441-46EC-AF74-2AB557021F86}">
      <text>
        <r>
          <rPr>
            <b/>
            <sz val="9"/>
            <color indexed="81"/>
            <rFont val="Tahoma"/>
            <family val="2"/>
          </rPr>
          <t>Administrator:</t>
        </r>
        <r>
          <rPr>
            <sz val="9"/>
            <color indexed="81"/>
            <rFont val="Tahoma"/>
            <family val="2"/>
          </rPr>
          <t xml:space="preserve">
previous Q, SI</t>
        </r>
      </text>
    </comment>
    <comment ref="B130" authorId="0" shapeId="0" xr:uid="{161300D1-91BC-4A72-A09F-6D18313F00F6}">
      <text>
        <r>
          <rPr>
            <b/>
            <sz val="9"/>
            <color indexed="81"/>
            <rFont val="Tahoma"/>
            <family val="2"/>
          </rPr>
          <t>Administrator:</t>
        </r>
        <r>
          <rPr>
            <sz val="9"/>
            <color indexed="81"/>
            <rFont val="Tahoma"/>
            <family val="2"/>
          </rPr>
          <t xml:space="preserve">
KMSS in q3</t>
        </r>
      </text>
    </comment>
    <comment ref="C130" authorId="0" shapeId="0" xr:uid="{8D4C80A5-8258-45DB-A525-B908539DD578}">
      <text>
        <r>
          <rPr>
            <b/>
            <sz val="9"/>
            <color indexed="81"/>
            <rFont val="Tahoma"/>
            <family val="2"/>
          </rPr>
          <t>Administrator:</t>
        </r>
        <r>
          <rPr>
            <sz val="9"/>
            <color indexed="81"/>
            <rFont val="Tahoma"/>
            <family val="2"/>
          </rPr>
          <t xml:space="preserve">
KMSS in q3</t>
        </r>
      </text>
    </comment>
    <comment ref="B131" authorId="0" shapeId="0" xr:uid="{3340FF7A-19B8-4041-ABCA-2D096B89F3B8}">
      <text>
        <r>
          <rPr>
            <b/>
            <sz val="9"/>
            <color indexed="81"/>
            <rFont val="Tahoma"/>
            <family val="2"/>
          </rPr>
          <t>Administrator:</t>
        </r>
        <r>
          <rPr>
            <sz val="9"/>
            <color indexed="81"/>
            <rFont val="Tahoma"/>
            <family val="2"/>
          </rPr>
          <t xml:space="preserve">
KMSS in q3</t>
        </r>
      </text>
    </comment>
    <comment ref="C131" authorId="0" shapeId="0" xr:uid="{C5FB59BC-C2B4-4967-8191-258CB99A8392}">
      <text>
        <r>
          <rPr>
            <b/>
            <sz val="9"/>
            <color indexed="81"/>
            <rFont val="Tahoma"/>
            <family val="2"/>
          </rPr>
          <t>Administrator:</t>
        </r>
        <r>
          <rPr>
            <sz val="9"/>
            <color indexed="81"/>
            <rFont val="Tahoma"/>
            <family val="2"/>
          </rPr>
          <t xml:space="preserve">
KMSS in q3</t>
        </r>
      </text>
    </comment>
    <comment ref="B137" authorId="0" shapeId="0" xr:uid="{DDCE381D-4B61-4925-A3C7-50570C8FFF90}">
      <text>
        <r>
          <rPr>
            <b/>
            <sz val="9"/>
            <color indexed="81"/>
            <rFont val="Tahoma"/>
            <family val="2"/>
          </rPr>
          <t>Administrator:</t>
        </r>
        <r>
          <rPr>
            <sz val="9"/>
            <color indexed="81"/>
            <rFont val="Tahoma"/>
            <family val="2"/>
          </rPr>
          <t xml:space="preserve">
KMSS in q3</t>
        </r>
      </text>
    </comment>
    <comment ref="C137" authorId="0" shapeId="0" xr:uid="{695457ED-D2C1-4661-B4A1-A26393C1BD28}">
      <text>
        <r>
          <rPr>
            <b/>
            <sz val="9"/>
            <color indexed="81"/>
            <rFont val="Tahoma"/>
            <family val="2"/>
          </rPr>
          <t>Administrator:</t>
        </r>
        <r>
          <rPr>
            <sz val="9"/>
            <color indexed="81"/>
            <rFont val="Tahoma"/>
            <family val="2"/>
          </rPr>
          <t xml:space="preserve">
KMSS in q3</t>
        </r>
      </text>
    </comment>
    <comment ref="B142" authorId="0" shapeId="0" xr:uid="{3995D9B7-05A0-4259-99BC-D797D5F2112E}">
      <text>
        <r>
          <rPr>
            <b/>
            <sz val="9"/>
            <color indexed="81"/>
            <rFont val="Tahoma"/>
            <family val="2"/>
          </rPr>
          <t>Administrator:</t>
        </r>
        <r>
          <rPr>
            <sz val="9"/>
            <color indexed="81"/>
            <rFont val="Tahoma"/>
            <family val="2"/>
          </rPr>
          <t xml:space="preserve">
previous Q, SI</t>
        </r>
      </text>
    </comment>
    <comment ref="C142" authorId="0" shapeId="0" xr:uid="{D5245056-5FD3-4980-B87C-25D437193C14}">
      <text>
        <r>
          <rPr>
            <b/>
            <sz val="9"/>
            <color indexed="81"/>
            <rFont val="Tahoma"/>
            <family val="2"/>
          </rPr>
          <t>Administrator:</t>
        </r>
        <r>
          <rPr>
            <sz val="9"/>
            <color indexed="81"/>
            <rFont val="Tahoma"/>
            <family val="2"/>
          </rPr>
          <t xml:space="preserve">
previous Q, SI</t>
        </r>
      </text>
    </comment>
    <comment ref="H176" authorId="0" shapeId="0" xr:uid="{465F701B-7D2C-4D50-902F-301B8EEC72D3}">
      <text>
        <r>
          <rPr>
            <b/>
            <sz val="9"/>
            <color indexed="81"/>
            <rFont val="Tahoma"/>
            <family val="2"/>
          </rPr>
          <t>Administrator:</t>
        </r>
        <r>
          <rPr>
            <sz val="9"/>
            <color indexed="81"/>
            <rFont val="Tahoma"/>
            <family val="2"/>
          </rPr>
          <t xml:space="preserve">
Tat Kone Emanuel Church</t>
        </r>
      </text>
    </comment>
    <comment ref="H187" authorId="2" shapeId="0" xr:uid="{7CCD1736-E191-40E4-A3B9-9440656E3792}">
      <text>
        <t>[Threaded comment]
Your version of Excel allows you to read this threaded comment; however, any edits to it will get removed if the file is opened in a newer version of Excel. Learn more: https://go.microsoft.com/fwlink/?linkid=870924
Comment:
    Including the data for AD 2000 extension</t>
      </text>
    </comment>
    <comment ref="BW191" authorId="3" shapeId="0" xr:uid="{9DFE2248-F842-4415-AE9F-2D0D6BB7C151}">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W193" authorId="4" shapeId="0" xr:uid="{166C3F2B-8DD4-4111-B4CB-6E6840E6A666}">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W194" authorId="5" shapeId="0" xr:uid="{0931F8E0-00FD-41AC-A843-55D15D104565}">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W195" authorId="6" shapeId="0" xr:uid="{B2E05BA6-522C-4AA7-A89F-BFEF87C0C98A}">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W196" authorId="7" shapeId="0" xr:uid="{65E04F2E-5A22-49E1-957F-62B3216A4E4A}">
      <text>
        <t>[Threaded comment]
Your version of Excel allows you to read this threaded comment; however, any edits to it will get removed if the file is opened in a newer version of Excel. Learn more: https://go.microsoft.com/fwlink/?linkid=870924
Comment:
    0 complaint in Q1 2022</t>
      </text>
    </comment>
    <comment ref="BN213" authorId="0" shapeId="0" xr:uid="{60AFE6DF-2475-40E0-BA54-A2D532E78903}">
      <text>
        <r>
          <rPr>
            <b/>
            <sz val="9"/>
            <color indexed="81"/>
            <rFont val="Tahoma"/>
            <family val="2"/>
          </rPr>
          <t>Administrator:</t>
        </r>
        <r>
          <rPr>
            <sz val="9"/>
            <color indexed="81"/>
            <rFont val="Tahoma"/>
            <family val="2"/>
          </rPr>
          <t xml:space="preserve">
just only adolesent HH (WCM)</t>
        </r>
      </text>
    </comment>
    <comment ref="BO213" authorId="0" shapeId="0" xr:uid="{B65992F4-04B2-4819-A06F-4C2AE2F5DE0E}">
      <text>
        <r>
          <rPr>
            <b/>
            <sz val="9"/>
            <color indexed="81"/>
            <rFont val="Tahoma"/>
            <family val="2"/>
          </rPr>
          <t>Administrator:</t>
        </r>
        <r>
          <rPr>
            <sz val="9"/>
            <color indexed="81"/>
            <rFont val="Tahoma"/>
            <family val="2"/>
          </rPr>
          <t xml:space="preserve">
Just onlu adolescent (age 11 yrs to 19 yrs)</t>
        </r>
      </text>
    </comment>
    <comment ref="AV217" authorId="8" shapeId="0" xr:uid="{99C24820-CCFB-4F36-B138-0CDC9822AC35}">
      <text>
        <r>
          <rPr>
            <b/>
            <sz val="9"/>
            <color indexed="81"/>
            <rFont val="Tahoma"/>
            <family val="2"/>
          </rPr>
          <t>DELL:</t>
        </r>
        <r>
          <rPr>
            <sz val="9"/>
            <color indexed="81"/>
            <rFont val="Tahoma"/>
            <family val="2"/>
          </rPr>
          <t xml:space="preserve">
18000gal * 5 Mth
</t>
        </r>
      </text>
    </comment>
    <comment ref="AW217" authorId="0" shapeId="0" xr:uid="{48CDD143-BD12-4483-8A36-FC85FC004254}">
      <text>
        <r>
          <rPr>
            <b/>
            <sz val="9"/>
            <color indexed="81"/>
            <rFont val="Tahoma"/>
            <family val="2"/>
          </rPr>
          <t>Administrator:</t>
        </r>
        <r>
          <rPr>
            <sz val="9"/>
            <color indexed="81"/>
            <rFont val="Tahoma"/>
            <family val="2"/>
          </rPr>
          <t xml:space="preserve">
90000 Gallon</t>
        </r>
      </text>
    </comment>
    <comment ref="BN222" authorId="0" shapeId="0" xr:uid="{8F51D38B-65FD-4215-A637-0635C4ABD3EC}">
      <text>
        <r>
          <rPr>
            <b/>
            <sz val="9"/>
            <color indexed="81"/>
            <rFont val="Tahoma"/>
            <family val="2"/>
          </rPr>
          <t>Administrator:</t>
        </r>
        <r>
          <rPr>
            <sz val="9"/>
            <color indexed="81"/>
            <rFont val="Tahoma"/>
            <family val="2"/>
          </rPr>
          <t xml:space="preserve">
Just only adolesent HH (from WCM) 
assume: 18% of total adolesent reached. </t>
        </r>
      </text>
    </comment>
    <comment ref="BO222" authorId="0" shapeId="0" xr:uid="{34A2F9CD-E02D-49D9-97F8-F9E344F11743}">
      <text>
        <r>
          <rPr>
            <b/>
            <sz val="9"/>
            <color indexed="81"/>
            <rFont val="Tahoma"/>
            <family val="2"/>
          </rPr>
          <t>Administrator:</t>
        </r>
        <r>
          <rPr>
            <sz val="9"/>
            <color indexed="81"/>
            <rFont val="Tahoma"/>
            <family val="2"/>
          </rPr>
          <t xml:space="preserve">
Just only adolescent</t>
        </r>
      </text>
    </comment>
    <comment ref="BN233" authorId="0" shapeId="0" xr:uid="{61539BD4-9785-4FF0-9B7C-C6E031F3D59E}">
      <text>
        <r>
          <rPr>
            <b/>
            <sz val="9"/>
            <color indexed="81"/>
            <rFont val="Tahoma"/>
            <family val="2"/>
          </rPr>
          <t>Administrator:</t>
        </r>
        <r>
          <rPr>
            <sz val="9"/>
            <color indexed="81"/>
            <rFont val="Tahoma"/>
            <family val="2"/>
          </rPr>
          <t xml:space="preserve">
WCM (Adolsencent)</t>
        </r>
      </text>
    </comment>
    <comment ref="BN244" authorId="0" shapeId="0" xr:uid="{56794DD4-766E-421C-969B-A69477F734DD}">
      <text>
        <r>
          <rPr>
            <b/>
            <sz val="9"/>
            <color indexed="81"/>
            <rFont val="Tahoma"/>
            <family val="2"/>
          </rPr>
          <t>Administrator:</t>
        </r>
        <r>
          <rPr>
            <sz val="9"/>
            <color indexed="81"/>
            <rFont val="Tahoma"/>
            <family val="2"/>
          </rPr>
          <t xml:space="preserve">
WCM</t>
        </r>
      </text>
    </comment>
    <comment ref="BO244" authorId="0" shapeId="0" xr:uid="{227E6214-9698-495A-B387-677403F14886}">
      <text>
        <r>
          <rPr>
            <b/>
            <sz val="9"/>
            <color indexed="81"/>
            <rFont val="Tahoma"/>
            <family val="2"/>
          </rPr>
          <t>Administrator:</t>
        </r>
        <r>
          <rPr>
            <sz val="9"/>
            <color indexed="81"/>
            <rFont val="Tahoma"/>
            <family val="2"/>
          </rPr>
          <t xml:space="preserve">
WCM</t>
        </r>
      </text>
    </comment>
    <comment ref="H256" authorId="0" shapeId="0" xr:uid="{600862BC-B475-49E3-BCC5-8FF7346AA9E1}">
      <text>
        <r>
          <rPr>
            <b/>
            <sz val="9"/>
            <color indexed="81"/>
            <rFont val="Tahoma"/>
            <family val="2"/>
          </rPr>
          <t>Administrator:</t>
        </r>
        <r>
          <rPr>
            <sz val="9"/>
            <color indexed="81"/>
            <rFont val="Tahoma"/>
            <family val="2"/>
          </rPr>
          <t xml:space="preserve">
relocated</t>
        </r>
      </text>
    </comment>
    <comment ref="B276" authorId="0" shapeId="0" xr:uid="{D27ED441-7014-47BD-95C6-741786F11BA7}">
      <text>
        <r>
          <rPr>
            <b/>
            <sz val="9"/>
            <color indexed="81"/>
            <rFont val="Tahoma"/>
            <family val="2"/>
          </rPr>
          <t>Administrator:</t>
        </r>
        <r>
          <rPr>
            <sz val="9"/>
            <color indexed="81"/>
            <rFont val="Tahoma"/>
            <family val="2"/>
          </rPr>
          <t xml:space="preserve">
not included in Q2-2022 reporing</t>
        </r>
      </text>
    </comment>
    <comment ref="C276" authorId="0" shapeId="0" xr:uid="{7BC138B2-9DE8-485D-BD1F-D0EB295A90BE}">
      <text>
        <r>
          <rPr>
            <b/>
            <sz val="9"/>
            <color indexed="81"/>
            <rFont val="Tahoma"/>
            <family val="2"/>
          </rPr>
          <t>Administrator:</t>
        </r>
        <r>
          <rPr>
            <sz val="9"/>
            <color indexed="81"/>
            <rFont val="Tahoma"/>
            <family val="2"/>
          </rPr>
          <t xml:space="preserve">
not included in Q2-2022 reporing</t>
        </r>
      </text>
    </comment>
    <comment ref="H276" authorId="0" shapeId="0" xr:uid="{CC2C1EAF-3BEF-4856-BF14-EDC563B674C1}">
      <text>
        <r>
          <rPr>
            <b/>
            <sz val="9"/>
            <color indexed="81"/>
            <rFont val="Tahoma"/>
            <family val="2"/>
          </rPr>
          <t>Administrator:</t>
        </r>
        <r>
          <rPr>
            <sz val="9"/>
            <color indexed="81"/>
            <rFont val="Tahoma"/>
            <family val="2"/>
          </rPr>
          <t xml:space="preserve">
 Zup Aung Relocation</t>
        </r>
      </text>
    </comment>
    <comment ref="H357" authorId="0" shapeId="0" xr:uid="{67339D9A-E161-4C28-8E83-0D131ACD45AE}">
      <text>
        <r>
          <rPr>
            <b/>
            <sz val="9"/>
            <color indexed="81"/>
            <rFont val="Tahoma"/>
            <family val="2"/>
          </rPr>
          <t>Administrator:</t>
        </r>
        <r>
          <rPr>
            <sz val="9"/>
            <color indexed="81"/>
            <rFont val="Tahoma"/>
            <family val="2"/>
          </rPr>
          <t xml:space="preserve">
Tat Kone Emanuel Church</t>
        </r>
      </text>
    </comment>
    <comment ref="H362" authorId="0" shapeId="0" xr:uid="{2B3E511F-F3AA-4BD1-A89E-C18594AA382A}">
      <text>
        <r>
          <rPr>
            <b/>
            <sz val="9"/>
            <color indexed="81"/>
            <rFont val="Tahoma"/>
            <family val="2"/>
          </rPr>
          <t>Administrator:</t>
        </r>
        <r>
          <rPr>
            <sz val="9"/>
            <color indexed="81"/>
            <rFont val="Tahoma"/>
            <family val="2"/>
          </rPr>
          <t xml:space="preserve">
Qtr. 3 Mu-yin  Baptist Church</t>
        </r>
      </text>
    </comment>
    <comment ref="H396" authorId="0" shapeId="0" xr:uid="{45CD64E5-A5B3-4979-BCC7-C9D69B4C7158}">
      <text>
        <r>
          <rPr>
            <b/>
            <sz val="9"/>
            <color indexed="81"/>
            <rFont val="Tahoma"/>
            <family val="2"/>
          </rPr>
          <t>Administrator:</t>
        </r>
        <r>
          <rPr>
            <sz val="9"/>
            <color indexed="81"/>
            <rFont val="Tahoma"/>
            <family val="2"/>
          </rPr>
          <t xml:space="preserve">
No Data Found from Metta (Kachin State).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2" authorId="0" shapeId="0" xr:uid="{187B15FA-AE64-43E0-98EB-D66FC1E07E1F}">
      <text>
        <r>
          <rPr>
            <b/>
            <sz val="9"/>
            <color indexed="81"/>
            <rFont val="Tahoma"/>
            <family val="2"/>
          </rPr>
          <t>Administrator:</t>
        </r>
        <r>
          <rPr>
            <sz val="9"/>
            <color indexed="81"/>
            <rFont val="Tahoma"/>
            <family val="2"/>
          </rPr>
          <t xml:space="preserve">
not include the data from cluster reporting partners</t>
        </r>
      </text>
    </commen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H29" authorId="0" shapeId="0" xr:uid="{7857E6BC-8CA1-4F07-9BAE-BD784F30C98D}">
      <text>
        <r>
          <rPr>
            <b/>
            <sz val="9"/>
            <color indexed="81"/>
            <rFont val="Tahoma"/>
            <family val="2"/>
          </rPr>
          <t>Administrator:</t>
        </r>
        <r>
          <rPr>
            <sz val="9"/>
            <color indexed="81"/>
            <rFont val="Tahoma"/>
            <family val="2"/>
          </rPr>
          <t xml:space="preserve">
June 3W</t>
        </r>
      </text>
    </comment>
    <comment ref="K31" authorId="0" shapeId="0" xr:uid="{12A44891-D8D8-4880-8A9F-AD4BC6934853}">
      <text>
        <r>
          <rPr>
            <b/>
            <sz val="9"/>
            <color indexed="81"/>
            <rFont val="Tahoma"/>
            <family val="2"/>
          </rPr>
          <t>Administrator:</t>
        </r>
        <r>
          <rPr>
            <sz val="9"/>
            <color indexed="81"/>
            <rFont val="Tahoma"/>
            <family val="2"/>
          </rPr>
          <t xml:space="preserve">
UNICEF may HPM</t>
        </r>
      </text>
    </comment>
    <comment ref="H32" authorId="0" shapeId="0" xr:uid="{43F903B9-BA0F-466A-AA24-5257314FB1B7}">
      <text>
        <r>
          <rPr>
            <b/>
            <sz val="9"/>
            <color indexed="81"/>
            <rFont val="Tahoma"/>
            <family val="2"/>
          </rPr>
          <t>Administrator:</t>
        </r>
        <r>
          <rPr>
            <sz val="9"/>
            <color indexed="81"/>
            <rFont val="Tahoma"/>
            <family val="2"/>
          </rPr>
          <t xml:space="preserve">
June 3W others</t>
        </r>
      </text>
    </comment>
    <comment ref="H33" authorId="0" shapeId="0" xr:uid="{694E4FAA-F1BE-406A-88F1-6D8474DA9866}">
      <text>
        <r>
          <rPr>
            <b/>
            <sz val="9"/>
            <color indexed="81"/>
            <rFont val="Tahoma"/>
            <family val="2"/>
          </rPr>
          <t>Administrator:</t>
        </r>
        <r>
          <rPr>
            <sz val="9"/>
            <color indexed="81"/>
            <rFont val="Tahoma"/>
            <family val="2"/>
          </rPr>
          <t xml:space="preserve">
June 3W</t>
        </r>
      </text>
    </comment>
    <comment ref="H36" authorId="0" shapeId="0" xr:uid="{77DADCAE-6602-4B50-9349-BFE9DF613704}">
      <text>
        <r>
          <rPr>
            <b/>
            <sz val="9"/>
            <color indexed="81"/>
            <rFont val="Tahoma"/>
            <family val="2"/>
          </rPr>
          <t>Administrator:</t>
        </r>
        <r>
          <rPr>
            <sz val="9"/>
            <color indexed="81"/>
            <rFont val="Tahoma"/>
            <family val="2"/>
          </rPr>
          <t xml:space="preserve">
June 3W</t>
        </r>
      </text>
    </comment>
    <comment ref="H37" authorId="0" shapeId="0" xr:uid="{178249FA-B3FB-4EF1-A20F-D0945E5152B1}">
      <text>
        <r>
          <rPr>
            <b/>
            <sz val="9"/>
            <color indexed="81"/>
            <rFont val="Tahoma"/>
            <family val="2"/>
          </rPr>
          <t>Administrator:</t>
        </r>
        <r>
          <rPr>
            <sz val="9"/>
            <color indexed="81"/>
            <rFont val="Tahoma"/>
            <family val="2"/>
          </rPr>
          <t xml:space="preserve">
June 3W</t>
        </r>
      </text>
    </comment>
    <comment ref="H44" authorId="0" shapeId="0" xr:uid="{CA064C7D-3140-4FCD-9E93-C7779B2AB02D}">
      <text>
        <r>
          <rPr>
            <b/>
            <sz val="9"/>
            <color indexed="81"/>
            <rFont val="Tahoma"/>
            <family val="2"/>
          </rPr>
          <t>Administrator:</t>
        </r>
        <r>
          <rPr>
            <sz val="9"/>
            <color indexed="81"/>
            <rFont val="Tahoma"/>
            <family val="2"/>
          </rPr>
          <t xml:space="preserve">
June 3W</t>
        </r>
      </text>
    </comment>
    <comment ref="H48" authorId="0" shapeId="0" xr:uid="{BF1744D9-32E2-434A-900F-82B1506278B6}">
      <text>
        <r>
          <rPr>
            <b/>
            <sz val="9"/>
            <color indexed="81"/>
            <rFont val="Tahoma"/>
            <family val="2"/>
          </rPr>
          <t>Administrator:</t>
        </r>
        <r>
          <rPr>
            <sz val="9"/>
            <color indexed="81"/>
            <rFont val="Tahoma"/>
            <family val="2"/>
          </rPr>
          <t xml:space="preserve">
June 3W</t>
        </r>
      </text>
    </comment>
    <comment ref="K50" authorId="0" shapeId="0" xr:uid="{BFFF9AD4-CFDF-4BED-8C7E-3B2CC612292F}">
      <text>
        <r>
          <rPr>
            <b/>
            <sz val="9"/>
            <color indexed="81"/>
            <rFont val="Tahoma"/>
            <family val="2"/>
          </rPr>
          <t>Administrator:</t>
        </r>
        <r>
          <rPr>
            <sz val="9"/>
            <color indexed="81"/>
            <rFont val="Tahoma"/>
            <family val="2"/>
          </rPr>
          <t xml:space="preserve">
UNICEF June HPM
</t>
        </r>
      </text>
    </comment>
    <comment ref="H51" authorId="0" shapeId="0" xr:uid="{AB50DA5E-7741-41FD-8FD3-93037FE3E80F}">
      <text>
        <r>
          <rPr>
            <b/>
            <sz val="9"/>
            <color indexed="81"/>
            <rFont val="Tahoma"/>
            <family val="2"/>
          </rPr>
          <t>Administrator:</t>
        </r>
        <r>
          <rPr>
            <sz val="9"/>
            <color indexed="81"/>
            <rFont val="Tahoma"/>
            <family val="2"/>
          </rPr>
          <t xml:space="preserve">
June 3W</t>
        </r>
      </text>
    </comment>
    <comment ref="K51" authorId="0" shapeId="0" xr:uid="{AAF3BF34-AA98-4A80-93AC-9286F3B43EF7}">
      <text>
        <r>
          <rPr>
            <b/>
            <sz val="9"/>
            <color indexed="81"/>
            <rFont val="Tahoma"/>
            <family val="2"/>
          </rPr>
          <t>Administrator:</t>
        </r>
        <r>
          <rPr>
            <sz val="9"/>
            <color indexed="81"/>
            <rFont val="Tahoma"/>
            <family val="2"/>
          </rPr>
          <t xml:space="preserve">
UNICEF June HPM</t>
        </r>
      </text>
    </comment>
    <comment ref="H52" authorId="0" shapeId="0" xr:uid="{5D0008A2-D39F-49F5-A3ED-A190503017BC}">
      <text>
        <r>
          <rPr>
            <b/>
            <sz val="9"/>
            <color indexed="81"/>
            <rFont val="Tahoma"/>
            <family val="2"/>
          </rPr>
          <t>Administrator:</t>
        </r>
        <r>
          <rPr>
            <sz val="9"/>
            <color indexed="81"/>
            <rFont val="Tahoma"/>
            <family val="2"/>
          </rPr>
          <t xml:space="preserve">
June 3W</t>
        </r>
      </text>
    </comment>
    <comment ref="H55" authorId="0" shapeId="0" xr:uid="{D0834696-709B-47EB-B03B-1DA1ACABA053}">
      <text>
        <r>
          <rPr>
            <b/>
            <sz val="9"/>
            <color indexed="81"/>
            <rFont val="Tahoma"/>
            <family val="2"/>
          </rPr>
          <t>Administrator:</t>
        </r>
        <r>
          <rPr>
            <sz val="9"/>
            <color indexed="81"/>
            <rFont val="Tahoma"/>
            <family val="2"/>
          </rPr>
          <t xml:space="preserve">
June 3W
</t>
        </r>
      </text>
    </comment>
    <comment ref="H56" authorId="0" shapeId="0" xr:uid="{E153BD18-995B-47E8-8425-8F169BD6CCC4}">
      <text>
        <r>
          <rPr>
            <b/>
            <sz val="9"/>
            <color indexed="81"/>
            <rFont val="Tahoma"/>
            <family val="2"/>
          </rPr>
          <t>Administrator:</t>
        </r>
        <r>
          <rPr>
            <sz val="9"/>
            <color indexed="81"/>
            <rFont val="Tahoma"/>
            <family val="2"/>
          </rPr>
          <t xml:space="preserve">
June 3W</t>
        </r>
      </text>
    </comment>
    <comment ref="H58" authorId="0" shapeId="0" xr:uid="{CFA441A3-9329-4CAB-962C-2DAD8CB53E47}">
      <text>
        <r>
          <rPr>
            <b/>
            <sz val="9"/>
            <color indexed="81"/>
            <rFont val="Tahoma"/>
            <family val="2"/>
          </rPr>
          <t>Administrator:</t>
        </r>
        <r>
          <rPr>
            <sz val="9"/>
            <color indexed="81"/>
            <rFont val="Tahoma"/>
            <family val="2"/>
          </rPr>
          <t xml:space="preserve">
June 3W</t>
        </r>
      </text>
    </comment>
    <comment ref="K58" authorId="0" shapeId="0" xr:uid="{0E8A3911-33E5-448C-9D62-5BF696F1820B}">
      <text>
        <r>
          <rPr>
            <b/>
            <sz val="9"/>
            <color indexed="81"/>
            <rFont val="Tahoma"/>
            <family val="2"/>
          </rPr>
          <t>Administrator:</t>
        </r>
        <r>
          <rPr>
            <sz val="9"/>
            <color indexed="81"/>
            <rFont val="Tahoma"/>
            <family val="2"/>
          </rPr>
          <t xml:space="preserve">
June unicef HPM</t>
        </r>
      </text>
    </comment>
    <comment ref="L58" authorId="0" shapeId="0" xr:uid="{51318688-574C-4CDC-BD0E-B3B31D08C441}">
      <text>
        <r>
          <rPr>
            <b/>
            <sz val="9"/>
            <color indexed="81"/>
            <rFont val="Tahoma"/>
            <family val="2"/>
          </rPr>
          <t>Administrator:</t>
        </r>
        <r>
          <rPr>
            <sz val="9"/>
            <color indexed="81"/>
            <rFont val="Tahoma"/>
            <family val="2"/>
          </rPr>
          <t xml:space="preserve">
June unicef HPM</t>
        </r>
      </text>
    </comment>
    <comment ref="H67" authorId="0" shapeId="0" xr:uid="{750259D7-AFB8-4DFA-9ABF-BF51EBB329EC}">
      <text>
        <r>
          <rPr>
            <b/>
            <sz val="9"/>
            <color indexed="81"/>
            <rFont val="Tahoma"/>
            <family val="2"/>
          </rPr>
          <t>Administrator:</t>
        </r>
        <r>
          <rPr>
            <sz val="9"/>
            <color indexed="81"/>
            <rFont val="Tahoma"/>
            <family val="2"/>
          </rPr>
          <t xml:space="preserve">
June 3W</t>
        </r>
      </text>
    </comment>
    <comment ref="K67" authorId="0" shapeId="0" xr:uid="{1DDD9A4F-9788-4F22-905D-4A34F65DA4FE}">
      <text>
        <r>
          <rPr>
            <b/>
            <sz val="9"/>
            <color indexed="81"/>
            <rFont val="Tahoma"/>
            <family val="2"/>
          </rPr>
          <t>Administrator:</t>
        </r>
        <r>
          <rPr>
            <sz val="9"/>
            <color indexed="81"/>
            <rFont val="Tahoma"/>
            <family val="2"/>
          </rPr>
          <t xml:space="preserve">
6600 increased in may hpm</t>
        </r>
      </text>
    </comment>
    <comment ref="H68" authorId="0" shapeId="0" xr:uid="{B92147A7-81B7-4301-9E19-BADD0773867C}">
      <text>
        <r>
          <rPr>
            <b/>
            <sz val="9"/>
            <color indexed="81"/>
            <rFont val="Tahoma"/>
            <family val="2"/>
          </rPr>
          <t>Administrator:</t>
        </r>
        <r>
          <rPr>
            <sz val="9"/>
            <color indexed="81"/>
            <rFont val="Tahoma"/>
            <family val="2"/>
          </rPr>
          <t xml:space="preserve">
June 3W</t>
        </r>
      </text>
    </comment>
    <comment ref="H69" authorId="0" shapeId="0" xr:uid="{F557A60E-6183-4445-98EB-950450294C2B}">
      <text>
        <r>
          <rPr>
            <b/>
            <sz val="9"/>
            <color indexed="81"/>
            <rFont val="Tahoma"/>
            <family val="2"/>
          </rPr>
          <t>Administrator:</t>
        </r>
        <r>
          <rPr>
            <sz val="9"/>
            <color indexed="81"/>
            <rFont val="Tahoma"/>
            <family val="2"/>
          </rPr>
          <t xml:space="preserve">
June 3W not include UNICEF- including UNICEF 30539</t>
        </r>
      </text>
    </comment>
    <comment ref="K69" authorId="0" shapeId="0" xr:uid="{CE44119D-C5CA-4320-A6A1-79D19D6B501B}">
      <text>
        <r>
          <rPr>
            <b/>
            <sz val="9"/>
            <color indexed="81"/>
            <rFont val="Tahoma"/>
            <family val="2"/>
          </rPr>
          <t>Administrator:</t>
        </r>
        <r>
          <rPr>
            <sz val="9"/>
            <color indexed="81"/>
            <rFont val="Tahoma"/>
            <family val="2"/>
          </rPr>
          <t xml:space="preserve">
June unicef HPM</t>
        </r>
      </text>
    </comment>
    <comment ref="H70" authorId="0" shapeId="0" xr:uid="{5E92B432-10C5-4387-AF00-E2004DF081E1}">
      <text>
        <r>
          <rPr>
            <b/>
            <sz val="9"/>
            <color indexed="81"/>
            <rFont val="Tahoma"/>
            <family val="2"/>
          </rPr>
          <t>Administrator:</t>
        </r>
        <r>
          <rPr>
            <sz val="9"/>
            <color indexed="81"/>
            <rFont val="Tahoma"/>
            <family val="2"/>
          </rPr>
          <t xml:space="preserve">
June 3W</t>
        </r>
      </text>
    </comment>
    <comment ref="H74" authorId="0" shapeId="0" xr:uid="{B35F413A-30D3-4096-96D8-BE21CE27E42D}">
      <text>
        <r>
          <rPr>
            <b/>
            <sz val="9"/>
            <color indexed="81"/>
            <rFont val="Tahoma"/>
            <family val="2"/>
          </rPr>
          <t>Administrator:</t>
        </r>
        <r>
          <rPr>
            <sz val="9"/>
            <color indexed="81"/>
            <rFont val="Tahoma"/>
            <family val="2"/>
          </rPr>
          <t xml:space="preserve">
June 3W</t>
        </r>
      </text>
    </comment>
    <comment ref="L74" authorId="0" shapeId="0" xr:uid="{81F1E05B-498C-431C-9A8E-13EA134A7A2C}">
      <text>
        <r>
          <rPr>
            <b/>
            <sz val="9"/>
            <color indexed="81"/>
            <rFont val="Tahoma"/>
            <family val="2"/>
          </rPr>
          <t>Administrator:</t>
        </r>
        <r>
          <rPr>
            <sz val="9"/>
            <color indexed="81"/>
            <rFont val="Tahoma"/>
            <family val="2"/>
          </rPr>
          <t xml:space="preserve">
WFP-nRS</t>
        </r>
      </text>
    </comment>
    <comment ref="H75" authorId="0" shapeId="0" xr:uid="{C3C84ACE-6622-4009-92F4-8E1FC5D44FD5}">
      <text>
        <r>
          <rPr>
            <b/>
            <sz val="9"/>
            <color indexed="81"/>
            <rFont val="Tahoma"/>
            <family val="2"/>
          </rPr>
          <t>Administrator:</t>
        </r>
        <r>
          <rPr>
            <sz val="9"/>
            <color indexed="81"/>
            <rFont val="Tahoma"/>
            <family val="2"/>
          </rPr>
          <t xml:space="preserve">
June 3W</t>
        </r>
      </text>
    </comment>
    <comment ref="H77" authorId="0" shapeId="0" xr:uid="{7985C338-EBF2-47B6-B3D9-7F2212C9B565}">
      <text>
        <r>
          <rPr>
            <b/>
            <sz val="9"/>
            <color indexed="81"/>
            <rFont val="Tahoma"/>
            <family val="2"/>
          </rPr>
          <t>Administrator:</t>
        </r>
        <r>
          <rPr>
            <sz val="9"/>
            <color indexed="81"/>
            <rFont val="Tahoma"/>
            <family val="2"/>
          </rPr>
          <t xml:space="preserve">
June 3W</t>
        </r>
      </text>
    </comment>
    <comment ref="H78" authorId="0" shapeId="0" xr:uid="{1F237D58-FE10-48E7-ADBE-5CAB74053B99}">
      <text>
        <r>
          <rPr>
            <b/>
            <sz val="9"/>
            <color indexed="81"/>
            <rFont val="Tahoma"/>
            <family val="2"/>
          </rPr>
          <t>Administrator:</t>
        </r>
        <r>
          <rPr>
            <sz val="9"/>
            <color indexed="81"/>
            <rFont val="Tahoma"/>
            <family val="2"/>
          </rPr>
          <t xml:space="preserve">
June 3W others</t>
        </r>
      </text>
    </comment>
    <comment ref="K80" authorId="0" shapeId="0" xr:uid="{CABC600D-34AB-40EA-9F21-75078B912326}">
      <text>
        <r>
          <rPr>
            <b/>
            <sz val="9"/>
            <color indexed="81"/>
            <rFont val="Tahoma"/>
            <family val="2"/>
          </rPr>
          <t>Administrator:</t>
        </r>
        <r>
          <rPr>
            <sz val="9"/>
            <color indexed="81"/>
            <rFont val="Tahoma"/>
            <family val="2"/>
          </rPr>
          <t xml:space="preserve">
7500 increase in may HPM</t>
        </r>
      </text>
    </comment>
    <comment ref="H93" authorId="0" shapeId="0" xr:uid="{759CA627-9D9D-47B5-A591-0EE47E7B71BD}">
      <text>
        <r>
          <rPr>
            <b/>
            <sz val="9"/>
            <color indexed="81"/>
            <rFont val="Tahoma"/>
            <family val="2"/>
          </rPr>
          <t>Administrator:</t>
        </r>
        <r>
          <rPr>
            <sz val="9"/>
            <color indexed="81"/>
            <rFont val="Tahoma"/>
            <family val="2"/>
          </rPr>
          <t xml:space="preserve">
June 3W</t>
        </r>
      </text>
    </comment>
    <comment ref="H131" authorId="0" shapeId="0" xr:uid="{4EC6CEE0-FF1F-4518-BD89-37345359C796}">
      <text>
        <r>
          <rPr>
            <b/>
            <sz val="9"/>
            <color indexed="81"/>
            <rFont val="Tahoma"/>
            <family val="2"/>
          </rPr>
          <t>Administrator:</t>
        </r>
        <r>
          <rPr>
            <sz val="9"/>
            <color indexed="81"/>
            <rFont val="Tahoma"/>
            <family val="2"/>
          </rPr>
          <t xml:space="preserve">
5343 reported in feb HPM</t>
        </r>
      </text>
    </comment>
    <comment ref="H133" authorId="0" shapeId="0" xr:uid="{43BAF532-8834-4E59-A012-F227BD33C058}">
      <text>
        <r>
          <rPr>
            <b/>
            <sz val="9"/>
            <color indexed="81"/>
            <rFont val="Tahoma"/>
            <family val="2"/>
          </rPr>
          <t>Administrator:</t>
        </r>
        <r>
          <rPr>
            <sz val="9"/>
            <color indexed="81"/>
            <rFont val="Tahoma"/>
            <family val="2"/>
          </rPr>
          <t xml:space="preserve">
June 3W</t>
        </r>
      </text>
    </comment>
    <comment ref="H134" authorId="0" shapeId="0" xr:uid="{50D66EBB-AB91-42E3-939A-1F80005FFADA}">
      <text>
        <r>
          <rPr>
            <b/>
            <sz val="9"/>
            <color indexed="81"/>
            <rFont val="Tahoma"/>
            <family val="2"/>
          </rPr>
          <t>Administrator:</t>
        </r>
        <r>
          <rPr>
            <sz val="9"/>
            <color indexed="81"/>
            <rFont val="Tahoma"/>
            <family val="2"/>
          </rPr>
          <t xml:space="preserve">
May SE 3W not include ADRA-UNICEF</t>
        </r>
      </text>
    </comment>
    <comment ref="K134" authorId="0" shapeId="0" xr:uid="{E481029A-DC7F-4890-9607-C98AD0C9D7BA}">
      <text>
        <r>
          <rPr>
            <b/>
            <sz val="9"/>
            <color indexed="81"/>
            <rFont val="Tahoma"/>
            <family val="2"/>
          </rPr>
          <t>Administrator:</t>
        </r>
        <r>
          <rPr>
            <sz val="9"/>
            <color indexed="81"/>
            <rFont val="Tahoma"/>
            <family val="2"/>
          </rPr>
          <t xml:space="preserve">
UNICEF may HPM-ADRA</t>
        </r>
      </text>
    </comment>
    <comment ref="H135" authorId="0" shapeId="0" xr:uid="{BC349601-72F1-4C08-A82D-93D359C97EA1}">
      <text>
        <r>
          <rPr>
            <b/>
            <sz val="9"/>
            <color indexed="81"/>
            <rFont val="Tahoma"/>
            <family val="2"/>
          </rPr>
          <t>Administrator:</t>
        </r>
        <r>
          <rPr>
            <sz val="9"/>
            <color indexed="81"/>
            <rFont val="Tahoma"/>
            <family val="2"/>
          </rPr>
          <t xml:space="preserve">
reported in feb HPM</t>
        </r>
      </text>
    </comment>
    <comment ref="H138" authorId="0" shapeId="0" xr:uid="{A46AFDAD-0B0B-45D4-91B5-612927D55F35}">
      <text>
        <r>
          <rPr>
            <b/>
            <sz val="9"/>
            <color indexed="81"/>
            <rFont val="Tahoma"/>
            <family val="2"/>
          </rPr>
          <t>Administrator:</t>
        </r>
        <r>
          <rPr>
            <sz val="9"/>
            <color indexed="81"/>
            <rFont val="Tahoma"/>
            <family val="2"/>
          </rPr>
          <t xml:space="preserve">
June 3W</t>
        </r>
      </text>
    </comment>
    <comment ref="H139" authorId="0" shapeId="0" xr:uid="{C5C4A01F-C6F5-422A-8E2B-DC62B84777DA}">
      <text>
        <r>
          <rPr>
            <b/>
            <sz val="9"/>
            <color indexed="81"/>
            <rFont val="Tahoma"/>
            <family val="2"/>
          </rPr>
          <t>Administrator:</t>
        </r>
        <r>
          <rPr>
            <sz val="9"/>
            <color indexed="81"/>
            <rFont val="Tahoma"/>
            <family val="2"/>
          </rPr>
          <t xml:space="preserve">
June 3W</t>
        </r>
      </text>
    </comment>
    <comment ref="H141" authorId="0" shapeId="0" xr:uid="{3AF2DC92-93AB-4E1A-9F86-37598B8B83AB}">
      <text>
        <r>
          <rPr>
            <b/>
            <sz val="9"/>
            <color indexed="81"/>
            <rFont val="Tahoma"/>
            <family val="2"/>
          </rPr>
          <t>Administrator:</t>
        </r>
        <r>
          <rPr>
            <sz val="9"/>
            <color indexed="81"/>
            <rFont val="Tahoma"/>
            <family val="2"/>
          </rPr>
          <t xml:space="preserve">
June 3W</t>
        </r>
      </text>
    </comment>
    <comment ref="H142" authorId="0" shapeId="0" xr:uid="{C9A56305-79B3-4457-BA83-C6C9A5AD2B87}">
      <text>
        <r>
          <rPr>
            <b/>
            <sz val="9"/>
            <color indexed="81"/>
            <rFont val="Tahoma"/>
            <family val="2"/>
          </rPr>
          <t>Administrator:</t>
        </r>
        <r>
          <rPr>
            <sz val="9"/>
            <color indexed="81"/>
            <rFont val="Tahoma"/>
            <family val="2"/>
          </rPr>
          <t xml:space="preserve">
June 3W</t>
        </r>
      </text>
    </comment>
    <comment ref="K144" authorId="0" shapeId="0" xr:uid="{14A1A637-35A9-42F9-A1C6-5AD4E092100F}">
      <text>
        <r>
          <rPr>
            <b/>
            <sz val="9"/>
            <color indexed="81"/>
            <rFont val="Tahoma"/>
            <family val="2"/>
          </rPr>
          <t>Administrator:</t>
        </r>
        <r>
          <rPr>
            <sz val="9"/>
            <color indexed="81"/>
            <rFont val="Tahoma"/>
            <family val="2"/>
          </rPr>
          <t xml:space="preserve">
UNICEF may HPM</t>
        </r>
      </text>
    </comment>
    <comment ref="H150" authorId="0" shapeId="0" xr:uid="{372E84FF-E75A-4111-BE06-E5BCE3FF0274}">
      <text>
        <r>
          <rPr>
            <b/>
            <sz val="9"/>
            <color indexed="81"/>
            <rFont val="Tahoma"/>
            <family val="2"/>
          </rPr>
          <t>Administrator:</t>
        </r>
        <r>
          <rPr>
            <sz val="9"/>
            <color indexed="81"/>
            <rFont val="Tahoma"/>
            <family val="2"/>
          </rPr>
          <t xml:space="preserve">
June 3W</t>
        </r>
      </text>
    </comment>
    <comment ref="H151" authorId="0" shapeId="0" xr:uid="{FE95A39E-B0E5-41B7-BE78-D273C271A7CA}">
      <text>
        <r>
          <rPr>
            <b/>
            <sz val="9"/>
            <color indexed="81"/>
            <rFont val="Tahoma"/>
            <family val="2"/>
          </rPr>
          <t>Administrator:</t>
        </r>
        <r>
          <rPr>
            <sz val="9"/>
            <color indexed="81"/>
            <rFont val="Tahoma"/>
            <family val="2"/>
          </rPr>
          <t xml:space="preserve">
June 3W</t>
        </r>
      </text>
    </comment>
    <comment ref="H152" authorId="0" shapeId="0" xr:uid="{D63043D8-9895-4EFE-809C-91A0A33CDE43}">
      <text>
        <r>
          <rPr>
            <b/>
            <sz val="9"/>
            <color indexed="81"/>
            <rFont val="Tahoma"/>
            <family val="2"/>
          </rPr>
          <t>Administrator:</t>
        </r>
        <r>
          <rPr>
            <sz val="9"/>
            <color indexed="81"/>
            <rFont val="Tahoma"/>
            <family val="2"/>
          </rPr>
          <t xml:space="preserve">
June 3W</t>
        </r>
      </text>
    </comment>
    <comment ref="H153" authorId="0" shapeId="0" xr:uid="{1DDCBEEF-8D62-4F6E-989A-B009258B7965}">
      <text>
        <r>
          <rPr>
            <b/>
            <sz val="9"/>
            <color indexed="81"/>
            <rFont val="Tahoma"/>
            <family val="2"/>
          </rPr>
          <t>Administrator:</t>
        </r>
        <r>
          <rPr>
            <sz val="9"/>
            <color indexed="81"/>
            <rFont val="Tahoma"/>
            <family val="2"/>
          </rPr>
          <t xml:space="preserve">
June 3W</t>
        </r>
      </text>
    </comment>
    <comment ref="H157" authorId="0" shapeId="0" xr:uid="{055EFAFE-8036-48E2-86D1-7F54CD1ECB47}">
      <text>
        <r>
          <rPr>
            <b/>
            <sz val="9"/>
            <color indexed="81"/>
            <rFont val="Tahoma"/>
            <family val="2"/>
          </rPr>
          <t>Administrator:</t>
        </r>
        <r>
          <rPr>
            <sz val="9"/>
            <color indexed="81"/>
            <rFont val="Tahoma"/>
            <family val="2"/>
          </rPr>
          <t xml:space="preserve">
June 3W</t>
        </r>
      </text>
    </comment>
    <comment ref="L157" authorId="0" shapeId="0" xr:uid="{12526468-4B27-4255-9B6B-A2B1C590FAF0}">
      <text>
        <r>
          <rPr>
            <b/>
            <sz val="9"/>
            <color indexed="81"/>
            <rFont val="Tahoma"/>
            <family val="2"/>
          </rPr>
          <t>Administrator:</t>
        </r>
        <r>
          <rPr>
            <sz val="9"/>
            <color indexed="81"/>
            <rFont val="Tahoma"/>
            <family val="2"/>
          </rPr>
          <t xml:space="preserve">
WFP-nRS</t>
        </r>
      </text>
    </comment>
    <comment ref="H158" authorId="0" shapeId="0" xr:uid="{E11731D1-FFC7-4D90-925B-CC7A18D520D8}">
      <text>
        <r>
          <rPr>
            <b/>
            <sz val="9"/>
            <color indexed="81"/>
            <rFont val="Tahoma"/>
            <family val="2"/>
          </rPr>
          <t>Administrator:</t>
        </r>
        <r>
          <rPr>
            <sz val="9"/>
            <color indexed="81"/>
            <rFont val="Tahoma"/>
            <family val="2"/>
          </rPr>
          <t xml:space="preserve">
June 3W</t>
        </r>
      </text>
    </comment>
    <comment ref="H160" authorId="0" shapeId="0" xr:uid="{63DF7A8A-DB5A-458A-9363-F118C1591061}">
      <text>
        <r>
          <rPr>
            <b/>
            <sz val="9"/>
            <color indexed="81"/>
            <rFont val="Tahoma"/>
            <family val="2"/>
          </rPr>
          <t>Administrator:</t>
        </r>
        <r>
          <rPr>
            <sz val="9"/>
            <color indexed="81"/>
            <rFont val="Tahoma"/>
            <family val="2"/>
          </rPr>
          <t xml:space="preserve">
June 3W</t>
        </r>
      </text>
    </comment>
    <comment ref="H161" authorId="0" shapeId="0" xr:uid="{98635FD8-D94D-4FAE-B958-A0E83226C507}">
      <text>
        <r>
          <rPr>
            <b/>
            <sz val="9"/>
            <color indexed="81"/>
            <rFont val="Tahoma"/>
            <family val="2"/>
          </rPr>
          <t>Administrator:</t>
        </r>
        <r>
          <rPr>
            <sz val="9"/>
            <color indexed="81"/>
            <rFont val="Tahoma"/>
            <family val="2"/>
          </rPr>
          <t xml:space="preserve">
June 3W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6"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WWWW].[Covered].&amp;[Covered]}"/>
    <s v="{[WWWW].[#_Water sources tested for fecal coliform].&amp;[1],[WWWW].[#_Water sources tested for fecal coliform].&amp;[2],[WWWW].[#_Water sources tested for fecal coliform].&amp;[3],[WWWW].[#_Water sources tested for fecal coliform].&amp;[4],[WWWW].[#_Water sources tested for fecal coliform].&amp;[5],[WWWW].[#_Water sources tested for fecal coliform].&amp;[6],[WWWW].[#_Water sources tested for fecal coliform].&amp;[7],[WWWW].[#_Water sources tested for fecal coliform].&amp;[9],[WWWW].[#_Water sources tested for fecal coliform].&amp;[10],[WWWW].[#_Water sources tested for fecal coliform].&amp;[15]}"/>
    <s v="{[WWWW].[#_Household water samples tested for fecal coliform].&amp;[3],[WWWW].[#_Household water samples tested for fecal coliform].&amp;[6],[WWWW].[#_Household water samples tested for fecal coliform].&amp;[8],[WWWW].[#_Household water samples tested for fecal coliform].&amp;[9],[WWWW].[#_Household water samples tested for fecal coliform].&amp;[10],[WWWW].[#_Household water samples tested for fecal coliform].&amp;[15],[WWWW].[#_Household water samples tested for fecal coliform].&amp;[18],[WWWW].[#_Household water samples tested for fecal coliform].&amp;[19],[WWWW].[#_Household water samples tested for fecal coliform].&amp;[21],[WWWW].[#_Household water samples tested for fecal coliform].&amp;[27],[WWWW].[#_Household water samples tested for fecal coliform].&amp;[29],[WWWW].[#_Household water samples tested for fecal coliform].&amp;[36]}"/>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<sst xmlns="http://schemas.openxmlformats.org/spreadsheetml/2006/main" count="16134" uniqueCount="3180">
  <si>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</si>
  <si>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</si>
  <si>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</si>
  <si>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</si>
  <si>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</si>
  <si>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</si>
  <si>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</si>
  <si>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</si>
  <si>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</si>
  <si>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</si>
  <si>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</si>
  <si>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</si>
  <si>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</si>
  <si>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</si>
  <si>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</si>
  <si>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</si>
  <si>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</si>
  <si>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</si>
  <si>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</si>
  <si>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</si>
  <si>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</si>
  <si>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</si>
  <si>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</si>
  <si>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</si>
  <si>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</si>
  <si>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</si>
  <si>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</si>
  <si>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</si>
  <si>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</si>
  <si>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</si>
  <si>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</si>
  <si>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</si>
  <si>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</si>
  <si>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</si>
  <si>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</si>
  <si>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</si>
  <si>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</si>
  <si>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</si>
  <si>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</si>
  <si>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</si>
  <si>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</si>
  <si>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</si>
  <si>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</si>
  <si>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</si>
  <si>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</si>
  <si>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</si>
  <si>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</si>
  <si>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</si>
  <si>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</si>
  <si>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</si>
  <si>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</si>
  <si>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</si>
  <si>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</si>
  <si>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</si>
  <si>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</si>
  <si>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</si>
  <si>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</si>
  <si>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</si>
  <si>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</si>
  <si>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</si>
  <si>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</si>
  <si>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</si>
  <si>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</si>
  <si>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</si>
  <si>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</si>
  <si>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</si>
  <si>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</si>
  <si>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</si>
  <si>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</si>
  <si>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</si>
  <si>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</si>
  <si>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</si>
  <si>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</si>
  <si>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</si>
  <si>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</si>
  <si>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</si>
  <si>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</si>
  <si>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</si>
  <si>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</si>
  <si>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</si>
  <si>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</si>
  <si>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</si>
  <si>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</si>
  <si>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</si>
  <si>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</si>
  <si>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</si>
  <si>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</si>
  <si>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</si>
  <si>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</si>
  <si>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</si>
  <si>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</si>
  <si>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</si>
  <si>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</si>
  <si>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</si>
  <si>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</si>
  <si>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</si>
  <si>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</si>
  <si>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</si>
  <si>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</si>
  <si>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</si>
  <si>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</si>
  <si>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</si>
  <si>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</si>
  <si>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</si>
  <si>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</si>
  <si>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</si>
  <si>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</si>
  <si>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</si>
  <si>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</si>
  <si>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</si>
  <si>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</si>
  <si>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</si>
  <si>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</si>
  <si>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</si>
  <si>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</si>
  <si>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</si>
  <si>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</si>
  <si>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</si>
  <si>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</si>
  <si>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</si>
  <si>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</si>
  <si>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</si>
  <si>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</si>
  <si>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</si>
  <si>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</si>
  <si>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</si>
  <si>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</si>
  <si>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</si>
  <si>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</si>
  <si>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</si>
  <si>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</si>
  <si>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</si>
  <si>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</si>
  <si>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</si>
  <si>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</si>
  <si>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</si>
  <si>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</si>
  <si>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</si>
  <si>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</si>
  <si>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</si>
  <si>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</si>
  <si>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</si>
  <si>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</si>
  <si>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</si>
  <si>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</si>
  <si>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</si>
  <si>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</si>
  <si>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</si>
  <si>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</si>
  <si>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</si>
  <si>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</si>
  <si>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</si>
  <si>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</si>
  <si>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</si>
  <si>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</si>
  <si>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</si>
  <si>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</si>
  <si>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</si>
  <si>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</si>
  <si>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</si>
  <si>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</si>
  <si>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</si>
  <si>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</si>
  <si>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</si>
  <si>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</si>
  <si>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</si>
  <si>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</si>
  <si>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</si>
  <si>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</si>
  <si>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</si>
  <si>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</si>
  <si>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</si>
  <si>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</si>
  <si>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</si>
  <si>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</si>
  <si>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</si>
  <si>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</si>
  <si>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</si>
  <si>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</si>
  <si>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</si>
  <si>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</si>
  <si>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</si>
  <si>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</si>
  <si>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</si>
  <si>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</si>
  <si>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</si>
  <si>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</si>
  <si>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</si>
  <si>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</si>
  <si>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</si>
  <si>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</si>
  <si>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</si>
  <si>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</si>
  <si>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</si>
  <si>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</si>
  <si>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</si>
  <si>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</si>
  <si>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</si>
  <si>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</si>
  <si>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</si>
  <si>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</si>
  <si>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</si>
  <si>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</si>
  <si>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</si>
  <si>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</si>
  <si>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</si>
  <si>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</si>
  <si>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</si>
  <si>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</si>
  <si>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</si>
  <si>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</si>
  <si>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</si>
  <si>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</si>
  <si>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</si>
  <si>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</si>
  <si>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</si>
  <si>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</si>
  <si>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</si>
  <si>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</si>
  <si>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</si>
  <si>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</si>
  <si>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</si>
  <si>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</si>
  <si>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</si>
  <si>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</si>
  <si>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</si>
  <si>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</si>
  <si>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</si>
  <si>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</si>
  <si>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</si>
  <si>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</si>
  <si>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</si>
  <si>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</si>
  <si>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</si>
  <si>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</si>
  <si>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</si>
  <si>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</si>
  <si>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</si>
  <si>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</si>
  <si>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</si>
  <si>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</si>
  <si>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</si>
  <si>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</si>
  <si>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</si>
  <si>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</si>
  <si>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</si>
  <si>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</si>
  <si>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</si>
  <si>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</si>
  <si>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</si>
  <si>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</si>
  <si>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</si>
  <si>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</si>
  <si>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</si>
  <si>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</si>
  <si>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</si>
  <si>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</si>
  <si>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</si>
  <si>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</si>
  <si>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</si>
  <si>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</si>
  <si>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</si>
  <si>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</si>
  <si>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</si>
  <si>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</si>
  <si>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</si>
  <si>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</si>
  <si>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</si>
  <si>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</si>
  <si>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</si>
  <si>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</si>
  <si>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</si>
  <si>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</si>
  <si>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</si>
  <si>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</si>
  <si>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</si>
  <si>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</si>
  <si>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</si>
  <si>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</si>
  <si>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</si>
  <si>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</si>
  <si>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</si>
  <si>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</si>
  <si>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</si>
  <si>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</si>
  <si>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</si>
  <si>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</si>
  <si>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</si>
  <si>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</si>
  <si>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</si>
  <si>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</si>
  <si>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</si>
  <si>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</si>
  <si>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</si>
  <si>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</si>
  <si>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</si>
  <si>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</si>
  <si>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</si>
  <si>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</si>
  <si>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</si>
  <si>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</si>
  <si>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</si>
  <si>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</si>
  <si>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</si>
  <si>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</si>
  <si>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</si>
  <si>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</si>
  <si>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</si>
  <si>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</si>
  <si>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</si>
  <si>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</si>
  <si>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</si>
  <si>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</si>
  <si>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</si>
  <si>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</si>
  <si>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</si>
  <si>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</si>
  <si>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</si>
  <si>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</si>
  <si>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</si>
  <si>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</si>
  <si>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</si>
  <si>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</si>
  <si>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</si>
  <si>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</si>
  <si>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</si>
  <si>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</si>
  <si>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</si>
  <si>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</si>
  <si>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</si>
  <si>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</si>
  <si>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</si>
  <si>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</si>
  <si>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</si>
  <si>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</si>
  <si>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</si>
  <si>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</si>
  <si>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</si>
  <si>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</si>
  <si>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</si>
  <si>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</si>
  <si>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</si>
  <si>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</si>
  <si>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</si>
  <si>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</si>
  <si>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</si>
  <si>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</si>
  <si>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</si>
  <si>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</si>
  <si>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</si>
  <si>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</si>
  <si>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</si>
  <si>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</si>
  <si>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</si>
  <si>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</si>
  <si>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</si>
  <si>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</si>
  <si>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</si>
  <si>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</si>
  <si>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</si>
  <si>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</si>
  <si>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</si>
  <si>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</si>
  <si>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</si>
  <si>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</si>
  <si>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</si>
  <si>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</si>
  <si>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</si>
  <si>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</si>
  <si>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</si>
  <si>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</si>
  <si>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</si>
  <si>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</si>
  <si>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</si>
  <si>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</si>
  <si>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</si>
  <si>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</si>
  <si>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</si>
  <si>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</si>
  <si>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</si>
  <si>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</si>
  <si>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</si>
  <si>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</si>
  <si>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</si>
  <si>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</si>
  <si>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</si>
  <si>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</si>
  <si>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</si>
  <si>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</si>
  <si>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</si>
  <si>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</si>
  <si>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</si>
  <si>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</si>
  <si>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</si>
  <si>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</si>
  <si>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</si>
  <si>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</si>
  <si>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</si>
  <si>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</si>
  <si>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</si>
  <si>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</si>
  <si>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</si>
  <si>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</si>
  <si>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</si>
  <si>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</si>
  <si>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</si>
  <si>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</si>
  <si>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</si>
  <si>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</si>
  <si>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</si>
  <si>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</si>
  <si>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</si>
  <si>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</si>
  <si>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</si>
  <si>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</si>
  <si>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</si>
  <si>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</si>
  <si>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</si>
  <si>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</si>
  <si>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</si>
  <si>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</si>
  <si>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</si>
  <si>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</si>
  <si>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</si>
  <si>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</si>
  <si>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</si>
  <si>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</si>
  <si>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</si>
  <si>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</si>
  <si>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</si>
  <si>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</si>
  <si>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</si>
  <si>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</si>
  <si>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</si>
  <si>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</si>
  <si>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</si>
  <si>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</si>
  <si>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</si>
  <si>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</si>
  <si>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</si>
  <si>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</si>
  <si>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</si>
  <si>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</si>
  <si>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</si>
  <si>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</si>
  <si>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</si>
  <si>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</si>
  <si>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</si>
  <si>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</si>
  <si>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</si>
  <si>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</si>
  <si>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</si>
  <si>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</si>
  <si>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</si>
  <si>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</si>
  <si>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</si>
  <si>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</si>
  <si>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</si>
  <si>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</si>
  <si>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</si>
  <si>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</si>
  <si>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</si>
  <si>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</si>
  <si>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</si>
  <si>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</si>
  <si>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</si>
  <si>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</si>
  <si>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</si>
  <si>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</si>
  <si>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</si>
  <si>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</si>
  <si>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</si>
  <si>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</si>
  <si>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</si>
  <si>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</si>
  <si>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</si>
  <si>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</si>
  <si>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</si>
  <si>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</si>
  <si>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</si>
  <si>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</si>
  <si>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</si>
  <si>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</si>
  <si>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</si>
  <si>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</si>
  <si>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</si>
  <si>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</si>
  <si>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</si>
  <si>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</si>
  <si>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</si>
  <si>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</si>
  <si>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</si>
  <si>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</si>
  <si>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</si>
  <si>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</si>
  <si>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</si>
  <si>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</si>
  <si>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</si>
  <si>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</si>
  <si>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</si>
  <si>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</si>
  <si>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</si>
  <si>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</si>
  <si>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</si>
  <si>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</si>
  <si>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</si>
  <si>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</si>
  <si>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</si>
  <si>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</si>
  <si>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</si>
  <si>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</si>
  <si>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</si>
  <si>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</si>
  <si>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</si>
  <si>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</si>
  <si>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</si>
  <si>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</si>
  <si>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</si>
  <si>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</si>
  <si>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</si>
  <si>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</si>
  <si>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</si>
  <si>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</si>
  <si>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</si>
  <si>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</si>
  <si>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</si>
  <si>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</si>
  <si>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</si>
  <si>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</si>
  <si>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</si>
  <si>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</si>
  <si>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</si>
  <si>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</si>
  <si>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</si>
  <si>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</si>
  <si>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</si>
  <si>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</si>
  <si>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</si>
  <si>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</si>
  <si>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</si>
  <si>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</si>
  <si>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</si>
  <si>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</si>
  <si>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</si>
  <si>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</si>
  <si>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</si>
  <si>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</si>
  <si>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</si>
  <si>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</si>
  <si>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</si>
  <si>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</si>
  <si>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</si>
  <si>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</si>
  <si>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</si>
  <si>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</si>
  <si>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</si>
  <si>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</si>
  <si>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</si>
  <si>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</si>
  <si>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</si>
  <si>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</si>
  <si>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</si>
  <si>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</si>
  <si>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</si>
  <si>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</si>
  <si>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</si>
  <si>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</si>
  <si>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</si>
  <si>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</si>
  <si>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</si>
  <si>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</si>
  <si>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</si>
  <si>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</si>
  <si>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</si>
  <si>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</si>
  <si>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</si>
  <si>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</si>
  <si>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</si>
  <si>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</si>
  <si>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</si>
  <si>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</si>
  <si>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</si>
  <si>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</si>
  <si>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</si>
  <si>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</si>
  <si>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</si>
  <si>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</si>
  <si>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</si>
  <si>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</si>
  <si>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</si>
  <si>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</si>
  <si>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</si>
  <si>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</si>
  <si>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</si>
  <si>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</si>
  <si>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</si>
  <si>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</si>
  <si>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</si>
  <si>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</si>
  <si>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</si>
  <si>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</si>
  <si>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</si>
  <si>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</si>
  <si>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</si>
  <si>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</si>
  <si>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</si>
  <si>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</si>
  <si>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Village</t>
  </si>
  <si>
    <t xml:space="preserve">WASH - resettled, relocated, surrounding communities &amp; host communities </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</si>
  <si>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</si>
  <si>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</si>
  <si>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</si>
  <si>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</si>
  <si>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</si>
  <si>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</si>
  <si>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</si>
  <si>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</si>
  <si>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</si>
  <si>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</si>
  <si>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</si>
  <si>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</si>
  <si>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</si>
  <si>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</si>
  <si>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</si>
  <si>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</si>
  <si>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</si>
  <si>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</si>
  <si>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</si>
  <si>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</si>
  <si>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</si>
  <si>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</si>
  <si>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</si>
  <si>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</si>
  <si>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</si>
  <si>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</si>
  <si>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</si>
  <si>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</si>
  <si>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</si>
  <si>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</si>
  <si>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</si>
  <si>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</si>
  <si>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</si>
  <si>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</si>
  <si>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</si>
  <si>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</si>
  <si>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</si>
  <si>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</si>
  <si>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</si>
  <si>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</si>
  <si>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</si>
  <si>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</si>
  <si>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</si>
  <si>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</si>
  <si>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</si>
  <si>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</si>
  <si>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</si>
  <si>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</si>
  <si>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</si>
  <si>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</si>
  <si>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</si>
  <si>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</si>
  <si>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</si>
  <si>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</si>
  <si>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</si>
  <si>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</si>
  <si>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</si>
  <si>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</si>
  <si>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</si>
  <si>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</si>
  <si>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</si>
  <si>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</si>
  <si>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</si>
  <si>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</si>
  <si>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</si>
  <si>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</si>
  <si>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</si>
  <si>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</si>
  <si>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</si>
  <si>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</si>
  <si>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</si>
  <si>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</si>
  <si>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</si>
  <si>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</si>
  <si>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</si>
  <si>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</si>
  <si>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</si>
  <si>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</si>
  <si>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</si>
  <si>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</si>
  <si>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</si>
  <si>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</si>
  <si>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</si>
  <si>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</si>
  <si>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</si>
  <si>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</si>
  <si>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</si>
  <si>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</si>
  <si>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</si>
  <si>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</si>
  <si>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</si>
  <si>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</si>
  <si>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</si>
  <si>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</si>
  <si>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</si>
  <si>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</si>
  <si>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</si>
  <si>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</si>
  <si>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</si>
  <si>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</si>
  <si>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</si>
  <si>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</si>
  <si>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</si>
  <si>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</si>
  <si>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</si>
  <si>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</si>
  <si>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</si>
  <si>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</si>
  <si>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</si>
  <si>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</si>
  <si>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</si>
  <si>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</si>
  <si>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</si>
  <si>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</si>
  <si>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</si>
  <si>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</si>
  <si>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</si>
  <si>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</si>
  <si>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</si>
  <si>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</si>
  <si>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</si>
  <si>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</si>
  <si>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</si>
  <si>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</si>
  <si>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</si>
  <si>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</si>
  <si>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</si>
  <si>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</si>
  <si>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</si>
  <si>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</si>
  <si>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</si>
  <si>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</si>
  <si>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</si>
  <si>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</si>
  <si>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</si>
  <si>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</si>
  <si>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</si>
  <si>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</si>
  <si>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</si>
  <si>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</si>
  <si>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</si>
  <si>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</si>
  <si>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</si>
  <si>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</si>
  <si>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</si>
  <si>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</si>
  <si>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</si>
  <si>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</si>
  <si>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</si>
  <si>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</si>
  <si>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</si>
  <si>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</si>
  <si>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</si>
  <si>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</si>
  <si>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</si>
  <si>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</si>
  <si>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</si>
  <si>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</si>
  <si>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</si>
  <si>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</si>
  <si>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</si>
  <si>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</si>
  <si>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</si>
  <si>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</si>
  <si>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</si>
  <si>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</si>
  <si>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</si>
  <si>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</si>
  <si>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</si>
  <si>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</si>
  <si>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</si>
  <si>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</si>
  <si>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</si>
  <si>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</si>
  <si>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</si>
  <si>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</si>
  <si>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</si>
  <si>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</si>
  <si>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</si>
  <si>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</si>
  <si>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</si>
  <si>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</si>
  <si>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</si>
  <si>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</si>
  <si>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</si>
  <si>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</si>
  <si>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</si>
  <si>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</si>
  <si>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</si>
  <si>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</si>
  <si>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</si>
  <si>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</si>
  <si>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</si>
  <si>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</si>
  <si>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</si>
  <si>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</si>
  <si>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</si>
  <si>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</si>
  <si>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</si>
  <si>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</si>
  <si>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</si>
  <si>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</si>
  <si>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</si>
  <si>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</si>
  <si>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</si>
  <si>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</si>
  <si>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</si>
  <si>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</si>
  <si>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</si>
  <si>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</si>
  <si>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</si>
  <si>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</si>
  <si>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</si>
  <si>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</si>
  <si>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</si>
  <si>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</si>
  <si>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</si>
  <si>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</si>
  <si>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</si>
  <si>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</si>
  <si>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</si>
  <si>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</si>
  <si>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</si>
  <si>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</si>
  <si>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</si>
  <si>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</si>
  <si>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</si>
  <si>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</si>
  <si>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</si>
  <si>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</si>
  <si>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</si>
  <si>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</si>
  <si>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</si>
  <si>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</si>
  <si>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</si>
  <si>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</si>
  <si>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</si>
  <si>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</si>
  <si>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</si>
  <si>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</si>
  <si>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</si>
  <si>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</si>
  <si>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</si>
  <si>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</si>
  <si>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</si>
  <si>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</si>
  <si>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</si>
  <si>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</si>
  <si>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</si>
  <si>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</si>
  <si>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</si>
  <si>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</si>
  <si>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</si>
  <si>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</si>
  <si>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</si>
  <si>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</si>
  <si>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</si>
  <si>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</si>
  <si>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</si>
  <si>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</si>
  <si>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</si>
  <si>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</si>
  <si>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</si>
  <si>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</si>
  <si>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</si>
  <si>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</si>
  <si>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</si>
  <si>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</si>
  <si>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</si>
  <si>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</si>
  <si>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</si>
  <si>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</si>
  <si>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</si>
  <si>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</si>
  <si>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</si>
  <si>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</si>
  <si>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</si>
  <si>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</si>
  <si>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</si>
  <si>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</si>
  <si>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</si>
  <si>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</si>
  <si>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</si>
  <si>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</si>
  <si>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</si>
  <si>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</si>
  <si>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</si>
  <si>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</si>
  <si>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</si>
  <si>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</si>
  <si>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</si>
  <si>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</si>
  <si>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</si>
  <si>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</si>
  <si>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</si>
  <si>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</si>
  <si>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</si>
  <si>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</si>
  <si>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</si>
  <si>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</si>
  <si>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</si>
  <si>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</si>
  <si>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</si>
  <si>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</si>
  <si>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</si>
  <si>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</si>
  <si>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</si>
  <si>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</si>
  <si>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</si>
  <si>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</si>
  <si>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</si>
  <si>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</si>
  <si>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</si>
  <si>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</si>
  <si>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</si>
  <si>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</si>
  <si>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</si>
  <si>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</si>
  <si>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</si>
  <si>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</si>
  <si>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</si>
  <si>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</si>
  <si>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</si>
  <si>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</si>
  <si>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</si>
  <si>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</si>
  <si>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</si>
  <si>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</si>
  <si>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</si>
  <si>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</si>
  <si>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</si>
  <si>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</si>
  <si>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</si>
  <si>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</si>
  <si>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</si>
  <si>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</si>
  <si>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</si>
  <si>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</si>
  <si>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</si>
  <si>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</si>
  <si>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</si>
  <si>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</si>
  <si>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</si>
  <si>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</si>
  <si>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</si>
  <si>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</si>
  <si>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</si>
  <si>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</si>
  <si>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</si>
  <si>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</si>
  <si>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</si>
  <si>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</si>
  <si>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</si>
  <si>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</si>
  <si>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</si>
  <si>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</si>
  <si>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</si>
  <si>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</si>
  <si>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</si>
  <si>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</si>
  <si>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</si>
  <si>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</si>
  <si>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</si>
  <si>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</si>
  <si>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</si>
  <si>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</si>
  <si>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</si>
  <si>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</si>
  <si>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</si>
  <si>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</si>
  <si>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</si>
  <si>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</si>
  <si>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</si>
  <si>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</si>
  <si>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</si>
  <si>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</si>
  <si>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</si>
  <si>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</si>
  <si>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</si>
  <si>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</si>
  <si>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</si>
  <si>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</si>
  <si>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</si>
  <si>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</si>
  <si>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</si>
  <si>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</si>
  <si>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</si>
  <si>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</si>
  <si>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</si>
  <si>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</si>
  <si>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</si>
  <si>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</si>
  <si>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</si>
  <si>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</si>
  <si>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</si>
  <si>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</si>
  <si>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</si>
  <si>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</si>
  <si>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</si>
  <si>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</si>
  <si>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</si>
  <si>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</si>
  <si>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</si>
  <si>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</si>
  <si>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</si>
  <si>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</si>
  <si>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</si>
  <si>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</si>
  <si>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</si>
  <si>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</si>
  <si>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</si>
  <si>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</si>
  <si>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</si>
  <si>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</si>
  <si>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</si>
  <si>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</si>
  <si>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</si>
  <si>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</si>
  <si>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</si>
  <si>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</si>
  <si>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</si>
  <si>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</si>
  <si>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</si>
  <si>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</si>
  <si>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</si>
  <si>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</si>
  <si>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</si>
  <si>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</si>
  <si>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</si>
  <si>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</si>
  <si>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</si>
  <si>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</si>
  <si>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</si>
  <si>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</si>
  <si>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</si>
  <si>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</si>
  <si>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</si>
  <si>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</si>
  <si>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</si>
  <si>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</si>
  <si>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</si>
  <si>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</si>
  <si>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</si>
  <si>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</si>
  <si>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</si>
  <si>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</si>
  <si>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</si>
  <si>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</si>
  <si>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</si>
  <si>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</si>
  <si>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</si>
  <si>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</si>
  <si>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</si>
  <si>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</si>
  <si>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</si>
  <si>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</si>
  <si>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</si>
  <si>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</si>
  <si>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</si>
  <si>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</si>
  <si>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</si>
  <si>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</si>
  <si>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</si>
  <si>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</si>
  <si>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</si>
  <si>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</si>
  <si>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</si>
  <si>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</si>
  <si>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</si>
  <si>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</si>
  <si>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</si>
  <si>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</si>
  <si>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</si>
  <si>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</si>
  <si>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</si>
  <si>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</si>
  <si>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</si>
  <si>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</si>
  <si>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</si>
  <si>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</si>
  <si>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</si>
  <si>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</si>
  <si>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</si>
  <si>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</si>
  <si>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</si>
  <si>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</si>
  <si>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</si>
  <si>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</si>
  <si>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</si>
  <si>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</si>
  <si>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</si>
  <si>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</si>
  <si>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</si>
  <si>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</si>
  <si>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</si>
  <si>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</si>
  <si>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</si>
  <si>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</si>
  <si>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</si>
  <si>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</si>
  <si>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</si>
  <si>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</si>
  <si>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</si>
  <si>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</si>
  <si>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</si>
  <si>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</si>
  <si>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</si>
  <si>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</si>
  <si>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</si>
  <si>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</si>
  <si>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</si>
  <si>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</si>
  <si>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</si>
  <si>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</si>
  <si>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</si>
  <si>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</si>
  <si>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</si>
  <si>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</si>
  <si>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</si>
  <si>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</si>
  <si>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</si>
  <si>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</si>
  <si>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</si>
  <si>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</si>
  <si>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</si>
  <si>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</si>
  <si>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</si>
  <si>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</si>
  <si>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</si>
  <si>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</si>
  <si>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</si>
  <si>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</si>
  <si>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</si>
  <si>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</si>
  <si>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</si>
  <si>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</si>
  <si>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</si>
  <si>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</si>
  <si>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</si>
  <si>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</si>
  <si>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</si>
  <si>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</si>
  <si>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</si>
  <si>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</si>
  <si>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</si>
  <si>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</si>
  <si>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</si>
  <si>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</si>
  <si>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</si>
  <si>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</si>
  <si>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</si>
  <si>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</si>
  <si>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</si>
  <si>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</si>
  <si>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</si>
  <si>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</si>
  <si>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</si>
  <si>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</si>
  <si>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</si>
  <si>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</si>
  <si>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</si>
  <si>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</si>
  <si>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</si>
  <si>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</si>
  <si>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</si>
  <si>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</si>
  <si>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</si>
  <si>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</si>
  <si>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</si>
  <si>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</si>
  <si>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</si>
  <si>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</si>
  <si>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</si>
  <si>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</si>
  <si>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</si>
  <si>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</si>
  <si>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</si>
  <si>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</si>
  <si>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</si>
  <si>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</si>
  <si>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</si>
  <si>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</si>
  <si>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</si>
  <si>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</si>
  <si>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</si>
  <si>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</si>
  <si>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</si>
  <si>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</si>
  <si>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</si>
  <si>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</si>
  <si>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</si>
  <si>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</si>
  <si>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</si>
  <si>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</si>
  <si>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</si>
  <si>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</si>
  <si>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</si>
  <si>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</si>
  <si>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</si>
  <si>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</si>
  <si>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</si>
  <si>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</si>
  <si>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</si>
  <si>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</si>
  <si>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</si>
  <si>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</si>
  <si>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</si>
  <si>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</si>
  <si>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</si>
  <si>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</si>
  <si>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</si>
  <si>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</si>
  <si>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</si>
  <si>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</si>
  <si>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</si>
  <si>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</si>
  <si>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</si>
  <si>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</si>
  <si>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</si>
  <si>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</si>
  <si>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</si>
  <si>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</si>
  <si>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</si>
  <si>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</si>
  <si>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</si>
  <si>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</si>
  <si>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</si>
  <si>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</si>
  <si>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</si>
  <si>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</si>
  <si>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</si>
  <si>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</si>
  <si>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</si>
  <si>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</si>
  <si>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</si>
  <si>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</si>
  <si>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</si>
  <si>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</si>
  <si>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</si>
  <si>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</si>
  <si>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</si>
  <si>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</si>
  <si>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</si>
  <si>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</si>
  <si>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</si>
  <si>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</si>
  <si>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</si>
  <si>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</si>
  <si>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</si>
  <si>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</si>
  <si>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</si>
  <si>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</si>
  <si>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</si>
  <si>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</si>
  <si>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</si>
  <si>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</si>
  <si>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</si>
  <si>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</si>
  <si>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</si>
  <si>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</si>
  <si>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</si>
  <si>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</si>
  <si>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</si>
  <si>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</si>
  <si>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</si>
  <si>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</si>
  <si>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</si>
  <si>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</si>
  <si>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</si>
  <si>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</si>
  <si>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</si>
  <si>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</si>
  <si>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</si>
  <si>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</si>
  <si>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</si>
  <si>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</si>
  <si>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</si>
  <si>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</si>
  <si>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</si>
  <si>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</si>
  <si>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</si>
  <si>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</si>
  <si>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</si>
  <si>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</si>
  <si>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</si>
  <si>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</si>
  <si>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</si>
  <si>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</si>
  <si>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</si>
  <si>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</si>
  <si>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</si>
  <si>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</si>
  <si>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</si>
  <si>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</si>
  <si>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</si>
  <si>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</si>
  <si>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</si>
  <si>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</si>
  <si>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</si>
  <si>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</si>
  <si>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</si>
  <si>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</si>
  <si>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</si>
  <si>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</si>
  <si>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</si>
  <si>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</si>
  <si>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</si>
  <si>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</si>
  <si>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</si>
  <si>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</si>
  <si>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</si>
  <si>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</si>
  <si>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</si>
  <si>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</si>
  <si>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</si>
  <si>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</si>
  <si>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</si>
  <si>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</si>
  <si>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</si>
  <si>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</si>
  <si>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</si>
  <si>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</si>
  <si>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</si>
  <si>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</si>
  <si>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</si>
  <si>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</si>
  <si>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</si>
  <si>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</si>
  <si>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</si>
  <si>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</si>
  <si>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</si>
  <si>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</si>
  <si>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</si>
  <si>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</si>
  <si>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</si>
  <si>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</si>
  <si>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</si>
  <si>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</si>
  <si>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</si>
  <si>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</si>
  <si>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</si>
  <si>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</si>
  <si>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</si>
  <si>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</si>
  <si>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</si>
  <si>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</si>
  <si>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</si>
  <si>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</si>
  <si>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</si>
  <si>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</si>
  <si>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</si>
  <si>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</si>
  <si>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</si>
  <si>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</si>
  <si>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</si>
  <si>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</si>
  <si>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</si>
  <si>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</si>
  <si>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</si>
  <si>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</si>
  <si>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</si>
  <si>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</si>
  <si>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</si>
  <si>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</si>
  <si>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</si>
  <si>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</si>
  <si>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</si>
  <si>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</si>
  <si>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</si>
  <si>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</si>
  <si>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</si>
  <si>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</si>
  <si>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</si>
  <si>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</si>
  <si>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</si>
  <si>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</si>
  <si>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</si>
  <si>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</si>
  <si>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</si>
  <si>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</si>
  <si>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</si>
  <si>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</si>
  <si>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</si>
  <si>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</si>
  <si>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</si>
  <si>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</si>
  <si>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</si>
  <si>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</si>
  <si>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</si>
  <si>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</si>
  <si>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</si>
  <si>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</si>
  <si>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</si>
  <si>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</si>
  <si>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</si>
  <si>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</si>
  <si>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</si>
  <si>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</si>
  <si>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</si>
  <si>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</si>
  <si>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</si>
  <si>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</si>
  <si>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</si>
  <si>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</si>
  <si>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</si>
  <si>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</si>
  <si>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</si>
  <si>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</si>
  <si>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</si>
  <si>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</si>
  <si>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</si>
  <si>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</si>
  <si>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</si>
  <si>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</si>
  <si>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</si>
  <si>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</si>
  <si>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</si>
  <si>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</si>
  <si>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</si>
  <si>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</si>
  <si>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</si>
  <si>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</si>
  <si>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</si>
  <si>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</si>
  <si>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</si>
  <si>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</si>
  <si>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</si>
  <si>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</si>
  <si>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</si>
  <si>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</si>
  <si>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</si>
  <si>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</si>
  <si>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</si>
  <si>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</si>
  <si>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</si>
  <si>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</si>
  <si>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</si>
  <si>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</si>
  <si>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</si>
  <si>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</si>
  <si>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</si>
  <si>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</si>
  <si>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</si>
  <si>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</si>
  <si>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</si>
  <si>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</si>
  <si>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</si>
  <si>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</si>
  <si>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</si>
  <si>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</si>
  <si>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</si>
  <si>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</si>
  <si>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</si>
  <si>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</si>
  <si>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</si>
  <si>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</si>
  <si>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</si>
  <si>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</si>
  <si>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</si>
  <si>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</si>
  <si>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</si>
  <si>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</si>
  <si>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</si>
  <si>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</si>
  <si>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</si>
  <si>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</si>
  <si>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</si>
  <si>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</si>
  <si>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</si>
  <si>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</si>
  <si>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</si>
  <si>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</si>
  <si>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</si>
  <si>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</si>
  <si>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</si>
  <si>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</si>
  <si>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</si>
  <si>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</si>
  <si>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</si>
  <si>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</si>
  <si>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</si>
  <si>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</si>
  <si>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</si>
  <si>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</si>
  <si>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</si>
  <si>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</si>
  <si>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</si>
  <si>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</si>
  <si>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</si>
  <si>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</si>
  <si>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</si>
  <si>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</si>
  <si>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</si>
  <si>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</si>
  <si>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</si>
  <si>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</si>
  <si>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</si>
  <si>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</si>
  <si>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</si>
  <si>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</si>
  <si>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</si>
  <si>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</si>
  <si>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</si>
  <si>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</si>
  <si>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</si>
  <si>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</si>
  <si>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</si>
  <si>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</si>
  <si>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</si>
  <si>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</si>
  <si>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</si>
  <si>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</si>
  <si>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</si>
  <si>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</si>
  <si>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</si>
  <si>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</si>
  <si>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</si>
  <si>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</si>
  <si>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</si>
  <si>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</si>
  <si>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</si>
  <si>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</si>
  <si>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</si>
  <si>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</si>
  <si>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</si>
  <si>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</si>
  <si>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</si>
  <si>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</si>
  <si>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</si>
  <si>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</si>
  <si>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</si>
  <si>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</si>
  <si>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</si>
  <si>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</si>
  <si>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</si>
  <si>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</si>
  <si>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</si>
  <si>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</si>
  <si>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</si>
  <si>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</si>
  <si>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</si>
  <si>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</si>
  <si>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</si>
  <si>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</si>
  <si>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</si>
  <si>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</si>
  <si>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</si>
  <si>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</si>
  <si>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</si>
  <si>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</si>
  <si>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</si>
  <si>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</si>
  <si>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</si>
  <si>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</si>
  <si>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</si>
  <si>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</si>
  <si>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</si>
  <si>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</si>
  <si>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</si>
  <si>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</si>
  <si>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</si>
  <si>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</si>
  <si>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</si>
  <si>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</si>
  <si>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</si>
  <si>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</si>
  <si>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</si>
  <si>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</si>
  <si>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</si>
  <si>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</si>
  <si>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</si>
  <si>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</si>
  <si>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</si>
  <si>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</si>
  <si>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</si>
  <si>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</si>
  <si>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</si>
  <si>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</si>
  <si>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</si>
  <si>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</si>
  <si>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</si>
  <si>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</si>
  <si>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</si>
  <si>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</si>
  <si>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</si>
  <si>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</si>
  <si>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</si>
  <si>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</si>
  <si>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</si>
  <si>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</si>
  <si>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</si>
  <si>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</si>
  <si>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</si>
  <si>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</si>
  <si>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</si>
  <si>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</si>
  <si>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</si>
  <si>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</si>
  <si>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</si>
  <si>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</si>
  <si>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</si>
  <si>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</si>
  <si>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</si>
  <si>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</si>
  <si>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</si>
  <si>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</si>
  <si>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</si>
  <si>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</si>
  <si>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</si>
  <si>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</si>
  <si>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</si>
  <si>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</si>
  <si>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</si>
  <si>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</si>
  <si>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</si>
  <si>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</si>
  <si>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</si>
  <si>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</si>
  <si>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</si>
  <si>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</si>
  <si>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</si>
  <si>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</si>
  <si>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</si>
  <si>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</si>
  <si>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</si>
  <si>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</si>
  <si>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</si>
  <si>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</si>
  <si>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</si>
  <si>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</si>
  <si>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</si>
  <si>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</si>
  <si>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</si>
  <si>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</si>
  <si>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</si>
  <si>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</si>
  <si>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</si>
  <si>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</si>
  <si>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</si>
  <si>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</si>
  <si>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</si>
  <si>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</si>
  <si>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</si>
  <si>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</si>
  <si>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</si>
  <si>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</si>
  <si>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</si>
  <si>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</si>
  <si>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</si>
  <si>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</si>
  <si>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</si>
  <si>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</si>
  <si>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</si>
  <si>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</si>
  <si>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</si>
  <si>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</si>
  <si>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</si>
  <si>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</si>
  <si>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</si>
  <si>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</si>
  <si>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</si>
  <si>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</si>
  <si>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</si>
  <si>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</si>
  <si>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</si>
  <si>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</si>
  <si>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</si>
  <si>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</si>
  <si>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</si>
  <si>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</si>
  <si>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</si>
  <si>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</si>
  <si>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</si>
  <si>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</si>
  <si>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</si>
  <si>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</si>
  <si>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</si>
  <si>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</si>
  <si>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</si>
  <si>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</si>
  <si>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</si>
  <si>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</si>
  <si>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</si>
  <si>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</si>
  <si>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</si>
  <si>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</si>
  <si>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</si>
  <si>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</si>
  <si>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</si>
  <si>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</si>
  <si>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</si>
  <si>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</si>
  <si>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</si>
  <si>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</si>
  <si>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</si>
  <si>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</si>
  <si>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</si>
  <si>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</si>
  <si>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</si>
  <si>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</si>
  <si>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</si>
  <si>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</si>
  <si>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</si>
  <si>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</si>
  <si>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</si>
  <si>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</si>
  <si>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</si>
  <si>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</si>
  <si>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</si>
  <si>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</si>
  <si>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</si>
  <si>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</si>
  <si>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</si>
  <si>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</si>
  <si>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</si>
  <si>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</si>
  <si>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</si>
  <si>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</si>
  <si>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</si>
  <si>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</si>
  <si>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</si>
  <si>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</si>
  <si>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</si>
  <si>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</si>
  <si>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</si>
  <si>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</si>
  <si>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</si>
  <si>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</si>
  <si>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</si>
  <si>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</si>
  <si>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</si>
  <si>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</si>
  <si>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</si>
  <si>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</si>
  <si>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</si>
  <si>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</si>
  <si>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</si>
  <si>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</si>
  <si>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</si>
  <si>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</si>
  <si>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</si>
  <si>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</si>
  <si>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</si>
  <si>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</si>
  <si>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</si>
  <si>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</si>
  <si>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</si>
  <si>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</si>
  <si>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</si>
  <si>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</si>
  <si>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</si>
  <si>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</si>
  <si>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</si>
  <si>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</si>
  <si>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</si>
  <si>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</si>
  <si>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</si>
  <si>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</si>
  <si>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</si>
  <si>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</si>
  <si>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</si>
  <si>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</si>
  <si>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</si>
  <si>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</si>
  <si>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</si>
  <si>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</si>
  <si>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</si>
  <si>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</si>
  <si>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</si>
  <si>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</si>
  <si>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</si>
  <si>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</si>
  <si>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</si>
  <si>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</si>
  <si>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</si>
  <si>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</si>
  <si>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</si>
  <si>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</si>
  <si>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</si>
  <si>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</si>
  <si>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</si>
  <si>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</si>
  <si>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</si>
  <si>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</si>
  <si>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</si>
  <si>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</si>
  <si>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</si>
  <si>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</si>
  <si>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</si>
  <si>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</si>
  <si>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</si>
  <si>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</si>
  <si>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</si>
  <si>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</si>
  <si>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</si>
  <si>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</si>
  <si>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</si>
  <si>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</si>
  <si>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</si>
  <si>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</si>
  <si>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</si>
  <si>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</si>
  <si>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</si>
  <si>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</si>
  <si>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</si>
  <si>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</si>
  <si>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</si>
  <si>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</si>
  <si>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</si>
  <si>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</si>
  <si>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</si>
  <si>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</si>
  <si>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</si>
  <si>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</si>
  <si>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</si>
  <si>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</si>
  <si>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</si>
  <si>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</si>
  <si>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</si>
  <si>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</si>
  <si>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</si>
  <si>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</si>
  <si>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</si>
  <si>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</si>
  <si>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</si>
  <si>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</si>
  <si>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</si>
  <si>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</si>
  <si>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</si>
  <si>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</si>
  <si>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</si>
  <si>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</si>
  <si>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</si>
  <si>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</si>
  <si>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</si>
  <si>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</si>
  <si>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</si>
  <si>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</si>
  <si>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</si>
  <si>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</si>
  <si>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</si>
  <si>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</si>
  <si>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</si>
  <si>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</si>
  <si>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</si>
  <si>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</si>
  <si>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</si>
  <si>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</si>
  <si>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</si>
  <si>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</si>
  <si>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</si>
  <si>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</si>
  <si>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</si>
  <si>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</si>
  <si>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</si>
  <si>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</si>
  <si>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</si>
  <si>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</si>
  <si>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</si>
  <si>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</si>
  <si>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</si>
  <si>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</si>
  <si>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</si>
  <si>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</si>
  <si>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</si>
  <si>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</si>
  <si>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</si>
  <si>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</si>
  <si>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</si>
  <si>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</si>
  <si>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</si>
  <si>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</si>
  <si>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</si>
  <si>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</si>
  <si>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</si>
  <si>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</si>
  <si>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</si>
  <si>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</si>
  <si>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</si>
  <si>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</si>
  <si>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</si>
  <si>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</si>
  <si>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</si>
  <si>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</si>
  <si>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</si>
  <si>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</si>
  <si>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</si>
  <si>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</si>
  <si>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</si>
  <si>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</si>
  <si>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</si>
  <si>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</si>
  <si>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</si>
  <si>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</si>
  <si>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</si>
  <si>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</si>
  <si>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</si>
  <si>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</si>
  <si>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</si>
  <si>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</si>
  <si>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</si>
  <si>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</si>
  <si>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</si>
  <si>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</si>
  <si>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</si>
  <si>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</si>
  <si>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</si>
  <si>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</si>
  <si>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</si>
  <si>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</si>
  <si>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</si>
  <si>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</si>
  <si>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</si>
  <si>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</si>
  <si>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</si>
  <si>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</si>
  <si>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</si>
  <si>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</si>
  <si>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</si>
  <si>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</si>
  <si>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</si>
  <si>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</si>
  <si>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</si>
  <si>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</si>
  <si>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</si>
  <si>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</si>
  <si>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</si>
  <si>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</si>
  <si>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</si>
  <si>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</si>
  <si>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</si>
  <si>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</si>
  <si>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</si>
  <si>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</si>
  <si>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</si>
  <si>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</si>
  <si>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</si>
  <si>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</si>
  <si>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</si>
  <si>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</si>
  <si>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</si>
  <si>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</si>
  <si>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</si>
  <si>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</si>
  <si>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</si>
  <si>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</si>
  <si>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</si>
  <si>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</si>
  <si>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</si>
  <si>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</si>
  <si>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</si>
  <si>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</si>
  <si>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</si>
  <si>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</si>
  <si>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</si>
  <si>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</si>
  <si>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</si>
  <si>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</si>
  <si>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</si>
  <si>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</si>
  <si>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</si>
  <si>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</si>
  <si>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</si>
  <si>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</si>
  <si>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</si>
  <si>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</si>
  <si>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</si>
  <si>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</si>
  <si>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</si>
  <si>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</si>
  <si>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</si>
  <si>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</si>
  <si>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</si>
  <si>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</si>
  <si>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</si>
  <si>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</si>
  <si>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</si>
  <si>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</si>
  <si>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</si>
  <si>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</si>
  <si>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</si>
  <si>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</si>
  <si>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</si>
  <si>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</si>
  <si>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</si>
  <si>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</si>
  <si>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</si>
  <si>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</si>
  <si>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</si>
  <si>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</si>
  <si>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</si>
  <si>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</si>
  <si>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</si>
  <si>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</si>
  <si>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</si>
  <si>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</si>
  <si>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</si>
  <si>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</si>
  <si>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</si>
  <si>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</si>
  <si>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</si>
  <si>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</si>
  <si>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</si>
  <si>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</si>
  <si>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</si>
  <si>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</si>
  <si>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</si>
  <si>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</si>
  <si>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</si>
  <si>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</si>
  <si>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</si>
  <si>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</si>
  <si>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</si>
  <si>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</si>
  <si>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</si>
  <si>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</si>
  <si>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</si>
  <si>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</si>
  <si>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</si>
  <si>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</si>
  <si>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</si>
  <si>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</si>
  <si>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</si>
  <si>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</si>
  <si>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</si>
  <si>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</si>
  <si>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</si>
  <si>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</si>
  <si>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</si>
  <si>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</si>
  <si>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</si>
  <si>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</si>
  <si>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</si>
  <si>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</si>
  <si>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</si>
  <si>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</si>
  <si>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</si>
  <si>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</si>
  <si>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</si>
  <si>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</si>
  <si>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</si>
  <si>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</si>
  <si>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</si>
  <si>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</si>
  <si>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</si>
  <si>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</si>
  <si>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</si>
  <si>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</si>
  <si>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</si>
  <si>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</si>
  <si>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</si>
  <si>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</si>
  <si>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</si>
  <si>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</si>
  <si>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</si>
  <si>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</si>
  <si>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</si>
  <si>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</si>
  <si>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</si>
  <si>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</si>
  <si>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</si>
  <si>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</si>
  <si>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</si>
  <si>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</si>
  <si>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</si>
  <si>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</si>
  <si>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</si>
  <si>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</si>
  <si>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</si>
  <si>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</si>
  <si>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</si>
  <si>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</si>
  <si>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</si>
  <si>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</si>
  <si>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</si>
  <si>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</si>
  <si>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</si>
  <si>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</si>
  <si>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</si>
  <si>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</si>
  <si>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</si>
  <si>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</si>
  <si>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</si>
  <si>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</si>
  <si>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</si>
  <si>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</si>
  <si>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</si>
  <si>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</si>
  <si>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</si>
  <si>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</si>
  <si>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</si>
  <si>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</si>
  <si>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</si>
  <si>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</si>
  <si>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</si>
  <si>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</si>
  <si>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</si>
  <si>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</si>
  <si>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</si>
  <si>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</si>
  <si>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</si>
  <si>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</si>
  <si>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</si>
  <si>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</si>
  <si>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</si>
  <si>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</si>
  <si>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</si>
  <si>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</si>
  <si>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</si>
  <si>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</si>
  <si>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</si>
  <si>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</si>
  <si>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</si>
  <si>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</si>
  <si>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</si>
  <si>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</si>
  <si>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</si>
  <si>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</si>
  <si>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</si>
  <si>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</si>
  <si>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</si>
  <si>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</si>
  <si>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</si>
  <si>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</si>
  <si>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</si>
  <si>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</si>
  <si>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Oxfam/ ICRC</t>
  </si>
  <si>
    <t>Chruch</t>
  </si>
  <si>
    <t>Unicef &amp; World vision</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</si>
  <si>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</si>
  <si>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</si>
  <si>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</si>
  <si>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</si>
  <si>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</si>
  <si>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</si>
  <si>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</si>
  <si>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</si>
  <si>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</si>
  <si>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</si>
  <si>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</si>
  <si>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</si>
  <si>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</si>
  <si>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</si>
  <si>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</si>
  <si>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</si>
  <si>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</si>
  <si>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</si>
  <si>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</si>
  <si>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</si>
  <si>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</si>
  <si>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</si>
  <si>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</si>
  <si>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</si>
  <si>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</si>
  <si>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Lian Bang village</t>
  </si>
  <si>
    <t>Lian He village</t>
  </si>
  <si>
    <t>Ci He village</t>
  </si>
  <si>
    <t>New Man Jiu village</t>
  </si>
  <si>
    <t>To be edited</t>
  </si>
  <si>
    <t>Site</t>
  </si>
  <si>
    <t>KBC, KMSS, Metta, SI, WPN</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</si>
  <si>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</si>
  <si>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</si>
  <si>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</si>
  <si>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</si>
  <si>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</si>
  <si>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</si>
  <si>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</si>
  <si>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</si>
  <si>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</si>
  <si>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</si>
  <si>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</si>
  <si>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</si>
  <si>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</si>
  <si>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</si>
  <si>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</si>
  <si>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</si>
  <si>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</si>
  <si>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</si>
  <si>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</si>
  <si>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</si>
  <si>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</si>
  <si>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</si>
  <si>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</si>
  <si>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</si>
  <si>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</si>
  <si>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</si>
  <si>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</si>
  <si>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</si>
  <si>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</si>
  <si>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</si>
  <si>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</si>
  <si>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</si>
  <si>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</si>
  <si>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</si>
  <si>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</si>
  <si>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</si>
  <si>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</si>
  <si>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</si>
  <si>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</si>
  <si>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</si>
  <si>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</si>
  <si>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</si>
  <si>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</si>
  <si>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</si>
  <si>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</si>
  <si>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</si>
  <si>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</si>
  <si>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</si>
  <si>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</si>
  <si>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</si>
  <si>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</si>
  <si>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</si>
  <si>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</si>
  <si>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</si>
  <si>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</si>
  <si>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Column3</t>
  </si>
  <si>
    <t>Column4</t>
  </si>
  <si>
    <t>Column5</t>
  </si>
  <si>
    <t>Column6</t>
  </si>
  <si>
    <t>Column7</t>
  </si>
  <si>
    <t xml:space="preserve">KBC, Metta, SI </t>
  </si>
  <si>
    <t xml:space="preserve">KBC, KMSS, Shalom </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</si>
  <si>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</si>
  <si>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</si>
  <si>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</si>
  <si>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</si>
  <si>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</si>
  <si>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</si>
  <si>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</si>
  <si>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</si>
  <si>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</si>
  <si>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</si>
  <si>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</si>
  <si>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</si>
  <si>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</si>
  <si>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</si>
  <si>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</si>
  <si>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</si>
  <si>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</si>
  <si>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</si>
  <si>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</si>
  <si>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</si>
  <si>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</si>
  <si>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ICRC &amp; DVB</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</si>
  <si>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</si>
  <si>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</si>
  <si>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</si>
  <si>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</si>
  <si>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</si>
  <si>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</si>
  <si>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</si>
  <si>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</si>
  <si>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</si>
  <si>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</si>
  <si>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</si>
  <si>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</si>
  <si>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</si>
  <si>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</si>
  <si>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</si>
  <si>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</si>
  <si>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</si>
  <si>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</si>
  <si>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</si>
  <si>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</si>
  <si>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</si>
  <si>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</si>
  <si>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</si>
  <si>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</si>
  <si>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</si>
  <si>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</si>
  <si>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</si>
  <si>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</si>
  <si>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</si>
  <si>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</si>
  <si>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</si>
  <si>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</si>
  <si>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</si>
  <si>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</si>
  <si>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</si>
  <si>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</si>
  <si>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</si>
  <si>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</si>
  <si>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</si>
  <si>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</si>
  <si>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</si>
  <si>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</si>
  <si>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</si>
  <si>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</si>
  <si>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</si>
  <si>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</si>
  <si>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</si>
  <si>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</si>
  <si>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</si>
  <si>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</si>
  <si>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</si>
  <si>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</si>
  <si>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</si>
  <si>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</si>
  <si>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</si>
  <si>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</si>
  <si>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</si>
  <si>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</si>
  <si>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</si>
  <si>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</si>
  <si>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</si>
  <si>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</si>
  <si>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</si>
  <si>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</si>
  <si>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</si>
  <si>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</si>
  <si>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</si>
  <si>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</si>
  <si>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</si>
  <si>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</si>
  <si>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</si>
  <si>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</si>
  <si>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</si>
  <si>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</si>
  <si>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</si>
  <si>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</si>
  <si>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</si>
  <si>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</si>
  <si>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</si>
  <si>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</si>
  <si>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</si>
  <si>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</si>
  <si>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</si>
  <si>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</si>
  <si>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</si>
  <si>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</si>
  <si>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</si>
  <si>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V40, 54, 55</t>
  </si>
  <si>
    <t># of TLS/CFS/THF with functional water points or water provision supported by WASH partners during the reporting period
# of functional latrines in TLS/CFS supported by WASH partners during the reporting period
# of functional latrines in THF supported by WASH partners during the reporting period</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</si>
  <si>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</si>
  <si>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</si>
  <si>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</si>
  <si>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</si>
  <si>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</si>
  <si>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</si>
  <si>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</si>
  <si>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</si>
  <si>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</si>
  <si>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</si>
  <si>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</si>
  <si>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</si>
  <si>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</si>
  <si>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</si>
  <si>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</si>
  <si>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</si>
  <si>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</si>
  <si>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</si>
  <si>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</si>
  <si>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</si>
  <si>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</si>
  <si>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</si>
  <si>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</si>
  <si>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</si>
  <si>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</si>
  <si>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</si>
  <si>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Constructed/Existing protected hand dug well
# Constructed tube wells/boreholes/handpumps by WASH agency
# Constructed water tube-wells/boreholes/handpumps by Non-cluster partners
# Constructed/existing of water storage tank with gravity fed reticulation system
# Water boating or water trucking
# Constructed/Existing protected/fenced ponds
# Constructed water distribution system from river
</t>
  </si>
  <si>
    <t xml:space="preserve"># Constructed latrines (cluster semi-permanent design for protracted sites; cluster emergency design for new displacement sites) by WASH agency
# Constructed latrines by Non-Cluster partner 
# Constructed/Existing child friendly latrines
# Constructed/Existing disabled &amp; elderly friendly latrines 
# of persons with disabilities with adapted sanitation option </t>
  </si>
  <si>
    <t>V42, 43, 52, 53, 56</t>
  </si>
  <si>
    <t xml:space="preserve"> # students access to functioning school latrines_HRP5</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</si>
  <si>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</si>
  <si>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</si>
  <si>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</si>
  <si>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</si>
  <si>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</si>
  <si>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</si>
  <si>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</si>
  <si>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</si>
  <si>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</si>
  <si>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</si>
  <si>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</si>
  <si>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</si>
  <si>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</si>
  <si>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</si>
  <si>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</si>
  <si>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</si>
  <si>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</si>
  <si>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</si>
  <si>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</si>
  <si>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</si>
  <si>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</si>
  <si>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</si>
  <si>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</si>
  <si>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</si>
  <si>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</si>
  <si>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</si>
  <si>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</si>
  <si>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</si>
  <si>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</si>
  <si>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</si>
  <si>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</si>
  <si>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</si>
  <si>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</si>
  <si>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</si>
  <si>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</si>
  <si>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</si>
  <si>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</si>
  <si>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</si>
  <si>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</si>
  <si>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</si>
  <si>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</si>
  <si>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</si>
  <si>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</si>
  <si>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</si>
  <si>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</si>
  <si>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</si>
  <si>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</si>
  <si>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</si>
  <si>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</si>
  <si>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</si>
  <si>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</si>
  <si>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</si>
  <si>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</si>
  <si>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</si>
  <si>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</si>
  <si>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</si>
  <si>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</si>
  <si>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</si>
  <si>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</si>
  <si>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</si>
  <si>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</si>
  <si>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</si>
  <si>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</si>
  <si>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</si>
  <si>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KBC,HPA</t>
  </si>
  <si>
    <t>WPN,HPA</t>
  </si>
  <si>
    <t>Metta,KBC</t>
  </si>
  <si>
    <t>SI,KBC</t>
  </si>
  <si>
    <t>Water safety plan need to install</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</si>
  <si>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</si>
  <si>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</si>
  <si>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</si>
  <si>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</si>
  <si>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</si>
  <si>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</si>
  <si>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</si>
  <si>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</si>
  <si>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</si>
  <si>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</si>
  <si>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</si>
  <si>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</si>
  <si>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Lung Sut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</si>
  <si>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</si>
  <si>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</si>
  <si>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</si>
  <si>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</si>
  <si>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</si>
  <si>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</si>
  <si>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</si>
  <si>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</si>
  <si>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</si>
  <si>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</si>
  <si>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</si>
  <si>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</si>
  <si>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</si>
  <si>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</si>
  <si>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</si>
  <si>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</si>
  <si>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</si>
  <si>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</si>
  <si>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</si>
  <si>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</si>
  <si>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</si>
  <si>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</si>
  <si>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</si>
  <si>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</si>
  <si>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</si>
  <si>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</si>
  <si>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</si>
  <si>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AD-2000 Extension camp Total</t>
  </si>
  <si>
    <t>AD-2000 Tharthana Compound Total</t>
  </si>
  <si>
    <t>AG Church, Hmaw Si Sa Total</t>
  </si>
  <si>
    <t>AG Church, Maw Wan Total</t>
  </si>
  <si>
    <t>Agritural Compound (KBC) Total</t>
  </si>
  <si>
    <t>Aung Thar Church Total</t>
  </si>
  <si>
    <t>Baptist Church, Hmaw Si Sar(Lon Khin)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</si>
  <si>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</si>
  <si>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</si>
  <si>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</si>
  <si>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</si>
  <si>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</si>
  <si>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</si>
  <si>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</si>
  <si>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</si>
  <si>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</si>
  <si>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</si>
  <si>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</si>
  <si>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</si>
  <si>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</si>
  <si>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</si>
  <si>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</si>
  <si>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</si>
  <si>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</si>
  <si>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</si>
  <si>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</si>
  <si>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</si>
  <si>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</si>
  <si>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</si>
  <si>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</si>
  <si>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</si>
  <si>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Kyu Sot Total</t>
  </si>
  <si>
    <t>Lana Zup Ja Total</t>
  </si>
  <si>
    <t>Lawa RC Church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</si>
  <si>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</si>
  <si>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</si>
  <si>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</si>
  <si>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</si>
  <si>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</si>
  <si>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</si>
  <si>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</si>
  <si>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</si>
  <si>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</si>
  <si>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</si>
  <si>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Lwegel High School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</si>
  <si>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</si>
  <si>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</si>
  <si>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</si>
  <si>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</si>
  <si>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</si>
  <si>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</si>
  <si>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</si>
  <si>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</si>
  <si>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</si>
  <si>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</si>
  <si>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</si>
  <si>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</si>
  <si>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</si>
  <si>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Mandung - Jinghpaw Total</t>
  </si>
  <si>
    <t>Mandung - RC Total</t>
  </si>
  <si>
    <t>Mansi Baptist Church Total</t>
  </si>
  <si>
    <t>Maw Hpawng Hka Nan Baptist Church Total</t>
  </si>
  <si>
    <t>Maw Hpawng Lhaovo Baptist Church Total</t>
  </si>
  <si>
    <t>Maw Wan, Mu-yin Baptist Church Total</t>
  </si>
  <si>
    <t>Mine Yu Lay village ( Old) Total</t>
  </si>
  <si>
    <t>Momauk Baptist Church Total</t>
  </si>
  <si>
    <t>Mung Hawm  Total</t>
  </si>
  <si>
    <t>Muyin church (Aung Yar pre-school compound)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</si>
  <si>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</si>
  <si>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</si>
  <si>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</si>
  <si>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</si>
  <si>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</si>
  <si>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</si>
  <si>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</si>
  <si>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</si>
  <si>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</si>
  <si>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</si>
  <si>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</si>
  <si>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</si>
  <si>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</si>
  <si>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</si>
  <si>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</si>
  <si>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</si>
  <si>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</si>
  <si>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</si>
  <si>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</si>
  <si>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Pan Ta Pyae Total</t>
  </si>
  <si>
    <t>Phan Khar Kone Total</t>
  </si>
  <si>
    <t>Qtr. 2 Lhaovo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</si>
  <si>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</si>
  <si>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</si>
  <si>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</si>
  <si>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</si>
  <si>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</si>
  <si>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</si>
  <si>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</si>
  <si>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</si>
  <si>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St. Patrick Catholic Church  Total</t>
  </si>
  <si>
    <t>Tanai CoC Total</t>
  </si>
  <si>
    <t>Tanai KBC Camp Total</t>
  </si>
  <si>
    <t>Tat Kone COC Baptist - Tat Kone Htoi San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</si>
  <si>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</si>
  <si>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</si>
  <si>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</si>
  <si>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</si>
  <si>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</si>
  <si>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</si>
  <si>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</si>
  <si>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</si>
  <si>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</si>
  <si>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</si>
  <si>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</si>
  <si>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</si>
  <si>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AD 2000 School Total</t>
  </si>
  <si>
    <t>Robert -High school Total</t>
  </si>
  <si>
    <t>Pamati Camp Total</t>
  </si>
  <si>
    <t>Sector 5 Pammati Quarter Total</t>
  </si>
  <si>
    <t>MHF-Metta</t>
  </si>
  <si>
    <t># Liters</t>
  </si>
  <si>
    <t xml:space="preserve">KMSS, Metta, KBC,HPA, WPN, </t>
  </si>
  <si>
    <t xml:space="preserve">KBC, KMSS, Metta, Shalom, </t>
  </si>
  <si>
    <t xml:space="preserve">KBC </t>
  </si>
  <si>
    <t xml:space="preserve">KBC, Metta , </t>
  </si>
  <si>
    <t xml:space="preserve">KBC, KMSS, , , </t>
  </si>
  <si>
    <t>5-1-2020, 1-1-2020</t>
  </si>
  <si>
    <t>2-28-2020, 12-1-2020</t>
  </si>
  <si>
    <t>UNICEF, MHF</t>
  </si>
  <si>
    <t># of sites</t>
  </si>
  <si>
    <t># of villages</t>
  </si>
  <si>
    <t xml:space="preserve"> %
Hygiene Gap</t>
  </si>
  <si>
    <t xml:space="preserve"> %
Sanitation GAP</t>
  </si>
  <si>
    <t xml:space="preserve"> % 
Water GAP</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</si>
  <si>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</si>
  <si>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</si>
  <si>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</si>
  <si>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</si>
  <si>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</si>
  <si>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</si>
  <si>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</si>
  <si>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</si>
  <si>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</si>
  <si>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</si>
  <si>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</si>
  <si>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</si>
  <si>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</si>
  <si>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</si>
  <si>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</si>
  <si>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</si>
  <si>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</si>
  <si>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</si>
  <si>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</si>
  <si>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</si>
  <si>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</si>
  <si>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</si>
  <si>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</si>
  <si>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</si>
  <si>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</si>
  <si>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</si>
  <si>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</si>
  <si>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</si>
  <si>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</si>
  <si>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</si>
  <si>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</si>
  <si>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</si>
  <si>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</si>
  <si>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</si>
  <si>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</si>
  <si>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(SI (ECHO), HARP - F),UNICEF</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</si>
  <si>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</si>
  <si>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</si>
  <si>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</si>
  <si>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</si>
  <si>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</si>
  <si>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</si>
  <si>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</si>
  <si>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</si>
  <si>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</si>
  <si>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</si>
  <si>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</si>
  <si>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</si>
  <si>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</si>
  <si>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</si>
  <si>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</si>
  <si>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</si>
  <si>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</si>
  <si>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</si>
  <si>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</si>
  <si>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</si>
  <si>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</si>
  <si>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13-8-2021, 6-1-2020</t>
  </si>
  <si>
    <t>12-20-2022, 30-7-2021</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</si>
  <si>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</si>
  <si>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</si>
  <si>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</si>
  <si>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</si>
  <si>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</si>
  <si>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</si>
  <si>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</si>
  <si>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</si>
  <si>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</si>
  <si>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</si>
  <si>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</si>
  <si>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His Aw (Chyu Fan)  Total</t>
  </si>
  <si>
    <t>Shwe Sin (Ward 3)  Total</t>
  </si>
  <si>
    <t>Target (20:1)</t>
  </si>
  <si>
    <t>Reached</t>
  </si>
  <si>
    <t>2-01-2019, 07-01-2020</t>
  </si>
  <si>
    <t>Closed_cccm_2021Apr</t>
  </si>
  <si>
    <t>USAID, HOPE-20, Hope-21</t>
  </si>
  <si>
    <t>13-8-2021, 6-1-2020, 1-7-2021</t>
  </si>
  <si>
    <t>12-20-2022, 30-8-2021, 30-6-22</t>
  </si>
  <si>
    <t>12-20-2022, 30-8-2021, 30-6-2022</t>
  </si>
  <si>
    <t>UNICEF, USAID</t>
  </si>
  <si>
    <t>30-09-2021, 28-2-2022</t>
  </si>
  <si>
    <t>STW</t>
  </si>
  <si>
    <t>Closed_cccm_2021July</t>
  </si>
  <si>
    <t>HH
(Kachin/Shan-CCCM as of July 2021)</t>
  </si>
  <si>
    <t>Pop
(Kachin/Shan-CCCM as of July 2021)</t>
  </si>
  <si>
    <t>USAID, HOPE-71, HOPE-94</t>
  </si>
  <si>
    <t>12-2-2022, 30-11-2021, 30.4.2021</t>
  </si>
  <si>
    <t>Metta is negotiating with SI for Desludging service</t>
  </si>
  <si>
    <t>Because of the fully lockdown situation and shotage of materials causes latrines unfunctional</t>
  </si>
  <si>
    <t>yes</t>
  </si>
  <si>
    <t>chruch</t>
  </si>
  <si>
    <t>worldvision/KBC</t>
  </si>
  <si>
    <t>Trocaire/MHF</t>
  </si>
  <si>
    <t>among 9 latrines, only 3 can be used. To imporve for good latrine coverage ratio: it is big issue raised on September.</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</si>
  <si>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</si>
  <si>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</si>
  <si>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</si>
  <si>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</si>
  <si>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</si>
  <si>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</si>
  <si>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</si>
  <si>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</si>
  <si>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</si>
  <si>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</si>
  <si>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</si>
  <si>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</si>
  <si>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</si>
  <si>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</si>
  <si>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</si>
  <si>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</si>
  <si>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</si>
  <si>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</si>
  <si>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</si>
  <si>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</si>
  <si>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</si>
  <si>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</si>
  <si>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</si>
  <si>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</si>
  <si>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</si>
  <si>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</si>
  <si>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</si>
  <si>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</si>
  <si>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</si>
  <si>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</si>
  <si>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 xml:space="preserve">bathing spaces are needed to renovate pipeline system, walling for women and girls privacy, roofing and water storage tanks. Need to construct new hand dug well </t>
  </si>
  <si>
    <t>Trocaire/Irish</t>
  </si>
  <si>
    <t>15-05-2021</t>
  </si>
  <si>
    <t>14-08-2021</t>
  </si>
  <si>
    <t>Regarding to the water source testing result (Water conterminate), it should not use for the drinking water. Therefore, it needs to find the new water source and construct new water supply.</t>
  </si>
  <si>
    <t>It still needs to construct new sanitations</t>
  </si>
  <si>
    <t>It should support in-kind because there is no accessible market</t>
  </si>
  <si>
    <t>Bum Ra Yang Camp  Total</t>
  </si>
  <si>
    <t>Mang Nawng Kawng (host) Total</t>
  </si>
  <si>
    <t>Hat Hlan village (host) Total</t>
  </si>
  <si>
    <t>Kyaukme Town (host) Total</t>
  </si>
  <si>
    <t xml:space="preserve">still need to do Hygiene promotion to be practical step </t>
  </si>
  <si>
    <t>KMSS,METTA</t>
  </si>
  <si>
    <t>UNICEF,(UNICEF, USAID)</t>
  </si>
  <si>
    <t>Meikswe MM</t>
  </si>
  <si>
    <t>HRP reached</t>
  </si>
  <si>
    <t>2021-4th Qtr 4W Camp DASHBOARD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</si>
  <si>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</si>
  <si>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</si>
  <si>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</si>
  <si>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</si>
  <si>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</si>
  <si>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</si>
  <si>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</si>
  <si>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</si>
  <si>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</si>
  <si>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</si>
  <si>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</si>
  <si>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</si>
  <si>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</si>
  <si>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</si>
  <si>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</si>
  <si>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</si>
  <si>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</si>
  <si>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</si>
  <si>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</si>
  <si>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</si>
  <si>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</si>
  <si>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</si>
  <si>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</si>
  <si>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</si>
  <si>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</si>
  <si>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</si>
  <si>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</si>
  <si>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Number of women, men, girls and boys accessing WASH services in temporary learn-ing spaces which received support from the WASH Cluster.</t>
  </si>
  <si>
    <t>2022_Q1</t>
  </si>
  <si>
    <t>2022_Q2</t>
  </si>
  <si>
    <t>2022_Q3</t>
  </si>
  <si>
    <t>2022_Q4</t>
  </si>
  <si>
    <t>11-11-2021, 07-01-2020</t>
  </si>
  <si>
    <t>10-11-2022, 28-2-2022</t>
  </si>
  <si>
    <t>Metta, KMSS,</t>
  </si>
  <si>
    <t xml:space="preserve">Metta, KMSS, </t>
  </si>
  <si>
    <t>Temporarily removed</t>
  </si>
  <si>
    <t>Closed_cccm2022Jan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</si>
  <si>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</si>
  <si>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</si>
  <si>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</si>
  <si>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</si>
  <si>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</si>
  <si>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</si>
  <si>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</si>
  <si>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</si>
  <si>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</si>
  <si>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</si>
  <si>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</si>
  <si>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</si>
  <si>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</si>
  <si>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</si>
  <si>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</si>
  <si>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</si>
  <si>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</si>
  <si>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</si>
  <si>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</si>
  <si>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</si>
  <si>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</si>
  <si>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</si>
  <si>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</si>
  <si>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</si>
  <si>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</si>
  <si>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</si>
  <si>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</si>
  <si>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</si>
  <si>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</si>
  <si>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</si>
  <si>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</si>
  <si>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</si>
  <si>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</si>
  <si>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KBC, PIN</t>
  </si>
  <si>
    <t>10/1/2020, 4-8-21</t>
  </si>
  <si>
    <t>4/30/2022, 3-8-22</t>
  </si>
  <si>
    <t>KBC,PIN</t>
  </si>
  <si>
    <t>UNICEF,MHG</t>
  </si>
  <si>
    <t>4/30/2022,8-3-2022</t>
  </si>
  <si>
    <t>10/1/2020,8-4-2021</t>
  </si>
  <si>
    <t>UNICEF,MHF</t>
  </si>
  <si>
    <t>10/1/2020, 8-4-21</t>
  </si>
  <si>
    <t>4/30/2022, 8-3-22</t>
  </si>
  <si>
    <t>Nam Hlaing Extension Ward camp Total</t>
  </si>
  <si>
    <t>Naung Tar Law (Kyet Chan)  Total</t>
  </si>
  <si>
    <t>Waingmaw St.Joseph RC Church Total</t>
  </si>
  <si>
    <t>Waingmaw LBC church  Total</t>
  </si>
  <si>
    <t>Lisu Zonal camp Total</t>
  </si>
  <si>
    <t>Phaug Nhae Camp Total</t>
  </si>
  <si>
    <t>Yuu Ka lait Kone Camp Total</t>
  </si>
  <si>
    <t>Lhaovo Baptist Convention  Old Office Camp Total</t>
  </si>
  <si>
    <t>Ding Jang Yang (1) Total</t>
  </si>
  <si>
    <t>Ding Jang Yang (2) Total</t>
  </si>
  <si>
    <t>Naung Pataine/lachid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</si>
  <si>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</si>
  <si>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</si>
  <si>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</si>
  <si>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</si>
  <si>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</si>
  <si>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</si>
  <si>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</si>
  <si>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</si>
  <si>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</si>
  <si>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</si>
  <si>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</si>
  <si>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</si>
  <si>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</si>
  <si>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</si>
  <si>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</si>
  <si>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</si>
  <si>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</si>
  <si>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</si>
  <si>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</si>
  <si>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</si>
  <si>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</si>
  <si>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</si>
  <si>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</si>
  <si>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</si>
  <si>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</si>
  <si>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</si>
  <si>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</si>
  <si>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</si>
  <si>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</si>
  <si>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</si>
  <si>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</si>
  <si>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</si>
  <si>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</si>
  <si>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</si>
  <si>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</si>
  <si>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</si>
  <si>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</si>
  <si>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</si>
  <si>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GCA (500:1)</t>
  </si>
  <si>
    <t>NGCA (500:1)</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</si>
  <si>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</si>
  <si>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</si>
  <si>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</si>
  <si>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</si>
  <si>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</si>
  <si>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</si>
  <si>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</si>
  <si>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</si>
  <si>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</si>
  <si>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</si>
  <si>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Number of women, men, girls and boys accessing WASH services in temporary learning spaces which received support from the WASH Cluster.</t>
  </si>
  <si>
    <t>မိုးတွင်းတွင် ရေခက်ခဲ</t>
  </si>
  <si>
    <t>ရေမသန့်၍သောက်သုံးမရ</t>
  </si>
  <si>
    <t>ရေတွင်းအသစ် တခုလိုအပ်</t>
  </si>
  <si>
    <t>မိလ္လာစုပ်ထုတ်ရန်ရှိ</t>
  </si>
  <si>
    <t>သွားတိုက်ဆေး၊ သွားတိုက်တံ</t>
  </si>
  <si>
    <t>ဆပ်ပြာလုံလောက်စွာရရှိရန်</t>
  </si>
  <si>
    <t>အသိပညာပေး</t>
  </si>
  <si>
    <t>နွေရာသီတွင် ရေအခက်အခဲဖြစ်</t>
  </si>
  <si>
    <t>ရေသန့်လိုအပ်</t>
  </si>
  <si>
    <t>နွေရာသီတွင် ရေရှားပါးမှုဖြစ်</t>
  </si>
  <si>
    <t>နွေရာသီတွင် ရေခမ်း၍ ရေအနည်များခြင်း</t>
  </si>
  <si>
    <t>နွေရာသီတွင် ရေခမ်း၍ ရေအနည်များခြင်း/မသန့်ခြင်း</t>
  </si>
  <si>
    <t>မိလ္လာစုပ်ထုတ်ရန် လိုအပ်ပါက ရုံးမှ တိုက်ရိုက်ဆက်သွယ်လုပ်ဆောင်ပေးပါရန်</t>
  </si>
  <si>
    <t>12နှစ်မှ ၂၅နှစ်များကို တကိုယ်ရည်သန့်ရှင်းရေးသင်တန်းများ လိုအပ်</t>
  </si>
  <si>
    <t>ရေပိုက်နှင့် ရေမော်တာလိုအပ်</t>
  </si>
  <si>
    <t>ရေတွင်း ရေမလုံလောက်ခြင်းကြောင့် စခန်းအနီးရှိ ဘုန်းကြီးကျောင်းမှ ရေပိုက်သွယ်ယူရန်လိုအပ်လျက်ရှိ</t>
  </si>
  <si>
    <t>နွေရာသီတွင် သောက်သုံးရေခက်ခဲ။ ရေမသန့်ရှင်းသောကြောင့် ကလေး၊လူကြီးများတွင် အရေပြားရောဂါများဖြစ်ပွားနေပါသည်။</t>
  </si>
  <si>
    <t>ရေသန့်(ကလိုရင်း ဆေး)</t>
  </si>
  <si>
    <t>ရေနုတ်မြောင်းလိုအပ်/ အိမ်သာအသစ်(၄)လုံးလိုအပ်</t>
  </si>
  <si>
    <t>အမှိုက်စွန့်ပစ်ရန် ဆီဖိုးထောက်ပံ့မူများလိုအပ်နေပါသည်။</t>
  </si>
  <si>
    <t>အိမ်သာ(အသစ်)လိုချင်သော်လည်းနေရာမရှိ</t>
  </si>
  <si>
    <t>မိလု္လာတွင်းတိမ်သည့် အတွက် မကြာမဏပြည့်။</t>
  </si>
  <si>
    <t>အိမ်သာထပ်မံလိုအပ်ပါသည်။</t>
  </si>
  <si>
    <t>အိမ်သာ(၁၀)လုံးပြုပြင်ရန်လိုအပ်နေ</t>
  </si>
  <si>
    <t>Hygiene Promotion ပြုလုပ်ရန်</t>
  </si>
  <si>
    <t>သင်တန်းများ ပြန်လည်ပို့ချပေးစေလိုပါသည်။</t>
  </si>
  <si>
    <t>အိမ်သာအနီးလက်ဆေးစင်(၃)လုံးထောက်ပံ့ပေးရန်။ Hygiene Kits ထောက်ပံ့ပေးပါရန်</t>
  </si>
  <si>
    <t>Hygiene Kit ပုံမှန်ပေးစေလို</t>
  </si>
  <si>
    <t>(12-50)ကြား အမျိုးသမီးသုံးဆောင်ပစ္စည်းများပေးစေလို</t>
  </si>
  <si>
    <t>ရေစင်(၂)လုံးလိုအပ်နေ။ Hygiene Promotion ပြုလုပ်ရန်လို။ Hygiene Kitsဆက်လက်ပေးရန်</t>
  </si>
  <si>
    <t>တောင်ကျရေလုံလောက်မူမရှိ</t>
  </si>
  <si>
    <t>ရေအရည်သွေးစစ်ဆေးမူပြုလုပ်စေချင်။ ရေတွင်းသန့်ရှင်းရေးလုပ်ချင်ပါသည်</t>
  </si>
  <si>
    <t>မီးစက်ဒိုင်နမိုလို</t>
  </si>
  <si>
    <t>မီးကြိုးလှဲလှယ်ရန်လိုအပ် ရေအရည်အသွေးစစ်ဆေးရန်</t>
  </si>
  <si>
    <t>အတွင်းခံဆိုဒ်ကြီးများလဲ ထည့်ပေးစေချင်ပါသည်။ အသက်(၅၀)ထိလစဉ်သုံးပစ္စည်းရချင်</t>
  </si>
  <si>
    <t>Hygiene Kits ထောက်ပံ့ပေးပါရန်</t>
  </si>
  <si>
    <t>သွားတိုက်ဆေး/တံ၊ အမျိုးသမီး(၅၀)ထိအသုံးအဆောင်ရစေလို</t>
  </si>
  <si>
    <t>Hygiene Kits များပုံမှန်ပေးစေလိုပါသည်။</t>
  </si>
  <si>
    <t>HPa</t>
  </si>
  <si>
    <t>IRW</t>
  </si>
  <si>
    <t>4W village</t>
  </si>
  <si>
    <t>OXSI (Oxfam)</t>
  </si>
  <si>
    <t>W_121</t>
  </si>
  <si>
    <t>W_098</t>
  </si>
  <si>
    <t>W_070</t>
  </si>
  <si>
    <t>W_057</t>
  </si>
  <si>
    <t>W_137</t>
  </si>
  <si>
    <t>W_138</t>
  </si>
  <si>
    <t>W_005</t>
  </si>
  <si>
    <t>3W</t>
  </si>
  <si>
    <t>Nway Htwe Thaw Yin Khwin</t>
  </si>
  <si>
    <t>Meikswe Myanmar</t>
  </si>
  <si>
    <t xml:space="preserve">Metta </t>
  </si>
  <si>
    <t>SCI / ICRC</t>
  </si>
  <si>
    <t>TGH-RCDF</t>
  </si>
  <si>
    <t>MA-UK</t>
  </si>
  <si>
    <t>CERA</t>
  </si>
  <si>
    <t>LWF</t>
  </si>
  <si>
    <t>CHRO</t>
  </si>
  <si>
    <t>Acronym</t>
  </si>
  <si>
    <t>reporting</t>
  </si>
  <si>
    <t>PWJ</t>
  </si>
  <si>
    <t>ADRA</t>
  </si>
  <si>
    <t>Mercy Corps</t>
  </si>
  <si>
    <t>Karen Women Organisation</t>
  </si>
  <si>
    <t>TWG</t>
  </si>
  <si>
    <t>nRS
(Stateless)</t>
  </si>
  <si>
    <t>nRS
(Others)</t>
  </si>
  <si>
    <t>IDP sites</t>
  </si>
  <si>
    <t>MMR015CMP036</t>
  </si>
  <si>
    <t>MMR015CMP084</t>
  </si>
  <si>
    <t>MMR015CMP062</t>
  </si>
  <si>
    <t>MMR015CMP071</t>
  </si>
  <si>
    <t>MMR015CMP030</t>
  </si>
  <si>
    <t>MMR015CMP068</t>
  </si>
  <si>
    <t>Mong Wee Shan-relocated</t>
  </si>
  <si>
    <t>Hseng Ja-Relocated</t>
  </si>
  <si>
    <t>MMR015CMP063</t>
  </si>
  <si>
    <t>MMR015CMP038</t>
  </si>
  <si>
    <t>MMR015CMP064</t>
  </si>
  <si>
    <t>MMR015CMP045</t>
  </si>
  <si>
    <t>MMR015CMP043</t>
  </si>
  <si>
    <t>MMR015CMP037</t>
  </si>
  <si>
    <t>MMR015CMP067</t>
  </si>
  <si>
    <t>MMR015CMP075</t>
  </si>
  <si>
    <t>MMR015CMP073</t>
  </si>
  <si>
    <t>MMR015CMP072</t>
  </si>
  <si>
    <t>MMR015CMP069</t>
  </si>
  <si>
    <t>MMR015CMP070</t>
  </si>
  <si>
    <t>MMR015CMP027</t>
  </si>
  <si>
    <t>MMR015CMP065</t>
  </si>
  <si>
    <t>MMR015CMP076</t>
  </si>
  <si>
    <t>MMR015CMP042</t>
  </si>
  <si>
    <t>MMR015CMP074</t>
  </si>
  <si>
    <t>MMR015CMP066</t>
  </si>
  <si>
    <t>MMR015CMP050</t>
  </si>
  <si>
    <t>old-Pcode</t>
  </si>
  <si>
    <t>Closed_cccm_2022Apr</t>
  </si>
  <si>
    <t>MMR015CMP077</t>
  </si>
  <si>
    <t>MMR015CMP078</t>
  </si>
  <si>
    <t>MMR015CMP079</t>
  </si>
  <si>
    <t>MMR015CMP080</t>
  </si>
  <si>
    <t>MMR015CMP081</t>
  </si>
  <si>
    <t>MMR015CMP083</t>
  </si>
  <si>
    <t xml:space="preserve">Man Pint community Hall </t>
  </si>
  <si>
    <t>Mong Tin High School</t>
  </si>
  <si>
    <t>Nar Mun Primary School</t>
  </si>
  <si>
    <t>SLCA Building Compound (Kyaukme town)</t>
  </si>
  <si>
    <t>SLCA Building Compound (Moungnawt town)</t>
  </si>
  <si>
    <t xml:space="preserve">Theravada Monastery </t>
  </si>
  <si>
    <t>Pong Long</t>
  </si>
  <si>
    <t>Mong Tin</t>
  </si>
  <si>
    <t xml:space="preserve">Mong Tin </t>
  </si>
  <si>
    <t xml:space="preserve">Hku Mone </t>
  </si>
  <si>
    <t>Mongngawt Town</t>
  </si>
  <si>
    <t>Man Pint</t>
  </si>
  <si>
    <t>Mong Tin Ywar Ma</t>
  </si>
  <si>
    <t xml:space="preserve">Nar Mun </t>
  </si>
  <si>
    <t xml:space="preserve">30 April 2022: population source UNHCR follow up 31.Mar/2022:Population update. Data Source: UNHCR-Lashio: registered in CCCM list as the displacement prolonged due to insecure cirdumstance in the area. </t>
  </si>
  <si>
    <t xml:space="preserve">30 April 2022: population source UNHCR follow up 31.Mar/2022:Population update. Data Source: UNHCR-Lashio: registered in CCCM list as the displacement prolonged due to insecure circumstance in the area. </t>
  </si>
  <si>
    <t xml:space="preserve">31.Mar/2022:Population update. Data Source: UNHCR-Lashio: registered in CCCM list as the displacement prolonged due to insecure cirdumstance in the area. </t>
  </si>
  <si>
    <t>Q2_2022</t>
  </si>
  <si>
    <t>CCCm_2022Apr</t>
  </si>
  <si>
    <t>cccm_2022Apr</t>
  </si>
  <si>
    <t>Na ru Kawng (Post 6 camp)</t>
  </si>
  <si>
    <t>Maina Mu-yin  Baptist Church</t>
  </si>
  <si>
    <t xml:space="preserve">30/Apr/2022: The camp is temporarily removed from the camp list, all HH/PP return to their village of Origin for their children's education and Usual LLH, The makeshift shelter will be remain for in case of emergency)
31/Jan/2022:Population update. Data source: Dai Fin (registered in CCCM list due to unstable safely and security condition in the area, IDPs decided themselves staying at the current site) </t>
  </si>
  <si>
    <t xml:space="preserve">30/Apr/2022: (all IDPs HH/pp return to their village of origin to Mading, labang, Tang Bau to continue their usual LLH and children education and The host church have many church activities and request IDPs to return to their village of origin, but the makeshift shelter will be keep in the church till end of Nov 2022 in case of emergency)
31/Jan/2022:Population update. Data source: Dai Fin (registered in CCCM list due to unstable safely and security condition in the area, IDPs decided themselves staying at the current site) </t>
  </si>
  <si>
    <t>30/June/2021:Population update. Data source:KBC-MYT (Putao camp was closed in June 15,2021.(Move to sut Chying village near the zedam 2village ) to resettlement site)
31/May/2021:Population update. Data source:KBC-MYT
30/April/2021:Population update. Data source:KBC-MYT (M-2/F-2 Born)
31/March/2021:Population update. Data source:KBC-MYT
28/Feb/2021:Population update. Data source:KBC-MYT
31/Jan/2021:Population update. Data source:KBC-MYT
31/Dec/2020:Population update. Data source:KBC-MYT
30/Nov/2020:Population update. Data source:KBC-MYT (M-6 and F-1 born /F-3 got married )
30/Sept/2020:Population update. Data source:KBC-MYT (M-1 born)
31/Aug/2020:Population update. Data source:KBC-MYT
31/July/2020:Population update. Data source:KBC-MYT
30/June/2020:Population update. Data source:KBC-MYT (1-M new born)
31/May/2020:Population update. Data source:KBC-MYT
30/April/2020:Population update. Data source:KBC-MYT (2hh increase -(HH extension)
30/March/2020:Population update. Data source:KBC-MYT (4 hhs from Tatkone CoC, 2hhs from host (IDP) registered, 5 hhs extened, 2hhs from host  (IDP but never registered in camp) in March)
28/February/2020:Population update. Data source:KBC-MYT (7hhs come from Host and 3hh are extended.)
30/January/2020: Population update. Data source: KBC-MYT 
30/December/2019: Population update. Data source:KBC-MYT  
29/November/2019: Population update. Data source:KBC-MYT
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</si>
  <si>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30/April/2020:Population update. Data source:KMSS-Myitkyina
31/March/2020:Population update. Data source:KMSS-Myitkyina
28/Feb/2020:Population update. Data source:KMSS-Myitkyina
31/Dec/2020:Reduced the # of HHs who relocated to Gawnan on December. there are more HHs (extended families in BP6 to be updated in January 2021, after teh site assessment) Data source:KMSS-Myitkyina
31 Oct 2020: 2 HH/ 11 people Increase back from livelihood and new born 30/Sept/2020:Population update. Data source:KMSS-Myitkyina
31/Aug/2020:Population update. Data source: KMSS Myitkyina ((In June 24 hh and 154 moved majorities to Shing Jai camp and othe camps, the total hh was 53 and 335 pp)  One Male new born in Aug)
31/July/2020:Population update. Data source: KMSS Myitkyina
30/June/2020:Population update. Data source: KMSS Myitkyina
31/May/2020:Population update. Data source: KMSS Myitkyina
30/April/2020:Population update. Data source: KMSS Myitkyina
30/March/2020:Population update. Data source: KMSS Myitkyina 
28/February/2020:Population update. Data source:KMSS_Myitkyina
30/January/2020: Population update. Data source: KMSS_Myitkyina
30/December/2019: Population update. Data source: KMSS_Myitkyina 
29/November/2019: Population update. Data source: KMSS_Myitkyina
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</si>
  <si>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Relocated-IDPs in host</t>
  </si>
  <si>
    <t>Relocated-Individual House</t>
  </si>
  <si>
    <t xml:space="preserve">Nan Hlaing_new camp </t>
  </si>
  <si>
    <t xml:space="preserve">Inadequate dirinking water in every summer. Water contamination (iron) is quite high and KBC constructed slow sand filter in attached 2 shallow tube well. </t>
  </si>
  <si>
    <t>There have no child latrine facitity in TLS and CFS</t>
  </si>
  <si>
    <t xml:space="preserve">Hygiene item distribution </t>
  </si>
  <si>
    <t>No Comment</t>
  </si>
  <si>
    <t>Please request to KMSS (MKN) to get more information about Je Yang School /water source pipe line need to repair in every raining season because of  landslide.</t>
  </si>
  <si>
    <t xml:space="preserve">More Need hygiene kits </t>
  </si>
  <si>
    <t xml:space="preserve">Community requested that to construct new water storage tank </t>
  </si>
  <si>
    <t>11.11.2021</t>
  </si>
  <si>
    <t>10.11.2022</t>
  </si>
  <si>
    <t>Saint Matthew (Shin ma ti-sitapru) camp</t>
  </si>
  <si>
    <t>Myo Thit -IDP in Host</t>
  </si>
  <si>
    <t xml:space="preserve">Bhamo- IDPs in Host </t>
  </si>
  <si>
    <t>St.Columban lone Khin camp</t>
  </si>
  <si>
    <t>Momauk-IDPs in Host</t>
  </si>
  <si>
    <t>Chipwi Pan Wa  (Host IDP)</t>
  </si>
  <si>
    <t>Man Wing- IDPs in Host</t>
  </si>
  <si>
    <t>Mansi- IDPs in Host</t>
  </si>
  <si>
    <t>Hopin -IDPs in Host</t>
  </si>
  <si>
    <t>Moenyin- IDPs in Host</t>
  </si>
  <si>
    <t>St.Francis RCC 1</t>
  </si>
  <si>
    <t>St.Francis RCC 2</t>
  </si>
  <si>
    <t>(3 mile) Shwe Pyi Tar (SLCA)</t>
  </si>
  <si>
    <t>Bang Yang Hka (Mung Ji Pa)-relocated</t>
  </si>
  <si>
    <t>Galeng Zup Awng ward 5 RC</t>
  </si>
  <si>
    <t>8/6/2021, 07-01-2020</t>
  </si>
  <si>
    <t>8/5/2022, 12-31-2021</t>
  </si>
  <si>
    <t>Every woman requested Sanitary pads</t>
  </si>
  <si>
    <t xml:space="preserve">Requested Sanitary pads </t>
  </si>
  <si>
    <t>ECHO 2739</t>
  </si>
  <si>
    <t xml:space="preserve"> SI conducted HH Visits and Hygiene promotion when we found the fecal coliform </t>
  </si>
  <si>
    <t>2 sources are not using any more for drinking</t>
  </si>
  <si>
    <t>finished chlorination for HDW</t>
  </si>
  <si>
    <t>PIN/ KBC, SI</t>
  </si>
  <si>
    <t>KBC, SI</t>
  </si>
  <si>
    <t>MHF, ECHO 2739</t>
  </si>
  <si>
    <t>11/1/2021, 4/1/2022</t>
  </si>
  <si>
    <t>10/31/2022, 11/30/2022</t>
  </si>
  <si>
    <t>Needed Water tasting ,O&amp;M Training</t>
  </si>
  <si>
    <t>Needed Solid wates management,Cleaning Tools</t>
  </si>
  <si>
    <t>Needed Solid wates management,Cleaning Tools and Fly Proof Latrine</t>
  </si>
  <si>
    <t>Need Local IEC meterial and Hygiene Promotion,Hygiene Kits Refill Item.</t>
  </si>
  <si>
    <t>USAID/HOPE-94</t>
  </si>
  <si>
    <t>13-8-2021/1-7-2021</t>
  </si>
  <si>
    <t>12-2-2022/30-4-2021</t>
  </si>
  <si>
    <t xml:space="preserve">Provide hygiene 4 clean message to mother group session and adolescent sessions (Under managed by Nutrition Programme) </t>
  </si>
  <si>
    <t>သောက်သုံးရေ ခက်ခဲ</t>
  </si>
  <si>
    <t xml:space="preserve">water intake and water quality testing </t>
  </si>
  <si>
    <t>ရေပိုက်လိုအပ်သည်</t>
  </si>
  <si>
    <t xml:space="preserve">ရေအရည်သွေးစစ်ဆေးမူပြုလုပ်စေချင်။ </t>
  </si>
  <si>
    <t>ထုံးဓာတ်များခြင်း</t>
  </si>
  <si>
    <t>MRC</t>
  </si>
  <si>
    <t>အိမ်သာအသစ် လိုအပ် မလုံလောက်</t>
  </si>
  <si>
    <t>Capacity building training</t>
  </si>
  <si>
    <t>Hygiene Kits</t>
  </si>
  <si>
    <t>အိမ်သာ(အသစ်) (2)</t>
  </si>
  <si>
    <t xml:space="preserve">soap </t>
  </si>
  <si>
    <t>၆ ကျင်း စုပ်ထုတ်ရန်</t>
  </si>
  <si>
    <t>ရေနုတ်မြောင်း ပြုပြင်ရန်</t>
  </si>
  <si>
    <t>Hygiene Kits and capacity building training</t>
  </si>
  <si>
    <t>Hygiene kits</t>
  </si>
  <si>
    <t>World vision</t>
  </si>
  <si>
    <t>Camp 2 တွင်လူဦးရေနှင့် အိမ်သာမမြ</t>
  </si>
  <si>
    <t>နွေရာသီတွင် ရေအခက်အခဲအနည်းငယ် ဖြစ်</t>
  </si>
  <si>
    <t>မိလ္လာစုပ်ထုတ်ရန် အခက်အခဲဖြစ်</t>
  </si>
  <si>
    <t>PIN,IRC</t>
  </si>
  <si>
    <t>MHF,IRC</t>
  </si>
  <si>
    <t>MHF, IRC</t>
  </si>
  <si>
    <t>SIDA</t>
  </si>
  <si>
    <t>IRC, WCM</t>
  </si>
  <si>
    <t>SIDA, LIFT</t>
  </si>
  <si>
    <t>5/31/2022,1/1/2020</t>
  </si>
  <si>
    <t>10/31/2022,12/31/2022</t>
  </si>
  <si>
    <t>MHF,SIDA</t>
  </si>
  <si>
    <t>PIN,IRC,WCM</t>
  </si>
  <si>
    <t>MHF,SIDA,LIFT</t>
  </si>
  <si>
    <t>5/1/2022,1/1/2020</t>
  </si>
  <si>
    <t>Lian Bang village Total</t>
  </si>
  <si>
    <t>Lin Hao chun  Total</t>
  </si>
  <si>
    <t>Pyi Htaung Su Total</t>
  </si>
  <si>
    <t>St.Francis RCC 1 Total</t>
  </si>
  <si>
    <t>St.Francis RCC 2 Total</t>
  </si>
  <si>
    <t>Bang Yang Hka (Mung Ji Pa)-relocated Total</t>
  </si>
  <si>
    <t>Galeng Zup Awng ward 5 RC Total</t>
  </si>
  <si>
    <t>Man Wing- IDPs in Host Total</t>
  </si>
  <si>
    <t>(3 mile) Shwe Pyi Tar (SLCA) Total</t>
  </si>
  <si>
    <t>Bhamo- IDPs in Host  Total</t>
  </si>
  <si>
    <t>Chipwi Pan Wa  (Host IDP) Total</t>
  </si>
  <si>
    <t>St.Columban lone Khin camp Total</t>
  </si>
  <si>
    <t>Mansi- IDPs in Host Total</t>
  </si>
  <si>
    <t>Hopin -IDPs in Host Total</t>
  </si>
  <si>
    <t>Moenyin- IDPs in Host Total</t>
  </si>
  <si>
    <t>Momauk-IDPs in Host Total</t>
  </si>
  <si>
    <t>Myo Thit -IDP in Host Total</t>
  </si>
  <si>
    <t>Saint Matthew (Shin ma ti-sitapru) camp Total</t>
  </si>
  <si>
    <t>Nan Hlaing_new camp  Total</t>
  </si>
  <si>
    <t>Na ru Kawng (Post 6 camp) Total</t>
  </si>
  <si>
    <t>Man Pint community Hall  Total</t>
  </si>
  <si>
    <t>Mong Tin High School Total</t>
  </si>
  <si>
    <t>Nar Mun Primary School Total</t>
  </si>
  <si>
    <t>SLCA Building Compound (Kyaukme town) Total</t>
  </si>
  <si>
    <t>SLCA Building Compound (Moungnawt town) Total</t>
  </si>
  <si>
    <t>Theravada Monastery  Total</t>
  </si>
  <si>
    <t>Mong Wee Shan-relocated Total</t>
  </si>
  <si>
    <t>Hseng Ja-Relocated Total</t>
  </si>
  <si>
    <t>Maina Mu-yin  Baptist Church Total</t>
  </si>
  <si>
    <t>(blank)</t>
  </si>
  <si>
    <t>WCM</t>
  </si>
  <si>
    <t>WDC</t>
  </si>
  <si>
    <t>MC</t>
  </si>
  <si>
    <t>KyWO</t>
  </si>
  <si>
    <t>MM</t>
  </si>
  <si>
    <t>NHTYK</t>
  </si>
  <si>
    <t>CIDKP</t>
  </si>
  <si>
    <t>TGH-GJ</t>
  </si>
  <si>
    <t>AYO</t>
  </si>
  <si>
    <t>OXFAM</t>
  </si>
  <si>
    <t>PSSAG</t>
  </si>
  <si>
    <t>SDF</t>
  </si>
  <si>
    <t>TLDA</t>
  </si>
  <si>
    <t>GLAD</t>
  </si>
  <si>
    <t>Mon State</t>
  </si>
  <si>
    <t>Type</t>
  </si>
  <si>
    <t>National NGO</t>
  </si>
  <si>
    <t>International NGO</t>
  </si>
  <si>
    <t>WV</t>
  </si>
  <si>
    <t>CSO</t>
  </si>
  <si>
    <t>Red Cross</t>
  </si>
  <si>
    <t>United Nations</t>
  </si>
  <si>
    <t>Count of Acronym</t>
  </si>
  <si>
    <t xml:space="preserve">HRP 2022 Indicators </t>
  </si>
  <si>
    <t>KACHIN STATE (2022 - Qtr 2 - 4W Analysis, as of 30 June 2022)</t>
  </si>
  <si>
    <t>NORTHERN SHAN STATE  (2022 - Qtr 2 - 4W Analysis, as of 30 June 2022)</t>
  </si>
  <si>
    <t>HPA, PIN</t>
  </si>
  <si>
    <t>HPA, WVI</t>
  </si>
  <si>
    <t xml:space="preserve">KBC, SI </t>
  </si>
  <si>
    <t xml:space="preserve">KBC, PIN, Shalom </t>
  </si>
  <si>
    <t>KBC, KMSS, Shalom, PIN, IRC</t>
  </si>
  <si>
    <t>KBC, KMSS, Metta, PIN, SI, WPN</t>
  </si>
  <si>
    <t>KBC, KMSS, IRC, WCM</t>
  </si>
  <si>
    <t>KBC, KMSS, IRC</t>
  </si>
  <si>
    <t>KBC, KMSS, Shalom, PIN, IRC, WCM</t>
  </si>
  <si>
    <t>KBC, PIN, SI</t>
  </si>
  <si>
    <t>KBC , PIN</t>
  </si>
  <si>
    <t>KBC, KMSS, PIN</t>
  </si>
  <si>
    <t>KBC, KMSS, Metta, PIN, IRC, WCM, Shalom, STW</t>
  </si>
  <si>
    <t>S</t>
  </si>
  <si>
    <t xml:space="preserve">Shan (South)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</si>
</sst>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9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2"/>
      <name val="Calibri"/>
      <family val="2"/>
      <scheme val="minor"/>
    </font>
    <font>
      <sz val="12"/>
      <color theme="1"/>
      <name val="Calibri"/>
      <family val="2"/>
      <scheme val="minor"/>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sz val="10"/>
      <color rgb="FF2C2C2C"/>
      <name val="Corbel"/>
      <family val="2"/>
    </font>
    <font>
      <i/>
      <sz val="12"/>
      <color theme="1"/>
      <name val="Calibri"/>
      <family val="2"/>
      <scheme val="minor"/>
    </font>
    <font>
      <sz val="11"/>
      <color theme="1"/>
      <name val="Calibri"/>
      <family val="2"/>
      <scheme val="minor"/>
    </font>
    <font>
      <sz val="11"/>
      <color theme="4" tint="-0.249977111117893"/>
      <name val="Calibri"/>
      <family val="2"/>
      <scheme val="minor"/>
    </font>
    <font>
      <b/>
      <sz val="10"/>
      <color theme="0"/>
      <name val="Calibri"/>
      <family val="2"/>
      <scheme val="minor"/>
    </font>
    <font>
      <sz val="10"/>
      <color rgb="FF000000"/>
      <name val="Calibri"/>
      <family val="2"/>
    </font>
    <font>
      <b/>
      <sz val="11"/>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sz val="10"/>
      <color rgb="FF2C2C2C"/>
      <name val="Corbel"/>
      <family val="2"/>
    </font>
    <font>
      <sz val="11"/>
      <color theme="1"/>
      <name val="Calibri"/>
      <family val="2"/>
      <scheme val="minor"/>
    </font>
    <font>
      <sz val="10"/>
      <color rgb="FF000000"/>
      <name val="Calibri"/>
      <family val="2"/>
    </font>
    <font>
      <b/>
      <sz val="9"/>
      <name val="Corbel"/>
      <family val="2"/>
    </font>
    <font>
      <sz val="10"/>
      <color rgb="FF2C2C2C"/>
      <name val="Corbel"/>
      <family val="2"/>
    </font>
    <font>
      <sz val="10"/>
      <color theme="0"/>
      <name val="Crobel"/>
    </font>
    <font>
      <sz val="10"/>
      <color rgb="FF2C2C2C"/>
      <name val="Corbel"/>
      <family val="2"/>
    </font>
    <font>
      <sz val="10"/>
      <color rgb="FF2C2C2C"/>
      <name val="Corbel"/>
      <family val="2"/>
    </font>
    <font>
      <b/>
      <sz val="12"/>
      <name val="Times New Roman"/>
      <family val="2"/>
    </font>
    <font>
      <sz val="12"/>
      <name val="Times New Roman"/>
      <family val="2"/>
    </font>
    <font>
      <sz val="12"/>
      <name val="Times New Roman"/>
      <family val="1"/>
    </font>
    <font>
      <sz val="12"/>
      <color theme="0"/>
      <name val="Times New Roman"/>
      <family val="1"/>
    </font>
    <font>
      <sz val="12"/>
      <color theme="1"/>
      <name val="Calibri"/>
      <family val="2"/>
      <scheme val="minor"/>
    </font>
    <font>
      <sz val="12"/>
      <color theme="0"/>
      <name val="Calibri"/>
      <family val="2"/>
      <scheme val="minor"/>
    </font>
    <font>
      <sz val="12"/>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sz val="11"/>
      <color theme="4" tint="-0.249977111117893"/>
      <name val="Calibri"/>
      <family val="2"/>
      <scheme val="minor"/>
    </font>
    <font>
      <b/>
      <sz val="11"/>
      <color rgb="FF000000"/>
      <name val="Calibri"/>
      <family val="2"/>
    </font>
    <font>
      <sz val="11"/>
      <color theme="1"/>
      <name val="Calibri"/>
      <scheme val="minor"/>
    </font>
    <font>
      <b/>
      <sz val="11"/>
      <color theme="0"/>
      <name val="Calibri"/>
      <scheme val="minor"/>
    </font>
  </fonts>
  <fills count="64">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B3B5"/>
        <bgColor indexed="64"/>
      </patternFill>
    </fill>
    <fill>
      <patternFill patternType="solid">
        <fgColor rgb="FFFF0000"/>
        <bgColor theme="4" tint="0.79998168889431442"/>
      </patternFill>
    </fill>
    <fill>
      <patternFill patternType="solid">
        <fgColor rgb="FF009900"/>
        <bgColor indexed="64"/>
      </patternFill>
    </fill>
  </fills>
  <borders count="20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right style="thin">
        <color theme="4"/>
      </right>
      <top style="thin">
        <color theme="4"/>
      </top>
      <bottom style="medium">
        <color theme="4"/>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double">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double">
        <color theme="0" tint="-0.24994659260841701"/>
      </right>
      <top style="double">
        <color theme="0" tint="-0.24994659260841701"/>
      </top>
      <bottom style="double">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4"/>
      </left>
      <right style="double">
        <color theme="4"/>
      </right>
      <top style="double">
        <color theme="4"/>
      </top>
      <bottom/>
      <diagonal/>
    </border>
    <border>
      <left/>
      <right/>
      <top style="double">
        <color rgb="FFFF0000"/>
      </top>
      <bottom style="thin">
        <color rgb="FF0070C0"/>
      </bottom>
      <diagonal/>
    </border>
    <border>
      <left/>
      <right/>
      <top style="thin">
        <color rgb="FF0070C0"/>
      </top>
      <bottom style="thin">
        <color rgb="FF0070C0"/>
      </bottom>
      <diagonal/>
    </border>
    <border>
      <left style="thin">
        <color rgb="FF0070C0"/>
      </left>
      <right/>
      <top/>
      <bottom style="double">
        <color rgb="FFFF0000"/>
      </bottom>
      <diagonal/>
    </border>
    <border>
      <left/>
      <right/>
      <top/>
      <bottom style="double">
        <color rgb="FFFF0000"/>
      </bottom>
      <diagonal/>
    </border>
    <border>
      <left/>
      <right style="medium">
        <color rgb="FF0070C0"/>
      </right>
      <top style="double">
        <color rgb="FFFF0000"/>
      </top>
      <bottom style="thin">
        <color rgb="FF0070C0"/>
      </bottom>
      <diagonal/>
    </border>
    <border>
      <left/>
      <right style="thin">
        <color rgb="FF0070C0"/>
      </right>
      <top/>
      <bottom style="double">
        <color rgb="FFFF0000"/>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double">
        <color rgb="FFFF0000"/>
      </left>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9" tint="0.79998168889431442"/>
      </top>
      <bottom style="thin">
        <color theme="9" tint="0.39997558519241921"/>
      </bottom>
      <diagonal/>
    </border>
    <border>
      <left/>
      <right/>
      <top style="thin">
        <color theme="9" tint="0.79998168889431442"/>
      </top>
      <bottom style="thin">
        <color theme="9" tint="0.79998168889431442"/>
      </bottom>
      <diagonal/>
    </border>
    <border>
      <left/>
      <right/>
      <top style="thin">
        <color theme="9" tint="0.39997558519241921"/>
      </top>
      <bottom style="thin">
        <color theme="9" tint="0.39997558519241921"/>
      </bottom>
      <diagonal/>
    </border>
    <border>
      <left/>
      <right/>
      <top style="thin">
        <color theme="9" tint="0.39997558519241921"/>
      </top>
      <bottom style="thin">
        <color theme="9" tint="0.79998168889431442"/>
      </bottom>
      <diagonal/>
    </border>
    <border>
      <left/>
      <right/>
      <top style="thin">
        <color theme="9" tint="0.79998168889431442"/>
      </top>
      <bottom style="thin">
        <color theme="9"/>
      </bottom>
      <diagonal/>
    </border>
    <border>
      <left/>
      <right/>
      <top style="thin">
        <color theme="9" tint="0.39997558519241921"/>
      </top>
      <bottom/>
      <diagonal/>
    </border>
    <border>
      <left/>
      <right/>
      <top style="thin">
        <color theme="9" tint="0.79998168889431442"/>
      </top>
      <bottom/>
      <diagonal/>
    </border>
    <border>
      <left style="thin">
        <color theme="4" tint="0.59999389629810485"/>
      </left>
      <right style="thin">
        <color theme="4"/>
      </right>
      <top style="thin">
        <color theme="4" tint="0.59999389629810485"/>
      </top>
      <bottom style="thin">
        <color theme="0"/>
      </bottom>
      <diagonal/>
    </border>
  </borders>
  <cellStyleXfs count="145">
    <xf numFmtId="0" fontId="0" fillId="0" borderId="0"/>
    <xf numFmtId="9" fontId="32" fillId="0" borderId="0" applyFont="0" applyFill="0" applyBorder="0" applyAlignment="0" applyProtection="0"/>
    <xf numFmtId="0" fontId="33" fillId="0" borderId="0"/>
    <xf numFmtId="9"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3" fontId="33" fillId="0" borderId="0" applyFont="0" applyFill="0" applyBorder="0" applyAlignment="0" applyProtection="0"/>
    <xf numFmtId="166" fontId="33" fillId="0" borderId="0"/>
    <xf numFmtId="0" fontId="59" fillId="0" borderId="0"/>
    <xf numFmtId="0" fontId="31" fillId="0" borderId="0"/>
    <xf numFmtId="9" fontId="31" fillId="0" borderId="0" applyFont="0" applyFill="0" applyBorder="0" applyAlignment="0" applyProtection="0"/>
    <xf numFmtId="0" fontId="72" fillId="0" borderId="26" applyNumberFormat="0" applyFill="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166" fontId="29" fillId="0" borderId="0"/>
    <xf numFmtId="0" fontId="30" fillId="0" borderId="0"/>
    <xf numFmtId="9" fontId="30" fillId="0" borderId="0" applyFont="0" applyFill="0" applyBorder="0" applyAlignment="0" applyProtection="0"/>
    <xf numFmtId="0" fontId="59" fillId="0" borderId="0"/>
    <xf numFmtId="0" fontId="32" fillId="0" borderId="0"/>
    <xf numFmtId="0" fontId="63" fillId="24" borderId="0" applyNumberFormat="0" applyBorder="0" applyAlignment="0" applyProtection="0"/>
    <xf numFmtId="0" fontId="64" fillId="25" borderId="0" applyNumberFormat="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166" fontId="28" fillId="0" borderId="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166" fontId="28"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166" fontId="24" fillId="0" borderId="0"/>
    <xf numFmtId="0" fontId="24" fillId="0" borderId="0"/>
    <xf numFmtId="0" fontId="24" fillId="0" borderId="0"/>
    <xf numFmtId="9" fontId="24" fillId="0" borderId="0" applyFont="0" applyFill="0" applyBorder="0" applyAlignment="0" applyProtection="0"/>
    <xf numFmtId="43" fontId="24" fillId="0" borderId="0" applyFont="0" applyFill="0" applyBorder="0" applyAlignment="0" applyProtection="0"/>
    <xf numFmtId="166" fontId="24" fillId="0" borderId="0"/>
    <xf numFmtId="0" fontId="132" fillId="0" borderId="0"/>
    <xf numFmtId="43" fontId="136" fillId="0" borderId="0" applyFont="0" applyFill="0" applyBorder="0" applyAlignment="0" applyProtection="0"/>
    <xf numFmtId="9" fontId="133" fillId="0" borderId="0" applyFont="0" applyFill="0" applyBorder="0" applyAlignment="0" applyProtection="0"/>
    <xf numFmtId="9" fontId="136"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6" fillId="0" borderId="0" applyFont="0" applyFill="0" applyBorder="0" applyAlignment="0" applyProtection="0"/>
    <xf numFmtId="43" fontId="133" fillId="0" borderId="0" applyFont="0" applyFill="0" applyBorder="0" applyAlignment="0" applyProtection="0"/>
    <xf numFmtId="0" fontId="133" fillId="0" borderId="0"/>
    <xf numFmtId="166" fontId="133" fillId="0" borderId="0"/>
    <xf numFmtId="166" fontId="133" fillId="0" borderId="0"/>
    <xf numFmtId="0" fontId="63" fillId="46" borderId="0" applyNumberFormat="0" applyBorder="0" applyAlignment="0" applyProtection="0"/>
    <xf numFmtId="0" fontId="64" fillId="47" borderId="0" applyNumberFormat="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5" fillId="0" borderId="26" applyNumberFormat="0" applyFill="0" applyAlignment="0" applyProtection="0"/>
    <xf numFmtId="166" fontId="133" fillId="0" borderId="0"/>
    <xf numFmtId="166" fontId="133" fillId="0" borderId="0"/>
    <xf numFmtId="0" fontId="136" fillId="0" borderId="0"/>
    <xf numFmtId="166" fontId="133" fillId="0" borderId="0"/>
    <xf numFmtId="166"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33" fillId="0" borderId="0" applyFont="0" applyFill="0" applyBorder="0" applyAlignment="0" applyProtection="0"/>
    <xf numFmtId="9" fontId="136"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134" fillId="0" borderId="0"/>
    <xf numFmtId="0" fontId="13" fillId="57"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43" fontId="132" fillId="0" borderId="0" applyFont="0" applyFill="0" applyBorder="0" applyAlignment="0" applyProtection="0"/>
    <xf numFmtId="9" fontId="12" fillId="0" borderId="0" applyFont="0" applyFill="0" applyBorder="0" applyAlignment="0" applyProtection="0"/>
    <xf numFmtId="9" fontId="1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32" fillId="0" borderId="0" applyFont="0" applyFill="0" applyBorder="0" applyAlignment="0" applyProtection="0"/>
    <xf numFmtId="43" fontId="12" fillId="0" borderId="0" applyFont="0" applyFill="0" applyBorder="0" applyAlignment="0" applyProtection="0"/>
    <xf numFmtId="0" fontId="12" fillId="0" borderId="0"/>
    <xf numFmtId="166" fontId="12" fillId="0" borderId="0"/>
    <xf numFmtId="166"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166" fontId="12" fillId="0" borderId="0"/>
    <xf numFmtId="166" fontId="12" fillId="0" borderId="0"/>
    <xf numFmtId="0" fontId="132" fillId="0" borderId="0"/>
    <xf numFmtId="166" fontId="12"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3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57" borderId="0" applyNumberFormat="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1187">
    <xf numFmtId="0" fontId="0" fillId="0" borderId="0" xfId="0"/>
    <xf numFmtId="0" fontId="36" fillId="2" borderId="1" xfId="0" applyFont="1" applyFill="1" applyBorder="1" applyAlignment="1">
      <alignment horizontal="left" vertical="center" readingOrder="1"/>
    </xf>
    <xf numFmtId="0" fontId="36" fillId="5" borderId="2" xfId="0" applyFont="1" applyFill="1" applyBorder="1" applyAlignment="1">
      <alignment horizontal="left" vertical="center" readingOrder="1"/>
    </xf>
    <xf numFmtId="0" fontId="36" fillId="8" borderId="2" xfId="0" applyFont="1" applyFill="1" applyBorder="1" applyAlignment="1">
      <alignment horizontal="left" vertical="center" readingOrder="1"/>
    </xf>
    <xf numFmtId="0" fontId="36" fillId="8" borderId="3" xfId="0" applyFont="1" applyFill="1" applyBorder="1" applyAlignment="1">
      <alignment horizontal="left" vertical="center" readingOrder="1"/>
    </xf>
    <xf numFmtId="0" fontId="36" fillId="9" borderId="2" xfId="0" applyFont="1" applyFill="1" applyBorder="1" applyAlignment="1">
      <alignment horizontal="left" vertical="center" readingOrder="1"/>
    </xf>
    <xf numFmtId="0" fontId="37" fillId="3" borderId="1" xfId="0" applyFont="1" applyFill="1" applyBorder="1" applyAlignment="1">
      <alignment horizontal="left" vertical="center" readingOrder="1"/>
    </xf>
    <xf numFmtId="0" fontId="37" fillId="4" borderId="2" xfId="0" applyFont="1" applyFill="1" applyBorder="1" applyAlignment="1">
      <alignment horizontal="left" vertical="center" readingOrder="1"/>
    </xf>
    <xf numFmtId="0" fontId="37" fillId="3" borderId="2" xfId="0" applyFont="1" applyFill="1" applyBorder="1" applyAlignment="1">
      <alignment horizontal="left" vertical="center" readingOrder="1"/>
    </xf>
    <xf numFmtId="0" fontId="37" fillId="3" borderId="3" xfId="0" applyFont="1" applyFill="1" applyBorder="1" applyAlignment="1">
      <alignment horizontal="left" vertical="center" readingOrder="1"/>
    </xf>
    <xf numFmtId="14" fontId="37" fillId="3" borderId="2" xfId="0" applyNumberFormat="1" applyFont="1" applyFill="1" applyBorder="1" applyAlignment="1">
      <alignment horizontal="left" vertical="center" readingOrder="1"/>
    </xf>
    <xf numFmtId="14" fontId="37" fillId="6" borderId="2" xfId="0" applyNumberFormat="1" applyFont="1" applyFill="1" applyBorder="1" applyAlignment="1">
      <alignment horizontal="left" vertical="center" readingOrder="1"/>
    </xf>
    <xf numFmtId="0" fontId="37" fillId="7" borderId="2" xfId="0" applyFont="1" applyFill="1" applyBorder="1" applyAlignment="1">
      <alignment horizontal="left" vertical="center" readingOrder="1"/>
    </xf>
    <xf numFmtId="0" fontId="40" fillId="7" borderId="2" xfId="0" applyFont="1" applyFill="1" applyBorder="1" applyAlignment="1">
      <alignment horizontal="left" vertical="top" wrapText="1" readingOrder="1"/>
    </xf>
    <xf numFmtId="14" fontId="40" fillId="6" borderId="1" xfId="0" applyNumberFormat="1" applyFont="1" applyFill="1" applyBorder="1" applyAlignment="1">
      <alignment horizontal="left" vertical="top" wrapText="1" readingOrder="1"/>
    </xf>
    <xf numFmtId="9" fontId="37" fillId="3" borderId="2" xfId="1" applyFont="1" applyFill="1" applyBorder="1" applyAlignment="1">
      <alignment horizontal="left" vertical="center" readingOrder="1"/>
    </xf>
    <xf numFmtId="9" fontId="37" fillId="6" borderId="1" xfId="1" applyFont="1" applyFill="1" applyBorder="1" applyAlignment="1">
      <alignment horizontal="left" vertical="top" wrapText="1" readingOrder="1"/>
    </xf>
    <xf numFmtId="0" fontId="45" fillId="0" borderId="0" xfId="0" applyFont="1"/>
    <xf numFmtId="0" fontId="43" fillId="0" borderId="0" xfId="0" applyFont="1"/>
    <xf numFmtId="0" fontId="48" fillId="0" borderId="0" xfId="0" applyFont="1" applyAlignment="1"/>
    <xf numFmtId="0" fontId="48" fillId="0" borderId="0" xfId="0" applyFont="1" applyFill="1" applyAlignment="1"/>
    <xf numFmtId="166" fontId="33" fillId="13" borderId="0" xfId="8" applyFill="1"/>
    <xf numFmtId="166" fontId="33" fillId="13" borderId="0" xfId="8" applyFill="1" applyAlignment="1">
      <alignment horizontal="center" vertical="center"/>
    </xf>
    <xf numFmtId="166" fontId="33" fillId="20" borderId="8" xfId="8" applyFill="1" applyBorder="1"/>
    <xf numFmtId="166" fontId="33" fillId="20" borderId="0" xfId="8" applyFill="1" applyBorder="1"/>
    <xf numFmtId="166" fontId="33" fillId="20" borderId="9" xfId="8" applyFill="1" applyBorder="1"/>
    <xf numFmtId="166" fontId="42" fillId="20" borderId="0" xfId="8" applyFont="1" applyFill="1" applyBorder="1"/>
    <xf numFmtId="166" fontId="33" fillId="20" borderId="10" xfId="8" applyFill="1" applyBorder="1"/>
    <xf numFmtId="166" fontId="33" fillId="20" borderId="11" xfId="8" applyFill="1" applyBorder="1"/>
    <xf numFmtId="166" fontId="33" fillId="20" borderId="12" xfId="8" applyFill="1" applyBorder="1"/>
    <xf numFmtId="0" fontId="37" fillId="0" borderId="0" xfId="0" applyFont="1" applyFill="1" applyBorder="1" applyAlignment="1">
      <alignment horizontal="left" vertical="center" readingOrder="1"/>
    </xf>
    <xf numFmtId="9" fontId="48" fillId="0" borderId="0" xfId="0" applyNumberFormat="1" applyFont="1" applyFill="1" applyAlignment="1"/>
    <xf numFmtId="9" fontId="48" fillId="0" borderId="0" xfId="1" applyFont="1" applyFill="1" applyAlignment="1"/>
    <xf numFmtId="1" fontId="48" fillId="0" borderId="0" xfId="0" applyNumberFormat="1" applyFont="1" applyFill="1" applyAlignment="1"/>
    <xf numFmtId="0" fontId="46" fillId="22" borderId="2" xfId="0" applyNumberFormat="1" applyFont="1" applyFill="1" applyBorder="1" applyAlignment="1">
      <alignment horizontal="left" vertical="center" readingOrder="1"/>
    </xf>
    <xf numFmtId="14" fontId="48" fillId="0" borderId="0" xfId="0" applyNumberFormat="1" applyFont="1" applyFill="1" applyAlignment="1"/>
    <xf numFmtId="0" fontId="48" fillId="0" borderId="0" xfId="0" applyFont="1" applyFill="1" applyAlignment="1">
      <alignment horizontal="left"/>
    </xf>
    <xf numFmtId="1" fontId="48" fillId="0" borderId="0" xfId="1" applyNumberFormat="1" applyFont="1" applyFill="1" applyAlignment="1"/>
    <xf numFmtId="1" fontId="48" fillId="0" borderId="0" xfId="0" applyNumberFormat="1" applyFont="1" applyFill="1" applyAlignment="1">
      <alignment horizontal="left"/>
    </xf>
    <xf numFmtId="0" fontId="46" fillId="22" borderId="13" xfId="0" applyNumberFormat="1" applyFont="1" applyFill="1" applyBorder="1" applyAlignment="1">
      <alignment horizontal="left" vertical="center" readingOrder="1"/>
    </xf>
    <xf numFmtId="0" fontId="37" fillId="3" borderId="0" xfId="0" applyFont="1" applyFill="1" applyBorder="1" applyAlignment="1">
      <alignment horizontal="left" vertical="center" readingOrder="1"/>
    </xf>
    <xf numFmtId="0" fontId="37" fillId="0" borderId="1" xfId="0" applyFont="1" applyFill="1" applyBorder="1" applyAlignment="1">
      <alignment horizontal="left" vertical="center" readingOrder="1"/>
    </xf>
    <xf numFmtId="14" fontId="37" fillId="3" borderId="18" xfId="0" applyNumberFormat="1" applyFont="1" applyFill="1" applyBorder="1" applyAlignment="1">
      <alignment horizontal="left" vertical="center" readingOrder="1"/>
    </xf>
    <xf numFmtId="0" fontId="45" fillId="0" borderId="0" xfId="0" applyNumberFormat="1" applyFont="1"/>
    <xf numFmtId="1" fontId="45" fillId="0" borderId="0" xfId="0" applyNumberFormat="1" applyFont="1"/>
    <xf numFmtId="0" fontId="45" fillId="0" borderId="0" xfId="0" applyFont="1" applyAlignment="1">
      <alignment wrapText="1" readingOrder="1"/>
    </xf>
    <xf numFmtId="0" fontId="37" fillId="7" borderId="0" xfId="0" applyFont="1" applyFill="1" applyBorder="1" applyAlignment="1">
      <alignment horizontal="left" vertical="center" readingOrder="1"/>
    </xf>
    <xf numFmtId="0" fontId="36" fillId="9" borderId="15" xfId="0" applyFont="1" applyFill="1" applyBorder="1" applyAlignment="1">
      <alignment horizontal="left" vertical="center" readingOrder="1"/>
    </xf>
    <xf numFmtId="0" fontId="37" fillId="7" borderId="15" xfId="0" applyFont="1" applyFill="1" applyBorder="1" applyAlignment="1">
      <alignment horizontal="left" vertical="center" readingOrder="1"/>
    </xf>
    <xf numFmtId="0" fontId="61" fillId="2" borderId="1" xfId="0" applyFont="1" applyFill="1" applyBorder="1" applyAlignment="1">
      <alignment horizontal="left" vertical="center" readingOrder="1"/>
    </xf>
    <xf numFmtId="14" fontId="62" fillId="6" borderId="2" xfId="0" applyNumberFormat="1" applyFont="1" applyFill="1" applyBorder="1" applyAlignment="1">
      <alignment horizontal="left" vertical="center" readingOrder="1"/>
    </xf>
    <xf numFmtId="14" fontId="61" fillId="6" borderId="1" xfId="0" applyNumberFormat="1" applyFont="1" applyFill="1" applyBorder="1" applyAlignment="1">
      <alignment horizontal="left" vertical="top" wrapText="1" readingOrder="1"/>
    </xf>
    <xf numFmtId="0" fontId="62" fillId="3" borderId="2" xfId="0" applyFont="1" applyFill="1" applyBorder="1" applyAlignment="1">
      <alignment horizontal="left" vertical="center" readingOrder="1"/>
    </xf>
    <xf numFmtId="0" fontId="62" fillId="7" borderId="2" xfId="0" applyFont="1" applyFill="1" applyBorder="1" applyAlignment="1">
      <alignment horizontal="left" vertical="center" readingOrder="1"/>
    </xf>
    <xf numFmtId="0" fontId="62" fillId="7" borderId="2" xfId="0" applyFont="1" applyFill="1" applyBorder="1" applyAlignment="1">
      <alignment horizontal="left" vertical="top" wrapText="1" readingOrder="1"/>
    </xf>
    <xf numFmtId="0" fontId="37" fillId="3" borderId="16" xfId="0" applyFont="1" applyFill="1" applyBorder="1" applyAlignment="1">
      <alignment horizontal="left" vertical="center" readingOrder="1"/>
    </xf>
    <xf numFmtId="165" fontId="37" fillId="0" borderId="0" xfId="0" applyNumberFormat="1" applyFont="1" applyFill="1" applyAlignment="1">
      <alignment horizontal="left" vertical="center" readingOrder="1"/>
    </xf>
    <xf numFmtId="0" fontId="40" fillId="7" borderId="15" xfId="0" applyFont="1" applyFill="1" applyBorder="1" applyAlignment="1">
      <alignment horizontal="left" vertical="top" wrapText="1" readingOrder="1"/>
    </xf>
    <xf numFmtId="0" fontId="37" fillId="3" borderId="15" xfId="0" applyFont="1" applyFill="1" applyBorder="1" applyAlignment="1">
      <alignment horizontal="left" vertical="center" readingOrder="1"/>
    </xf>
    <xf numFmtId="0" fontId="70" fillId="0" borderId="0" xfId="0" applyFont="1"/>
    <xf numFmtId="0" fontId="70" fillId="0" borderId="0" xfId="0" applyFont="1" applyAlignment="1">
      <alignment wrapText="1"/>
    </xf>
    <xf numFmtId="164" fontId="70" fillId="0" borderId="0" xfId="0" applyNumberFormat="1" applyFont="1"/>
    <xf numFmtId="0" fontId="43" fillId="0" borderId="21" xfId="0" applyFont="1" applyFill="1" applyBorder="1"/>
    <xf numFmtId="0" fontId="43" fillId="0" borderId="25" xfId="0" applyFont="1" applyFill="1" applyBorder="1"/>
    <xf numFmtId="0" fontId="43" fillId="0" borderId="23" xfId="0" applyFont="1" applyFill="1" applyBorder="1"/>
    <xf numFmtId="0" fontId="43" fillId="0" borderId="0" xfId="0" applyFont="1" applyBorder="1"/>
    <xf numFmtId="0" fontId="62" fillId="0" borderId="0" xfId="0" applyFont="1"/>
    <xf numFmtId="0" fontId="62" fillId="0" borderId="0" xfId="0" applyFont="1" applyAlignment="1"/>
    <xf numFmtId="0" fontId="45" fillId="0" borderId="0" xfId="0" applyNumberFormat="1" applyFont="1" applyAlignment="1">
      <alignment wrapText="1"/>
    </xf>
    <xf numFmtId="0" fontId="45" fillId="0" borderId="0" xfId="0" applyFont="1" applyFill="1"/>
    <xf numFmtId="14" fontId="52" fillId="16" borderId="0" xfId="0" applyNumberFormat="1" applyFont="1" applyFill="1" applyBorder="1" applyAlignment="1">
      <alignment horizontal="left"/>
    </xf>
    <xf numFmtId="9" fontId="74" fillId="23" borderId="0" xfId="0" applyNumberFormat="1" applyFont="1" applyFill="1" applyBorder="1" applyAlignment="1">
      <alignment vertical="center"/>
    </xf>
    <xf numFmtId="1" fontId="74" fillId="23" borderId="0" xfId="0" applyNumberFormat="1" applyFont="1" applyFill="1" applyBorder="1" applyAlignment="1">
      <alignment vertical="center"/>
    </xf>
    <xf numFmtId="0" fontId="71" fillId="0" borderId="29" xfId="0" applyFont="1" applyBorder="1" applyAlignment="1">
      <alignment horizontal="center" vertical="center"/>
    </xf>
    <xf numFmtId="0" fontId="77" fillId="0" borderId="30" xfId="0" applyFont="1" applyBorder="1" applyAlignment="1">
      <alignment horizontal="center" vertical="center" wrapText="1"/>
    </xf>
    <xf numFmtId="0" fontId="45" fillId="0" borderId="0" xfId="0" applyFont="1" applyFill="1" applyBorder="1" applyAlignment="1">
      <alignment horizontal="left"/>
    </xf>
    <xf numFmtId="0" fontId="76" fillId="8" borderId="22" xfId="0" applyFont="1" applyFill="1" applyBorder="1" applyAlignment="1">
      <alignment horizontal="center" vertical="center" wrapText="1"/>
    </xf>
    <xf numFmtId="0" fontId="76" fillId="36" borderId="22" xfId="0" applyFont="1" applyFill="1" applyBorder="1" applyAlignment="1">
      <alignment horizontal="center" vertical="center" wrapText="1"/>
    </xf>
    <xf numFmtId="0" fontId="0" fillId="0" borderId="22" xfId="0" applyBorder="1"/>
    <xf numFmtId="0" fontId="70" fillId="0" borderId="22" xfId="0" applyFont="1" applyBorder="1"/>
    <xf numFmtId="0" fontId="76" fillId="14" borderId="22" xfId="0" applyFont="1" applyFill="1" applyBorder="1" applyAlignment="1">
      <alignment horizontal="center" vertical="center" wrapText="1"/>
    </xf>
    <xf numFmtId="0" fontId="0" fillId="37" borderId="22" xfId="0" applyFill="1" applyBorder="1"/>
    <xf numFmtId="164" fontId="76" fillId="14" borderId="22" xfId="4" applyNumberFormat="1" applyFont="1" applyFill="1" applyBorder="1" applyAlignment="1">
      <alignment horizontal="right" vertical="center"/>
    </xf>
    <xf numFmtId="164" fontId="76" fillId="8" borderId="22" xfId="4" applyNumberFormat="1" applyFont="1" applyFill="1" applyBorder="1" applyAlignment="1">
      <alignment horizontal="right" vertical="center"/>
    </xf>
    <xf numFmtId="164" fontId="76" fillId="36" borderId="22" xfId="4" applyNumberFormat="1" applyFont="1" applyFill="1" applyBorder="1" applyAlignment="1">
      <alignment horizontal="right" vertical="center"/>
    </xf>
    <xf numFmtId="164" fontId="76" fillId="14" borderId="22" xfId="4" applyNumberFormat="1" applyFont="1" applyFill="1" applyBorder="1" applyAlignment="1">
      <alignment horizontal="center" vertical="center" wrapText="1"/>
    </xf>
    <xf numFmtId="164" fontId="76" fillId="36" borderId="22" xfId="4" applyNumberFormat="1" applyFont="1" applyFill="1" applyBorder="1" applyAlignment="1">
      <alignment horizontal="center" vertical="center" wrapText="1"/>
    </xf>
    <xf numFmtId="166" fontId="29" fillId="20" borderId="0" xfId="8" applyFont="1" applyFill="1" applyBorder="1"/>
    <xf numFmtId="0" fontId="70" fillId="0" borderId="0" xfId="0" applyFont="1" applyAlignment="1">
      <alignment horizontal="center" vertical="center" wrapText="1"/>
    </xf>
    <xf numFmtId="0" fontId="0" fillId="0" borderId="0" xfId="0" applyFill="1"/>
    <xf numFmtId="14" fontId="45" fillId="0" borderId="0" xfId="0" applyNumberFormat="1" applyFont="1"/>
    <xf numFmtId="165" fontId="45" fillId="0" borderId="0" xfId="0" applyNumberFormat="1" applyFont="1"/>
    <xf numFmtId="0" fontId="81" fillId="8" borderId="0" xfId="0" applyFont="1" applyFill="1"/>
    <xf numFmtId="0" fontId="81" fillId="38" borderId="0" xfId="0" applyFont="1" applyFill="1"/>
    <xf numFmtId="0" fontId="29" fillId="0" borderId="0" xfId="0" applyFont="1"/>
    <xf numFmtId="0" fontId="42" fillId="0" borderId="0" xfId="0" applyFont="1"/>
    <xf numFmtId="0" fontId="29" fillId="0" borderId="0" xfId="0" applyFont="1" applyAlignment="1">
      <alignment horizontal="left"/>
    </xf>
    <xf numFmtId="9" fontId="29" fillId="0" borderId="0" xfId="0" applyNumberFormat="1" applyFont="1"/>
    <xf numFmtId="0" fontId="29" fillId="0" borderId="0" xfId="0" applyNumberFormat="1" applyFont="1"/>
    <xf numFmtId="0" fontId="29" fillId="0" borderId="0" xfId="0" applyFont="1" applyAlignment="1">
      <alignment wrapText="1"/>
    </xf>
    <xf numFmtId="164" fontId="29" fillId="0" borderId="0" xfId="0" applyNumberFormat="1" applyFont="1"/>
    <xf numFmtId="0" fontId="83" fillId="0" borderId="0" xfId="0" applyFont="1"/>
    <xf numFmtId="0" fontId="82" fillId="14" borderId="0" xfId="0" applyFont="1" applyFill="1"/>
    <xf numFmtId="1" fontId="29" fillId="0" borderId="0" xfId="0" applyNumberFormat="1" applyFont="1"/>
    <xf numFmtId="0" fontId="29" fillId="0" borderId="0" xfId="0" applyFont="1" applyFill="1"/>
    <xf numFmtId="0" fontId="29" fillId="0" borderId="0" xfId="0" applyFont="1" applyFill="1" applyBorder="1" applyAlignment="1">
      <alignment horizontal="left"/>
    </xf>
    <xf numFmtId="0" fontId="29" fillId="0" borderId="0" xfId="0" applyNumberFormat="1" applyFont="1" applyFill="1" applyBorder="1"/>
    <xf numFmtId="9" fontId="29" fillId="0" borderId="0" xfId="0" applyNumberFormat="1" applyFont="1" applyFill="1"/>
    <xf numFmtId="0" fontId="29" fillId="0" borderId="0" xfId="0" applyNumberFormat="1" applyFont="1" applyFill="1"/>
    <xf numFmtId="0" fontId="29" fillId="17" borderId="27" xfId="0" applyFont="1" applyFill="1" applyBorder="1"/>
    <xf numFmtId="164" fontId="83" fillId="0" borderId="0" xfId="0" applyNumberFormat="1" applyFont="1"/>
    <xf numFmtId="0" fontId="29" fillId="19" borderId="0" xfId="0" applyFont="1" applyFill="1"/>
    <xf numFmtId="1" fontId="29" fillId="0" borderId="0" xfId="4" applyNumberFormat="1" applyFont="1"/>
    <xf numFmtId="0" fontId="29" fillId="34" borderId="0" xfId="0" applyFont="1" applyFill="1"/>
    <xf numFmtId="0" fontId="42" fillId="10" borderId="0" xfId="0" applyFont="1" applyFill="1"/>
    <xf numFmtId="0" fontId="84" fillId="0" borderId="37" xfId="0" applyFont="1" applyBorder="1" applyAlignment="1">
      <alignment horizontal="left"/>
    </xf>
    <xf numFmtId="0" fontId="84" fillId="0" borderId="34" xfId="0" applyFont="1" applyBorder="1" applyAlignment="1">
      <alignment horizontal="left"/>
    </xf>
    <xf numFmtId="0" fontId="81" fillId="8" borderId="0" xfId="0" applyFont="1" applyFill="1" applyAlignment="1">
      <alignment horizontal="left"/>
    </xf>
    <xf numFmtId="9" fontId="81" fillId="8" borderId="0" xfId="0" applyNumberFormat="1" applyFont="1" applyFill="1"/>
    <xf numFmtId="0" fontId="81" fillId="8" borderId="0" xfId="0" applyNumberFormat="1" applyFont="1" applyFill="1"/>
    <xf numFmtId="0" fontId="79" fillId="0" borderId="0" xfId="0" applyFont="1"/>
    <xf numFmtId="0" fontId="73" fillId="0" borderId="0" xfId="0" applyFont="1"/>
    <xf numFmtId="0" fontId="82" fillId="29" borderId="43" xfId="0" applyFont="1" applyFill="1" applyBorder="1" applyAlignment="1">
      <alignment horizontal="left" vertical="center" wrapText="1"/>
    </xf>
    <xf numFmtId="164" fontId="42" fillId="0" borderId="44" xfId="4" applyNumberFormat="1" applyFont="1" applyBorder="1"/>
    <xf numFmtId="164" fontId="42" fillId="0" borderId="45" xfId="4" applyNumberFormat="1" applyFont="1" applyBorder="1"/>
    <xf numFmtId="164" fontId="85" fillId="0" borderId="46" xfId="4" applyNumberFormat="1" applyFont="1" applyBorder="1" applyAlignment="1">
      <alignment horizontal="left" wrapText="1"/>
    </xf>
    <xf numFmtId="164" fontId="85" fillId="0" borderId="41" xfId="4" applyNumberFormat="1" applyFont="1" applyBorder="1" applyAlignment="1">
      <alignment horizontal="left" wrapText="1"/>
    </xf>
    <xf numFmtId="164" fontId="85" fillId="0" borderId="47" xfId="4" applyNumberFormat="1" applyFont="1" applyBorder="1" applyAlignment="1">
      <alignment horizontal="left" wrapText="1"/>
    </xf>
    <xf numFmtId="0" fontId="85" fillId="0" borderId="48" xfId="0" applyFont="1" applyBorder="1" applyAlignment="1">
      <alignment horizontal="left"/>
    </xf>
    <xf numFmtId="0" fontId="85" fillId="0" borderId="49" xfId="0" applyNumberFormat="1" applyFont="1" applyBorder="1"/>
    <xf numFmtId="0" fontId="85" fillId="0" borderId="50" xfId="0" applyNumberFormat="1" applyFont="1" applyBorder="1"/>
    <xf numFmtId="0" fontId="82" fillId="29" borderId="42" xfId="0" applyFont="1" applyFill="1" applyBorder="1"/>
    <xf numFmtId="0" fontId="85" fillId="0" borderId="0" xfId="0" applyFont="1" applyBorder="1" applyAlignment="1">
      <alignment horizontal="left"/>
    </xf>
    <xf numFmtId="0" fontId="85" fillId="0" borderId="0" xfId="0" applyNumberFormat="1" applyFont="1" applyBorder="1"/>
    <xf numFmtId="0" fontId="85" fillId="0" borderId="52" xfId="0" applyFont="1" applyBorder="1"/>
    <xf numFmtId="0" fontId="85" fillId="0" borderId="52" xfId="0" applyFont="1" applyBorder="1" applyAlignment="1">
      <alignment horizontal="left"/>
    </xf>
    <xf numFmtId="0" fontId="85" fillId="0" borderId="52" xfId="0" applyNumberFormat="1" applyFont="1" applyBorder="1"/>
    <xf numFmtId="0" fontId="29" fillId="0" borderId="51" xfId="0" applyFont="1" applyBorder="1" applyAlignment="1">
      <alignment horizontal="left"/>
    </xf>
    <xf numFmtId="0" fontId="29" fillId="0" borderId="51" xfId="0" applyNumberFormat="1" applyFont="1" applyBorder="1"/>
    <xf numFmtId="0" fontId="29" fillId="0" borderId="55" xfId="0" applyFont="1" applyBorder="1" applyAlignment="1">
      <alignment horizontal="left"/>
    </xf>
    <xf numFmtId="0" fontId="29" fillId="0" borderId="55" xfId="0" applyNumberFormat="1" applyFont="1" applyBorder="1"/>
    <xf numFmtId="0" fontId="29" fillId="0" borderId="56" xfId="0" applyNumberFormat="1" applyFont="1" applyBorder="1"/>
    <xf numFmtId="0" fontId="29" fillId="0" borderId="57" xfId="0" applyNumberFormat="1" applyFont="1" applyBorder="1"/>
    <xf numFmtId="0" fontId="86" fillId="39" borderId="53" xfId="0" applyFont="1" applyFill="1" applyBorder="1"/>
    <xf numFmtId="0" fontId="86" fillId="9" borderId="0" xfId="0" applyFont="1" applyFill="1"/>
    <xf numFmtId="0" fontId="82" fillId="32" borderId="0" xfId="0" applyFont="1" applyFill="1"/>
    <xf numFmtId="0" fontId="81" fillId="14" borderId="0" xfId="0" applyFont="1" applyFill="1"/>
    <xf numFmtId="0" fontId="81" fillId="9" borderId="0" xfId="0" applyFont="1" applyFill="1"/>
    <xf numFmtId="0" fontId="79" fillId="34" borderId="0" xfId="0" applyFont="1" applyFill="1"/>
    <xf numFmtId="0" fontId="81" fillId="32" borderId="0" xfId="0" applyFont="1" applyFill="1"/>
    <xf numFmtId="0" fontId="79" fillId="10" borderId="0" xfId="0" applyFont="1" applyFill="1"/>
    <xf numFmtId="0" fontId="88" fillId="0" borderId="0" xfId="0" applyFont="1"/>
    <xf numFmtId="0" fontId="29" fillId="31" borderId="0" xfId="0" applyFont="1" applyFill="1" applyBorder="1" applyAlignment="1">
      <alignment horizontal="left" vertical="center"/>
    </xf>
    <xf numFmtId="0" fontId="52" fillId="21" borderId="0" xfId="1" applyNumberFormat="1" applyFont="1" applyFill="1" applyBorder="1" applyAlignment="1">
      <alignment horizontal="center"/>
    </xf>
    <xf numFmtId="0" fontId="52" fillId="21" borderId="0" xfId="0" applyNumberFormat="1" applyFont="1" applyFill="1" applyBorder="1" applyAlignment="1">
      <alignment horizontal="center"/>
    </xf>
    <xf numFmtId="0" fontId="70" fillId="0" borderId="0" xfId="0" applyFont="1" applyFill="1"/>
    <xf numFmtId="0" fontId="89" fillId="26" borderId="58" xfId="0" applyFont="1" applyFill="1" applyBorder="1"/>
    <xf numFmtId="0" fontId="81" fillId="41" borderId="0" xfId="0" applyFont="1" applyFill="1" applyAlignment="1">
      <alignment vertical="center"/>
    </xf>
    <xf numFmtId="164" fontId="70" fillId="0" borderId="0" xfId="4" applyNumberFormat="1" applyFont="1"/>
    <xf numFmtId="0" fontId="92" fillId="0" borderId="0" xfId="0" applyFont="1"/>
    <xf numFmtId="164" fontId="76" fillId="8" borderId="22" xfId="4" applyNumberFormat="1" applyFont="1" applyFill="1" applyBorder="1" applyAlignment="1">
      <alignment horizontal="center" vertical="center" wrapText="1"/>
    </xf>
    <xf numFmtId="0" fontId="95" fillId="0" borderId="0" xfId="0" applyFont="1"/>
    <xf numFmtId="49" fontId="94" fillId="0" borderId="0" xfId="20" applyNumberFormat="1" applyFont="1" applyFill="1" applyBorder="1" applyAlignment="1">
      <alignment horizontal="left" vertical="center" wrapText="1"/>
    </xf>
    <xf numFmtId="0" fontId="92" fillId="0" borderId="25" xfId="0" applyFont="1" applyBorder="1"/>
    <xf numFmtId="0" fontId="92" fillId="31" borderId="25" xfId="0" applyFont="1" applyFill="1" applyBorder="1"/>
    <xf numFmtId="0" fontId="92" fillId="42" borderId="0" xfId="0" applyFont="1" applyFill="1"/>
    <xf numFmtId="0" fontId="29" fillId="0" borderId="0" xfId="0" applyFont="1" applyFill="1" applyBorder="1" applyAlignment="1">
      <alignment horizontal="left" vertical="center"/>
    </xf>
    <xf numFmtId="0" fontId="43" fillId="0" borderId="0" xfId="21" applyFont="1" applyAlignment="1">
      <alignment horizontal="left" vertical="center"/>
    </xf>
    <xf numFmtId="0" fontId="65" fillId="26" borderId="62" xfId="21" applyFont="1" applyFill="1" applyBorder="1" applyAlignment="1">
      <alignment horizontal="center" vertical="center"/>
    </xf>
    <xf numFmtId="0" fontId="44" fillId="18" borderId="62" xfId="18" applyFont="1" applyFill="1" applyBorder="1" applyAlignment="1">
      <alignment horizontal="left" vertical="center" wrapText="1" readingOrder="1"/>
    </xf>
    <xf numFmtId="1" fontId="44" fillId="18" borderId="62" xfId="18" applyNumberFormat="1" applyFont="1" applyFill="1" applyBorder="1" applyAlignment="1">
      <alignment horizontal="left" vertical="center" wrapText="1" readingOrder="1"/>
    </xf>
    <xf numFmtId="9" fontId="44" fillId="18" borderId="62" xfId="18" applyNumberFormat="1" applyFont="1" applyFill="1" applyBorder="1" applyAlignment="1">
      <alignment horizontal="left" vertical="center" wrapText="1" readingOrder="1"/>
    </xf>
    <xf numFmtId="1" fontId="44" fillId="7" borderId="62" xfId="18" applyNumberFormat="1" applyFont="1" applyFill="1" applyBorder="1" applyAlignment="1">
      <alignment horizontal="left" vertical="center" wrapText="1" readingOrder="1"/>
    </xf>
    <xf numFmtId="0" fontId="32" fillId="0" borderId="0" xfId="21" applyAlignment="1">
      <alignment vertical="top" wrapText="1"/>
    </xf>
    <xf numFmtId="0" fontId="57" fillId="0" borderId="0" xfId="21" applyFont="1" applyAlignment="1">
      <alignment vertical="top" wrapText="1"/>
    </xf>
    <xf numFmtId="0" fontId="32" fillId="0" borderId="0" xfId="21" applyAlignment="1">
      <alignment wrapText="1"/>
    </xf>
    <xf numFmtId="0" fontId="38" fillId="12" borderId="4" xfId="21" applyFont="1" applyFill="1" applyBorder="1" applyAlignment="1">
      <alignment vertical="top" wrapText="1"/>
    </xf>
    <xf numFmtId="0" fontId="41" fillId="10" borderId="4" xfId="21" applyFont="1" applyFill="1" applyBorder="1" applyAlignment="1">
      <alignment horizontal="left" vertical="top" wrapText="1"/>
    </xf>
    <xf numFmtId="0" fontId="41" fillId="10" borderId="4" xfId="21" applyFont="1" applyFill="1" applyBorder="1" applyAlignment="1">
      <alignment horizontal="left" vertical="center" wrapText="1"/>
    </xf>
    <xf numFmtId="0" fontId="39" fillId="7" borderId="4" xfId="21" applyFont="1" applyFill="1" applyBorder="1" applyAlignment="1">
      <alignment vertical="top" wrapText="1"/>
    </xf>
    <xf numFmtId="0" fontId="39" fillId="11" borderId="4" xfId="21" applyFont="1" applyFill="1" applyBorder="1" applyAlignment="1">
      <alignment vertical="top" wrapText="1"/>
    </xf>
    <xf numFmtId="9" fontId="32" fillId="0" borderId="0" xfId="21" applyNumberFormat="1" applyAlignment="1">
      <alignment vertical="top" wrapText="1"/>
    </xf>
    <xf numFmtId="0" fontId="36" fillId="44" borderId="62" xfId="21" applyNumberFormat="1" applyFont="1" applyFill="1" applyBorder="1" applyAlignment="1">
      <alignment horizontal="center" vertical="center"/>
    </xf>
    <xf numFmtId="0" fontId="36" fillId="2" borderId="62" xfId="21" applyNumberFormat="1" applyFont="1" applyFill="1" applyBorder="1" applyAlignment="1">
      <alignment horizontal="center" vertical="center"/>
    </xf>
    <xf numFmtId="0" fontId="36" fillId="37" borderId="62" xfId="21" applyNumberFormat="1" applyFont="1" applyFill="1" applyBorder="1" applyAlignment="1">
      <alignment horizontal="center" vertical="center"/>
    </xf>
    <xf numFmtId="1" fontId="69" fillId="18" borderId="14" xfId="0" applyNumberFormat="1" applyFont="1" applyFill="1" applyBorder="1" applyAlignment="1">
      <alignment horizontal="left" vertical="top" wrapText="1" readingOrder="1"/>
    </xf>
    <xf numFmtId="0" fontId="36" fillId="38" borderId="62" xfId="21" applyNumberFormat="1" applyFont="1" applyFill="1" applyBorder="1" applyAlignment="1">
      <alignment horizontal="center" vertical="center"/>
    </xf>
    <xf numFmtId="0" fontId="69" fillId="27" borderId="62" xfId="21" applyNumberFormat="1" applyFont="1" applyFill="1" applyBorder="1" applyAlignment="1">
      <alignment horizontal="center" vertical="center" wrapText="1"/>
    </xf>
    <xf numFmtId="14" fontId="68" fillId="12" borderId="62" xfId="18" applyNumberFormat="1" applyFont="1" applyFill="1" applyBorder="1" applyAlignment="1">
      <alignment horizontal="center" vertical="center" wrapText="1"/>
    </xf>
    <xf numFmtId="14" fontId="68" fillId="22" borderId="62" xfId="18" applyNumberFormat="1" applyFont="1" applyFill="1" applyBorder="1" applyAlignment="1">
      <alignment horizontal="center" vertical="center" wrapText="1"/>
    </xf>
    <xf numFmtId="1" fontId="67" fillId="7" borderId="62" xfId="18" applyNumberFormat="1" applyFont="1" applyFill="1" applyBorder="1" applyAlignment="1">
      <alignment horizontal="center" vertical="center" wrapText="1"/>
    </xf>
    <xf numFmtId="0" fontId="67" fillId="7" borderId="62" xfId="18" applyFont="1" applyFill="1" applyBorder="1" applyAlignment="1">
      <alignment horizontal="center" vertical="center" wrapText="1"/>
    </xf>
    <xf numFmtId="0" fontId="67" fillId="7" borderId="0" xfId="18" applyFont="1" applyFill="1" applyBorder="1" applyAlignment="1">
      <alignment horizontal="center" vertical="center" wrapText="1"/>
    </xf>
    <xf numFmtId="0" fontId="36" fillId="9" borderId="62" xfId="21" applyNumberFormat="1" applyFont="1" applyFill="1" applyBorder="1" applyAlignment="1">
      <alignment horizontal="center" vertical="center"/>
    </xf>
    <xf numFmtId="14" fontId="37" fillId="17" borderId="62" xfId="18" applyNumberFormat="1" applyFont="1" applyFill="1" applyBorder="1" applyAlignment="1">
      <alignment horizontal="center" vertical="center" wrapText="1" readingOrder="1"/>
    </xf>
    <xf numFmtId="1" fontId="67" fillId="7" borderId="62" xfId="19" applyNumberFormat="1" applyFont="1" applyFill="1" applyBorder="1" applyAlignment="1">
      <alignment horizontal="center" vertical="center" wrapText="1"/>
    </xf>
    <xf numFmtId="1" fontId="69" fillId="7" borderId="62" xfId="18" applyNumberFormat="1" applyFont="1" applyFill="1" applyBorder="1" applyAlignment="1">
      <alignment horizontal="center" vertical="center" wrapText="1"/>
    </xf>
    <xf numFmtId="14" fontId="68" fillId="7" borderId="62" xfId="18" applyNumberFormat="1" applyFont="1" applyFill="1" applyBorder="1" applyAlignment="1">
      <alignment horizontal="center" vertical="center" wrapText="1"/>
    </xf>
    <xf numFmtId="0" fontId="68" fillId="7" borderId="62" xfId="18" applyFont="1" applyFill="1" applyBorder="1" applyAlignment="1">
      <alignment horizontal="center" vertical="center" wrapText="1"/>
    </xf>
    <xf numFmtId="0" fontId="52" fillId="14" borderId="0" xfId="0" applyFont="1" applyFill="1" applyBorder="1" applyAlignment="1"/>
    <xf numFmtId="1" fontId="52" fillId="8" borderId="0" xfId="0" applyNumberFormat="1" applyFont="1" applyFill="1" applyBorder="1" applyAlignment="1"/>
    <xf numFmtId="0" fontId="36" fillId="9" borderId="66" xfId="21" applyNumberFormat="1" applyFont="1" applyFill="1" applyBorder="1" applyAlignment="1">
      <alignment horizontal="center" vertical="center"/>
    </xf>
    <xf numFmtId="0" fontId="36" fillId="14" borderId="65" xfId="21" applyNumberFormat="1" applyFont="1" applyFill="1" applyBorder="1" applyAlignment="1">
      <alignment horizontal="center" vertical="center"/>
    </xf>
    <xf numFmtId="0" fontId="101" fillId="37" borderId="62" xfId="21" applyNumberFormat="1" applyFont="1" applyFill="1" applyBorder="1" applyAlignment="1">
      <alignment horizontal="left" vertical="center"/>
    </xf>
    <xf numFmtId="0" fontId="36" fillId="6" borderId="62" xfId="21" applyNumberFormat="1" applyFont="1" applyFill="1" applyBorder="1" applyAlignment="1">
      <alignment horizontal="center" vertical="center"/>
    </xf>
    <xf numFmtId="0" fontId="101" fillId="6" borderId="62" xfId="21" applyNumberFormat="1" applyFont="1" applyFill="1" applyBorder="1" applyAlignment="1">
      <alignment horizontal="left" vertical="center"/>
    </xf>
    <xf numFmtId="14" fontId="68" fillId="17" borderId="14" xfId="0" applyNumberFormat="1" applyFont="1" applyFill="1" applyBorder="1" applyAlignment="1">
      <alignment horizontal="left" vertical="top" wrapText="1" readingOrder="1"/>
    </xf>
    <xf numFmtId="0" fontId="69" fillId="18" borderId="14" xfId="0" applyFont="1" applyFill="1" applyBorder="1" applyAlignment="1">
      <alignment horizontal="left" vertical="top" wrapText="1" readingOrder="1"/>
    </xf>
    <xf numFmtId="0" fontId="69" fillId="22" borderId="19" xfId="0" applyNumberFormat="1" applyFont="1" applyFill="1" applyBorder="1" applyAlignment="1">
      <alignment horizontal="left" vertical="top" wrapText="1" readingOrder="1"/>
    </xf>
    <xf numFmtId="0" fontId="69" fillId="22" borderId="20" xfId="0" applyNumberFormat="1" applyFont="1" applyFill="1" applyBorder="1" applyAlignment="1">
      <alignment horizontal="left" vertical="top" wrapText="1" readingOrder="1"/>
    </xf>
    <xf numFmtId="0" fontId="69" fillId="22" borderId="2" xfId="0" applyNumberFormat="1" applyFont="1" applyFill="1" applyBorder="1" applyAlignment="1">
      <alignment horizontal="left" vertical="center" wrapText="1" readingOrder="1"/>
    </xf>
    <xf numFmtId="0" fontId="67" fillId="0" borderId="0" xfId="0" applyFont="1" applyAlignment="1">
      <alignment vertical="top" wrapText="1"/>
    </xf>
    <xf numFmtId="0" fontId="102" fillId="18" borderId="62" xfId="18" applyFont="1" applyFill="1" applyBorder="1" applyAlignment="1">
      <alignment horizontal="left" vertical="center" wrapText="1" readingOrder="1"/>
    </xf>
    <xf numFmtId="1" fontId="102" fillId="18" borderId="62" xfId="18" applyNumberFormat="1" applyFont="1" applyFill="1" applyBorder="1" applyAlignment="1">
      <alignment horizontal="left" vertical="center" wrapText="1" readingOrder="1"/>
    </xf>
    <xf numFmtId="0" fontId="103" fillId="18" borderId="62" xfId="18" applyFont="1" applyFill="1" applyBorder="1" applyAlignment="1">
      <alignment horizontal="left" vertical="center" wrapText="1" readingOrder="1"/>
    </xf>
    <xf numFmtId="0" fontId="102" fillId="18" borderId="62" xfId="18" applyFont="1" applyFill="1" applyBorder="1" applyAlignment="1">
      <alignment horizontal="left" vertical="center" wrapText="1"/>
    </xf>
    <xf numFmtId="1" fontId="103" fillId="18" borderId="62" xfId="18" applyNumberFormat="1" applyFont="1" applyFill="1" applyBorder="1" applyAlignment="1">
      <alignment horizontal="left" vertical="center" wrapText="1" readingOrder="1"/>
    </xf>
    <xf numFmtId="1" fontId="103" fillId="7" borderId="62" xfId="18" applyNumberFormat="1" applyFont="1" applyFill="1" applyBorder="1" applyAlignment="1">
      <alignment horizontal="left" vertical="center" wrapText="1" readingOrder="1"/>
    </xf>
    <xf numFmtId="0" fontId="102" fillId="28" borderId="62" xfId="18" applyFont="1" applyFill="1" applyBorder="1" applyAlignment="1">
      <alignment horizontal="left" vertical="center" wrapText="1"/>
    </xf>
    <xf numFmtId="14" fontId="103" fillId="7" borderId="62" xfId="18" applyNumberFormat="1" applyFont="1" applyFill="1" applyBorder="1" applyAlignment="1">
      <alignment horizontal="left" vertical="center" wrapText="1" readingOrder="1"/>
    </xf>
    <xf numFmtId="0" fontId="103" fillId="11" borderId="62" xfId="19" applyNumberFormat="1" applyFont="1" applyFill="1" applyBorder="1" applyAlignment="1">
      <alignment horizontal="left" vertical="center" wrapText="1" readingOrder="1"/>
    </xf>
    <xf numFmtId="1" fontId="103" fillId="11" borderId="62" xfId="18" applyNumberFormat="1" applyFont="1" applyFill="1" applyBorder="1" applyAlignment="1">
      <alignment horizontal="left" vertical="center" wrapText="1" readingOrder="1"/>
    </xf>
    <xf numFmtId="0" fontId="102" fillId="30" borderId="62" xfId="19" applyNumberFormat="1" applyFont="1" applyFill="1" applyBorder="1" applyAlignment="1">
      <alignment horizontal="left" vertical="center" wrapText="1" readingOrder="1"/>
    </xf>
    <xf numFmtId="14" fontId="103" fillId="17" borderId="62" xfId="18" applyNumberFormat="1" applyFont="1" applyFill="1" applyBorder="1" applyAlignment="1">
      <alignment horizontal="left" vertical="center" wrapText="1" readingOrder="1"/>
    </xf>
    <xf numFmtId="0" fontId="105" fillId="16" borderId="62" xfId="18"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14" fontId="44" fillId="18" borderId="62" xfId="18" applyNumberFormat="1" applyFont="1" applyFill="1" applyBorder="1" applyAlignment="1">
      <alignment horizontal="left" vertical="center" wrapText="1" readingOrder="1"/>
    </xf>
    <xf numFmtId="0" fontId="44" fillId="10" borderId="62" xfId="18" applyFont="1" applyFill="1" applyBorder="1" applyAlignment="1">
      <alignment horizontal="left" vertical="center" wrapText="1"/>
    </xf>
    <xf numFmtId="14" fontId="102" fillId="18" borderId="62" xfId="18" applyNumberFormat="1" applyFont="1" applyFill="1" applyBorder="1" applyAlignment="1">
      <alignment horizontal="left" vertical="center" wrapText="1" readingOrder="1"/>
    </xf>
    <xf numFmtId="9" fontId="44" fillId="11" borderId="62" xfId="18" applyNumberFormat="1" applyFont="1" applyFill="1" applyBorder="1" applyAlignment="1">
      <alignment horizontal="left" vertical="center" wrapText="1" readingOrder="1"/>
    </xf>
    <xf numFmtId="1" fontId="44" fillId="18" borderId="62" xfId="19" applyNumberFormat="1" applyFont="1" applyFill="1" applyBorder="1" applyAlignment="1">
      <alignment horizontal="left" vertical="center" wrapText="1" readingOrder="1"/>
    </xf>
    <xf numFmtId="0" fontId="109" fillId="22" borderId="13" xfId="0" applyNumberFormat="1" applyFont="1" applyFill="1" applyBorder="1" applyAlignment="1">
      <alignment horizontal="left" vertical="center" wrapText="1" readingOrder="1"/>
    </xf>
    <xf numFmtId="0" fontId="109" fillId="22" borderId="2" xfId="0" applyNumberFormat="1" applyFont="1" applyFill="1" applyBorder="1" applyAlignment="1">
      <alignment horizontal="left" vertical="center" wrapText="1" readingOrder="1"/>
    </xf>
    <xf numFmtId="0" fontId="116" fillId="0" borderId="0" xfId="0" applyFont="1" applyAlignment="1"/>
    <xf numFmtId="0" fontId="36" fillId="2" borderId="62" xfId="21" applyNumberFormat="1" applyFont="1" applyFill="1" applyBorder="1" applyAlignment="1">
      <alignment horizontal="center" vertical="center" wrapText="1"/>
    </xf>
    <xf numFmtId="0" fontId="36" fillId="6" borderId="62" xfId="21" applyNumberFormat="1" applyFont="1" applyFill="1" applyBorder="1" applyAlignment="1">
      <alignment horizontal="center" vertical="center" wrapText="1"/>
    </xf>
    <xf numFmtId="0" fontId="36" fillId="37" borderId="62" xfId="21" applyNumberFormat="1" applyFont="1" applyFill="1" applyBorder="1" applyAlignment="1">
      <alignment horizontal="center" vertical="center" wrapText="1"/>
    </xf>
    <xf numFmtId="0" fontId="36" fillId="44" borderId="62" xfId="21" applyNumberFormat="1" applyFont="1" applyFill="1" applyBorder="1" applyAlignment="1">
      <alignment horizontal="center" vertical="center" wrapText="1"/>
    </xf>
    <xf numFmtId="0" fontId="36" fillId="14" borderId="65" xfId="21" applyNumberFormat="1" applyFont="1" applyFill="1" applyBorder="1" applyAlignment="1">
      <alignment horizontal="center" vertical="center" wrapText="1"/>
    </xf>
    <xf numFmtId="0" fontId="36" fillId="38" borderId="62" xfId="21" applyNumberFormat="1" applyFont="1" applyFill="1" applyBorder="1" applyAlignment="1">
      <alignment horizontal="center" vertical="center" wrapText="1"/>
    </xf>
    <xf numFmtId="0" fontId="36" fillId="9" borderId="62" xfId="21" applyNumberFormat="1" applyFont="1" applyFill="1" applyBorder="1" applyAlignment="1">
      <alignment horizontal="center" vertical="center" wrapText="1"/>
    </xf>
    <xf numFmtId="0" fontId="46" fillId="22" borderId="13" xfId="0" applyNumberFormat="1" applyFont="1" applyFill="1" applyBorder="1" applyAlignment="1">
      <alignment horizontal="left" vertical="center" wrapText="1" readingOrder="1"/>
    </xf>
    <xf numFmtId="0" fontId="46" fillId="22" borderId="2" xfId="0" applyNumberFormat="1" applyFont="1" applyFill="1" applyBorder="1" applyAlignment="1">
      <alignment horizontal="left" vertical="center" wrapText="1" readingOrder="1"/>
    </xf>
    <xf numFmtId="0" fontId="48" fillId="0" borderId="0" xfId="0" applyFont="1" applyAlignment="1">
      <alignment wrapText="1"/>
    </xf>
    <xf numFmtId="0" fontId="118" fillId="0" borderId="0" xfId="18" applyFont="1" applyAlignment="1">
      <alignment horizontal="left" vertical="center"/>
    </xf>
    <xf numFmtId="0" fontId="44" fillId="0" borderId="0" xfId="21" applyFont="1" applyAlignment="1">
      <alignment horizontal="left" vertical="center"/>
    </xf>
    <xf numFmtId="0" fontId="46" fillId="16" borderId="62" xfId="21" applyFont="1" applyFill="1" applyBorder="1" applyAlignment="1">
      <alignment horizontal="center" vertical="center" wrapText="1"/>
    </xf>
    <xf numFmtId="0" fontId="46" fillId="16" borderId="62" xfId="18" applyFont="1" applyFill="1" applyBorder="1" applyAlignment="1">
      <alignment horizontal="center" vertical="center" wrapText="1"/>
    </xf>
    <xf numFmtId="0" fontId="118" fillId="0" borderId="0" xfId="18" applyFont="1" applyAlignment="1">
      <alignment horizontal="center" vertical="center"/>
    </xf>
    <xf numFmtId="14" fontId="44" fillId="17" borderId="62" xfId="18" applyNumberFormat="1" applyFont="1" applyFill="1" applyBorder="1" applyAlignment="1">
      <alignment horizontal="left" vertical="center" wrapText="1" readingOrder="1"/>
    </xf>
    <xf numFmtId="1" fontId="44" fillId="18" borderId="65" xfId="19" applyNumberFormat="1" applyFont="1" applyFill="1" applyBorder="1" applyAlignment="1">
      <alignment horizontal="left" vertical="center" wrapText="1" readingOrder="1"/>
    </xf>
    <xf numFmtId="0" fontId="44" fillId="18" borderId="65" xfId="18" applyFont="1" applyFill="1" applyBorder="1" applyAlignment="1">
      <alignment horizontal="left" vertical="center" wrapText="1" readingOrder="1"/>
    </xf>
    <xf numFmtId="1" fontId="44" fillId="18" borderId="65" xfId="18" applyNumberFormat="1" applyFont="1" applyFill="1" applyBorder="1" applyAlignment="1">
      <alignment horizontal="left" vertical="center" wrapText="1" readingOrder="1"/>
    </xf>
    <xf numFmtId="0" fontId="44" fillId="10" borderId="65" xfId="18" applyFont="1" applyFill="1" applyBorder="1" applyAlignment="1">
      <alignment horizontal="left" vertical="center" wrapText="1"/>
    </xf>
    <xf numFmtId="0" fontId="44" fillId="28" borderId="62" xfId="18" applyFont="1" applyFill="1" applyBorder="1" applyAlignment="1">
      <alignment horizontal="left" vertical="center" wrapText="1"/>
    </xf>
    <xf numFmtId="1" fontId="44" fillId="7" borderId="62" xfId="19" applyNumberFormat="1" applyFont="1" applyFill="1" applyBorder="1" applyAlignment="1">
      <alignment horizontal="left" vertical="center" wrapText="1" readingOrder="1"/>
    </xf>
    <xf numFmtId="14" fontId="44" fillId="7" borderId="62" xfId="18" applyNumberFormat="1" applyFont="1" applyFill="1" applyBorder="1" applyAlignment="1">
      <alignment horizontal="left" vertical="center" wrapText="1"/>
    </xf>
    <xf numFmtId="14" fontId="44" fillId="7" borderId="62" xfId="18" applyNumberFormat="1" applyFont="1" applyFill="1" applyBorder="1" applyAlignment="1">
      <alignment horizontal="left" vertical="center" wrapText="1" readingOrder="1"/>
    </xf>
    <xf numFmtId="0" fontId="44" fillId="7" borderId="62" xfId="18" applyFont="1" applyFill="1" applyBorder="1" applyAlignment="1">
      <alignment horizontal="left" vertical="center" wrapText="1"/>
    </xf>
    <xf numFmtId="0" fontId="44" fillId="7" borderId="62" xfId="18" applyFont="1" applyFill="1" applyBorder="1" applyAlignment="1">
      <alignment horizontal="left" vertical="center" wrapText="1" readingOrder="1"/>
    </xf>
    <xf numFmtId="0" fontId="44" fillId="11" borderId="62" xfId="19" applyNumberFormat="1" applyFont="1" applyFill="1" applyBorder="1" applyAlignment="1">
      <alignment horizontal="left" vertical="center" wrapText="1" readingOrder="1"/>
    </xf>
    <xf numFmtId="0" fontId="44" fillId="30" borderId="62" xfId="19" applyNumberFormat="1" applyFont="1" applyFill="1" applyBorder="1" applyAlignment="1">
      <alignment horizontal="left" vertical="center" wrapText="1" readingOrder="1"/>
    </xf>
    <xf numFmtId="1" fontId="44" fillId="11" borderId="62" xfId="18" applyNumberFormat="1" applyFont="1" applyFill="1" applyBorder="1" applyAlignment="1">
      <alignment horizontal="left" vertical="center" wrapText="1" readingOrder="1"/>
    </xf>
    <xf numFmtId="0" fontId="44" fillId="30" borderId="62" xfId="18" applyFont="1" applyFill="1" applyBorder="1" applyAlignment="1">
      <alignment horizontal="left" vertical="center" wrapText="1"/>
    </xf>
    <xf numFmtId="9" fontId="44" fillId="11" borderId="65" xfId="18" applyNumberFormat="1" applyFont="1" applyFill="1" applyBorder="1" applyAlignment="1">
      <alignment horizontal="left" vertical="center" wrapText="1" readingOrder="1"/>
    </xf>
    <xf numFmtId="0" fontId="44" fillId="30" borderId="65" xfId="18" applyFont="1" applyFill="1" applyBorder="1" applyAlignment="1">
      <alignment horizontal="left" vertical="center" wrapText="1"/>
    </xf>
    <xf numFmtId="0" fontId="69" fillId="0" borderId="0" xfId="18" applyFont="1" applyAlignment="1">
      <alignment horizontal="left" vertical="center"/>
    </xf>
    <xf numFmtId="0" fontId="44" fillId="0" borderId="0" xfId="18" applyFont="1" applyAlignment="1">
      <alignment horizontal="left" vertical="center"/>
    </xf>
    <xf numFmtId="0" fontId="120" fillId="0" borderId="0" xfId="18" applyFont="1" applyAlignment="1">
      <alignment horizontal="left" vertical="center"/>
    </xf>
    <xf numFmtId="0" fontId="120" fillId="0" borderId="0" xfId="18" applyFont="1" applyAlignment="1">
      <alignment horizontal="center" vertical="center"/>
    </xf>
    <xf numFmtId="0" fontId="104" fillId="0" borderId="0" xfId="18" applyFont="1" applyAlignment="1">
      <alignment horizontal="left" vertical="center"/>
    </xf>
    <xf numFmtId="0" fontId="102" fillId="0" borderId="0" xfId="18" applyFont="1" applyAlignment="1">
      <alignment horizontal="left" vertical="center"/>
    </xf>
    <xf numFmtId="0" fontId="103" fillId="0" borderId="0" xfId="18" applyFont="1" applyAlignment="1">
      <alignment horizontal="left" vertical="center"/>
    </xf>
    <xf numFmtId="0" fontId="36" fillId="9" borderId="0" xfId="21" applyNumberFormat="1" applyFont="1" applyFill="1" applyBorder="1" applyAlignment="1">
      <alignment horizontal="center" vertical="center"/>
    </xf>
    <xf numFmtId="14" fontId="37" fillId="17" borderId="62" xfId="18" applyNumberFormat="1" applyFont="1" applyFill="1" applyBorder="1" applyAlignment="1">
      <alignment horizontal="center" vertical="center" wrapText="1"/>
    </xf>
    <xf numFmtId="14" fontId="37" fillId="7" borderId="62" xfId="18" applyNumberFormat="1" applyFont="1" applyFill="1" applyBorder="1" applyAlignment="1">
      <alignment horizontal="center" vertical="center" wrapText="1"/>
    </xf>
    <xf numFmtId="14" fontId="37" fillId="27" borderId="62" xfId="18" applyNumberFormat="1" applyFont="1" applyFill="1" applyBorder="1" applyAlignment="1">
      <alignment horizontal="center" vertical="center" wrapText="1"/>
    </xf>
    <xf numFmtId="14" fontId="37" fillId="22" borderId="62" xfId="18" applyNumberFormat="1" applyFont="1" applyFill="1" applyBorder="1" applyAlignment="1">
      <alignment horizontal="center" vertical="center" wrapText="1"/>
    </xf>
    <xf numFmtId="14" fontId="37" fillId="17" borderId="67" xfId="18" applyNumberFormat="1" applyFont="1" applyFill="1" applyBorder="1" applyAlignment="1">
      <alignment horizontal="center" vertical="center" wrapText="1"/>
    </xf>
    <xf numFmtId="0" fontId="36" fillId="9" borderId="67" xfId="21" applyNumberFormat="1" applyFont="1" applyFill="1" applyBorder="1" applyAlignment="1">
      <alignment horizontal="center" vertical="center" wrapText="1"/>
    </xf>
    <xf numFmtId="1" fontId="100" fillId="18" borderId="0" xfId="0" applyNumberFormat="1" applyFont="1" applyFill="1" applyBorder="1" applyAlignment="1">
      <alignment vertical="top" wrapText="1"/>
    </xf>
    <xf numFmtId="0" fontId="100" fillId="18" borderId="68" xfId="0" applyFont="1" applyFill="1" applyBorder="1" applyAlignment="1">
      <alignment vertical="top" wrapText="1"/>
    </xf>
    <xf numFmtId="0" fontId="100" fillId="18" borderId="69" xfId="0" applyFont="1" applyFill="1" applyBorder="1" applyAlignment="1">
      <alignment vertical="top" wrapText="1"/>
    </xf>
    <xf numFmtId="1" fontId="110" fillId="18" borderId="72" xfId="0" applyNumberFormat="1" applyFont="1" applyFill="1" applyBorder="1" applyAlignment="1">
      <alignment vertical="top" wrapText="1"/>
    </xf>
    <xf numFmtId="0" fontId="110" fillId="18" borderId="72" xfId="0" applyFont="1" applyFill="1" applyBorder="1" applyAlignment="1">
      <alignment vertical="top" wrapText="1"/>
    </xf>
    <xf numFmtId="0" fontId="122" fillId="5" borderId="72" xfId="0" applyFont="1" applyFill="1" applyBorder="1" applyAlignment="1">
      <alignment horizontal="center" vertical="center" wrapText="1"/>
    </xf>
    <xf numFmtId="1" fontId="110" fillId="18" borderId="73" xfId="0" applyNumberFormat="1" applyFont="1" applyFill="1" applyBorder="1" applyAlignment="1">
      <alignment vertical="top" wrapText="1"/>
    </xf>
    <xf numFmtId="0" fontId="122" fillId="5" borderId="73" xfId="0" applyFont="1" applyFill="1" applyBorder="1" applyAlignment="1">
      <alignment horizontal="center" vertical="center" wrapText="1"/>
    </xf>
    <xf numFmtId="0" fontId="110" fillId="18" borderId="74" xfId="0" applyFont="1" applyFill="1" applyBorder="1" applyAlignment="1">
      <alignment vertical="top" wrapText="1"/>
    </xf>
    <xf numFmtId="1" fontId="110" fillId="18" borderId="75" xfId="0" applyNumberFormat="1" applyFont="1" applyFill="1" applyBorder="1" applyAlignment="1">
      <alignment vertical="top" wrapText="1"/>
    </xf>
    <xf numFmtId="0" fontId="100" fillId="18" borderId="76" xfId="0" applyFont="1" applyFill="1" applyBorder="1" applyAlignment="1">
      <alignment vertical="top" wrapText="1"/>
    </xf>
    <xf numFmtId="0" fontId="100" fillId="18" borderId="77" xfId="0" applyFont="1" applyFill="1" applyBorder="1" applyAlignment="1">
      <alignment vertical="top" wrapText="1"/>
    </xf>
    <xf numFmtId="1" fontId="100" fillId="18" borderId="78" xfId="0" applyNumberFormat="1" applyFont="1" applyFill="1" applyBorder="1" applyAlignment="1">
      <alignment vertical="top" wrapText="1"/>
    </xf>
    <xf numFmtId="0" fontId="122" fillId="5" borderId="79" xfId="0" applyFont="1" applyFill="1" applyBorder="1" applyAlignment="1">
      <alignment horizontal="center" vertical="center" wrapText="1"/>
    </xf>
    <xf numFmtId="0" fontId="100" fillId="18" borderId="70" xfId="0" applyFont="1" applyFill="1" applyBorder="1" applyAlignment="1">
      <alignment vertical="top" wrapText="1"/>
    </xf>
    <xf numFmtId="1" fontId="110" fillId="18" borderId="79" xfId="0" applyNumberFormat="1" applyFont="1" applyFill="1" applyBorder="1" applyAlignment="1">
      <alignment vertical="top" wrapText="1"/>
    </xf>
    <xf numFmtId="1" fontId="123" fillId="18" borderId="72" xfId="0" applyNumberFormat="1" applyFont="1" applyFill="1" applyBorder="1" applyAlignment="1">
      <alignment vertical="top" wrapText="1"/>
    </xf>
    <xf numFmtId="1" fontId="123" fillId="18" borderId="79" xfId="0" applyNumberFormat="1" applyFont="1" applyFill="1" applyBorder="1" applyAlignment="1">
      <alignment vertical="top" wrapText="1"/>
    </xf>
    <xf numFmtId="1" fontId="100" fillId="5" borderId="71" xfId="0" applyNumberFormat="1" applyFont="1" applyFill="1" applyBorder="1" applyAlignment="1">
      <alignment vertical="top" wrapText="1"/>
    </xf>
    <xf numFmtId="0" fontId="47" fillId="5" borderId="72" xfId="0" applyFont="1" applyFill="1" applyBorder="1" applyAlignment="1">
      <alignment vertical="center" wrapText="1"/>
    </xf>
    <xf numFmtId="0" fontId="100" fillId="18" borderId="72" xfId="0" applyFont="1" applyFill="1" applyBorder="1" applyAlignment="1">
      <alignment vertical="top" wrapText="1"/>
    </xf>
    <xf numFmtId="9" fontId="100" fillId="18" borderId="72" xfId="0" applyNumberFormat="1" applyFont="1" applyFill="1" applyBorder="1" applyAlignment="1">
      <alignment vertical="top" wrapText="1"/>
    </xf>
    <xf numFmtId="0" fontId="47" fillId="5" borderId="79" xfId="0" applyFont="1" applyFill="1" applyBorder="1" applyAlignment="1">
      <alignment vertical="center" wrapText="1"/>
    </xf>
    <xf numFmtId="1" fontId="100" fillId="18" borderId="79" xfId="0" applyNumberFormat="1" applyFont="1" applyFill="1" applyBorder="1" applyAlignment="1">
      <alignment vertical="top" wrapText="1"/>
    </xf>
    <xf numFmtId="1" fontId="110" fillId="18" borderId="74" xfId="0" applyNumberFormat="1" applyFont="1" applyFill="1" applyBorder="1" applyAlignment="1">
      <alignment vertical="top" wrapText="1"/>
    </xf>
    <xf numFmtId="0" fontId="47" fillId="5" borderId="74" xfId="0" applyFont="1" applyFill="1" applyBorder="1" applyAlignment="1">
      <alignment vertical="center" wrapText="1"/>
    </xf>
    <xf numFmtId="1" fontId="100" fillId="18" borderId="84" xfId="0" applyNumberFormat="1" applyFont="1" applyFill="1" applyBorder="1" applyAlignment="1">
      <alignment vertical="top" wrapText="1"/>
    </xf>
    <xf numFmtId="0" fontId="110" fillId="18" borderId="75" xfId="0" applyFont="1" applyFill="1" applyBorder="1" applyAlignment="1">
      <alignment vertical="top" wrapText="1"/>
    </xf>
    <xf numFmtId="1" fontId="100" fillId="18" borderId="80" xfId="0" applyNumberFormat="1" applyFont="1" applyFill="1" applyBorder="1" applyAlignment="1">
      <alignment vertical="top" wrapText="1"/>
    </xf>
    <xf numFmtId="0" fontId="110" fillId="6" borderId="72" xfId="0" applyFont="1" applyFill="1" applyBorder="1" applyAlignment="1">
      <alignment vertical="top" wrapText="1"/>
    </xf>
    <xf numFmtId="1" fontId="110" fillId="6" borderId="72" xfId="0" applyNumberFormat="1" applyFont="1" applyFill="1" applyBorder="1" applyAlignment="1">
      <alignment vertical="top" wrapText="1"/>
    </xf>
    <xf numFmtId="1" fontId="112" fillId="6" borderId="72" xfId="0" applyNumberFormat="1" applyFont="1" applyFill="1" applyBorder="1" applyAlignment="1">
      <alignment vertical="top" wrapText="1"/>
    </xf>
    <xf numFmtId="0" fontId="47" fillId="8" borderId="72" xfId="0" applyFont="1" applyFill="1" applyBorder="1" applyAlignment="1">
      <alignment vertical="center" wrapText="1"/>
    </xf>
    <xf numFmtId="1" fontId="47" fillId="8" borderId="72" xfId="0" applyNumberFormat="1" applyFont="1" applyFill="1" applyBorder="1" applyAlignment="1">
      <alignment vertical="center" wrapText="1"/>
    </xf>
    <xf numFmtId="1" fontId="52" fillId="8" borderId="72" xfId="0" applyNumberFormat="1" applyFont="1" applyFill="1" applyBorder="1" applyAlignment="1">
      <alignment vertical="center" wrapText="1"/>
    </xf>
    <xf numFmtId="0" fontId="100" fillId="6" borderId="72" xfId="0" applyFont="1" applyFill="1" applyBorder="1" applyAlignment="1">
      <alignment vertical="top" wrapText="1"/>
    </xf>
    <xf numFmtId="1" fontId="110" fillId="6" borderId="79" xfId="0" applyNumberFormat="1" applyFont="1" applyFill="1" applyBorder="1" applyAlignment="1">
      <alignment vertical="top" wrapText="1"/>
    </xf>
    <xf numFmtId="0" fontId="47" fillId="8" borderId="79" xfId="0" applyFont="1" applyFill="1" applyBorder="1" applyAlignment="1">
      <alignment vertical="center" wrapText="1"/>
    </xf>
    <xf numFmtId="1" fontId="100" fillId="6" borderId="79" xfId="0" applyNumberFormat="1" applyFont="1" applyFill="1" applyBorder="1" applyAlignment="1">
      <alignment vertical="top" wrapText="1"/>
    </xf>
    <xf numFmtId="0" fontId="110" fillId="6" borderId="73" xfId="0" applyFont="1" applyFill="1" applyBorder="1" applyAlignment="1">
      <alignment vertical="top" wrapText="1"/>
    </xf>
    <xf numFmtId="0" fontId="47" fillId="8" borderId="73" xfId="0" applyFont="1" applyFill="1" applyBorder="1" applyAlignment="1">
      <alignment vertical="center" wrapText="1"/>
    </xf>
    <xf numFmtId="0" fontId="100" fillId="6" borderId="73" xfId="0" applyFont="1" applyFill="1" applyBorder="1" applyAlignment="1">
      <alignment vertical="top" wrapText="1"/>
    </xf>
    <xf numFmtId="1" fontId="110" fillId="6" borderId="74" xfId="0" applyNumberFormat="1" applyFont="1" applyFill="1" applyBorder="1" applyAlignment="1">
      <alignment vertical="top" wrapText="1"/>
    </xf>
    <xf numFmtId="0" fontId="110" fillId="6" borderId="75" xfId="0" applyFont="1" applyFill="1" applyBorder="1" applyAlignment="1">
      <alignment vertical="top" wrapText="1"/>
    </xf>
    <xf numFmtId="0" fontId="47" fillId="8" borderId="74" xfId="0" applyFont="1" applyFill="1" applyBorder="1" applyAlignment="1">
      <alignment vertical="center" wrapText="1"/>
    </xf>
    <xf numFmtId="0" fontId="47" fillId="8" borderId="75" xfId="0" applyFont="1" applyFill="1" applyBorder="1" applyAlignment="1">
      <alignment vertical="center" wrapText="1"/>
    </xf>
    <xf numFmtId="1" fontId="100" fillId="6" borderId="76" xfId="0" applyNumberFormat="1" applyFont="1" applyFill="1" applyBorder="1" applyAlignment="1">
      <alignment vertical="top" wrapText="1"/>
    </xf>
    <xf numFmtId="0" fontId="100" fillId="6" borderId="78" xfId="0" applyFont="1" applyFill="1" applyBorder="1" applyAlignment="1">
      <alignment vertical="top" wrapText="1"/>
    </xf>
    <xf numFmtId="1" fontId="110" fillId="9" borderId="72" xfId="0" applyNumberFormat="1" applyFont="1" applyFill="1" applyBorder="1" applyAlignment="1">
      <alignment vertical="top" wrapText="1"/>
    </xf>
    <xf numFmtId="1" fontId="53" fillId="9" borderId="72" xfId="1" applyNumberFormat="1" applyFont="1" applyFill="1" applyBorder="1" applyAlignment="1">
      <alignment vertical="center"/>
    </xf>
    <xf numFmtId="1" fontId="47" fillId="9" borderId="72" xfId="0" applyNumberFormat="1" applyFont="1" applyFill="1" applyBorder="1" applyAlignment="1">
      <alignment vertical="center" wrapText="1"/>
    </xf>
    <xf numFmtId="1" fontId="107" fillId="9" borderId="72" xfId="0" applyNumberFormat="1" applyFont="1" applyFill="1" applyBorder="1" applyAlignment="1">
      <alignment vertical="top" wrapText="1"/>
    </xf>
    <xf numFmtId="1" fontId="107" fillId="9" borderId="72" xfId="0" applyNumberFormat="1" applyFont="1" applyFill="1" applyBorder="1" applyAlignment="1">
      <alignment vertical="top"/>
    </xf>
    <xf numFmtId="1" fontId="53" fillId="9" borderId="72" xfId="1" applyNumberFormat="1" applyFont="1" applyFill="1" applyBorder="1" applyAlignment="1">
      <alignment vertical="center" wrapText="1"/>
    </xf>
    <xf numFmtId="1" fontId="55" fillId="9" borderId="72" xfId="0" applyNumberFormat="1" applyFont="1" applyFill="1" applyBorder="1" applyAlignment="1">
      <alignment horizontal="center" vertical="center" wrapText="1"/>
    </xf>
    <xf numFmtId="1" fontId="100" fillId="9" borderId="72" xfId="0" applyNumberFormat="1" applyFont="1" applyFill="1" applyBorder="1" applyAlignment="1">
      <alignment vertical="top" wrapText="1"/>
    </xf>
    <xf numFmtId="1" fontId="100" fillId="19" borderId="72" xfId="0" applyNumberFormat="1" applyFont="1" applyFill="1" applyBorder="1" applyAlignment="1">
      <alignment vertical="top" wrapText="1"/>
    </xf>
    <xf numFmtId="1" fontId="114" fillId="9" borderId="72" xfId="0" applyNumberFormat="1" applyFont="1" applyFill="1" applyBorder="1" applyAlignment="1">
      <alignment vertical="top" wrapText="1"/>
    </xf>
    <xf numFmtId="9" fontId="110" fillId="9" borderId="79" xfId="1" applyNumberFormat="1" applyFont="1" applyFill="1" applyBorder="1" applyAlignment="1">
      <alignment vertical="top" wrapText="1"/>
    </xf>
    <xf numFmtId="9" fontId="47" fillId="9" borderId="79" xfId="1" applyFont="1" applyFill="1" applyBorder="1" applyAlignment="1">
      <alignment vertical="center" wrapText="1"/>
    </xf>
    <xf numFmtId="9" fontId="107" fillId="9" borderId="79" xfId="1" applyNumberFormat="1" applyFont="1" applyFill="1" applyBorder="1" applyAlignment="1">
      <alignment vertical="top" wrapText="1"/>
    </xf>
    <xf numFmtId="1" fontId="55" fillId="9" borderId="79" xfId="0" applyNumberFormat="1" applyFont="1" applyFill="1" applyBorder="1" applyAlignment="1">
      <alignment horizontal="center" vertical="center" wrapText="1"/>
    </xf>
    <xf numFmtId="1" fontId="100" fillId="19" borderId="79" xfId="0" applyNumberFormat="1" applyFont="1" applyFill="1" applyBorder="1" applyAlignment="1">
      <alignment vertical="top" wrapText="1"/>
    </xf>
    <xf numFmtId="1" fontId="110" fillId="9" borderId="73" xfId="0" applyNumberFormat="1" applyFont="1" applyFill="1" applyBorder="1" applyAlignment="1">
      <alignment vertical="top" wrapText="1"/>
    </xf>
    <xf numFmtId="1" fontId="47" fillId="9" borderId="73" xfId="0" applyNumberFormat="1" applyFont="1" applyFill="1" applyBorder="1" applyAlignment="1">
      <alignment vertical="center" wrapText="1"/>
    </xf>
    <xf numFmtId="1" fontId="107" fillId="9" borderId="73" xfId="0" applyNumberFormat="1" applyFont="1" applyFill="1" applyBorder="1" applyAlignment="1">
      <alignment vertical="top" wrapText="1"/>
    </xf>
    <xf numFmtId="1" fontId="55" fillId="9" borderId="73" xfId="0" applyNumberFormat="1" applyFont="1" applyFill="1" applyBorder="1" applyAlignment="1">
      <alignment horizontal="center" vertical="center" wrapText="1"/>
    </xf>
    <xf numFmtId="1" fontId="100" fillId="19" borderId="73" xfId="0" applyNumberFormat="1" applyFont="1" applyFill="1" applyBorder="1" applyAlignment="1">
      <alignment vertical="top" wrapText="1"/>
    </xf>
    <xf numFmtId="9" fontId="47" fillId="9" borderId="93" xfId="1" applyFont="1" applyFill="1" applyBorder="1" applyAlignment="1">
      <alignment vertical="center" wrapText="1"/>
    </xf>
    <xf numFmtId="9" fontId="107" fillId="9" borderId="93" xfId="1" applyNumberFormat="1" applyFont="1" applyFill="1" applyBorder="1" applyAlignment="1">
      <alignment vertical="top" wrapText="1"/>
    </xf>
    <xf numFmtId="9" fontId="110" fillId="9" borderId="93" xfId="1" applyNumberFormat="1" applyFont="1" applyFill="1" applyBorder="1" applyAlignment="1">
      <alignment vertical="top" wrapText="1"/>
    </xf>
    <xf numFmtId="1" fontId="55" fillId="9" borderId="93" xfId="0" applyNumberFormat="1" applyFont="1" applyFill="1" applyBorder="1" applyAlignment="1">
      <alignment horizontal="center" vertical="center" wrapText="1"/>
    </xf>
    <xf numFmtId="9" fontId="100" fillId="9" borderId="94" xfId="0" applyNumberFormat="1" applyFont="1" applyFill="1" applyBorder="1" applyAlignment="1">
      <alignment vertical="top" wrapText="1"/>
    </xf>
    <xf numFmtId="1" fontId="100" fillId="5" borderId="72" xfId="0" applyNumberFormat="1" applyFont="1" applyFill="1" applyBorder="1" applyAlignment="1">
      <alignment horizontal="center" vertical="center" wrapText="1"/>
    </xf>
    <xf numFmtId="0" fontId="100" fillId="8" borderId="72" xfId="0" applyFont="1" applyFill="1" applyBorder="1" applyAlignment="1">
      <alignment horizontal="center" vertical="center" wrapText="1"/>
    </xf>
    <xf numFmtId="1" fontId="100" fillId="9" borderId="72" xfId="0" applyNumberFormat="1" applyFont="1" applyFill="1" applyBorder="1" applyAlignment="1">
      <alignment horizontal="center" vertical="center" wrapText="1"/>
    </xf>
    <xf numFmtId="0" fontId="70" fillId="45" borderId="0" xfId="0" applyFont="1" applyFill="1"/>
    <xf numFmtId="0" fontId="0" fillId="45" borderId="0" xfId="0" applyFill="1"/>
    <xf numFmtId="0" fontId="49" fillId="45" borderId="0" xfId="0" applyFont="1" applyFill="1"/>
    <xf numFmtId="1" fontId="45" fillId="0" borderId="0" xfId="0" applyNumberFormat="1" applyFont="1" applyFill="1" applyBorder="1" applyAlignment="1">
      <alignment wrapText="1"/>
    </xf>
    <xf numFmtId="0" fontId="45" fillId="0" borderId="0" xfId="0" applyFont="1" applyFill="1" applyAlignment="1">
      <alignment wrapText="1"/>
    </xf>
    <xf numFmtId="0" fontId="45" fillId="0" borderId="0" xfId="0" applyNumberFormat="1" applyFont="1" applyFill="1" applyAlignment="1">
      <alignment wrapText="1"/>
    </xf>
    <xf numFmtId="0" fontId="0" fillId="0" borderId="0" xfId="0"/>
    <xf numFmtId="14" fontId="37" fillId="3" borderId="2" xfId="0" applyNumberFormat="1" applyFont="1" applyFill="1" applyBorder="1" applyAlignment="1">
      <alignment horizontal="left" vertical="center" readingOrder="1"/>
    </xf>
    <xf numFmtId="0" fontId="0" fillId="0" borderId="0" xfId="0" pivotButton="1"/>
    <xf numFmtId="0" fontId="45" fillId="0" borderId="0" xfId="0" applyFont="1" applyFill="1"/>
    <xf numFmtId="0" fontId="0" fillId="0" borderId="0" xfId="0" applyFill="1"/>
    <xf numFmtId="1" fontId="60" fillId="0" borderId="0" xfId="0" applyNumberFormat="1" applyFont="1" applyFill="1" applyBorder="1" applyAlignment="1">
      <alignment horizontal="left" vertical="center" readingOrder="1"/>
    </xf>
    <xf numFmtId="0" fontId="37" fillId="0" borderId="0" xfId="0" applyFont="1" applyFill="1" applyAlignment="1">
      <alignment horizontal="left" vertical="center" readingOrder="1"/>
    </xf>
    <xf numFmtId="0" fontId="70" fillId="0" borderId="0" xfId="0" pivotButton="1" applyFont="1"/>
    <xf numFmtId="0" fontId="49" fillId="0" borderId="0" xfId="0" applyFont="1" applyFill="1"/>
    <xf numFmtId="0" fontId="70" fillId="0" borderId="0" xfId="0" applyFont="1" applyBorder="1"/>
    <xf numFmtId="0" fontId="124" fillId="26" borderId="0" xfId="0" applyFont="1" applyFill="1"/>
    <xf numFmtId="164" fontId="125" fillId="0" borderId="0" xfId="0" applyNumberFormat="1" applyFont="1" applyFill="1"/>
    <xf numFmtId="164" fontId="70" fillId="0" borderId="0" xfId="0" applyNumberFormat="1" applyFont="1" applyFill="1"/>
    <xf numFmtId="1" fontId="100" fillId="19" borderId="0" xfId="0" applyNumberFormat="1" applyFont="1" applyFill="1" applyBorder="1" applyAlignment="1">
      <alignment vertical="top" wrapText="1"/>
    </xf>
    <xf numFmtId="0" fontId="29" fillId="0" borderId="0" xfId="0" pivotButton="1" applyFont="1"/>
    <xf numFmtId="0" fontId="29" fillId="0" borderId="0" xfId="0" pivotButton="1" applyFont="1" applyAlignment="1">
      <alignment wrapText="1"/>
    </xf>
    <xf numFmtId="0" fontId="126" fillId="0" borderId="0" xfId="0" applyFont="1" applyAlignment="1">
      <alignment wrapText="1"/>
    </xf>
    <xf numFmtId="0" fontId="127" fillId="40" borderId="0" xfId="0" applyFont="1" applyFill="1" applyAlignment="1">
      <alignment wrapText="1"/>
    </xf>
    <xf numFmtId="0" fontId="127" fillId="40" borderId="0" xfId="0" applyFont="1" applyFill="1" applyAlignment="1"/>
    <xf numFmtId="0" fontId="27" fillId="0" borderId="0" xfId="0" applyFont="1" applyFill="1"/>
    <xf numFmtId="0" fontId="83" fillId="0" borderId="0" xfId="0" applyFont="1" applyFill="1"/>
    <xf numFmtId="0" fontId="82" fillId="0" borderId="0" xfId="0" applyFont="1" applyFill="1" applyAlignment="1">
      <alignment wrapText="1"/>
    </xf>
    <xf numFmtId="0" fontId="127" fillId="0" borderId="0" xfId="0" applyFont="1" applyFill="1" applyAlignment="1">
      <alignment wrapText="1"/>
    </xf>
    <xf numFmtId="0" fontId="47" fillId="8" borderId="72" xfId="0" applyFont="1" applyFill="1" applyBorder="1" applyAlignment="1">
      <alignment horizontal="center" vertical="center" wrapText="1"/>
    </xf>
    <xf numFmtId="0" fontId="128" fillId="39" borderId="54" xfId="0" applyFont="1" applyFill="1" applyBorder="1"/>
    <xf numFmtId="0" fontId="94" fillId="0" borderId="0" xfId="0" applyFont="1" applyFill="1" applyAlignment="1">
      <alignment vertical="center"/>
    </xf>
    <xf numFmtId="0" fontId="45" fillId="9" borderId="0" xfId="0" applyFont="1" applyFill="1"/>
    <xf numFmtId="0" fontId="75" fillId="0" borderId="0" xfId="0" applyFont="1" applyFill="1"/>
    <xf numFmtId="0" fontId="75" fillId="0" borderId="0" xfId="0" applyNumberFormat="1" applyFont="1" applyFill="1" applyBorder="1"/>
    <xf numFmtId="0" fontId="42" fillId="0" borderId="35" xfId="0" applyFont="1" applyBorder="1" applyAlignment="1">
      <alignment horizontal="center" vertical="center" wrapText="1"/>
    </xf>
    <xf numFmtId="0" fontId="42" fillId="0" borderId="36" xfId="0" applyFont="1" applyBorder="1" applyAlignment="1">
      <alignment horizontal="center" vertical="center" wrapText="1"/>
    </xf>
    <xf numFmtId="0" fontId="29" fillId="0" borderId="0" xfId="0" pivotButton="1" applyNumberFormat="1" applyFont="1" applyFill="1" applyBorder="1"/>
    <xf numFmtId="0" fontId="29" fillId="0" borderId="0" xfId="0" applyFont="1" applyAlignment="1">
      <alignment horizontal="center" vertical="center" wrapText="1"/>
    </xf>
    <xf numFmtId="0" fontId="42" fillId="0" borderId="33" xfId="0" applyFont="1" applyBorder="1" applyAlignment="1">
      <alignment horizontal="center" vertical="center" wrapText="1"/>
    </xf>
    <xf numFmtId="0" fontId="83" fillId="0" borderId="0" xfId="0" applyFont="1" applyAlignment="1">
      <alignment horizontal="center" vertical="center" wrapText="1"/>
    </xf>
    <xf numFmtId="14" fontId="37" fillId="3" borderId="0" xfId="0" applyNumberFormat="1" applyFont="1" applyFill="1" applyBorder="1" applyAlignment="1">
      <alignment horizontal="left" vertical="center" readingOrder="1"/>
    </xf>
    <xf numFmtId="1" fontId="45" fillId="0" borderId="23" xfId="0" applyNumberFormat="1" applyFont="1" applyFill="1" applyBorder="1"/>
    <xf numFmtId="0" fontId="88" fillId="0" borderId="0" xfId="0" pivotButton="1" applyFont="1"/>
    <xf numFmtId="1" fontId="55" fillId="9" borderId="0" xfId="0" applyNumberFormat="1" applyFont="1" applyFill="1" applyBorder="1" applyAlignment="1">
      <alignment horizontal="center" vertical="center" wrapText="1"/>
    </xf>
    <xf numFmtId="166" fontId="26" fillId="20" borderId="0" xfId="8" applyFont="1" applyFill="1" applyBorder="1"/>
    <xf numFmtId="0" fontId="130" fillId="0" borderId="0" xfId="0" applyFont="1" applyAlignment="1">
      <alignment horizontal="left"/>
    </xf>
    <xf numFmtId="9" fontId="130" fillId="0" borderId="0" xfId="0" applyNumberFormat="1" applyFont="1"/>
    <xf numFmtId="0" fontId="25" fillId="0" borderId="0" xfId="0" applyFont="1"/>
    <xf numFmtId="0" fontId="25" fillId="0" borderId="0" xfId="0" applyFont="1" applyAlignment="1">
      <alignment horizontal="left"/>
    </xf>
    <xf numFmtId="0" fontId="42" fillId="0" borderId="33" xfId="0" applyFont="1" applyBorder="1" applyAlignment="1">
      <alignment horizontal="left"/>
    </xf>
    <xf numFmtId="0" fontId="42" fillId="0" borderId="35" xfId="0" applyFont="1" applyBorder="1" applyAlignment="1">
      <alignment wrapText="1"/>
    </xf>
    <xf numFmtId="0" fontId="42" fillId="0" borderId="35" xfId="0" applyFont="1" applyBorder="1"/>
    <xf numFmtId="0" fontId="42" fillId="0" borderId="36" xfId="0" applyFont="1" applyBorder="1"/>
    <xf numFmtId="0" fontId="84" fillId="0" borderId="38" xfId="0" applyNumberFormat="1" applyFont="1" applyBorder="1"/>
    <xf numFmtId="0" fontId="84" fillId="0" borderId="39" xfId="0" applyNumberFormat="1" applyFont="1" applyBorder="1"/>
    <xf numFmtId="0" fontId="24" fillId="14" borderId="0" xfId="0" applyFont="1" applyFill="1" applyAlignment="1">
      <alignment horizontal="left"/>
    </xf>
    <xf numFmtId="164" fontId="24" fillId="14" borderId="0" xfId="0" applyNumberFormat="1" applyFont="1" applyFill="1"/>
    <xf numFmtId="9" fontId="24" fillId="14" borderId="0" xfId="0" applyNumberFormat="1" applyFont="1" applyFill="1"/>
    <xf numFmtId="0" fontId="81" fillId="0" borderId="0" xfId="0" applyFont="1" applyFill="1"/>
    <xf numFmtId="0" fontId="82" fillId="0" borderId="0" xfId="0" applyFont="1" applyFill="1"/>
    <xf numFmtId="0" fontId="24" fillId="0" borderId="0" xfId="0" applyFont="1" applyFill="1" applyAlignment="1">
      <alignment horizontal="left"/>
    </xf>
    <xf numFmtId="0" fontId="0" fillId="0" borderId="0" xfId="0" applyNumberFormat="1"/>
    <xf numFmtId="0" fontId="0" fillId="0" borderId="0" xfId="0"/>
    <xf numFmtId="14" fontId="37" fillId="3" borderId="2" xfId="0" applyNumberFormat="1" applyFont="1" applyFill="1" applyBorder="1" applyAlignment="1">
      <alignment horizontal="left" vertical="center" readingOrder="1"/>
    </xf>
    <xf numFmtId="0" fontId="37" fillId="0" borderId="0" xfId="0" applyFont="1" applyFill="1" applyBorder="1" applyAlignment="1">
      <alignment horizontal="left" vertical="center" readingOrder="1"/>
    </xf>
    <xf numFmtId="9" fontId="37" fillId="0" borderId="0" xfId="1" applyFont="1" applyFill="1" applyAlignment="1">
      <alignment horizontal="left" vertical="center" readingOrder="1"/>
    </xf>
    <xf numFmtId="1" fontId="37" fillId="0" borderId="0" xfId="1" applyNumberFormat="1" applyFont="1" applyFill="1" applyAlignment="1">
      <alignment horizontal="left" vertical="center" readingOrder="1"/>
    </xf>
    <xf numFmtId="0" fontId="37" fillId="0" borderId="0" xfId="1" applyNumberFormat="1" applyFont="1" applyFill="1" applyAlignment="1">
      <alignment horizontal="left" vertical="center" readingOrder="1"/>
    </xf>
    <xf numFmtId="0" fontId="0" fillId="0" borderId="0" xfId="0" pivotButton="1"/>
    <xf numFmtId="0" fontId="45" fillId="0" borderId="0" xfId="0" applyFont="1" applyFill="1"/>
    <xf numFmtId="1" fontId="37" fillId="0" borderId="0" xfId="0" applyNumberFormat="1" applyFont="1" applyFill="1" applyAlignment="1">
      <alignment horizontal="left" vertical="center" readingOrder="1"/>
    </xf>
    <xf numFmtId="0" fontId="45" fillId="0" borderId="0" xfId="0" applyFont="1" applyFill="1" applyBorder="1"/>
    <xf numFmtId="0" fontId="75" fillId="0" borderId="0" xfId="0" applyNumberFormat="1" applyFont="1" applyFill="1"/>
    <xf numFmtId="0" fontId="45" fillId="0" borderId="0" xfId="0" applyNumberFormat="1" applyFont="1" applyFill="1"/>
    <xf numFmtId="1" fontId="45" fillId="0" borderId="0" xfId="0" applyNumberFormat="1" applyFont="1" applyFill="1"/>
    <xf numFmtId="0" fontId="45" fillId="0" borderId="0" xfId="0" applyFont="1" applyFill="1" applyAlignment="1">
      <alignment wrapText="1" readingOrder="1"/>
    </xf>
    <xf numFmtId="0" fontId="45" fillId="0" borderId="17" xfId="0" applyFont="1" applyFill="1" applyBorder="1"/>
    <xf numFmtId="0" fontId="45" fillId="0" borderId="0" xfId="0" applyNumberFormat="1" applyFont="1" applyFill="1" applyBorder="1"/>
    <xf numFmtId="1" fontId="45" fillId="0" borderId="0" xfId="0" applyNumberFormat="1" applyFont="1" applyFill="1" applyBorder="1"/>
    <xf numFmtId="0" fontId="45" fillId="0" borderId="0" xfId="0" applyFont="1" applyFill="1" applyBorder="1" applyAlignment="1">
      <alignment wrapText="1" readingOrder="1"/>
    </xf>
    <xf numFmtId="0" fontId="0" fillId="0" borderId="0" xfId="0" applyFill="1"/>
    <xf numFmtId="0" fontId="45" fillId="0" borderId="0" xfId="0" applyNumberFormat="1" applyFont="1" applyFill="1" applyAlignment="1">
      <alignment wrapText="1" readingOrder="1"/>
    </xf>
    <xf numFmtId="0" fontId="45" fillId="0" borderId="0" xfId="0" applyNumberFormat="1" applyFont="1" applyFill="1" applyBorder="1" applyAlignment="1">
      <alignment wrapText="1" readingOrder="1"/>
    </xf>
    <xf numFmtId="0" fontId="60" fillId="0" borderId="0" xfId="0" applyFont="1" applyFill="1" applyBorder="1" applyAlignment="1">
      <alignment horizontal="left" vertical="center" readingOrder="1"/>
    </xf>
    <xf numFmtId="0" fontId="45" fillId="0" borderId="24" xfId="0" applyFont="1" applyFill="1" applyBorder="1"/>
    <xf numFmtId="0" fontId="45" fillId="0" borderId="23" xfId="0" applyFont="1" applyFill="1" applyBorder="1"/>
    <xf numFmtId="165" fontId="45" fillId="0" borderId="0" xfId="0" applyNumberFormat="1" applyFont="1" applyFill="1"/>
    <xf numFmtId="165" fontId="45" fillId="0" borderId="0" xfId="0" applyNumberFormat="1" applyFont="1" applyFill="1" applyBorder="1"/>
    <xf numFmtId="0" fontId="45" fillId="0" borderId="23" xfId="0" applyNumberFormat="1" applyFont="1" applyFill="1" applyBorder="1"/>
    <xf numFmtId="49" fontId="94" fillId="0" borderId="0" xfId="0" applyNumberFormat="1" applyFont="1" applyFill="1" applyBorder="1" applyAlignment="1">
      <alignment horizontal="left" vertical="center"/>
    </xf>
    <xf numFmtId="164" fontId="37" fillId="0" borderId="0" xfId="4" applyNumberFormat="1" applyFont="1" applyFill="1" applyAlignment="1">
      <alignment horizontal="left" vertical="center" readingOrder="1"/>
    </xf>
    <xf numFmtId="0" fontId="84" fillId="0" borderId="40" xfId="0" applyNumberFormat="1" applyFont="1" applyBorder="1"/>
    <xf numFmtId="0" fontId="42" fillId="0" borderId="95" xfId="0" applyNumberFormat="1" applyFont="1" applyBorder="1"/>
    <xf numFmtId="0" fontId="42" fillId="0" borderId="33" xfId="0" applyFont="1" applyBorder="1" applyAlignment="1">
      <alignment wrapText="1"/>
    </xf>
    <xf numFmtId="0" fontId="131" fillId="0" borderId="0" xfId="0" applyFont="1"/>
    <xf numFmtId="1" fontId="45" fillId="42" borderId="0" xfId="0" applyNumberFormat="1" applyFont="1" applyFill="1" applyBorder="1"/>
    <xf numFmtId="0" fontId="0" fillId="0" borderId="0" xfId="0" applyNumberFormat="1" applyFill="1"/>
    <xf numFmtId="0" fontId="37" fillId="0" borderId="23" xfId="42" applyFont="1" applyFill="1" applyBorder="1" applyAlignment="1">
      <alignment horizontal="left" vertical="center" readingOrder="1"/>
    </xf>
    <xf numFmtId="0" fontId="37" fillId="0" borderId="23" xfId="79" applyFont="1" applyFill="1" applyBorder="1" applyAlignment="1">
      <alignment horizontal="left" vertical="center" readingOrder="1"/>
    </xf>
    <xf numFmtId="0" fontId="70" fillId="32" borderId="0" xfId="0" applyFont="1" applyFill="1" applyAlignment="1">
      <alignment vertical="center"/>
    </xf>
    <xf numFmtId="0" fontId="22" fillId="0" borderId="0" xfId="0" applyFont="1"/>
    <xf numFmtId="0" fontId="137" fillId="0" borderId="0" xfId="21" applyFont="1" applyAlignment="1">
      <alignment horizontal="left" vertical="center"/>
    </xf>
    <xf numFmtId="0" fontId="137" fillId="43" borderId="62" xfId="21" applyFont="1" applyFill="1" applyBorder="1" applyAlignment="1">
      <alignment horizontal="left" vertical="center"/>
    </xf>
    <xf numFmtId="0" fontId="137" fillId="26" borderId="62" xfId="21" applyFont="1" applyFill="1" applyBorder="1" applyAlignment="1">
      <alignment horizontal="left" vertical="center" wrapText="1"/>
    </xf>
    <xf numFmtId="0" fontId="137" fillId="43" borderId="63" xfId="21" applyFont="1" applyFill="1" applyBorder="1" applyAlignment="1">
      <alignment horizontal="left" vertical="center"/>
    </xf>
    <xf numFmtId="0" fontId="137" fillId="43" borderId="65" xfId="21" applyFont="1" applyFill="1" applyBorder="1" applyAlignment="1">
      <alignment horizontal="left" vertical="center"/>
    </xf>
    <xf numFmtId="0" fontId="138" fillId="0" borderId="0" xfId="0" applyFont="1"/>
    <xf numFmtId="0" fontId="89" fillId="26" borderId="58" xfId="0" applyFont="1" applyFill="1" applyBorder="1" applyAlignment="1">
      <alignment wrapText="1"/>
    </xf>
    <xf numFmtId="0" fontId="70"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70" fillId="0" borderId="22" xfId="0" applyFont="1" applyBorder="1" applyAlignment="1">
      <alignment wrapText="1"/>
    </xf>
    <xf numFmtId="0" fontId="0" fillId="37" borderId="22" xfId="0" applyFill="1" applyBorder="1" applyAlignment="1">
      <alignment wrapText="1"/>
    </xf>
    <xf numFmtId="164" fontId="76" fillId="14" borderId="22" xfId="4" applyNumberFormat="1" applyFont="1" applyFill="1" applyBorder="1" applyAlignment="1">
      <alignment vertical="center" wrapText="1"/>
    </xf>
    <xf numFmtId="9" fontId="83" fillId="0" borderId="0" xfId="1" applyFont="1"/>
    <xf numFmtId="0" fontId="86" fillId="48" borderId="0" xfId="0" applyFont="1" applyFill="1" applyBorder="1" applyAlignment="1">
      <alignment wrapText="1"/>
    </xf>
    <xf numFmtId="0" fontId="86" fillId="48" borderId="97" xfId="0" applyFont="1" applyFill="1" applyBorder="1" applyAlignment="1">
      <alignment wrapText="1"/>
    </xf>
    <xf numFmtId="0" fontId="0" fillId="0" borderId="98" xfId="0" applyFont="1" applyBorder="1" applyAlignment="1">
      <alignment wrapText="1"/>
    </xf>
    <xf numFmtId="0" fontId="86" fillId="39" borderId="99" xfId="0" applyFont="1" applyFill="1" applyBorder="1" applyAlignment="1">
      <alignment wrapText="1"/>
    </xf>
    <xf numFmtId="0" fontId="0" fillId="0" borderId="51" xfId="0" applyFont="1" applyBorder="1" applyAlignment="1">
      <alignment wrapText="1"/>
    </xf>
    <xf numFmtId="0" fontId="86" fillId="50" borderId="102" xfId="0" applyFont="1" applyFill="1" applyBorder="1" applyAlignment="1">
      <alignment wrapText="1"/>
    </xf>
    <xf numFmtId="0" fontId="86" fillId="51" borderId="103" xfId="0" applyFont="1" applyFill="1" applyBorder="1" applyAlignment="1">
      <alignment wrapText="1"/>
    </xf>
    <xf numFmtId="0" fontId="0" fillId="0" borderId="104" xfId="0" applyFont="1" applyBorder="1" applyAlignment="1">
      <alignment horizontal="left" vertical="center" wrapText="1"/>
    </xf>
    <xf numFmtId="0" fontId="75" fillId="42" borderId="0" xfId="0" applyFont="1" applyFill="1"/>
    <xf numFmtId="0" fontId="94" fillId="0" borderId="0" xfId="0" applyFont="1" applyFill="1" applyAlignment="1">
      <alignment horizontal="left" vertical="center" wrapText="1"/>
    </xf>
    <xf numFmtId="1" fontId="75" fillId="0" borderId="0" xfId="0" applyNumberFormat="1" applyFont="1" applyFill="1" applyBorder="1" applyAlignment="1">
      <alignment horizontal="left" vertical="center"/>
    </xf>
    <xf numFmtId="0" fontId="94" fillId="0" borderId="0" xfId="0" applyFont="1" applyFill="1" applyAlignment="1">
      <alignment horizontal="left" vertical="center"/>
    </xf>
    <xf numFmtId="1" fontId="66" fillId="7" borderId="62" xfId="18" applyNumberFormat="1" applyFont="1" applyFill="1" applyBorder="1" applyAlignment="1">
      <alignment horizontal="left" vertical="center" wrapText="1" readingOrder="1"/>
    </xf>
    <xf numFmtId="9" fontId="44" fillId="34" borderId="65" xfId="18" applyNumberFormat="1" applyFont="1" applyFill="1" applyBorder="1" applyAlignment="1">
      <alignment horizontal="left" vertical="center" wrapText="1" readingOrder="1"/>
    </xf>
    <xf numFmtId="9" fontId="44" fillId="52" borderId="65" xfId="18" applyNumberFormat="1" applyFont="1" applyFill="1" applyBorder="1" applyAlignment="1">
      <alignment horizontal="left" vertical="center" wrapText="1" readingOrder="1"/>
    </xf>
    <xf numFmtId="9" fontId="69" fillId="34" borderId="14" xfId="18" applyNumberFormat="1" applyFont="1" applyFill="1" applyBorder="1" applyAlignment="1">
      <alignment horizontal="left" vertical="center" wrapText="1" readingOrder="1"/>
    </xf>
    <xf numFmtId="9" fontId="122" fillId="16" borderId="65" xfId="18" applyNumberFormat="1" applyFont="1" applyFill="1" applyBorder="1" applyAlignment="1">
      <alignment horizontal="center" vertical="center" wrapText="1" readingOrder="1"/>
    </xf>
    <xf numFmtId="9" fontId="140" fillId="34" borderId="65" xfId="18" applyNumberFormat="1" applyFont="1" applyFill="1" applyBorder="1" applyAlignment="1">
      <alignment horizontal="left" vertical="center" wrapText="1" readingOrder="1"/>
    </xf>
    <xf numFmtId="0" fontId="0" fillId="0" borderId="0" xfId="0" applyAlignment="1">
      <alignment horizontal="left"/>
    </xf>
    <xf numFmtId="0" fontId="143" fillId="0" borderId="0" xfId="0" applyFont="1"/>
    <xf numFmtId="164" fontId="92" fillId="31" borderId="23" xfId="0" applyNumberFormat="1" applyFont="1" applyFill="1" applyBorder="1"/>
    <xf numFmtId="0" fontId="144" fillId="0" borderId="0" xfId="0" applyFont="1"/>
    <xf numFmtId="0" fontId="21" fillId="0" borderId="0" xfId="0" applyFont="1"/>
    <xf numFmtId="0" fontId="79" fillId="16" borderId="0" xfId="0" applyFont="1" applyFill="1"/>
    <xf numFmtId="0" fontId="42" fillId="16" borderId="0" xfId="0" applyFont="1" applyFill="1"/>
    <xf numFmtId="0" fontId="20" fillId="0" borderId="0" xfId="0" applyFont="1"/>
    <xf numFmtId="0" fontId="83" fillId="0" borderId="0" xfId="0" pivotButton="1" applyFont="1"/>
    <xf numFmtId="0" fontId="86" fillId="49" borderId="100" xfId="0" applyFont="1" applyFill="1" applyBorder="1"/>
    <xf numFmtId="0" fontId="86" fillId="49" borderId="101" xfId="0" applyFont="1" applyFill="1" applyBorder="1"/>
    <xf numFmtId="0" fontId="86" fillId="39" borderId="99" xfId="0" applyFont="1" applyFill="1" applyBorder="1" applyAlignment="1"/>
    <xf numFmtId="1" fontId="47" fillId="9" borderId="0" xfId="0" applyNumberFormat="1" applyFont="1" applyFill="1" applyBorder="1" applyAlignment="1">
      <alignment vertical="center" wrapText="1"/>
    </xf>
    <xf numFmtId="1" fontId="107" fillId="9" borderId="0" xfId="0" applyNumberFormat="1" applyFont="1" applyFill="1" applyBorder="1" applyAlignment="1">
      <alignment vertical="top" wrapText="1"/>
    </xf>
    <xf numFmtId="0" fontId="146" fillId="0" borderId="0" xfId="0" applyFont="1"/>
    <xf numFmtId="0" fontId="86" fillId="53" borderId="105" xfId="0" applyFont="1" applyFill="1" applyBorder="1"/>
    <xf numFmtId="0" fontId="86" fillId="53" borderId="106" xfId="0" applyFont="1" applyFill="1" applyBorder="1"/>
    <xf numFmtId="0" fontId="147" fillId="0" borderId="0" xfId="0" applyFont="1"/>
    <xf numFmtId="164" fontId="147" fillId="0" borderId="0" xfId="0" applyNumberFormat="1" applyFont="1"/>
    <xf numFmtId="9" fontId="147" fillId="0" borderId="0" xfId="0" applyNumberFormat="1" applyFont="1"/>
    <xf numFmtId="3" fontId="147" fillId="0" borderId="0" xfId="0" applyNumberFormat="1" applyFont="1"/>
    <xf numFmtId="0" fontId="19" fillId="19" borderId="0" xfId="0" applyFont="1" applyFill="1"/>
    <xf numFmtId="0" fontId="19" fillId="0" borderId="0" xfId="0" applyFont="1"/>
    <xf numFmtId="0" fontId="18" fillId="19" borderId="0" xfId="0" applyFont="1" applyFill="1"/>
    <xf numFmtId="0" fontId="46" fillId="42" borderId="0" xfId="21" applyFont="1" applyFill="1" applyAlignment="1">
      <alignment horizontal="left" vertical="center" indent="1" readingOrder="1"/>
    </xf>
    <xf numFmtId="0" fontId="44" fillId="17" borderId="0" xfId="18" applyFont="1" applyFill="1" applyAlignment="1">
      <alignment horizontal="left" vertical="center"/>
    </xf>
    <xf numFmtId="0" fontId="118" fillId="0" borderId="0" xfId="18" applyFont="1" applyAlignment="1">
      <alignment horizontal="left" vertical="center" textRotation="90"/>
    </xf>
    <xf numFmtId="0" fontId="46" fillId="16" borderId="62" xfId="21" applyFont="1" applyFill="1" applyBorder="1" applyAlignment="1">
      <alignment horizontal="center" vertical="center" textRotation="90" wrapText="1"/>
    </xf>
    <xf numFmtId="0" fontId="44" fillId="0" borderId="0" xfId="21" applyFont="1" applyAlignment="1">
      <alignment horizontal="left" vertical="center" textRotation="90"/>
    </xf>
    <xf numFmtId="0" fontId="46" fillId="42" borderId="0" xfId="21" applyFont="1" applyFill="1" applyAlignment="1">
      <alignment horizontal="center" vertical="center" readingOrder="1"/>
    </xf>
    <xf numFmtId="14" fontId="149" fillId="17" borderId="62" xfId="18" applyNumberFormat="1" applyFont="1" applyFill="1" applyBorder="1" applyAlignment="1">
      <alignment horizontal="center" vertical="center" wrapText="1"/>
    </xf>
    <xf numFmtId="14" fontId="149" fillId="7" borderId="62" xfId="18" applyNumberFormat="1" applyFont="1" applyFill="1" applyBorder="1" applyAlignment="1">
      <alignment horizontal="center" vertical="center" wrapText="1"/>
    </xf>
    <xf numFmtId="14" fontId="149" fillId="27" borderId="62" xfId="18" applyNumberFormat="1" applyFont="1" applyFill="1" applyBorder="1" applyAlignment="1">
      <alignment horizontal="center" vertical="center" wrapText="1"/>
    </xf>
    <xf numFmtId="14" fontId="149" fillId="22" borderId="62" xfId="18" applyNumberFormat="1" applyFont="1" applyFill="1" applyBorder="1" applyAlignment="1">
      <alignment horizontal="center" vertical="center" wrapText="1"/>
    </xf>
    <xf numFmtId="14" fontId="149" fillId="17" borderId="67" xfId="18" applyNumberFormat="1" applyFont="1" applyFill="1" applyBorder="1" applyAlignment="1">
      <alignment horizontal="center" vertical="center" wrapText="1"/>
    </xf>
    <xf numFmtId="9" fontId="106" fillId="34" borderId="65" xfId="18" applyNumberFormat="1" applyFont="1" applyFill="1" applyBorder="1" applyAlignment="1">
      <alignment horizontal="center" vertical="center" wrapText="1" readingOrder="1"/>
    </xf>
    <xf numFmtId="9" fontId="44" fillId="42" borderId="65" xfId="18" applyNumberFormat="1" applyFont="1" applyFill="1" applyBorder="1" applyAlignment="1">
      <alignment horizontal="left" vertical="center" wrapText="1" readingOrder="1"/>
    </xf>
    <xf numFmtId="0" fontId="39" fillId="34" borderId="4" xfId="21" applyFont="1" applyFill="1" applyBorder="1" applyAlignment="1">
      <alignment vertical="top" wrapText="1"/>
    </xf>
    <xf numFmtId="0" fontId="39" fillId="42" borderId="4" xfId="21" applyFont="1" applyFill="1" applyBorder="1" applyAlignment="1">
      <alignment vertical="top" wrapText="1"/>
    </xf>
    <xf numFmtId="0" fontId="46" fillId="7" borderId="62" xfId="18" applyFont="1" applyFill="1" applyBorder="1" applyAlignment="1">
      <alignment horizontal="left" vertical="center" wrapText="1" readingOrder="1"/>
    </xf>
    <xf numFmtId="0" fontId="44" fillId="18" borderId="62" xfId="18" applyFont="1" applyFill="1" applyBorder="1" applyAlignment="1">
      <alignment horizontal="center" vertical="center" wrapText="1" readingOrder="1"/>
    </xf>
    <xf numFmtId="1" fontId="44" fillId="18" borderId="62" xfId="18" applyNumberFormat="1" applyFont="1" applyFill="1" applyBorder="1" applyAlignment="1">
      <alignment horizontal="center" vertical="center" wrapText="1" readingOrder="1"/>
    </xf>
    <xf numFmtId="9" fontId="44" fillId="18" borderId="62" xfId="18" applyNumberFormat="1" applyFont="1" applyFill="1" applyBorder="1" applyAlignment="1">
      <alignment horizontal="center" vertical="center" wrapText="1" readingOrder="1"/>
    </xf>
    <xf numFmtId="14" fontId="44" fillId="18" borderId="62" xfId="18" applyNumberFormat="1" applyFont="1" applyFill="1" applyBorder="1" applyAlignment="1">
      <alignment horizontal="center" vertical="center" wrapText="1" readingOrder="1"/>
    </xf>
    <xf numFmtId="1" fontId="44" fillId="7" borderId="62" xfId="18" applyNumberFormat="1" applyFont="1" applyFill="1" applyBorder="1" applyAlignment="1">
      <alignment horizontal="center" vertical="center" wrapText="1" readingOrder="1"/>
    </xf>
    <xf numFmtId="1" fontId="44" fillId="7" borderId="62" xfId="19" applyNumberFormat="1" applyFont="1" applyFill="1" applyBorder="1" applyAlignment="1">
      <alignment horizontal="center" vertical="center" wrapText="1" readingOrder="1"/>
    </xf>
    <xf numFmtId="14" fontId="44" fillId="7" borderId="62" xfId="18" applyNumberFormat="1" applyFont="1" applyFill="1" applyBorder="1" applyAlignment="1">
      <alignment horizontal="center" vertical="center" wrapText="1"/>
    </xf>
    <xf numFmtId="0" fontId="44" fillId="7" borderId="62" xfId="18" applyFont="1" applyFill="1" applyBorder="1" applyAlignment="1">
      <alignment horizontal="center" vertical="center" wrapText="1"/>
    </xf>
    <xf numFmtId="0" fontId="44" fillId="7" borderId="62" xfId="18" applyFont="1" applyFill="1" applyBorder="1" applyAlignment="1">
      <alignment horizontal="center" vertical="center" wrapText="1" readingOrder="1"/>
    </xf>
    <xf numFmtId="0" fontId="46" fillId="7" borderId="62" xfId="18" applyFont="1" applyFill="1" applyBorder="1" applyAlignment="1">
      <alignment horizontal="center" vertical="center" wrapText="1" readingOrder="1"/>
    </xf>
    <xf numFmtId="0" fontId="44" fillId="11" borderId="62" xfId="19" applyNumberFormat="1" applyFont="1" applyFill="1" applyBorder="1" applyAlignment="1">
      <alignment horizontal="center" vertical="center" wrapText="1" readingOrder="1"/>
    </xf>
    <xf numFmtId="1" fontId="44" fillId="11" borderId="62" xfId="18" applyNumberFormat="1" applyFont="1" applyFill="1" applyBorder="1" applyAlignment="1">
      <alignment horizontal="center" vertical="center" wrapText="1" readingOrder="1"/>
    </xf>
    <xf numFmtId="9" fontId="44" fillId="11" borderId="62" xfId="18" applyNumberFormat="1" applyFont="1" applyFill="1" applyBorder="1" applyAlignment="1">
      <alignment horizontal="center" vertical="center" wrapText="1" readingOrder="1"/>
    </xf>
    <xf numFmtId="9" fontId="44" fillId="11" borderId="65" xfId="18" applyNumberFormat="1" applyFont="1" applyFill="1" applyBorder="1" applyAlignment="1">
      <alignment horizontal="center" vertical="center" wrapText="1" readingOrder="1"/>
    </xf>
    <xf numFmtId="9" fontId="44" fillId="34" borderId="65" xfId="18" applyNumberFormat="1" applyFont="1" applyFill="1" applyBorder="1" applyAlignment="1">
      <alignment horizontal="center" vertical="center" wrapText="1" readingOrder="1"/>
    </xf>
    <xf numFmtId="9" fontId="44" fillId="52" borderId="65" xfId="18" applyNumberFormat="1" applyFont="1" applyFill="1" applyBorder="1" applyAlignment="1">
      <alignment horizontal="center" vertical="center" wrapText="1" readingOrder="1"/>
    </xf>
    <xf numFmtId="0" fontId="121" fillId="18" borderId="62" xfId="18" applyFont="1" applyFill="1" applyBorder="1" applyAlignment="1">
      <alignment horizontal="center" vertical="center" wrapText="1" readingOrder="1"/>
    </xf>
    <xf numFmtId="1" fontId="121" fillId="18" borderId="62" xfId="18" applyNumberFormat="1" applyFont="1" applyFill="1" applyBorder="1" applyAlignment="1">
      <alignment horizontal="center" vertical="center" wrapText="1" readingOrder="1"/>
    </xf>
    <xf numFmtId="1" fontId="150" fillId="18" borderId="62" xfId="18" applyNumberFormat="1" applyFont="1" applyFill="1" applyBorder="1" applyAlignment="1">
      <alignment horizontal="center" vertical="center" wrapText="1" readingOrder="1"/>
    </xf>
    <xf numFmtId="1" fontId="121" fillId="7" borderId="62" xfId="18" applyNumberFormat="1" applyFont="1" applyFill="1" applyBorder="1" applyAlignment="1">
      <alignment horizontal="center" vertical="center" wrapText="1" readingOrder="1"/>
    </xf>
    <xf numFmtId="14" fontId="121" fillId="7" borderId="62" xfId="18" applyNumberFormat="1" applyFont="1" applyFill="1" applyBorder="1" applyAlignment="1">
      <alignment horizontal="center" vertical="center" wrapText="1" readingOrder="1"/>
    </xf>
    <xf numFmtId="0" fontId="121" fillId="11" borderId="62" xfId="19" applyNumberFormat="1" applyFont="1" applyFill="1" applyBorder="1" applyAlignment="1">
      <alignment horizontal="center" vertical="center" wrapText="1" readingOrder="1"/>
    </xf>
    <xf numFmtId="1" fontId="121" fillId="11" borderId="62" xfId="18" applyNumberFormat="1" applyFont="1" applyFill="1" applyBorder="1" applyAlignment="1">
      <alignment horizontal="center" vertical="center" wrapText="1" readingOrder="1"/>
    </xf>
    <xf numFmtId="0" fontId="107" fillId="8" borderId="72" xfId="0" applyFont="1" applyFill="1" applyBorder="1" applyAlignment="1">
      <alignment horizontal="center" vertical="center" wrapText="1"/>
    </xf>
    <xf numFmtId="1" fontId="107" fillId="9" borderId="72" xfId="0" applyNumberFormat="1" applyFont="1" applyFill="1" applyBorder="1" applyAlignment="1">
      <alignment horizontal="center" vertical="center"/>
    </xf>
    <xf numFmtId="1" fontId="151" fillId="9" borderId="72" xfId="0" applyNumberFormat="1" applyFont="1" applyFill="1" applyBorder="1" applyAlignment="1">
      <alignment horizontal="center" vertical="center"/>
    </xf>
    <xf numFmtId="0" fontId="47" fillId="8" borderId="79" xfId="0" applyFont="1" applyFill="1" applyBorder="1" applyAlignment="1">
      <alignment horizontal="center" vertical="center" wrapText="1"/>
    </xf>
    <xf numFmtId="0" fontId="46" fillId="2" borderId="62" xfId="21" applyFont="1" applyFill="1" applyBorder="1" applyAlignment="1">
      <alignment horizontal="left" vertical="center" indent="1" readingOrder="1"/>
    </xf>
    <xf numFmtId="0" fontId="44" fillId="0" borderId="62" xfId="18" applyFont="1" applyBorder="1" applyAlignment="1">
      <alignment horizontal="left" vertical="center" wrapText="1"/>
    </xf>
    <xf numFmtId="0" fontId="46" fillId="14" borderId="62" xfId="21" applyFont="1" applyFill="1" applyBorder="1" applyAlignment="1">
      <alignment horizontal="left" vertical="center" indent="1" readingOrder="1"/>
    </xf>
    <xf numFmtId="0" fontId="137" fillId="14" borderId="62" xfId="21" applyFont="1" applyFill="1" applyBorder="1" applyAlignment="1">
      <alignment horizontal="left" vertical="center" wrapText="1"/>
    </xf>
    <xf numFmtId="9" fontId="44" fillId="18" borderId="62" xfId="19" applyFont="1" applyFill="1" applyBorder="1" applyAlignment="1">
      <alignment horizontal="left" vertical="center" wrapText="1" readingOrder="1"/>
    </xf>
    <xf numFmtId="0" fontId="46" fillId="38" borderId="62" xfId="21" applyFont="1" applyFill="1" applyBorder="1" applyAlignment="1">
      <alignment horizontal="left" vertical="center" indent="1" readingOrder="1"/>
    </xf>
    <xf numFmtId="0" fontId="137" fillId="8" borderId="62" xfId="21" applyFont="1" applyFill="1" applyBorder="1" applyAlignment="1">
      <alignment horizontal="left" vertical="center" wrapText="1"/>
    </xf>
    <xf numFmtId="0" fontId="46" fillId="9" borderId="62" xfId="21" applyFont="1" applyFill="1" applyBorder="1" applyAlignment="1">
      <alignment horizontal="left" vertical="center" indent="1" readingOrder="1"/>
    </xf>
    <xf numFmtId="0" fontId="137" fillId="9" borderId="62" xfId="21" applyFont="1" applyFill="1" applyBorder="1" applyAlignment="1">
      <alignment horizontal="left" vertical="center" wrapText="1"/>
    </xf>
    <xf numFmtId="0" fontId="46" fillId="16" borderId="62" xfId="21" applyFont="1" applyFill="1" applyBorder="1" applyAlignment="1">
      <alignment horizontal="left" vertical="center" indent="1" readingOrder="1"/>
    </xf>
    <xf numFmtId="0" fontId="46" fillId="42" borderId="62" xfId="21" applyFont="1" applyFill="1" applyBorder="1" applyAlignment="1">
      <alignment horizontal="left" vertical="center" wrapText="1"/>
    </xf>
    <xf numFmtId="0" fontId="102" fillId="0" borderId="62" xfId="18" applyFont="1" applyBorder="1" applyAlignment="1">
      <alignment horizontal="left" vertical="center" wrapText="1"/>
    </xf>
    <xf numFmtId="0" fontId="44" fillId="18" borderId="62" xfId="18" applyFont="1" applyFill="1" applyBorder="1" applyAlignment="1">
      <alignment horizontal="center" vertical="center" wrapText="1"/>
    </xf>
    <xf numFmtId="1" fontId="52" fillId="8" borderId="79" xfId="0" applyNumberFormat="1" applyFont="1" applyFill="1" applyBorder="1" applyAlignment="1">
      <alignment vertical="center" wrapText="1"/>
    </xf>
    <xf numFmtId="9" fontId="44" fillId="34" borderId="0" xfId="18" applyNumberFormat="1" applyFont="1" applyFill="1" applyAlignment="1">
      <alignment horizontal="center" vertical="center" wrapText="1" readingOrder="1"/>
    </xf>
    <xf numFmtId="9" fontId="137" fillId="16" borderId="0" xfId="18" applyNumberFormat="1" applyFont="1" applyFill="1" applyAlignment="1">
      <alignment horizontal="center" vertical="center" wrapText="1" readingOrder="1"/>
    </xf>
    <xf numFmtId="164" fontId="69" fillId="34" borderId="0" xfId="4" applyNumberFormat="1" applyFont="1" applyFill="1" applyAlignment="1">
      <alignment horizontal="center" vertical="center" wrapText="1" readingOrder="1"/>
    </xf>
    <xf numFmtId="164" fontId="37" fillId="0" borderId="0" xfId="1" applyNumberFormat="1" applyFont="1" applyFill="1" applyAlignment="1">
      <alignment horizontal="left" vertical="center" readingOrder="1"/>
    </xf>
    <xf numFmtId="164" fontId="70" fillId="17" borderId="28" xfId="4" applyNumberFormat="1" applyFont="1" applyFill="1" applyBorder="1" applyAlignment="1">
      <alignment vertical="center" wrapText="1"/>
    </xf>
    <xf numFmtId="164" fontId="70" fillId="17" borderId="117" xfId="4" applyNumberFormat="1" applyFont="1" applyFill="1" applyBorder="1" applyAlignment="1">
      <alignment vertical="center" wrapText="1"/>
    </xf>
    <xf numFmtId="9" fontId="70" fillId="17" borderId="118" xfId="1" applyFont="1" applyFill="1" applyBorder="1" applyAlignment="1">
      <alignment vertical="center" wrapText="1"/>
    </xf>
    <xf numFmtId="0" fontId="125" fillId="2" borderId="22" xfId="0" applyFont="1" applyFill="1" applyBorder="1" applyAlignment="1">
      <alignment horizontal="center" vertical="center" wrapText="1"/>
    </xf>
    <xf numFmtId="0" fontId="125" fillId="42" borderId="22" xfId="0" applyFont="1" applyFill="1" applyBorder="1" applyAlignment="1">
      <alignment horizontal="center" vertical="center" wrapText="1"/>
    </xf>
    <xf numFmtId="164" fontId="70" fillId="16" borderId="22" xfId="4" applyNumberFormat="1" applyFont="1" applyFill="1" applyBorder="1" applyAlignment="1">
      <alignment vertical="center"/>
    </xf>
    <xf numFmtId="164" fontId="0" fillId="16" borderId="22" xfId="4" applyNumberFormat="1" applyFont="1" applyFill="1" applyBorder="1"/>
    <xf numFmtId="164" fontId="70" fillId="42" borderId="22" xfId="4" applyNumberFormat="1" applyFont="1" applyFill="1" applyBorder="1" applyAlignment="1">
      <alignment vertical="center"/>
    </xf>
    <xf numFmtId="164" fontId="0" fillId="42" borderId="22" xfId="4" applyNumberFormat="1" applyFont="1" applyFill="1" applyBorder="1"/>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7" fillId="32" borderId="0" xfId="0" applyFont="1" applyFill="1"/>
    <xf numFmtId="168" fontId="37" fillId="0" borderId="0" xfId="0" applyNumberFormat="1" applyFont="1" applyAlignment="1">
      <alignment horizontal="left" vertical="center" readingOrder="1"/>
    </xf>
    <xf numFmtId="165" fontId="37" fillId="0" borderId="0" xfId="0" applyNumberFormat="1" applyFont="1" applyAlignment="1">
      <alignment horizontal="left" vertical="center" readingOrder="1"/>
    </xf>
    <xf numFmtId="0" fontId="37" fillId="0" borderId="0" xfId="0" applyFont="1" applyAlignment="1">
      <alignment horizontal="left" vertical="center" readingOrder="1"/>
    </xf>
    <xf numFmtId="0" fontId="152" fillId="0" borderId="0" xfId="1" applyNumberFormat="1" applyFont="1" applyFill="1" applyAlignment="1">
      <alignment horizontal="left" vertical="center" readingOrder="1"/>
    </xf>
    <xf numFmtId="0" fontId="71" fillId="0" borderId="0" xfId="0" applyFont="1"/>
    <xf numFmtId="164" fontId="89" fillId="14" borderId="28" xfId="4" applyNumberFormat="1" applyFont="1" applyFill="1" applyBorder="1" applyAlignment="1">
      <alignment vertical="center" wrapText="1"/>
    </xf>
    <xf numFmtId="164" fontId="89" fillId="14" borderId="28" xfId="4" applyNumberFormat="1" applyFont="1" applyFill="1" applyBorder="1" applyAlignment="1">
      <alignment vertical="center"/>
    </xf>
    <xf numFmtId="164" fontId="70" fillId="10" borderId="28" xfId="4" applyNumberFormat="1" applyFont="1" applyFill="1" applyBorder="1" applyAlignment="1">
      <alignment vertical="center" wrapText="1"/>
    </xf>
    <xf numFmtId="164" fontId="70" fillId="10" borderId="28" xfId="4" applyNumberFormat="1" applyFont="1" applyFill="1" applyBorder="1" applyAlignment="1">
      <alignment vertical="center"/>
    </xf>
    <xf numFmtId="164" fontId="70" fillId="10" borderId="31" xfId="4" applyNumberFormat="1" applyFont="1" applyFill="1" applyBorder="1" applyAlignment="1">
      <alignment vertical="center"/>
    </xf>
    <xf numFmtId="9" fontId="70" fillId="10" borderId="31" xfId="1" applyFont="1" applyFill="1" applyBorder="1" applyAlignment="1">
      <alignment vertical="center"/>
    </xf>
    <xf numFmtId="164" fontId="70" fillId="7" borderId="28" xfId="4" applyNumberFormat="1" applyFont="1" applyFill="1" applyBorder="1" applyAlignment="1">
      <alignment vertical="center" wrapText="1"/>
    </xf>
    <xf numFmtId="164" fontId="70" fillId="7" borderId="28" xfId="4" applyNumberFormat="1" applyFont="1" applyFill="1" applyBorder="1" applyAlignment="1">
      <alignment vertical="center"/>
    </xf>
    <xf numFmtId="9" fontId="70" fillId="7" borderId="31" xfId="1" applyFont="1" applyFill="1" applyBorder="1" applyAlignment="1">
      <alignment vertical="center"/>
    </xf>
    <xf numFmtId="164" fontId="70" fillId="11" borderId="28" xfId="4" applyNumberFormat="1" applyFont="1" applyFill="1" applyBorder="1" applyAlignment="1">
      <alignment vertical="center" wrapText="1"/>
    </xf>
    <xf numFmtId="164" fontId="70" fillId="11" borderId="28" xfId="4" applyNumberFormat="1" applyFont="1" applyFill="1" applyBorder="1" applyAlignment="1">
      <alignment vertical="center"/>
    </xf>
    <xf numFmtId="9" fontId="70" fillId="11" borderId="31" xfId="1" applyFont="1" applyFill="1" applyBorder="1" applyAlignment="1">
      <alignment vertical="center"/>
    </xf>
    <xf numFmtId="9" fontId="89" fillId="14" borderId="31" xfId="1" applyFont="1" applyFill="1" applyBorder="1" applyAlignment="1">
      <alignment vertical="center"/>
    </xf>
    <xf numFmtId="164" fontId="89" fillId="8" borderId="28" xfId="4" applyNumberFormat="1" applyFont="1" applyFill="1" applyBorder="1" applyAlignment="1">
      <alignment vertical="center" wrapText="1"/>
    </xf>
    <xf numFmtId="164" fontId="89" fillId="8" borderId="28" xfId="4" applyNumberFormat="1" applyFont="1" applyFill="1" applyBorder="1" applyAlignment="1">
      <alignment vertical="center"/>
    </xf>
    <xf numFmtId="9" fontId="89" fillId="8" borderId="31" xfId="1" applyFont="1" applyFill="1" applyBorder="1" applyAlignment="1">
      <alignment vertical="center"/>
    </xf>
    <xf numFmtId="164" fontId="89" fillId="8" borderId="31" xfId="4" applyNumberFormat="1" applyFont="1" applyFill="1" applyBorder="1" applyAlignment="1">
      <alignment vertical="center"/>
    </xf>
    <xf numFmtId="0" fontId="153" fillId="0" borderId="0" xfId="0" applyFont="1"/>
    <xf numFmtId="164" fontId="89" fillId="9" borderId="28" xfId="4" applyNumberFormat="1" applyFont="1" applyFill="1" applyBorder="1" applyAlignment="1">
      <alignment vertical="center" wrapText="1"/>
    </xf>
    <xf numFmtId="164" fontId="89" fillId="9" borderId="28" xfId="4" applyNumberFormat="1" applyFont="1" applyFill="1" applyBorder="1" applyAlignment="1">
      <alignment vertical="center"/>
    </xf>
    <xf numFmtId="9" fontId="89" fillId="9" borderId="31" xfId="1" applyFont="1" applyFill="1" applyBorder="1" applyAlignment="1">
      <alignment vertical="center"/>
    </xf>
    <xf numFmtId="164" fontId="89" fillId="9" borderId="31" xfId="4" applyNumberFormat="1" applyFont="1" applyFill="1" applyBorder="1" applyAlignment="1">
      <alignment vertical="center"/>
    </xf>
    <xf numFmtId="164" fontId="71" fillId="42" borderId="28" xfId="4" applyNumberFormat="1" applyFont="1" applyFill="1" applyBorder="1" applyAlignment="1">
      <alignment vertical="center" wrapText="1"/>
    </xf>
    <xf numFmtId="9" fontId="71" fillId="42" borderId="118" xfId="1" applyFont="1" applyFill="1" applyBorder="1" applyAlignment="1">
      <alignment vertical="center" wrapText="1"/>
    </xf>
    <xf numFmtId="164" fontId="71" fillId="42" borderId="118" xfId="4" applyNumberFormat="1" applyFont="1" applyFill="1" applyBorder="1" applyAlignment="1">
      <alignment vertical="center" wrapText="1"/>
    </xf>
    <xf numFmtId="164" fontId="70" fillId="17" borderId="121" xfId="4" applyNumberFormat="1" applyFont="1" applyFill="1" applyBorder="1" applyAlignment="1">
      <alignment vertical="center" wrapText="1"/>
    </xf>
    <xf numFmtId="164" fontId="71" fillId="16" borderId="121" xfId="4" applyNumberFormat="1" applyFont="1" applyFill="1" applyBorder="1" applyAlignment="1">
      <alignment vertical="center" wrapText="1"/>
    </xf>
    <xf numFmtId="164" fontId="71" fillId="16" borderId="28" xfId="4" applyNumberFormat="1" applyFont="1" applyFill="1" applyBorder="1" applyAlignment="1">
      <alignment vertical="center" wrapText="1"/>
    </xf>
    <xf numFmtId="9" fontId="71" fillId="16" borderId="118" xfId="1" applyFont="1" applyFill="1" applyBorder="1" applyAlignment="1">
      <alignment vertical="center" wrapText="1"/>
    </xf>
    <xf numFmtId="164" fontId="71" fillId="16" borderId="118" xfId="4" applyNumberFormat="1" applyFont="1" applyFill="1" applyBorder="1" applyAlignment="1">
      <alignment vertical="center" wrapText="1"/>
    </xf>
    <xf numFmtId="164" fontId="70" fillId="54" borderId="28" xfId="4" applyNumberFormat="1" applyFont="1" applyFill="1" applyBorder="1" applyAlignment="1">
      <alignment vertical="center" wrapText="1"/>
    </xf>
    <xf numFmtId="164" fontId="70" fillId="54" borderId="117" xfId="4" applyNumberFormat="1" applyFont="1" applyFill="1" applyBorder="1" applyAlignment="1">
      <alignment vertical="center" wrapText="1"/>
    </xf>
    <xf numFmtId="9" fontId="70" fillId="54" borderId="118" xfId="1" applyFont="1" applyFill="1" applyBorder="1" applyAlignment="1">
      <alignment vertical="center" wrapText="1"/>
    </xf>
    <xf numFmtId="0" fontId="16" fillId="17" borderId="27" xfId="0" applyFont="1" applyFill="1" applyBorder="1"/>
    <xf numFmtId="164" fontId="29" fillId="0" borderId="0" xfId="4" applyNumberFormat="1" applyFont="1"/>
    <xf numFmtId="0" fontId="16" fillId="17" borderId="27" xfId="0" applyFont="1" applyFill="1" applyBorder="1" applyAlignment="1">
      <alignment vertical="top"/>
    </xf>
    <xf numFmtId="0" fontId="86" fillId="53" borderId="125" xfId="0" applyFont="1" applyFill="1" applyBorder="1"/>
    <xf numFmtId="0" fontId="86" fillId="49" borderId="126" xfId="0" applyFont="1" applyFill="1" applyBorder="1"/>
    <xf numFmtId="9" fontId="37" fillId="0" borderId="0" xfId="1" applyNumberFormat="1" applyFont="1" applyFill="1" applyAlignment="1">
      <alignment horizontal="left" vertical="center" readingOrder="1"/>
    </xf>
    <xf numFmtId="0" fontId="15" fillId="17" borderId="27" xfId="0" applyFont="1" applyFill="1" applyBorder="1"/>
    <xf numFmtId="164" fontId="71" fillId="16" borderId="117" xfId="4" applyNumberFormat="1" applyFont="1" applyFill="1" applyBorder="1" applyAlignment="1">
      <alignment vertical="center" wrapText="1"/>
    </xf>
    <xf numFmtId="0" fontId="77" fillId="13" borderId="128" xfId="0" applyFont="1" applyFill="1" applyBorder="1" applyAlignment="1">
      <alignment horizontal="center" vertical="center" wrapText="1"/>
    </xf>
    <xf numFmtId="164" fontId="70" fillId="10" borderId="117" xfId="4" applyNumberFormat="1" applyFont="1" applyFill="1" applyBorder="1" applyAlignment="1">
      <alignment vertical="center"/>
    </xf>
    <xf numFmtId="164" fontId="70" fillId="7" borderId="117" xfId="4" applyNumberFormat="1" applyFont="1" applyFill="1" applyBorder="1" applyAlignment="1">
      <alignment vertical="center"/>
    </xf>
    <xf numFmtId="164" fontId="70" fillId="11" borderId="117" xfId="4" applyNumberFormat="1" applyFont="1" applyFill="1" applyBorder="1" applyAlignment="1">
      <alignment vertical="center"/>
    </xf>
    <xf numFmtId="164" fontId="71" fillId="42" borderId="117" xfId="4" applyNumberFormat="1" applyFont="1" applyFill="1" applyBorder="1" applyAlignment="1">
      <alignment vertical="center" wrapText="1"/>
    </xf>
    <xf numFmtId="0" fontId="78" fillId="13" borderId="129" xfId="0" applyFont="1" applyFill="1" applyBorder="1" applyAlignment="1">
      <alignment horizontal="center" vertical="center" wrapText="1"/>
    </xf>
    <xf numFmtId="164" fontId="145" fillId="42" borderId="28" xfId="4" applyNumberFormat="1" applyFont="1" applyFill="1" applyBorder="1" applyAlignment="1">
      <alignment vertical="center" wrapText="1"/>
    </xf>
    <xf numFmtId="0" fontId="155" fillId="0" borderId="37" xfId="0" applyFont="1" applyBorder="1" applyAlignment="1">
      <alignment horizontal="left"/>
    </xf>
    <xf numFmtId="0" fontId="155" fillId="0" borderId="34" xfId="0" applyFont="1" applyBorder="1" applyAlignment="1">
      <alignment horizontal="left"/>
    </xf>
    <xf numFmtId="0" fontId="155" fillId="0" borderId="130" xfId="0" applyFont="1" applyBorder="1" applyAlignment="1">
      <alignment horizontal="left"/>
    </xf>
    <xf numFmtId="0" fontId="154" fillId="0" borderId="0" xfId="0" applyFont="1" applyFill="1" applyBorder="1" applyAlignment="1">
      <alignment horizontal="left" vertical="center"/>
    </xf>
    <xf numFmtId="164" fontId="92" fillId="0" borderId="0" xfId="0" applyNumberFormat="1" applyFont="1"/>
    <xf numFmtId="0" fontId="145" fillId="45" borderId="131" xfId="0" applyFont="1" applyFill="1" applyBorder="1" applyAlignment="1">
      <alignment horizontal="center" vertical="center" wrapText="1"/>
    </xf>
    <xf numFmtId="0" fontId="145" fillId="45" borderId="132" xfId="0" applyFont="1" applyFill="1" applyBorder="1" applyAlignment="1">
      <alignment horizontal="center" vertical="center" wrapText="1"/>
    </xf>
    <xf numFmtId="0" fontId="145" fillId="56" borderId="133" xfId="0" applyFont="1" applyFill="1" applyBorder="1" applyAlignment="1">
      <alignment horizontal="center" vertical="center" wrapText="1"/>
    </xf>
    <xf numFmtId="164" fontId="89" fillId="14" borderId="135" xfId="4" applyNumberFormat="1" applyFont="1" applyFill="1" applyBorder="1" applyAlignment="1">
      <alignment vertical="center"/>
    </xf>
    <xf numFmtId="164" fontId="89" fillId="8" borderId="135" xfId="4" applyNumberFormat="1" applyFont="1" applyFill="1" applyBorder="1" applyAlignment="1">
      <alignment vertical="center"/>
    </xf>
    <xf numFmtId="164" fontId="89" fillId="9" borderId="135" xfId="4" applyNumberFormat="1" applyFont="1" applyFill="1" applyBorder="1" applyAlignment="1">
      <alignment vertical="center"/>
    </xf>
    <xf numFmtId="164" fontId="145" fillId="42" borderId="135" xfId="4" applyNumberFormat="1" applyFont="1" applyFill="1" applyBorder="1" applyAlignment="1">
      <alignment vertical="center" wrapText="1"/>
    </xf>
    <xf numFmtId="164" fontId="71" fillId="16" borderId="135" xfId="4" applyNumberFormat="1" applyFont="1" applyFill="1" applyBorder="1" applyAlignment="1">
      <alignment vertical="center" wrapText="1"/>
    </xf>
    <xf numFmtId="164" fontId="0" fillId="0" borderId="0" xfId="4" applyNumberFormat="1" applyFont="1"/>
    <xf numFmtId="0" fontId="96" fillId="35" borderId="22" xfId="0" applyFont="1" applyFill="1" applyBorder="1" applyAlignment="1">
      <alignment horizontal="center" vertical="center" wrapText="1"/>
    </xf>
    <xf numFmtId="0" fontId="96" fillId="35" borderId="22" xfId="0" applyFont="1" applyFill="1" applyBorder="1" applyAlignment="1">
      <alignment horizontal="center" vertical="center"/>
    </xf>
    <xf numFmtId="0" fontId="96" fillId="35" borderId="96" xfId="0" applyFont="1" applyFill="1" applyBorder="1" applyAlignment="1">
      <alignment horizontal="center" vertical="center" wrapText="1"/>
    </xf>
    <xf numFmtId="0" fontId="96" fillId="35" borderId="139" xfId="0" applyFont="1" applyFill="1" applyBorder="1" applyAlignment="1">
      <alignment horizontal="center" vertical="center" wrapText="1"/>
    </xf>
    <xf numFmtId="0" fontId="87" fillId="0" borderId="0" xfId="0" applyFont="1"/>
    <xf numFmtId="0" fontId="13" fillId="57" borderId="23" xfId="80" applyBorder="1" applyAlignment="1">
      <alignment horizontal="right" vertical="center"/>
    </xf>
    <xf numFmtId="0" fontId="159" fillId="0" borderId="141" xfId="0" applyFont="1" applyFill="1" applyBorder="1" applyAlignment="1">
      <alignment vertical="top" wrapText="1"/>
    </xf>
    <xf numFmtId="0" fontId="160" fillId="0" borderId="0" xfId="0" applyFont="1" applyFill="1"/>
    <xf numFmtId="164" fontId="161" fillId="0" borderId="0" xfId="0" applyNumberFormat="1" applyFont="1" applyFill="1"/>
    <xf numFmtId="164" fontId="160" fillId="0" borderId="0" xfId="0" applyNumberFormat="1" applyFont="1" applyFill="1"/>
    <xf numFmtId="164" fontId="162" fillId="0" borderId="0" xfId="0" applyNumberFormat="1" applyFont="1" applyFill="1"/>
    <xf numFmtId="0" fontId="0" fillId="0" borderId="0" xfId="0" applyAlignment="1">
      <alignment horizontal="center" vertical="center" wrapText="1"/>
    </xf>
    <xf numFmtId="0" fontId="164" fillId="0" borderId="0" xfId="0" applyFont="1"/>
    <xf numFmtId="164" fontId="164" fillId="0" borderId="0" xfId="0" applyNumberFormat="1" applyFont="1"/>
    <xf numFmtId="164" fontId="163" fillId="0" borderId="0" xfId="4" applyNumberFormat="1" applyFont="1"/>
    <xf numFmtId="164" fontId="78" fillId="0" borderId="0" xfId="4" applyNumberFormat="1" applyFont="1"/>
    <xf numFmtId="164" fontId="164" fillId="0" borderId="0" xfId="0" applyNumberFormat="1" applyFont="1" applyAlignment="1">
      <alignment wrapText="1"/>
    </xf>
    <xf numFmtId="0" fontId="0" fillId="0" borderId="4" xfId="0" applyBorder="1"/>
    <xf numFmtId="164" fontId="163" fillId="0" borderId="4" xfId="4" applyNumberFormat="1" applyFont="1" applyBorder="1"/>
    <xf numFmtId="164" fontId="78" fillId="0" borderId="4" xfId="4" applyNumberFormat="1" applyFont="1" applyBorder="1"/>
    <xf numFmtId="0" fontId="78" fillId="0" borderId="0" xfId="0" applyFont="1" applyBorder="1" applyAlignment="1">
      <alignment horizontal="center" vertical="center" wrapText="1"/>
    </xf>
    <xf numFmtId="0" fontId="0" fillId="0" borderId="0" xfId="0" applyBorder="1"/>
    <xf numFmtId="164" fontId="78" fillId="0" borderId="0" xfId="4" applyNumberFormat="1" applyFont="1" applyBorder="1"/>
    <xf numFmtId="0" fontId="76" fillId="14" borderId="22" xfId="0" applyFont="1" applyFill="1" applyBorder="1" applyAlignment="1">
      <alignment horizontal="center" vertical="center"/>
    </xf>
    <xf numFmtId="0" fontId="76" fillId="8" borderId="22" xfId="0" applyFont="1" applyFill="1" applyBorder="1" applyAlignment="1">
      <alignment horizontal="center" vertical="center"/>
    </xf>
    <xf numFmtId="0" fontId="76" fillId="9" borderId="22" xfId="0" applyFont="1" applyFill="1" applyBorder="1" applyAlignment="1">
      <alignment horizontal="center" vertical="center"/>
    </xf>
    <xf numFmtId="0" fontId="165" fillId="42" borderId="22" xfId="0" applyFont="1" applyFill="1" applyBorder="1" applyAlignment="1">
      <alignment vertical="center"/>
    </xf>
    <xf numFmtId="0" fontId="165" fillId="16" borderId="22" xfId="0" applyFont="1" applyFill="1" applyBorder="1" applyAlignment="1">
      <alignment vertical="center"/>
    </xf>
    <xf numFmtId="0" fontId="125" fillId="12" borderId="22" xfId="0" applyFont="1" applyFill="1" applyBorder="1" applyAlignment="1">
      <alignment horizontal="center" vertical="center" wrapText="1"/>
    </xf>
    <xf numFmtId="0" fontId="165" fillId="0" borderId="22" xfId="0" applyFont="1" applyBorder="1" applyAlignment="1">
      <alignment horizontal="center" vertical="center" wrapText="1"/>
    </xf>
    <xf numFmtId="164" fontId="145" fillId="10" borderId="134" xfId="4" applyNumberFormat="1" applyFont="1" applyFill="1" applyBorder="1" applyAlignment="1">
      <alignment vertical="center"/>
    </xf>
    <xf numFmtId="164" fontId="145" fillId="7" borderId="134" xfId="4" applyNumberFormat="1" applyFont="1" applyFill="1" applyBorder="1" applyAlignment="1">
      <alignment vertical="center"/>
    </xf>
    <xf numFmtId="164" fontId="145" fillId="54" borderId="135" xfId="4" applyNumberFormat="1" applyFont="1" applyFill="1" applyBorder="1" applyAlignment="1">
      <alignment vertical="center" wrapText="1"/>
    </xf>
    <xf numFmtId="164" fontId="145" fillId="17" borderId="135" xfId="4" applyNumberFormat="1" applyFont="1" applyFill="1" applyBorder="1" applyAlignment="1">
      <alignment vertical="center" wrapText="1"/>
    </xf>
    <xf numFmtId="164" fontId="145" fillId="12" borderId="135" xfId="4" applyNumberFormat="1" applyFont="1" applyFill="1" applyBorder="1" applyAlignment="1">
      <alignment vertical="center"/>
    </xf>
    <xf numFmtId="164" fontId="145" fillId="10" borderId="31" xfId="4" applyNumberFormat="1" applyFont="1" applyFill="1" applyBorder="1" applyAlignment="1">
      <alignment vertical="center"/>
    </xf>
    <xf numFmtId="164" fontId="145" fillId="10" borderId="127" xfId="4" applyNumberFormat="1" applyFont="1" applyFill="1" applyBorder="1" applyAlignment="1">
      <alignment vertical="center"/>
    </xf>
    <xf numFmtId="164" fontId="145" fillId="7" borderId="31" xfId="4" applyNumberFormat="1" applyFont="1" applyFill="1" applyBorder="1" applyAlignment="1">
      <alignment vertical="center"/>
    </xf>
    <xf numFmtId="164" fontId="145" fillId="7" borderId="127" xfId="4" applyNumberFormat="1" applyFont="1" applyFill="1" applyBorder="1" applyAlignment="1">
      <alignment vertical="center"/>
    </xf>
    <xf numFmtId="164" fontId="145" fillId="12" borderId="28" xfId="4" applyNumberFormat="1" applyFont="1" applyFill="1" applyBorder="1" applyAlignment="1">
      <alignment vertical="center"/>
    </xf>
    <xf numFmtId="0" fontId="166" fillId="0" borderId="0" xfId="0" applyFont="1"/>
    <xf numFmtId="0" fontId="11" fillId="19" borderId="0" xfId="0" applyFont="1" applyFill="1"/>
    <xf numFmtId="0" fontId="11" fillId="17" borderId="27" xfId="0" applyFont="1" applyFill="1" applyBorder="1"/>
    <xf numFmtId="164" fontId="70" fillId="7" borderId="31" xfId="4" applyNumberFormat="1" applyFont="1" applyFill="1" applyBorder="1" applyAlignment="1">
      <alignment vertical="center"/>
    </xf>
    <xf numFmtId="9" fontId="167" fillId="58" borderId="142" xfId="1" applyFont="1" applyFill="1" applyBorder="1" applyAlignment="1">
      <alignment horizontal="center" vertical="center" wrapText="1"/>
    </xf>
    <xf numFmtId="9" fontId="167" fillId="58" borderId="143" xfId="1" applyFont="1" applyFill="1" applyBorder="1" applyAlignment="1">
      <alignment horizontal="center" vertical="center" wrapText="1"/>
    </xf>
    <xf numFmtId="169" fontId="167" fillId="58" borderId="144" xfId="1" applyNumberFormat="1" applyFont="1" applyFill="1" applyBorder="1" applyAlignment="1">
      <alignment horizontal="center" vertical="center" wrapText="1"/>
    </xf>
    <xf numFmtId="9" fontId="168" fillId="0" borderId="145" xfId="1" applyFont="1" applyBorder="1" applyAlignment="1">
      <alignment horizontal="center"/>
    </xf>
    <xf numFmtId="9" fontId="168" fillId="0" borderId="146" xfId="1" applyFont="1" applyBorder="1" applyAlignment="1">
      <alignment horizontal="center"/>
    </xf>
    <xf numFmtId="169" fontId="168" fillId="0" borderId="147" xfId="1" applyNumberFormat="1" applyFont="1" applyBorder="1" applyAlignment="1">
      <alignment horizontal="center"/>
    </xf>
    <xf numFmtId="49" fontId="10" fillId="57" borderId="23" xfId="80" applyNumberFormat="1" applyFont="1" applyBorder="1" applyAlignment="1">
      <alignment horizontal="left" vertical="center"/>
    </xf>
    <xf numFmtId="1" fontId="45" fillId="42" borderId="23" xfId="0" applyNumberFormat="1" applyFont="1" applyFill="1" applyBorder="1"/>
    <xf numFmtId="0" fontId="82" fillId="35" borderId="149" xfId="0" applyFont="1" applyFill="1" applyBorder="1" applyAlignment="1">
      <alignment horizontal="center" vertical="center" wrapText="1"/>
    </xf>
    <xf numFmtId="0" fontId="82" fillId="35" borderId="150" xfId="0" applyFont="1" applyFill="1" applyBorder="1" applyAlignment="1">
      <alignment horizontal="center" vertical="center"/>
    </xf>
    <xf numFmtId="0" fontId="82" fillId="35" borderId="150" xfId="0" applyFont="1" applyFill="1" applyBorder="1" applyAlignment="1">
      <alignment horizontal="center" vertical="center" wrapText="1"/>
    </xf>
    <xf numFmtId="0" fontId="82" fillId="35" borderId="151" xfId="0" applyFont="1" applyFill="1" applyBorder="1" applyAlignment="1">
      <alignment horizontal="center" vertical="center" wrapText="1"/>
    </xf>
    <xf numFmtId="0" fontId="158" fillId="59" borderId="157" xfId="0" applyFont="1" applyFill="1" applyBorder="1" applyAlignment="1">
      <alignment vertical="center"/>
    </xf>
    <xf numFmtId="164" fontId="158" fillId="59" borderId="158" xfId="0" applyNumberFormat="1" applyFont="1" applyFill="1" applyBorder="1" applyAlignment="1">
      <alignment vertical="center"/>
    </xf>
    <xf numFmtId="164" fontId="158" fillId="59" borderId="158" xfId="4" applyNumberFormat="1" applyFont="1" applyFill="1" applyBorder="1" applyAlignment="1">
      <alignment vertical="center"/>
    </xf>
    <xf numFmtId="0" fontId="96" fillId="35" borderId="161" xfId="0" applyFont="1" applyFill="1" applyBorder="1" applyAlignment="1">
      <alignment horizontal="center" vertical="center" wrapText="1"/>
    </xf>
    <xf numFmtId="0" fontId="96" fillId="35" borderId="162" xfId="0" applyFont="1" applyFill="1" applyBorder="1" applyAlignment="1">
      <alignment horizontal="center" vertical="center"/>
    </xf>
    <xf numFmtId="0" fontId="96" fillId="35" borderId="162" xfId="0" applyFont="1" applyFill="1" applyBorder="1" applyAlignment="1">
      <alignment horizontal="center" vertical="center" wrapText="1"/>
    </xf>
    <xf numFmtId="0" fontId="82" fillId="35" borderId="162" xfId="0" applyFont="1" applyFill="1" applyBorder="1" applyAlignment="1">
      <alignment horizontal="center" vertical="center" wrapText="1"/>
    </xf>
    <xf numFmtId="0" fontId="96" fillId="35" borderId="163" xfId="0" applyFont="1" applyFill="1" applyBorder="1" applyAlignment="1">
      <alignment horizontal="center" vertical="center" wrapText="1"/>
    </xf>
    <xf numFmtId="0" fontId="94" fillId="0" borderId="164" xfId="0" applyFont="1" applyFill="1" applyBorder="1"/>
    <xf numFmtId="0" fontId="94" fillId="0" borderId="160" xfId="0" applyFont="1" applyFill="1" applyBorder="1"/>
    <xf numFmtId="164" fontId="94" fillId="0" borderId="160" xfId="0" applyNumberFormat="1" applyFont="1" applyFill="1" applyBorder="1"/>
    <xf numFmtId="164" fontId="94" fillId="0" borderId="160" xfId="4" applyNumberFormat="1" applyFont="1" applyFill="1" applyBorder="1"/>
    <xf numFmtId="0" fontId="42" fillId="59" borderId="59" xfId="0" applyFont="1" applyFill="1" applyBorder="1" applyAlignment="1">
      <alignment horizontal="left" vertical="center"/>
    </xf>
    <xf numFmtId="0" fontId="42" fillId="59" borderId="60" xfId="0" applyFont="1" applyFill="1" applyBorder="1" applyAlignment="1">
      <alignment vertical="center"/>
    </xf>
    <xf numFmtId="164" fontId="42" fillId="59" borderId="61" xfId="4" applyNumberFormat="1" applyFont="1" applyFill="1" applyBorder="1" applyAlignment="1">
      <alignment vertical="center"/>
    </xf>
    <xf numFmtId="167" fontId="37" fillId="0" borderId="0" xfId="0" applyNumberFormat="1" applyFont="1" applyFill="1" applyAlignment="1">
      <alignment horizontal="left" vertical="center" readingOrder="1"/>
    </xf>
    <xf numFmtId="0" fontId="70" fillId="0" borderId="0" xfId="0" applyFont="1" applyAlignment="1"/>
    <xf numFmtId="9" fontId="42" fillId="59" borderId="60" xfId="0" applyNumberFormat="1" applyFont="1" applyFill="1" applyBorder="1" applyAlignment="1">
      <alignment horizontal="center" vertical="center"/>
    </xf>
    <xf numFmtId="9" fontId="94" fillId="0" borderId="160" xfId="0" applyNumberFormat="1" applyFont="1" applyFill="1" applyBorder="1" applyAlignment="1">
      <alignment horizontal="center" vertical="center"/>
    </xf>
    <xf numFmtId="9" fontId="94" fillId="0" borderId="165" xfId="0" applyNumberFormat="1" applyFont="1" applyFill="1" applyBorder="1" applyAlignment="1">
      <alignment horizontal="center" vertical="center"/>
    </xf>
    <xf numFmtId="9" fontId="158" fillId="59" borderId="158" xfId="0" applyNumberFormat="1" applyFont="1" applyFill="1" applyBorder="1" applyAlignment="1">
      <alignment horizontal="center" vertical="center"/>
    </xf>
    <xf numFmtId="9" fontId="158" fillId="59" borderId="159" xfId="0" applyNumberFormat="1" applyFont="1" applyFill="1" applyBorder="1" applyAlignment="1">
      <alignment horizontal="center" vertical="center"/>
    </xf>
    <xf numFmtId="9" fontId="94" fillId="0" borderId="58" xfId="0" applyNumberFormat="1" applyFont="1" applyBorder="1" applyAlignment="1">
      <alignment horizontal="center" vertical="center"/>
    </xf>
    <xf numFmtId="9" fontId="94" fillId="0" borderId="138" xfId="0" applyNumberFormat="1" applyFont="1" applyBorder="1" applyAlignment="1">
      <alignment horizontal="center" vertical="center"/>
    </xf>
    <xf numFmtId="0" fontId="8" fillId="0" borderId="0" xfId="0" applyFont="1"/>
    <xf numFmtId="0" fontId="96" fillId="35" borderId="28" xfId="0" applyFont="1" applyFill="1" applyBorder="1" applyAlignment="1">
      <alignment horizontal="center" vertical="center" wrapText="1"/>
    </xf>
    <xf numFmtId="0" fontId="82" fillId="35" borderId="28" xfId="0" applyFont="1" applyFill="1" applyBorder="1" applyAlignment="1">
      <alignment horizontal="center" vertical="center" wrapText="1"/>
    </xf>
    <xf numFmtId="0" fontId="156" fillId="35" borderId="28" xfId="0" applyFont="1" applyFill="1" applyBorder="1" applyAlignment="1">
      <alignment horizontal="center" vertical="center" wrapText="1"/>
    </xf>
    <xf numFmtId="0" fontId="94" fillId="0" borderId="0" xfId="0" applyFont="1" applyBorder="1" applyAlignment="1">
      <alignment horizontal="left" vertical="center"/>
    </xf>
    <xf numFmtId="1" fontId="37" fillId="0" borderId="0" xfId="0" applyNumberFormat="1" applyFont="1" applyAlignment="1">
      <alignment horizontal="left" vertical="center" readingOrder="1"/>
    </xf>
    <xf numFmtId="0" fontId="7" fillId="0" borderId="0" xfId="0" applyFont="1"/>
    <xf numFmtId="164" fontId="145" fillId="7" borderId="28" xfId="4" applyNumberFormat="1" applyFont="1" applyFill="1" applyBorder="1" applyAlignment="1">
      <alignment vertical="center" wrapText="1"/>
    </xf>
    <xf numFmtId="164" fontId="145" fillId="11" borderId="28" xfId="4" applyNumberFormat="1" applyFont="1" applyFill="1" applyBorder="1" applyAlignment="1">
      <alignment vertical="center" wrapText="1"/>
    </xf>
    <xf numFmtId="164" fontId="145" fillId="17" borderId="28" xfId="4" applyNumberFormat="1" applyFont="1" applyFill="1" applyBorder="1" applyAlignment="1">
      <alignment vertical="center" wrapText="1"/>
    </xf>
    <xf numFmtId="164" fontId="71" fillId="54" borderId="135" xfId="4" applyNumberFormat="1" applyFont="1" applyFill="1" applyBorder="1" applyAlignment="1">
      <alignment vertical="center" wrapText="1"/>
    </xf>
    <xf numFmtId="164" fontId="71" fillId="54" borderId="28" xfId="4" applyNumberFormat="1" applyFont="1" applyFill="1" applyBorder="1" applyAlignment="1">
      <alignment vertical="center" wrapText="1"/>
    </xf>
    <xf numFmtId="164" fontId="145" fillId="54" borderId="28" xfId="4" applyNumberFormat="1" applyFont="1" applyFill="1" applyBorder="1" applyAlignment="1">
      <alignment vertical="center" wrapText="1"/>
    </xf>
    <xf numFmtId="0" fontId="145" fillId="60" borderId="132" xfId="0" applyFont="1" applyFill="1" applyBorder="1" applyAlignment="1">
      <alignment horizontal="center" vertical="center" wrapText="1"/>
    </xf>
    <xf numFmtId="167" fontId="169" fillId="0" borderId="0" xfId="0" applyNumberFormat="1" applyFont="1" applyFill="1" applyAlignment="1">
      <alignment horizontal="left" vertical="center" readingOrder="1"/>
    </xf>
    <xf numFmtId="0" fontId="169" fillId="0" borderId="0" xfId="0" applyFont="1" applyFill="1" applyAlignment="1">
      <alignment horizontal="left" vertical="center" readingOrder="1"/>
    </xf>
    <xf numFmtId="0" fontId="169" fillId="0" borderId="0" xfId="1" applyNumberFormat="1" applyFont="1" applyFill="1" applyAlignment="1">
      <alignment horizontal="left" vertical="center" readingOrder="1"/>
    </xf>
    <xf numFmtId="164" fontId="169" fillId="0" borderId="0" xfId="4" applyNumberFormat="1" applyFont="1" applyFill="1" applyAlignment="1">
      <alignment horizontal="left" vertical="center" readingOrder="1"/>
    </xf>
    <xf numFmtId="168" fontId="169" fillId="0" borderId="0" xfId="0" applyNumberFormat="1" applyFont="1" applyFill="1" applyAlignment="1">
      <alignment horizontal="left" vertical="center" readingOrder="1"/>
    </xf>
    <xf numFmtId="165" fontId="169" fillId="0" borderId="0" xfId="0" applyNumberFormat="1" applyFont="1" applyFill="1" applyAlignment="1">
      <alignment horizontal="left" vertical="center" readingOrder="1"/>
    </xf>
    <xf numFmtId="1" fontId="169" fillId="0" borderId="0" xfId="0" applyNumberFormat="1" applyFont="1" applyFill="1" applyAlignment="1">
      <alignment horizontal="left" vertical="center" readingOrder="1"/>
    </xf>
    <xf numFmtId="0" fontId="169" fillId="0" borderId="0" xfId="0" applyNumberFormat="1" applyFont="1" applyFill="1" applyAlignment="1">
      <alignment horizontal="left" vertical="center" readingOrder="1"/>
    </xf>
    <xf numFmtId="9" fontId="169" fillId="0" borderId="0" xfId="1" applyFont="1" applyFill="1" applyAlignment="1">
      <alignment horizontal="left" vertical="center" readingOrder="1"/>
    </xf>
    <xf numFmtId="1" fontId="169" fillId="0" borderId="0" xfId="1" applyNumberFormat="1" applyFont="1" applyFill="1" applyAlignment="1">
      <alignment horizontal="left" vertical="center" readingOrder="1"/>
    </xf>
    <xf numFmtId="9" fontId="169" fillId="0" borderId="0" xfId="1" applyNumberFormat="1" applyFont="1" applyFill="1" applyAlignment="1">
      <alignment horizontal="left" vertical="center" readingOrder="1"/>
    </xf>
    <xf numFmtId="9" fontId="169" fillId="0" borderId="0" xfId="0" applyNumberFormat="1" applyFont="1" applyFill="1" applyAlignment="1">
      <alignment horizontal="left" vertical="center" readingOrder="1"/>
    </xf>
    <xf numFmtId="1" fontId="169" fillId="0" borderId="0" xfId="4" applyNumberFormat="1" applyFont="1" applyFill="1" applyAlignment="1">
      <alignment horizontal="left" vertical="center" readingOrder="1"/>
    </xf>
    <xf numFmtId="0" fontId="169" fillId="0" borderId="0" xfId="0" applyFont="1" applyAlignment="1">
      <alignment horizontal="left" vertical="center" wrapText="1" readingOrder="1"/>
    </xf>
    <xf numFmtId="0" fontId="169" fillId="0" borderId="0" xfId="1" applyNumberFormat="1" applyFont="1" applyFill="1" applyAlignment="1">
      <alignment horizontal="left" vertical="center" wrapText="1" readingOrder="1"/>
    </xf>
    <xf numFmtId="168" fontId="169" fillId="0" borderId="0" xfId="0" applyNumberFormat="1" applyFont="1" applyAlignment="1">
      <alignment horizontal="left" vertical="center" readingOrder="1"/>
    </xf>
    <xf numFmtId="165" fontId="169" fillId="0" borderId="0" xfId="0" applyNumberFormat="1" applyFont="1" applyAlignment="1">
      <alignment horizontal="left" vertical="center" readingOrder="1"/>
    </xf>
    <xf numFmtId="164" fontId="169" fillId="0" borderId="0" xfId="0" applyNumberFormat="1" applyFont="1" applyAlignment="1">
      <alignment horizontal="left" vertical="center" readingOrder="1"/>
    </xf>
    <xf numFmtId="0" fontId="169" fillId="0" borderId="0" xfId="0" applyFont="1" applyAlignment="1">
      <alignment horizontal="left" vertical="center" readingOrder="1"/>
    </xf>
    <xf numFmtId="1" fontId="169" fillId="0" borderId="0" xfId="0" applyNumberFormat="1" applyFont="1" applyAlignment="1">
      <alignment horizontal="left" vertical="center" readingOrder="1"/>
    </xf>
    <xf numFmtId="0" fontId="170" fillId="0" borderId="0" xfId="0" applyFont="1" applyFill="1" applyBorder="1" applyAlignment="1">
      <alignment horizontal="left" vertical="center"/>
    </xf>
    <xf numFmtId="0" fontId="145" fillId="60" borderId="167" xfId="0" applyFont="1" applyFill="1" applyBorder="1" applyAlignment="1">
      <alignment horizontal="center" vertical="center" wrapText="1"/>
    </xf>
    <xf numFmtId="164" fontId="145" fillId="10" borderId="168" xfId="4" applyNumberFormat="1" applyFont="1" applyFill="1" applyBorder="1" applyAlignment="1">
      <alignment vertical="center"/>
    </xf>
    <xf numFmtId="164" fontId="145" fillId="7" borderId="168" xfId="4" applyNumberFormat="1" applyFont="1" applyFill="1" applyBorder="1" applyAlignment="1">
      <alignment vertical="center"/>
    </xf>
    <xf numFmtId="164" fontId="71" fillId="54" borderId="117" xfId="4" applyNumberFormat="1" applyFont="1" applyFill="1" applyBorder="1" applyAlignment="1">
      <alignment vertical="center" wrapText="1"/>
    </xf>
    <xf numFmtId="164" fontId="145" fillId="54" borderId="117" xfId="4" applyNumberFormat="1" applyFont="1" applyFill="1" applyBorder="1" applyAlignment="1">
      <alignment vertical="center" wrapText="1"/>
    </xf>
    <xf numFmtId="164" fontId="145" fillId="17" borderId="117" xfId="4" applyNumberFormat="1" applyFont="1" applyFill="1" applyBorder="1" applyAlignment="1">
      <alignment vertical="center" wrapText="1"/>
    </xf>
    <xf numFmtId="0" fontId="145" fillId="45" borderId="0" xfId="0" applyFont="1" applyFill="1" applyBorder="1" applyAlignment="1">
      <alignment horizontal="center" vertical="center" wrapText="1"/>
    </xf>
    <xf numFmtId="0" fontId="145" fillId="60" borderId="169" xfId="0" applyFont="1" applyFill="1" applyBorder="1" applyAlignment="1">
      <alignment vertical="center" wrapText="1"/>
    </xf>
    <xf numFmtId="0" fontId="145" fillId="60" borderId="170" xfId="0" applyFont="1" applyFill="1" applyBorder="1" applyAlignment="1">
      <alignment vertical="center" wrapText="1"/>
    </xf>
    <xf numFmtId="0" fontId="145" fillId="60" borderId="0" xfId="0" applyFont="1" applyFill="1" applyBorder="1" applyAlignment="1">
      <alignment vertical="center" wrapText="1"/>
    </xf>
    <xf numFmtId="0" fontId="145" fillId="45" borderId="171" xfId="0" applyFont="1" applyFill="1" applyBorder="1" applyAlignment="1">
      <alignment horizontal="center" vertical="center" wrapText="1"/>
    </xf>
    <xf numFmtId="164" fontId="145" fillId="10" borderId="136" xfId="4" applyNumberFormat="1" applyFont="1" applyFill="1" applyBorder="1" applyAlignment="1">
      <alignment vertical="center"/>
    </xf>
    <xf numFmtId="164" fontId="145" fillId="7" borderId="136" xfId="4" applyNumberFormat="1" applyFont="1" applyFill="1" applyBorder="1" applyAlignment="1">
      <alignment vertical="center"/>
    </xf>
    <xf numFmtId="164" fontId="145" fillId="11" borderId="136" xfId="4" applyNumberFormat="1" applyFont="1" applyFill="1" applyBorder="1" applyAlignment="1">
      <alignment vertical="center"/>
    </xf>
    <xf numFmtId="164" fontId="145" fillId="11" borderId="136" xfId="4" applyNumberFormat="1" applyFont="1" applyFill="1" applyBorder="1" applyAlignment="1">
      <alignment vertical="center" wrapText="1"/>
    </xf>
    <xf numFmtId="164" fontId="71" fillId="54" borderId="136" xfId="4" applyNumberFormat="1" applyFont="1" applyFill="1" applyBorder="1" applyAlignment="1">
      <alignment vertical="center" wrapText="1"/>
    </xf>
    <xf numFmtId="164" fontId="145" fillId="54" borderId="136" xfId="4" applyNumberFormat="1" applyFont="1" applyFill="1" applyBorder="1" applyAlignment="1">
      <alignment vertical="center" wrapText="1"/>
    </xf>
    <xf numFmtId="164" fontId="145" fillId="42" borderId="136" xfId="4" applyNumberFormat="1" applyFont="1" applyFill="1" applyBorder="1" applyAlignment="1">
      <alignment vertical="center" wrapText="1"/>
    </xf>
    <xf numFmtId="164" fontId="145" fillId="17" borderId="136" xfId="4" applyNumberFormat="1" applyFont="1" applyFill="1" applyBorder="1" applyAlignment="1">
      <alignment vertical="center" wrapText="1"/>
    </xf>
    <xf numFmtId="164" fontId="71" fillId="16" borderId="136" xfId="4" applyNumberFormat="1" applyFont="1" applyFill="1" applyBorder="1" applyAlignment="1">
      <alignment vertical="center" wrapText="1"/>
    </xf>
    <xf numFmtId="164" fontId="145" fillId="12" borderId="136" xfId="4" applyNumberFormat="1" applyFont="1" applyFill="1" applyBorder="1" applyAlignment="1">
      <alignment vertical="center"/>
    </xf>
    <xf numFmtId="164" fontId="89" fillId="14" borderId="136" xfId="4" applyNumberFormat="1" applyFont="1" applyFill="1" applyBorder="1" applyAlignment="1">
      <alignment vertical="center"/>
    </xf>
    <xf numFmtId="164" fontId="145" fillId="55" borderId="135" xfId="4" applyNumberFormat="1" applyFont="1" applyFill="1" applyBorder="1" applyAlignment="1">
      <alignment vertical="center"/>
    </xf>
    <xf numFmtId="164" fontId="89" fillId="9" borderId="173" xfId="4" applyNumberFormat="1" applyFont="1" applyFill="1" applyBorder="1" applyAlignment="1">
      <alignment vertical="center"/>
    </xf>
    <xf numFmtId="164" fontId="89" fillId="8" borderId="136" xfId="4" applyNumberFormat="1" applyFont="1" applyFill="1" applyBorder="1" applyAlignment="1">
      <alignment vertical="center"/>
    </xf>
    <xf numFmtId="164" fontId="89" fillId="9" borderId="174" xfId="4" applyNumberFormat="1" applyFont="1" applyFill="1" applyBorder="1" applyAlignment="1">
      <alignment vertical="center"/>
    </xf>
    <xf numFmtId="164" fontId="145" fillId="42" borderId="135" xfId="4" applyNumberFormat="1" applyFont="1" applyFill="1" applyBorder="1" applyAlignment="1">
      <alignment vertical="center"/>
    </xf>
    <xf numFmtId="9" fontId="70" fillId="0" borderId="0" xfId="1" applyFont="1"/>
    <xf numFmtId="9" fontId="83" fillId="0" borderId="0" xfId="0" applyNumberFormat="1" applyFont="1"/>
    <xf numFmtId="0" fontId="46" fillId="42" borderId="0" xfId="21" applyFont="1" applyFill="1" applyAlignment="1">
      <alignment horizontal="center" vertical="center" readingOrder="1"/>
    </xf>
    <xf numFmtId="0" fontId="46" fillId="38" borderId="0" xfId="0" applyFont="1" applyFill="1" applyAlignment="1">
      <alignment horizontal="center" vertical="center" wrapText="1"/>
    </xf>
    <xf numFmtId="9" fontId="44" fillId="52" borderId="0" xfId="18" applyNumberFormat="1" applyFont="1" applyFill="1" applyAlignment="1">
      <alignment horizontal="center" vertical="center" wrapText="1" readingOrder="1"/>
    </xf>
    <xf numFmtId="0" fontId="46" fillId="61" borderId="175" xfId="0" applyFont="1" applyFill="1" applyBorder="1" applyAlignment="1">
      <alignment vertical="top" wrapText="1"/>
    </xf>
    <xf numFmtId="0" fontId="44" fillId="38" borderId="0" xfId="0" applyFont="1" applyFill="1" applyAlignment="1">
      <alignment horizontal="center" vertical="center" wrapText="1"/>
    </xf>
    <xf numFmtId="168" fontId="37" fillId="0" borderId="0" xfId="4" applyNumberFormat="1" applyFont="1" applyFill="1" applyAlignment="1">
      <alignment horizontal="left" vertical="center" readingOrder="1"/>
    </xf>
    <xf numFmtId="0" fontId="172" fillId="61" borderId="175" xfId="0" applyFont="1" applyFill="1" applyBorder="1" applyAlignment="1">
      <alignment vertical="top" wrapText="1"/>
    </xf>
    <xf numFmtId="0" fontId="44" fillId="61" borderId="175" xfId="0" applyFont="1" applyFill="1" applyBorder="1" applyAlignment="1">
      <alignment vertical="top" wrapText="1"/>
    </xf>
    <xf numFmtId="0" fontId="44" fillId="38" borderId="177" xfId="0" applyFont="1" applyFill="1" applyBorder="1" applyAlignment="1">
      <alignment horizontal="left" vertical="center" wrapText="1"/>
    </xf>
    <xf numFmtId="0" fontId="44" fillId="38" borderId="178" xfId="0" applyFont="1" applyFill="1" applyBorder="1" applyAlignment="1">
      <alignment horizontal="center" vertical="center" wrapText="1"/>
    </xf>
    <xf numFmtId="0" fontId="44" fillId="61" borderId="178" xfId="0" applyFont="1" applyFill="1" applyBorder="1" applyAlignment="1">
      <alignment vertical="top" wrapText="1"/>
    </xf>
    <xf numFmtId="0" fontId="46" fillId="61" borderId="178" xfId="0" applyFont="1" applyFill="1" applyBorder="1" applyAlignment="1">
      <alignment vertical="top" wrapText="1"/>
    </xf>
    <xf numFmtId="164" fontId="145" fillId="11" borderId="135" xfId="4" applyNumberFormat="1" applyFont="1" applyFill="1" applyBorder="1" applyAlignment="1">
      <alignment vertical="center"/>
    </xf>
    <xf numFmtId="164" fontId="145" fillId="11" borderId="28" xfId="4" applyNumberFormat="1" applyFont="1" applyFill="1" applyBorder="1" applyAlignment="1">
      <alignment vertical="center"/>
    </xf>
    <xf numFmtId="0" fontId="173" fillId="0" borderId="0" xfId="0" applyFont="1" applyFill="1" applyAlignment="1">
      <alignment horizontal="left" vertical="center" readingOrder="1"/>
    </xf>
    <xf numFmtId="0" fontId="173" fillId="0" borderId="0" xfId="1" applyNumberFormat="1" applyFont="1" applyFill="1" applyAlignment="1">
      <alignment horizontal="left" vertical="center" readingOrder="1"/>
    </xf>
    <xf numFmtId="164" fontId="173" fillId="0" borderId="0" xfId="4" applyNumberFormat="1" applyFont="1" applyFill="1" applyAlignment="1">
      <alignment horizontal="left" vertical="center" readingOrder="1"/>
    </xf>
    <xf numFmtId="168" fontId="173" fillId="0" borderId="0" xfId="0" applyNumberFormat="1" applyFont="1" applyFill="1" applyAlignment="1">
      <alignment horizontal="left" vertical="center" readingOrder="1"/>
    </xf>
    <xf numFmtId="165" fontId="173" fillId="0" borderId="0" xfId="0" applyNumberFormat="1" applyFont="1" applyFill="1" applyAlignment="1">
      <alignment horizontal="left" vertical="center" readingOrder="1"/>
    </xf>
    <xf numFmtId="1" fontId="173" fillId="0" borderId="0" xfId="0" applyNumberFormat="1" applyFont="1" applyFill="1" applyAlignment="1">
      <alignment horizontal="left" vertical="center" readingOrder="1"/>
    </xf>
    <xf numFmtId="0" fontId="173" fillId="0" borderId="0" xfId="0" applyNumberFormat="1" applyFont="1" applyFill="1" applyAlignment="1">
      <alignment horizontal="left" vertical="center" readingOrder="1"/>
    </xf>
    <xf numFmtId="9" fontId="173" fillId="0" borderId="0" xfId="1" applyFont="1" applyFill="1" applyAlignment="1">
      <alignment horizontal="left" vertical="center" readingOrder="1"/>
    </xf>
    <xf numFmtId="1" fontId="173" fillId="0" borderId="0" xfId="1" applyNumberFormat="1" applyFont="1" applyFill="1" applyAlignment="1">
      <alignment horizontal="left" vertical="center" readingOrder="1"/>
    </xf>
    <xf numFmtId="9" fontId="173" fillId="0" borderId="0" xfId="1" applyNumberFormat="1" applyFont="1" applyFill="1" applyAlignment="1">
      <alignment horizontal="left" vertical="center" readingOrder="1"/>
    </xf>
    <xf numFmtId="9" fontId="173" fillId="0" borderId="0" xfId="0" applyNumberFormat="1" applyFont="1" applyFill="1" applyAlignment="1">
      <alignment horizontal="left" vertical="center" readingOrder="1"/>
    </xf>
    <xf numFmtId="1" fontId="173" fillId="0" borderId="0" xfId="4" applyNumberFormat="1" applyFont="1" applyFill="1" applyAlignment="1">
      <alignment horizontal="left" vertical="center" readingOrder="1"/>
    </xf>
    <xf numFmtId="168" fontId="173" fillId="0" borderId="0" xfId="0" applyNumberFormat="1" applyFont="1" applyAlignment="1">
      <alignment horizontal="left" vertical="center" readingOrder="1"/>
    </xf>
    <xf numFmtId="165" fontId="173" fillId="0" borderId="0" xfId="0" applyNumberFormat="1" applyFont="1" applyAlignment="1">
      <alignment horizontal="left" vertical="center" readingOrder="1"/>
    </xf>
    <xf numFmtId="168" fontId="37" fillId="0" borderId="0" xfId="0" applyNumberFormat="1" applyFont="1" applyFill="1" applyAlignment="1">
      <alignment horizontal="left" vertical="center" readingOrder="1"/>
    </xf>
    <xf numFmtId="0" fontId="145" fillId="45" borderId="169" xfId="0" applyFont="1" applyFill="1" applyBorder="1" applyAlignment="1">
      <alignment vertical="center" wrapText="1"/>
    </xf>
    <xf numFmtId="0" fontId="145" fillId="45" borderId="170" xfId="0" applyFont="1" applyFill="1" applyBorder="1" applyAlignment="1">
      <alignment vertical="center" wrapText="1"/>
    </xf>
    <xf numFmtId="0" fontId="145" fillId="45" borderId="172" xfId="0" applyFont="1" applyFill="1" applyBorder="1" applyAlignment="1">
      <alignment vertical="center" wrapText="1"/>
    </xf>
    <xf numFmtId="164" fontId="145" fillId="7" borderId="117" xfId="4" applyNumberFormat="1" applyFont="1" applyFill="1" applyBorder="1" applyAlignment="1">
      <alignment vertical="center" wrapText="1"/>
    </xf>
    <xf numFmtId="164" fontId="145" fillId="10" borderId="118" xfId="4" applyNumberFormat="1" applyFont="1" applyFill="1" applyBorder="1" applyAlignment="1">
      <alignment vertical="center" wrapText="1"/>
    </xf>
    <xf numFmtId="164" fontId="145" fillId="10" borderId="118" xfId="4" applyNumberFormat="1" applyFont="1" applyFill="1" applyBorder="1" applyAlignment="1">
      <alignment vertical="center"/>
    </xf>
    <xf numFmtId="164" fontId="70" fillId="12" borderId="28" xfId="4" applyNumberFormat="1" applyFont="1" applyFill="1" applyBorder="1" applyAlignment="1">
      <alignment vertical="center" wrapText="1"/>
    </xf>
    <xf numFmtId="164" fontId="70" fillId="12" borderId="28" xfId="4" applyNumberFormat="1" applyFont="1" applyFill="1" applyBorder="1" applyAlignment="1">
      <alignment vertical="center"/>
    </xf>
    <xf numFmtId="164" fontId="70" fillId="12" borderId="117" xfId="4" applyNumberFormat="1" applyFont="1" applyFill="1" applyBorder="1" applyAlignment="1">
      <alignment vertical="center"/>
    </xf>
    <xf numFmtId="9" fontId="70" fillId="12" borderId="31" xfId="1" applyFont="1" applyFill="1" applyBorder="1" applyAlignment="1">
      <alignment vertical="center"/>
    </xf>
    <xf numFmtId="164" fontId="145" fillId="12" borderId="28" xfId="4" applyNumberFormat="1" applyFont="1" applyFill="1" applyBorder="1" applyAlignment="1">
      <alignment vertical="center" wrapText="1"/>
    </xf>
    <xf numFmtId="164" fontId="145" fillId="12" borderId="136" xfId="4" applyNumberFormat="1" applyFont="1" applyFill="1" applyBorder="1" applyAlignment="1">
      <alignment vertical="center" wrapText="1"/>
    </xf>
    <xf numFmtId="164" fontId="89" fillId="45" borderId="28" xfId="4" applyNumberFormat="1" applyFont="1" applyFill="1" applyBorder="1" applyAlignment="1">
      <alignment vertical="center" wrapText="1"/>
    </xf>
    <xf numFmtId="164" fontId="89" fillId="45" borderId="28" xfId="4" applyNumberFormat="1" applyFont="1" applyFill="1" applyBorder="1" applyAlignment="1">
      <alignment vertical="center"/>
    </xf>
    <xf numFmtId="164" fontId="89" fillId="45" borderId="135" xfId="4" applyNumberFormat="1" applyFont="1" applyFill="1" applyBorder="1" applyAlignment="1">
      <alignment vertical="center"/>
    </xf>
    <xf numFmtId="164" fontId="89" fillId="45" borderId="174" xfId="4" applyNumberFormat="1" applyFont="1" applyFill="1" applyBorder="1" applyAlignment="1">
      <alignment vertical="center"/>
    </xf>
    <xf numFmtId="164" fontId="89" fillId="45" borderId="173" xfId="4" applyNumberFormat="1" applyFont="1" applyFill="1" applyBorder="1" applyAlignment="1">
      <alignment vertical="center"/>
    </xf>
    <xf numFmtId="9" fontId="89" fillId="45" borderId="31" xfId="1" applyFont="1" applyFill="1" applyBorder="1" applyAlignment="1">
      <alignment vertical="center"/>
    </xf>
    <xf numFmtId="164" fontId="89" fillId="45" borderId="31" xfId="4" applyNumberFormat="1" applyFont="1" applyFill="1" applyBorder="1" applyAlignment="1">
      <alignment vertical="center"/>
    </xf>
    <xf numFmtId="164" fontId="78" fillId="12" borderId="28" xfId="4" applyNumberFormat="1" applyFont="1" applyFill="1" applyBorder="1" applyAlignment="1">
      <alignment vertical="center" wrapText="1"/>
    </xf>
    <xf numFmtId="9" fontId="70" fillId="0" borderId="0" xfId="1" applyFont="1" applyAlignment="1">
      <alignment horizontal="center" vertical="center" wrapText="1"/>
    </xf>
    <xf numFmtId="164" fontId="70" fillId="0" borderId="0" xfId="1" applyNumberFormat="1" applyFont="1"/>
    <xf numFmtId="164" fontId="71" fillId="12" borderId="136" xfId="4" applyNumberFormat="1" applyFont="1" applyFill="1" applyBorder="1" applyAlignment="1">
      <alignment vertical="center" wrapText="1"/>
    </xf>
    <xf numFmtId="0" fontId="78" fillId="13" borderId="128" xfId="0" applyFont="1" applyFill="1" applyBorder="1" applyAlignment="1">
      <alignment horizontal="center" vertical="center" wrapText="1"/>
    </xf>
    <xf numFmtId="9" fontId="70" fillId="10" borderId="117" xfId="1" applyFont="1" applyFill="1" applyBorder="1" applyAlignment="1">
      <alignment vertical="center"/>
    </xf>
    <xf numFmtId="9" fontId="89" fillId="14" borderId="117" xfId="1" applyFont="1" applyFill="1" applyBorder="1" applyAlignment="1">
      <alignment vertical="center"/>
    </xf>
    <xf numFmtId="9" fontId="70" fillId="7" borderId="117" xfId="1" applyFont="1" applyFill="1" applyBorder="1" applyAlignment="1">
      <alignment vertical="center"/>
    </xf>
    <xf numFmtId="9" fontId="89" fillId="8" borderId="117" xfId="1" applyFont="1" applyFill="1" applyBorder="1" applyAlignment="1">
      <alignment vertical="center"/>
    </xf>
    <xf numFmtId="9" fontId="70" fillId="11" borderId="117" xfId="1" applyFont="1" applyFill="1" applyBorder="1" applyAlignment="1">
      <alignment vertical="center"/>
    </xf>
    <xf numFmtId="9" fontId="89" fillId="9" borderId="117" xfId="1" applyFont="1" applyFill="1" applyBorder="1" applyAlignment="1">
      <alignment vertical="center"/>
    </xf>
    <xf numFmtId="9" fontId="70" fillId="54" borderId="179" xfId="1" applyFont="1" applyFill="1" applyBorder="1" applyAlignment="1">
      <alignment vertical="center" wrapText="1"/>
    </xf>
    <xf numFmtId="9" fontId="71" fillId="42" borderId="179" xfId="1" applyFont="1" applyFill="1" applyBorder="1" applyAlignment="1">
      <alignment vertical="center" wrapText="1"/>
    </xf>
    <xf numFmtId="9" fontId="70" fillId="17" borderId="179" xfId="1" applyFont="1" applyFill="1" applyBorder="1" applyAlignment="1">
      <alignment vertical="center" wrapText="1"/>
    </xf>
    <xf numFmtId="9" fontId="71" fillId="16" borderId="179" xfId="1" applyFont="1" applyFill="1" applyBorder="1" applyAlignment="1">
      <alignment vertical="center" wrapText="1"/>
    </xf>
    <xf numFmtId="9" fontId="70" fillId="12" borderId="117" xfId="1" applyFont="1" applyFill="1" applyBorder="1" applyAlignment="1">
      <alignment vertical="center"/>
    </xf>
    <xf numFmtId="9" fontId="89" fillId="45" borderId="117" xfId="1" applyFont="1" applyFill="1" applyBorder="1" applyAlignment="1">
      <alignment vertical="center"/>
    </xf>
    <xf numFmtId="0" fontId="77" fillId="33" borderId="184" xfId="0" applyFont="1" applyFill="1" applyBorder="1" applyAlignment="1">
      <alignment horizontal="center" vertical="center" wrapText="1"/>
    </xf>
    <xf numFmtId="0" fontId="77" fillId="33" borderId="185" xfId="0" applyFont="1" applyFill="1" applyBorder="1" applyAlignment="1">
      <alignment horizontal="center" vertical="center" wrapText="1"/>
    </xf>
    <xf numFmtId="0" fontId="77" fillId="33" borderId="132" xfId="0" applyFont="1" applyFill="1" applyBorder="1" applyAlignment="1">
      <alignment horizontal="center" vertical="center" wrapText="1"/>
    </xf>
    <xf numFmtId="0" fontId="78" fillId="13" borderId="186" xfId="0" applyFont="1" applyFill="1" applyBorder="1" applyAlignment="1">
      <alignment horizontal="center" vertical="center" wrapText="1"/>
    </xf>
    <xf numFmtId="164" fontId="70" fillId="10" borderId="134" xfId="4" applyNumberFormat="1" applyFont="1" applyFill="1" applyBorder="1" applyAlignment="1">
      <alignment vertical="center"/>
    </xf>
    <xf numFmtId="164" fontId="70" fillId="10" borderId="136" xfId="4" applyNumberFormat="1" applyFont="1" applyFill="1" applyBorder="1" applyAlignment="1">
      <alignment vertical="center"/>
    </xf>
    <xf numFmtId="164" fontId="70" fillId="7" borderId="134" xfId="4" applyNumberFormat="1" applyFont="1" applyFill="1" applyBorder="1" applyAlignment="1">
      <alignment vertical="center"/>
    </xf>
    <xf numFmtId="164" fontId="125" fillId="7" borderId="136" xfId="4" applyNumberFormat="1" applyFont="1" applyFill="1" applyBorder="1" applyAlignment="1">
      <alignment vertical="center"/>
    </xf>
    <xf numFmtId="164" fontId="89" fillId="8" borderId="134" xfId="4" applyNumberFormat="1" applyFont="1" applyFill="1" applyBorder="1" applyAlignment="1">
      <alignment vertical="center"/>
    </xf>
    <xf numFmtId="164" fontId="145" fillId="11" borderId="135" xfId="4" applyNumberFormat="1" applyFont="1" applyFill="1" applyBorder="1" applyAlignment="1">
      <alignment vertical="center" wrapText="1"/>
    </xf>
    <xf numFmtId="164" fontId="89" fillId="9" borderId="134" xfId="4" applyNumberFormat="1" applyFont="1" applyFill="1" applyBorder="1" applyAlignment="1">
      <alignment vertical="center"/>
    </xf>
    <xf numFmtId="164" fontId="89" fillId="9" borderId="136" xfId="4" applyNumberFormat="1" applyFont="1" applyFill="1" applyBorder="1" applyAlignment="1">
      <alignment vertical="center"/>
    </xf>
    <xf numFmtId="164" fontId="70" fillId="54" borderId="135" xfId="4" applyNumberFormat="1" applyFont="1" applyFill="1" applyBorder="1" applyAlignment="1">
      <alignment vertical="center" wrapText="1"/>
    </xf>
    <xf numFmtId="164" fontId="71" fillId="42" borderId="134" xfId="4" applyNumberFormat="1" applyFont="1" applyFill="1" applyBorder="1" applyAlignment="1">
      <alignment vertical="center" wrapText="1"/>
    </xf>
    <xf numFmtId="164" fontId="71" fillId="42" borderId="187" xfId="4" applyNumberFormat="1" applyFont="1" applyFill="1" applyBorder="1" applyAlignment="1">
      <alignment vertical="center" wrapText="1"/>
    </xf>
    <xf numFmtId="164" fontId="70" fillId="17" borderId="188" xfId="4" applyNumberFormat="1" applyFont="1" applyFill="1" applyBorder="1" applyAlignment="1">
      <alignment vertical="center" wrapText="1"/>
    </xf>
    <xf numFmtId="164" fontId="70" fillId="17" borderId="136" xfId="4" applyNumberFormat="1" applyFont="1" applyFill="1" applyBorder="1" applyAlignment="1">
      <alignment vertical="center" wrapText="1"/>
    </xf>
    <xf numFmtId="164" fontId="71" fillId="16" borderId="134" xfId="4" applyNumberFormat="1" applyFont="1" applyFill="1" applyBorder="1" applyAlignment="1">
      <alignment vertical="center" wrapText="1"/>
    </xf>
    <xf numFmtId="164" fontId="71" fillId="16" borderId="187" xfId="4" applyNumberFormat="1" applyFont="1" applyFill="1" applyBorder="1" applyAlignment="1">
      <alignment vertical="center" wrapText="1"/>
    </xf>
    <xf numFmtId="164" fontId="70" fillId="12" borderId="135" xfId="4" applyNumberFormat="1" applyFont="1" applyFill="1" applyBorder="1" applyAlignment="1">
      <alignment vertical="center" wrapText="1"/>
    </xf>
    <xf numFmtId="164" fontId="89" fillId="45" borderId="134" xfId="4" applyNumberFormat="1" applyFont="1" applyFill="1" applyBorder="1" applyAlignment="1">
      <alignment vertical="center"/>
    </xf>
    <xf numFmtId="164" fontId="89" fillId="45" borderId="136" xfId="4" applyNumberFormat="1" applyFont="1" applyFill="1" applyBorder="1" applyAlignment="1">
      <alignment vertical="center"/>
    </xf>
    <xf numFmtId="164" fontId="89" fillId="45" borderId="189" xfId="4" applyNumberFormat="1" applyFont="1" applyFill="1" applyBorder="1" applyAlignment="1">
      <alignment vertical="center"/>
    </xf>
    <xf numFmtId="164" fontId="89" fillId="45" borderId="190" xfId="4" applyNumberFormat="1" applyFont="1" applyFill="1" applyBorder="1" applyAlignment="1">
      <alignment vertical="center"/>
    </xf>
    <xf numFmtId="0" fontId="37" fillId="0" borderId="0" xfId="0" applyNumberFormat="1" applyFont="1" applyFill="1" applyAlignment="1">
      <alignment horizontal="left" vertical="center" readingOrder="1"/>
    </xf>
    <xf numFmtId="0" fontId="4" fillId="0" borderId="152" xfId="0" applyFont="1" applyFill="1" applyBorder="1" applyAlignment="1">
      <alignment horizontal="left" vertical="center"/>
    </xf>
    <xf numFmtId="0" fontId="4" fillId="0" borderId="148" xfId="0" applyNumberFormat="1" applyFont="1" applyFill="1" applyBorder="1" applyAlignment="1">
      <alignment vertical="center"/>
    </xf>
    <xf numFmtId="0" fontId="4" fillId="0" borderId="148" xfId="4" applyNumberFormat="1" applyFont="1" applyFill="1" applyBorder="1" applyAlignment="1">
      <alignment vertical="center"/>
    </xf>
    <xf numFmtId="164" fontId="4" fillId="0" borderId="148" xfId="4" applyNumberFormat="1" applyFont="1" applyFill="1" applyBorder="1" applyAlignment="1">
      <alignment vertical="center"/>
    </xf>
    <xf numFmtId="9" fontId="4" fillId="0" borderId="148" xfId="0" applyNumberFormat="1" applyFont="1" applyFill="1" applyBorder="1" applyAlignment="1">
      <alignment horizontal="center" vertical="center"/>
    </xf>
    <xf numFmtId="0" fontId="4" fillId="0" borderId="153" xfId="0" applyFont="1" applyFill="1" applyBorder="1" applyAlignment="1">
      <alignment horizontal="center" vertical="center"/>
    </xf>
    <xf numFmtId="43" fontId="45" fillId="0" borderId="0" xfId="0" applyNumberFormat="1" applyFont="1"/>
    <xf numFmtId="0" fontId="29" fillId="17" borderId="27" xfId="0" applyFont="1" applyFill="1" applyBorder="1" applyAlignment="1">
      <alignment vertical="center" wrapText="1"/>
    </xf>
    <xf numFmtId="1" fontId="29" fillId="0" borderId="0" xfId="4" applyNumberFormat="1" applyFont="1" applyAlignment="1">
      <alignment vertical="center" wrapText="1"/>
    </xf>
    <xf numFmtId="0" fontId="29" fillId="0" borderId="0" xfId="0" applyFont="1" applyAlignment="1">
      <alignment vertical="center" wrapText="1"/>
    </xf>
    <xf numFmtId="1" fontId="29" fillId="0" borderId="0" xfId="0" applyNumberFormat="1" applyFont="1" applyAlignment="1">
      <alignment vertical="center" wrapText="1"/>
    </xf>
    <xf numFmtId="164" fontId="29" fillId="0" borderId="0" xfId="4" applyNumberFormat="1" applyFont="1" applyAlignment="1">
      <alignment vertical="center" wrapText="1"/>
    </xf>
    <xf numFmtId="0" fontId="4" fillId="17" borderId="27" xfId="0" applyFont="1" applyFill="1" applyBorder="1" applyAlignment="1">
      <alignment vertical="center" wrapText="1"/>
    </xf>
    <xf numFmtId="0" fontId="4" fillId="19" borderId="0" xfId="0" applyFont="1" applyFill="1"/>
    <xf numFmtId="164" fontId="84" fillId="0" borderId="38" xfId="0" applyNumberFormat="1" applyFont="1" applyBorder="1"/>
    <xf numFmtId="164" fontId="84" fillId="0" borderId="192" xfId="0" applyNumberFormat="1" applyFont="1" applyBorder="1"/>
    <xf numFmtId="164" fontId="84" fillId="0" borderId="191" xfId="0" applyNumberFormat="1" applyFont="1" applyBorder="1"/>
    <xf numFmtId="164" fontId="0" fillId="16" borderId="0" xfId="4" applyNumberFormat="1" applyFont="1" applyFill="1" applyBorder="1" applyAlignment="1">
      <alignment vertical="center"/>
    </xf>
    <xf numFmtId="164" fontId="125" fillId="2" borderId="22" xfId="4" applyNumberFormat="1" applyFont="1" applyFill="1" applyBorder="1" applyAlignment="1">
      <alignment horizontal="center" vertical="center" wrapText="1"/>
    </xf>
    <xf numFmtId="164" fontId="66" fillId="0" borderId="0" xfId="4" applyNumberFormat="1" applyFont="1" applyFill="1" applyAlignment="1">
      <alignment horizontal="left" vertical="center" readingOrder="1"/>
    </xf>
    <xf numFmtId="0" fontId="44" fillId="0" borderId="0" xfId="0" applyFont="1" applyFill="1" applyAlignment="1">
      <alignment horizontal="left" vertical="center" readingOrder="1"/>
    </xf>
    <xf numFmtId="167" fontId="173" fillId="0" borderId="0" xfId="0" applyNumberFormat="1" applyFont="1" applyFill="1" applyAlignment="1">
      <alignment horizontal="left" vertical="center" readingOrder="1"/>
    </xf>
    <xf numFmtId="2" fontId="70" fillId="0" borderId="0" xfId="1" applyNumberFormat="1" applyFont="1"/>
    <xf numFmtId="169" fontId="0" fillId="0" borderId="0" xfId="1" applyNumberFormat="1" applyFont="1"/>
    <xf numFmtId="169" fontId="70" fillId="0" borderId="0" xfId="1" applyNumberFormat="1" applyFont="1"/>
    <xf numFmtId="0" fontId="92" fillId="0" borderId="0" xfId="0" applyFont="1" applyBorder="1"/>
    <xf numFmtId="9" fontId="70" fillId="45" borderId="193" xfId="1" applyFont="1" applyFill="1" applyBorder="1" applyAlignment="1">
      <alignment vertical="center"/>
    </xf>
    <xf numFmtId="9" fontId="70" fillId="45" borderId="190" xfId="1" applyFont="1" applyFill="1" applyBorder="1" applyAlignment="1">
      <alignment vertical="center"/>
    </xf>
    <xf numFmtId="164" fontId="89" fillId="45" borderId="194" xfId="4" applyNumberFormat="1" applyFont="1" applyFill="1" applyBorder="1" applyAlignment="1">
      <alignment vertical="center"/>
    </xf>
    <xf numFmtId="167" fontId="175" fillId="0" borderId="0" xfId="0" applyNumberFormat="1" applyFont="1" applyFill="1" applyAlignment="1">
      <alignment horizontal="left" vertical="center" readingOrder="1"/>
    </xf>
    <xf numFmtId="0" fontId="175" fillId="0" borderId="0" xfId="0" applyFont="1" applyFill="1" applyAlignment="1">
      <alignment horizontal="left" vertical="center" readingOrder="1"/>
    </xf>
    <xf numFmtId="0" fontId="175" fillId="0" borderId="0" xfId="1" applyNumberFormat="1" applyFont="1" applyFill="1" applyAlignment="1">
      <alignment horizontal="left" vertical="center" readingOrder="1"/>
    </xf>
    <xf numFmtId="164" fontId="175" fillId="0" borderId="0" xfId="4" applyNumberFormat="1" applyFont="1" applyFill="1" applyAlignment="1">
      <alignment horizontal="left" vertical="center" readingOrder="1"/>
    </xf>
    <xf numFmtId="168" fontId="175" fillId="0" borderId="0" xfId="0" applyNumberFormat="1" applyFont="1" applyFill="1" applyAlignment="1">
      <alignment horizontal="left" vertical="center" readingOrder="1"/>
    </xf>
    <xf numFmtId="165" fontId="175" fillId="0" borderId="0" xfId="0" applyNumberFormat="1" applyFont="1" applyFill="1" applyAlignment="1">
      <alignment horizontal="left" vertical="center" readingOrder="1"/>
    </xf>
    <xf numFmtId="1" fontId="175" fillId="0" borderId="0" xfId="0" applyNumberFormat="1" applyFont="1" applyFill="1" applyAlignment="1">
      <alignment horizontal="left" vertical="center" readingOrder="1"/>
    </xf>
    <xf numFmtId="0" fontId="175" fillId="0" borderId="0" xfId="0" applyNumberFormat="1" applyFont="1" applyFill="1" applyAlignment="1">
      <alignment horizontal="left" vertical="center" readingOrder="1"/>
    </xf>
    <xf numFmtId="9" fontId="175" fillId="0" borderId="0" xfId="1" applyFont="1" applyFill="1" applyAlignment="1">
      <alignment horizontal="left" vertical="center" readingOrder="1"/>
    </xf>
    <xf numFmtId="1" fontId="175" fillId="0" borderId="0" xfId="1" applyNumberFormat="1" applyFont="1" applyFill="1" applyAlignment="1">
      <alignment horizontal="left" vertical="center" readingOrder="1"/>
    </xf>
    <xf numFmtId="9" fontId="175" fillId="0" borderId="0" xfId="1" applyNumberFormat="1" applyFont="1" applyFill="1" applyAlignment="1">
      <alignment horizontal="left" vertical="center" readingOrder="1"/>
    </xf>
    <xf numFmtId="9" fontId="175" fillId="0" borderId="0" xfId="0" applyNumberFormat="1" applyFont="1" applyFill="1" applyAlignment="1">
      <alignment horizontal="left" vertical="center" readingOrder="1"/>
    </xf>
    <xf numFmtId="1" fontId="175" fillId="0" borderId="0" xfId="4" applyNumberFormat="1" applyFont="1" applyFill="1" applyAlignment="1">
      <alignment horizontal="left" vertical="center" readingOrder="1"/>
    </xf>
    <xf numFmtId="49" fontId="94" fillId="62" borderId="23" xfId="0" applyNumberFormat="1" applyFont="1" applyFill="1" applyBorder="1" applyAlignment="1">
      <alignment horizontal="left" vertical="center"/>
    </xf>
    <xf numFmtId="9" fontId="37" fillId="0" borderId="0" xfId="0" applyNumberFormat="1" applyFont="1" applyFill="1" applyAlignment="1">
      <alignment horizontal="left" vertical="center" readingOrder="1"/>
    </xf>
    <xf numFmtId="1" fontId="37" fillId="0" borderId="0" xfId="4" applyNumberFormat="1" applyFont="1" applyFill="1" applyAlignment="1">
      <alignment horizontal="left" vertical="center" readingOrder="1"/>
    </xf>
    <xf numFmtId="164" fontId="145" fillId="10" borderId="28" xfId="4" applyNumberFormat="1" applyFont="1" applyFill="1" applyBorder="1" applyAlignment="1">
      <alignment vertical="center"/>
    </xf>
    <xf numFmtId="164" fontId="145" fillId="7" borderId="28" xfId="4" applyNumberFormat="1" applyFont="1" applyFill="1" applyBorder="1" applyAlignment="1">
      <alignment vertical="center"/>
    </xf>
    <xf numFmtId="164" fontId="37" fillId="0" borderId="0" xfId="0" applyNumberFormat="1" applyFont="1" applyAlignment="1">
      <alignment horizontal="left" vertical="center" readingOrder="1"/>
    </xf>
    <xf numFmtId="9" fontId="37" fillId="0" borderId="0" xfId="0" applyNumberFormat="1" applyFont="1" applyAlignment="1">
      <alignment horizontal="left" vertical="center" readingOrder="1"/>
    </xf>
    <xf numFmtId="167" fontId="169" fillId="11" borderId="0" xfId="0" applyNumberFormat="1" applyFont="1" applyFill="1" applyAlignment="1">
      <alignment horizontal="left" vertical="center" readingOrder="1"/>
    </xf>
    <xf numFmtId="0" fontId="169" fillId="11" borderId="0" xfId="0" applyFont="1" applyFill="1" applyAlignment="1">
      <alignment horizontal="left" vertical="center" readingOrder="1"/>
    </xf>
    <xf numFmtId="0" fontId="37" fillId="11" borderId="0" xfId="0" applyFont="1" applyFill="1" applyAlignment="1">
      <alignment horizontal="left" vertical="center" readingOrder="1"/>
    </xf>
    <xf numFmtId="0" fontId="152" fillId="11" borderId="0" xfId="1" applyNumberFormat="1" applyFont="1" applyFill="1" applyAlignment="1">
      <alignment horizontal="left" vertical="center" readingOrder="1"/>
    </xf>
    <xf numFmtId="167" fontId="37" fillId="11" borderId="0" xfId="0" applyNumberFormat="1" applyFont="1" applyFill="1" applyAlignment="1">
      <alignment horizontal="left" vertical="center" readingOrder="1"/>
    </xf>
    <xf numFmtId="164" fontId="176" fillId="0" borderId="0" xfId="4" applyNumberFormat="1" applyFont="1" applyFill="1" applyAlignment="1">
      <alignment horizontal="left" vertical="center" readingOrder="1"/>
    </xf>
    <xf numFmtId="168" fontId="44" fillId="0" borderId="0" xfId="0" applyNumberFormat="1" applyFont="1" applyAlignment="1">
      <alignment horizontal="left" vertical="center" readingOrder="1"/>
    </xf>
    <xf numFmtId="165" fontId="44" fillId="0" borderId="0" xfId="0" applyNumberFormat="1" applyFont="1" applyAlignment="1">
      <alignment horizontal="left" vertical="center" readingOrder="1"/>
    </xf>
    <xf numFmtId="1" fontId="176" fillId="0" borderId="0" xfId="1" applyNumberFormat="1" applyFont="1" applyFill="1" applyAlignment="1">
      <alignment horizontal="left" vertical="center" readingOrder="1"/>
    </xf>
    <xf numFmtId="9" fontId="176" fillId="0" borderId="0" xfId="1" applyFont="1" applyFill="1" applyAlignment="1">
      <alignment horizontal="left" vertical="center" readingOrder="1"/>
    </xf>
    <xf numFmtId="0" fontId="176" fillId="0" borderId="0" xfId="1" applyNumberFormat="1" applyFont="1" applyFill="1" applyAlignment="1">
      <alignment horizontal="left" vertical="center" readingOrder="1"/>
    </xf>
    <xf numFmtId="164" fontId="37" fillId="0" borderId="0" xfId="4" applyNumberFormat="1" applyFont="1" applyFill="1" applyBorder="1" applyAlignment="1">
      <alignment horizontal="left" vertical="center" readingOrder="1"/>
    </xf>
    <xf numFmtId="9" fontId="37" fillId="0" borderId="0" xfId="1" applyFont="1" applyFill="1" applyBorder="1" applyAlignment="1">
      <alignment horizontal="left" vertical="center" readingOrder="1"/>
    </xf>
    <xf numFmtId="168" fontId="176" fillId="0" borderId="0" xfId="0" applyNumberFormat="1" applyFont="1" applyAlignment="1">
      <alignment horizontal="left" vertical="center" readingOrder="1"/>
    </xf>
    <xf numFmtId="165" fontId="176" fillId="0" borderId="0" xfId="0" applyNumberFormat="1" applyFont="1" applyAlignment="1">
      <alignment horizontal="left" vertical="center" readingOrder="1"/>
    </xf>
    <xf numFmtId="164" fontId="37" fillId="63" borderId="0" xfId="4" applyNumberFormat="1" applyFont="1" applyFill="1" applyAlignment="1">
      <alignment horizontal="left" vertical="center" readingOrder="1"/>
    </xf>
    <xf numFmtId="167" fontId="176" fillId="0" borderId="0" xfId="0" applyNumberFormat="1" applyFont="1" applyFill="1" applyAlignment="1">
      <alignment horizontal="left" vertical="center" readingOrder="1"/>
    </xf>
    <xf numFmtId="0" fontId="176" fillId="0" borderId="0" xfId="0" applyFont="1" applyFill="1" applyAlignment="1">
      <alignment horizontal="left" vertical="center" readingOrder="1"/>
    </xf>
    <xf numFmtId="168" fontId="176" fillId="0" borderId="0" xfId="0" applyNumberFormat="1" applyFont="1" applyFill="1" applyAlignment="1">
      <alignment horizontal="left" vertical="center" readingOrder="1"/>
    </xf>
    <xf numFmtId="165" fontId="176" fillId="0" borderId="0" xfId="0" applyNumberFormat="1" applyFont="1" applyFill="1" applyAlignment="1">
      <alignment horizontal="left" vertical="center" readingOrder="1"/>
    </xf>
    <xf numFmtId="1" fontId="176" fillId="0" borderId="0" xfId="0" applyNumberFormat="1" applyFont="1" applyFill="1" applyAlignment="1">
      <alignment horizontal="left" vertical="center" readingOrder="1"/>
    </xf>
    <xf numFmtId="0" fontId="176" fillId="0" borderId="0" xfId="0" applyNumberFormat="1" applyFont="1" applyFill="1" applyAlignment="1">
      <alignment horizontal="left" vertical="center" readingOrder="1"/>
    </xf>
    <xf numFmtId="9" fontId="176" fillId="0" borderId="0" xfId="1" applyNumberFormat="1" applyFont="1" applyFill="1" applyAlignment="1">
      <alignment horizontal="left" vertical="center" readingOrder="1"/>
    </xf>
    <xf numFmtId="9" fontId="176" fillId="0" borderId="0" xfId="0" applyNumberFormat="1" applyFont="1" applyFill="1" applyAlignment="1">
      <alignment horizontal="left" vertical="center" readingOrder="1"/>
    </xf>
    <xf numFmtId="1" fontId="176" fillId="0" borderId="0" xfId="4" applyNumberFormat="1" applyFont="1" applyFill="1" applyAlignment="1">
      <alignment horizontal="left" vertical="center" readingOrder="1"/>
    </xf>
    <xf numFmtId="0" fontId="37" fillId="0" borderId="0" xfId="42" applyFont="1" applyFill="1" applyBorder="1" applyAlignment="1">
      <alignment horizontal="left" vertical="center" readingOrder="1"/>
    </xf>
    <xf numFmtId="0" fontId="9" fillId="57" borderId="23" xfId="80" applyFont="1" applyBorder="1" applyAlignment="1">
      <alignment horizontal="left" vertical="center"/>
    </xf>
    <xf numFmtId="49" fontId="3" fillId="57" borderId="0" xfId="80" applyNumberFormat="1" applyFont="1" applyBorder="1" applyAlignment="1">
      <alignment horizontal="left" vertical="center"/>
    </xf>
    <xf numFmtId="49" fontId="94" fillId="62" borderId="0" xfId="0" applyNumberFormat="1" applyFont="1" applyFill="1" applyBorder="1" applyAlignment="1">
      <alignment horizontal="left" vertical="center"/>
    </xf>
    <xf numFmtId="1" fontId="94" fillId="0" borderId="0" xfId="0" applyNumberFormat="1" applyFont="1" applyBorder="1" applyAlignment="1">
      <alignment horizontal="right" vertical="center"/>
    </xf>
    <xf numFmtId="0" fontId="45" fillId="0" borderId="23" xfId="0" applyNumberFormat="1" applyFont="1" applyFill="1" applyBorder="1" applyAlignment="1">
      <alignment wrapText="1"/>
    </xf>
    <xf numFmtId="9" fontId="77" fillId="0" borderId="182" xfId="1" applyNumberFormat="1" applyFont="1" applyBorder="1" applyAlignment="1">
      <alignment vertical="center" wrapText="1"/>
    </xf>
    <xf numFmtId="9" fontId="77" fillId="0" borderId="183" xfId="1" applyNumberFormat="1" applyFont="1" applyBorder="1" applyAlignment="1">
      <alignment vertical="center" wrapText="1"/>
    </xf>
    <xf numFmtId="9" fontId="0" fillId="0" borderId="0" xfId="1" applyFont="1" applyFill="1"/>
    <xf numFmtId="0" fontId="177" fillId="0" borderId="25" xfId="0" applyFont="1" applyFill="1" applyBorder="1"/>
    <xf numFmtId="0" fontId="179" fillId="0" borderId="0" xfId="0" applyFont="1" applyFill="1" applyBorder="1"/>
    <xf numFmtId="0" fontId="179" fillId="0" borderId="0" xfId="0" applyFont="1" applyFill="1"/>
    <xf numFmtId="0" fontId="179" fillId="0" borderId="202" xfId="0" applyFont="1" applyFill="1" applyBorder="1"/>
    <xf numFmtId="0" fontId="179" fillId="0" borderId="200" xfId="0" applyFont="1" applyFill="1" applyBorder="1"/>
    <xf numFmtId="0" fontId="179" fillId="0" borderId="201" xfId="0" applyFont="1" applyFill="1" applyBorder="1"/>
    <xf numFmtId="0" fontId="179" fillId="0" borderId="199" xfId="0" applyFont="1" applyFill="1" applyBorder="1"/>
    <xf numFmtId="0" fontId="179" fillId="0" borderId="25" xfId="0" applyFont="1" applyFill="1" applyBorder="1"/>
    <xf numFmtId="0" fontId="179" fillId="0" borderId="204" xfId="0" applyFont="1" applyFill="1" applyBorder="1"/>
    <xf numFmtId="0" fontId="180" fillId="0" borderId="197" xfId="0" applyFont="1" applyFill="1" applyBorder="1"/>
    <xf numFmtId="0" fontId="180" fillId="0" borderId="25" xfId="0" applyFont="1" applyFill="1" applyBorder="1"/>
    <xf numFmtId="0" fontId="180" fillId="0" borderId="198" xfId="0" applyFont="1" applyFill="1" applyBorder="1"/>
    <xf numFmtId="0" fontId="132" fillId="0" borderId="0" xfId="0" applyFont="1" applyFill="1" applyBorder="1"/>
    <xf numFmtId="0" fontId="132" fillId="0" borderId="195" xfId="0" applyFont="1" applyFill="1" applyBorder="1"/>
    <xf numFmtId="0" fontId="132" fillId="0" borderId="0" xfId="0" applyFont="1" applyFill="1"/>
    <xf numFmtId="0" fontId="132" fillId="0" borderId="196" xfId="0" applyFont="1" applyFill="1" applyBorder="1"/>
    <xf numFmtId="0" fontId="132" fillId="0" borderId="200" xfId="0" applyFont="1" applyFill="1" applyBorder="1"/>
    <xf numFmtId="0" fontId="132" fillId="0" borderId="205" xfId="0" applyFont="1" applyFill="1" applyBorder="1"/>
    <xf numFmtId="0" fontId="132" fillId="0" borderId="203" xfId="0" applyFont="1" applyFill="1" applyBorder="1"/>
    <xf numFmtId="0" fontId="178" fillId="0" borderId="0" xfId="0" applyFont="1" applyFill="1" applyAlignment="1">
      <alignment horizontal="left"/>
    </xf>
    <xf numFmtId="0" fontId="181" fillId="0" borderId="0" xfId="0" pivotButton="1" applyFont="1"/>
    <xf numFmtId="0" fontId="181" fillId="0" borderId="0" xfId="0" applyFont="1"/>
    <xf numFmtId="0" fontId="181" fillId="0" borderId="0" xfId="0" applyNumberFormat="1" applyFont="1"/>
    <xf numFmtId="164" fontId="181" fillId="0" borderId="0" xfId="0" applyNumberFormat="1" applyFont="1"/>
    <xf numFmtId="164" fontId="182" fillId="14" borderId="0" xfId="0" applyNumberFormat="1" applyFont="1" applyFill="1"/>
    <xf numFmtId="164" fontId="182" fillId="8" borderId="0" xfId="0" applyNumberFormat="1" applyFont="1" applyFill="1"/>
    <xf numFmtId="164" fontId="182" fillId="9" borderId="0" xfId="0" applyNumberFormat="1" applyFont="1" applyFill="1"/>
    <xf numFmtId="164" fontId="182" fillId="26" borderId="0" xfId="0" applyNumberFormat="1" applyFont="1" applyFill="1"/>
    <xf numFmtId="0" fontId="182" fillId="26" borderId="0" xfId="0" applyFont="1" applyFill="1" applyAlignment="1">
      <alignment horizontal="center" vertical="center" wrapText="1"/>
    </xf>
    <xf numFmtId="0" fontId="182" fillId="14" borderId="0" xfId="0" applyFont="1" applyFill="1" applyAlignment="1">
      <alignment horizontal="center" vertical="center"/>
    </xf>
    <xf numFmtId="0" fontId="182" fillId="8" borderId="0" xfId="0" applyFont="1" applyFill="1" applyAlignment="1">
      <alignment horizontal="center" vertical="center"/>
    </xf>
    <xf numFmtId="0" fontId="182" fillId="9" borderId="0" xfId="0" applyFont="1" applyFill="1" applyAlignment="1">
      <alignment horizontal="center" vertical="center"/>
    </xf>
    <xf numFmtId="0" fontId="182" fillId="9" borderId="0" xfId="0" applyFont="1" applyFill="1" applyAlignment="1">
      <alignment horizontal="center" vertical="center" wrapText="1"/>
    </xf>
    <xf numFmtId="164" fontId="183" fillId="12" borderId="0" xfId="0" applyNumberFormat="1" applyFont="1" applyFill="1"/>
    <xf numFmtId="0" fontId="183" fillId="12" borderId="0" xfId="0" applyFont="1" applyFill="1" applyAlignment="1">
      <alignment horizontal="center" vertical="center" wrapText="1"/>
    </xf>
    <xf numFmtId="164" fontId="181" fillId="42" borderId="0" xfId="0" applyNumberFormat="1" applyFont="1" applyFill="1"/>
    <xf numFmtId="164" fontId="181" fillId="16" borderId="0" xfId="0" applyNumberFormat="1" applyFont="1" applyFill="1"/>
    <xf numFmtId="0" fontId="181" fillId="42" borderId="0" xfId="0" applyFont="1" applyFill="1" applyAlignment="1">
      <alignment vertical="center"/>
    </xf>
    <xf numFmtId="0" fontId="181" fillId="16" borderId="0" xfId="0" applyFont="1" applyFill="1" applyAlignment="1">
      <alignment vertical="center"/>
    </xf>
    <xf numFmtId="0" fontId="181" fillId="0" borderId="0" xfId="0" applyFont="1" applyAlignment="1">
      <alignment horizontal="center" vertical="center" wrapText="1"/>
    </xf>
    <xf numFmtId="0" fontId="182" fillId="14" borderId="0" xfId="0" applyFont="1" applyFill="1" applyAlignment="1">
      <alignment horizontal="center" vertical="center" wrapText="1"/>
    </xf>
    <xf numFmtId="0" fontId="182" fillId="8" borderId="0" xfId="0" applyFont="1" applyFill="1" applyAlignment="1">
      <alignment horizontal="center" vertical="center" wrapText="1"/>
    </xf>
    <xf numFmtId="0" fontId="181" fillId="42" borderId="0" xfId="0" applyFont="1" applyFill="1" applyAlignment="1">
      <alignment horizontal="center" vertical="center" wrapText="1"/>
    </xf>
    <xf numFmtId="0" fontId="181" fillId="16" borderId="0" xfId="0" applyFont="1" applyFill="1" applyAlignment="1">
      <alignment horizontal="center" vertical="center" wrapText="1"/>
    </xf>
    <xf numFmtId="0" fontId="183" fillId="0" borderId="0" xfId="0" applyFont="1" applyFill="1" applyAlignment="1">
      <alignment horizontal="center" vertical="center" wrapText="1"/>
    </xf>
    <xf numFmtId="164" fontId="183" fillId="12" borderId="0" xfId="0" applyNumberFormat="1" applyFont="1" applyFill="1" applyAlignment="1">
      <alignment wrapText="1"/>
    </xf>
    <xf numFmtId="164" fontId="181" fillId="0" borderId="0" xfId="0" applyNumberFormat="1" applyFont="1" applyAlignment="1">
      <alignment wrapText="1"/>
    </xf>
    <xf numFmtId="0" fontId="184" fillId="0" borderId="0" xfId="0" pivotButton="1" applyFont="1"/>
    <xf numFmtId="0" fontId="184" fillId="0" borderId="0" xfId="0" applyFont="1"/>
    <xf numFmtId="0" fontId="184" fillId="0" borderId="0" xfId="0" pivotButton="1" applyFont="1" applyAlignment="1">
      <alignment wrapText="1"/>
    </xf>
    <xf numFmtId="0" fontId="184" fillId="0" borderId="0" xfId="0" applyFont="1" applyAlignment="1">
      <alignment horizontal="left"/>
    </xf>
    <xf numFmtId="0" fontId="184" fillId="0" borderId="0" xfId="0" applyNumberFormat="1" applyFont="1"/>
    <xf numFmtId="9" fontId="184" fillId="0" borderId="0" xfId="0" applyNumberFormat="1" applyFont="1"/>
    <xf numFmtId="0" fontId="184" fillId="0" borderId="0" xfId="0" pivotButton="1" applyFont="1" applyAlignment="1">
      <alignment horizontal="center" vertical="center" wrapText="1"/>
    </xf>
    <xf numFmtId="0" fontId="186" fillId="40" borderId="0" xfId="0" applyFont="1" applyFill="1" applyAlignment="1">
      <alignment wrapText="1"/>
    </xf>
    <xf numFmtId="0" fontId="184" fillId="0" borderId="0" xfId="0" applyFont="1" applyAlignment="1">
      <alignment horizontal="left" indent="1"/>
    </xf>
    <xf numFmtId="3" fontId="184" fillId="0" borderId="0" xfId="0" applyNumberFormat="1" applyFont="1"/>
    <xf numFmtId="0" fontId="186" fillId="40" borderId="0" xfId="0" applyFont="1" applyFill="1" applyAlignment="1"/>
    <xf numFmtId="0" fontId="186" fillId="40" borderId="0" xfId="0" applyFont="1" applyFill="1"/>
    <xf numFmtId="0" fontId="184" fillId="0" borderId="0" xfId="0" applyFont="1" applyAlignment="1">
      <alignment wrapText="1"/>
    </xf>
    <xf numFmtId="164" fontId="184" fillId="0" borderId="0" xfId="0" applyNumberFormat="1" applyFont="1"/>
    <xf numFmtId="0" fontId="186" fillId="29" borderId="0" xfId="0" applyFont="1" applyFill="1"/>
    <xf numFmtId="0" fontId="186" fillId="29" borderId="0" xfId="0" applyFont="1" applyFill="1" applyAlignment="1">
      <alignment horizontal="left" vertical="center" wrapText="1"/>
    </xf>
    <xf numFmtId="0" fontId="184" fillId="0" borderId="0" xfId="0" applyFont="1" applyAlignment="1">
      <alignment horizontal="center" vertical="center" wrapText="1"/>
    </xf>
    <xf numFmtId="0" fontId="181" fillId="0" borderId="0" xfId="0" pivotButton="1" applyFont="1" applyAlignment="1">
      <alignment horizontal="center" vertical="center" wrapText="1"/>
    </xf>
    <xf numFmtId="9" fontId="42" fillId="59" borderId="61" xfId="0" applyNumberFormat="1" applyFont="1" applyFill="1" applyBorder="1" applyAlignment="1">
      <alignment horizontal="center" vertical="center"/>
    </xf>
    <xf numFmtId="0" fontId="187" fillId="0" borderId="34" xfId="0" applyFont="1" applyBorder="1" applyAlignment="1">
      <alignment horizontal="left" indent="1"/>
    </xf>
    <xf numFmtId="0" fontId="187" fillId="0" borderId="37" xfId="0" applyFont="1" applyBorder="1" applyAlignment="1">
      <alignment horizontal="left" indent="1"/>
    </xf>
    <xf numFmtId="0" fontId="185" fillId="31" borderId="206" xfId="0" applyFont="1" applyFill="1" applyBorder="1" applyAlignment="1">
      <alignment horizontal="left"/>
    </xf>
    <xf numFmtId="0" fontId="187" fillId="0" borderId="39" xfId="0" applyNumberFormat="1" applyFont="1" applyBorder="1"/>
    <xf numFmtId="0" fontId="187" fillId="0" borderId="40" xfId="0" applyNumberFormat="1" applyFont="1" applyBorder="1"/>
    <xf numFmtId="0" fontId="187" fillId="0" borderId="38" xfId="0" applyNumberFormat="1" applyFont="1" applyBorder="1"/>
    <xf numFmtId="0" fontId="2" fillId="31"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70" fillId="0" borderId="0" xfId="0" applyFont="1" applyFill="1" applyBorder="1" applyAlignment="1">
      <alignment horizontal="left" vertical="center" wrapText="1"/>
    </xf>
    <xf numFmtId="9" fontId="188" fillId="59" borderId="61" xfId="0" applyNumberFormat="1" applyFont="1" applyFill="1" applyBorder="1" applyAlignment="1">
      <alignment horizontal="center" vertical="center"/>
    </xf>
    <xf numFmtId="9" fontId="188" fillId="59" borderId="166" xfId="0" applyNumberFormat="1" applyFont="1" applyFill="1" applyBorder="1" applyAlignment="1">
      <alignment horizontal="center" vertical="center"/>
    </xf>
    <xf numFmtId="164" fontId="14" fillId="0" borderId="0" xfId="4" applyNumberFormat="1" applyFont="1" applyAlignment="1">
      <alignment horizontal="center" vertical="center"/>
    </xf>
    <xf numFmtId="164" fontId="14" fillId="0" borderId="0" xfId="4" applyNumberFormat="1" applyFont="1" applyFill="1" applyBorder="1" applyAlignment="1">
      <alignment horizontal="center" vertical="center"/>
    </xf>
    <xf numFmtId="164" fontId="45" fillId="0" borderId="0" xfId="4" applyNumberFormat="1" applyFont="1" applyAlignment="1">
      <alignment horizontal="center" vertical="center"/>
    </xf>
    <xf numFmtId="164" fontId="6" fillId="0" borderId="0" xfId="4" applyNumberFormat="1" applyFont="1" applyFill="1" applyBorder="1" applyAlignment="1">
      <alignment horizontal="center" vertical="center"/>
    </xf>
    <xf numFmtId="9" fontId="14" fillId="0" borderId="0" xfId="0" applyNumberFormat="1" applyFont="1" applyFill="1" applyBorder="1" applyAlignment="1">
      <alignment horizontal="center" vertical="center"/>
    </xf>
    <xf numFmtId="9" fontId="157" fillId="31" borderId="0" xfId="0" applyNumberFormat="1" applyFont="1" applyFill="1" applyBorder="1" applyAlignment="1">
      <alignment horizontal="center" vertical="center"/>
    </xf>
    <xf numFmtId="9" fontId="157" fillId="0" borderId="0" xfId="0" applyNumberFormat="1" applyFont="1" applyFill="1" applyBorder="1" applyAlignment="1">
      <alignment horizontal="center" vertical="center"/>
    </xf>
    <xf numFmtId="9" fontId="6" fillId="0" borderId="0" xfId="0" applyNumberFormat="1" applyFont="1" applyFill="1" applyBorder="1" applyAlignment="1">
      <alignment horizontal="center" vertical="center"/>
    </xf>
    <xf numFmtId="9" fontId="171" fillId="0" borderId="0" xfId="0" applyNumberFormat="1" applyFont="1" applyFill="1" applyBorder="1" applyAlignment="1">
      <alignment horizontal="center" vertical="center"/>
    </xf>
    <xf numFmtId="164" fontId="94" fillId="0" borderId="58" xfId="0" applyNumberFormat="1" applyFont="1" applyBorder="1" applyAlignment="1">
      <alignment horizontal="center" vertical="center"/>
    </xf>
    <xf numFmtId="0" fontId="42" fillId="59" borderId="59" xfId="0" applyFont="1" applyFill="1" applyBorder="1" applyAlignment="1">
      <alignment horizontal="center" vertical="center"/>
    </xf>
    <xf numFmtId="164" fontId="42" fillId="59" borderId="61" xfId="4" applyNumberFormat="1" applyFont="1" applyFill="1" applyBorder="1" applyAlignment="1">
      <alignment horizontal="center" vertical="center"/>
    </xf>
    <xf numFmtId="164" fontId="42" fillId="59" borderId="59" xfId="4" applyNumberFormat="1" applyFont="1" applyFill="1" applyBorder="1" applyAlignment="1">
      <alignment horizontal="center" vertical="center"/>
    </xf>
    <xf numFmtId="0" fontId="94" fillId="0" borderId="137" xfId="0" applyFont="1" applyBorder="1" applyAlignment="1">
      <alignment horizontal="left" vertical="center"/>
    </xf>
    <xf numFmtId="0" fontId="94" fillId="0" borderId="22" xfId="0" applyFont="1" applyBorder="1" applyAlignment="1">
      <alignment horizontal="left" vertical="center"/>
    </xf>
    <xf numFmtId="0" fontId="1" fillId="0" borderId="152" xfId="0" applyFont="1" applyFill="1" applyBorder="1" applyAlignment="1">
      <alignment horizontal="left" vertical="center"/>
    </xf>
    <xf numFmtId="0" fontId="1" fillId="0" borderId="148" xfId="4" applyNumberFormat="1" applyFont="1" applyFill="1" applyBorder="1" applyAlignment="1">
      <alignment vertical="center"/>
    </xf>
    <xf numFmtId="164" fontId="1" fillId="0" borderId="148" xfId="4" applyNumberFormat="1" applyFont="1" applyFill="1" applyBorder="1" applyAlignment="1">
      <alignment vertical="center"/>
    </xf>
    <xf numFmtId="9" fontId="1" fillId="0" borderId="148" xfId="0" applyNumberFormat="1" applyFont="1" applyFill="1" applyBorder="1" applyAlignment="1">
      <alignment horizontal="center" vertical="center"/>
    </xf>
    <xf numFmtId="9" fontId="1" fillId="0" borderId="153" xfId="0" applyNumberFormat="1" applyFont="1" applyFill="1" applyBorder="1" applyAlignment="1">
      <alignment horizontal="center" vertical="center"/>
    </xf>
    <xf numFmtId="0" fontId="1" fillId="0" borderId="154" xfId="0" applyFont="1" applyFill="1" applyBorder="1" applyAlignment="1">
      <alignment horizontal="left" vertical="center"/>
    </xf>
    <xf numFmtId="0" fontId="1" fillId="0" borderId="155" xfId="4" applyNumberFormat="1" applyFont="1" applyFill="1" applyBorder="1" applyAlignment="1">
      <alignment vertical="center"/>
    </xf>
    <xf numFmtId="164" fontId="1" fillId="0" borderId="155" xfId="4" applyNumberFormat="1" applyFont="1" applyFill="1" applyBorder="1" applyAlignment="1">
      <alignment vertical="center"/>
    </xf>
    <xf numFmtId="9" fontId="1" fillId="0" borderId="155" xfId="0" applyNumberFormat="1" applyFont="1" applyFill="1" applyBorder="1" applyAlignment="1">
      <alignment horizontal="center" vertical="center"/>
    </xf>
    <xf numFmtId="9" fontId="1" fillId="0" borderId="156" xfId="0" applyNumberFormat="1" applyFont="1" applyFill="1" applyBorder="1" applyAlignment="1">
      <alignment horizontal="center" vertical="center"/>
    </xf>
    <xf numFmtId="0" fontId="45" fillId="31" borderId="21" xfId="0" applyFont="1" applyFill="1" applyBorder="1"/>
    <xf numFmtId="0" fontId="66" fillId="0" borderId="0" xfId="0" applyFont="1" applyFill="1" applyAlignment="1">
      <alignment horizontal="left" vertical="center" readingOrder="1"/>
    </xf>
    <xf numFmtId="0" fontId="71" fillId="0" borderId="0" xfId="0" applyFont="1" applyAlignment="1">
      <alignment wrapText="1"/>
    </xf>
    <xf numFmtId="164" fontId="0" fillId="42" borderId="22" xfId="4" applyNumberFormat="1" applyFont="1" applyFill="1" applyBorder="1" applyAlignment="1">
      <alignment vertical="center" wrapText="1"/>
    </xf>
    <xf numFmtId="164" fontId="76" fillId="36" borderId="22" xfId="4" applyNumberFormat="1" applyFont="1" applyFill="1" applyBorder="1" applyAlignment="1">
      <alignment horizontal="right" vertical="center" wrapText="1"/>
    </xf>
    <xf numFmtId="164" fontId="76" fillId="8" borderId="22" xfId="4" applyNumberFormat="1" applyFont="1" applyFill="1" applyBorder="1" applyAlignment="1">
      <alignment horizontal="right" vertical="center" wrapText="1"/>
    </xf>
    <xf numFmtId="164" fontId="76" fillId="14" borderId="22" xfId="4" applyNumberFormat="1" applyFont="1" applyFill="1" applyBorder="1" applyAlignment="1">
      <alignment horizontal="right" vertical="center" wrapText="1"/>
    </xf>
    <xf numFmtId="0" fontId="189" fillId="0" borderId="0" xfId="0" pivotButton="1" applyFont="1"/>
    <xf numFmtId="0" fontId="189" fillId="0" borderId="0" xfId="0" applyFont="1"/>
    <xf numFmtId="0" fontId="189" fillId="0" borderId="0" xfId="0" pivotButton="1" applyFont="1" applyAlignment="1">
      <alignment wrapText="1"/>
    </xf>
    <xf numFmtId="0" fontId="189" fillId="0" borderId="0" xfId="0" applyFont="1" applyAlignment="1">
      <alignment wrapText="1"/>
    </xf>
    <xf numFmtId="0" fontId="189" fillId="0" borderId="0" xfId="0" applyFont="1" applyAlignment="1">
      <alignment horizontal="left"/>
    </xf>
    <xf numFmtId="0" fontId="189" fillId="0" borderId="0" xfId="0" applyNumberFormat="1" applyFont="1"/>
    <xf numFmtId="164" fontId="189" fillId="0" borderId="0" xfId="0" applyNumberFormat="1" applyFont="1"/>
    <xf numFmtId="9" fontId="189" fillId="0" borderId="0" xfId="0" applyNumberFormat="1" applyFont="1"/>
    <xf numFmtId="0" fontId="190" fillId="29" borderId="0" xfId="0" applyFont="1" applyFill="1"/>
    <xf numFmtId="166" fontId="49" fillId="15" borderId="5" xfId="8" applyFont="1" applyFill="1" applyBorder="1" applyAlignment="1">
      <alignment horizontal="center" vertical="center"/>
    </xf>
    <xf numFmtId="166" fontId="49" fillId="15" borderId="6" xfId="8" applyFont="1" applyFill="1" applyBorder="1" applyAlignment="1">
      <alignment horizontal="center" vertical="center"/>
    </xf>
    <xf numFmtId="166" fontId="49" fillId="15" borderId="7" xfId="8" applyFont="1" applyFill="1" applyBorder="1" applyAlignment="1">
      <alignment horizontal="center" vertical="center"/>
    </xf>
    <xf numFmtId="166" fontId="26" fillId="20" borderId="0" xfId="8" applyFont="1" applyFill="1" applyBorder="1" applyAlignment="1">
      <alignment horizontal="left" wrapText="1"/>
    </xf>
    <xf numFmtId="166" fontId="33" fillId="20" borderId="0" xfId="8" applyFill="1" applyBorder="1" applyAlignment="1">
      <alignment horizontal="left" wrapText="1"/>
    </xf>
    <xf numFmtId="166" fontId="33" fillId="20" borderId="9" xfId="8" applyFill="1" applyBorder="1" applyAlignment="1">
      <alignment horizontal="left" wrapText="1"/>
    </xf>
    <xf numFmtId="0" fontId="48" fillId="0" borderId="140" xfId="0" applyFont="1" applyBorder="1" applyAlignment="1">
      <alignment horizontal="center" vertical="center" wrapText="1"/>
    </xf>
    <xf numFmtId="0" fontId="48" fillId="0" borderId="0" xfId="0" applyFont="1" applyAlignment="1">
      <alignment horizontal="center" vertical="center" wrapText="1"/>
    </xf>
    <xf numFmtId="0" fontId="47" fillId="5" borderId="79" xfId="0" applyFont="1" applyFill="1" applyBorder="1" applyAlignment="1">
      <alignment horizontal="center" vertical="center" wrapText="1"/>
    </xf>
    <xf numFmtId="0" fontId="47" fillId="5" borderId="74" xfId="0" applyFont="1" applyFill="1" applyBorder="1" applyAlignment="1">
      <alignment horizontal="center" vertical="center" wrapText="1"/>
    </xf>
    <xf numFmtId="0" fontId="47" fillId="5" borderId="72" xfId="0" applyFont="1" applyFill="1" applyBorder="1" applyAlignment="1">
      <alignment horizontal="center" vertical="center" wrapText="1"/>
    </xf>
    <xf numFmtId="0" fontId="47" fillId="5" borderId="75" xfId="0" applyFont="1" applyFill="1" applyBorder="1" applyAlignment="1">
      <alignment horizontal="center" vertical="center" wrapText="1"/>
    </xf>
    <xf numFmtId="0" fontId="47" fillId="8" borderId="73" xfId="0" applyFont="1" applyFill="1" applyBorder="1" applyAlignment="1">
      <alignment horizontal="center" vertical="center" wrapText="1"/>
    </xf>
    <xf numFmtId="0" fontId="47" fillId="8" borderId="79" xfId="0" applyFont="1" applyFill="1" applyBorder="1" applyAlignment="1">
      <alignment horizontal="center" vertical="center" wrapText="1"/>
    </xf>
    <xf numFmtId="0" fontId="47" fillId="8" borderId="85" xfId="0" applyFont="1" applyFill="1" applyBorder="1" applyAlignment="1">
      <alignment horizontal="center" vertical="center" wrapText="1"/>
    </xf>
    <xf numFmtId="0" fontId="47" fillId="8" borderId="86" xfId="0" applyFont="1" applyFill="1" applyBorder="1" applyAlignment="1">
      <alignment horizontal="center" vertical="center" wrapText="1"/>
    </xf>
    <xf numFmtId="0" fontId="47" fillId="8" borderId="87" xfId="0" applyFont="1" applyFill="1" applyBorder="1" applyAlignment="1">
      <alignment horizontal="center" vertical="center" wrapText="1"/>
    </xf>
    <xf numFmtId="0" fontId="47" fillId="8" borderId="88" xfId="0" applyFont="1" applyFill="1" applyBorder="1" applyAlignment="1">
      <alignment horizontal="center" vertical="center" wrapText="1"/>
    </xf>
    <xf numFmtId="0" fontId="47" fillId="5" borderId="85" xfId="0" applyFont="1" applyFill="1" applyBorder="1" applyAlignment="1">
      <alignment horizontal="center" vertical="center"/>
    </xf>
    <xf numFmtId="0" fontId="47" fillId="5" borderId="91" xfId="0" applyFont="1" applyFill="1" applyBorder="1" applyAlignment="1">
      <alignment horizontal="center" vertical="center"/>
    </xf>
    <xf numFmtId="0" fontId="47" fillId="5" borderId="87" xfId="0" applyFont="1" applyFill="1" applyBorder="1" applyAlignment="1">
      <alignment horizontal="center" vertical="center"/>
    </xf>
    <xf numFmtId="0" fontId="47" fillId="5" borderId="92" xfId="0" applyFont="1" applyFill="1" applyBorder="1" applyAlignment="1">
      <alignment horizontal="center" vertical="center"/>
    </xf>
    <xf numFmtId="0" fontId="47" fillId="5" borderId="89" xfId="0" applyFont="1" applyFill="1" applyBorder="1" applyAlignment="1">
      <alignment horizontal="center" vertical="center"/>
    </xf>
    <xf numFmtId="0" fontId="47" fillId="5" borderId="90" xfId="0" applyFont="1" applyFill="1" applyBorder="1" applyAlignment="1">
      <alignment horizontal="center" vertical="center"/>
    </xf>
    <xf numFmtId="0" fontId="47" fillId="8" borderId="72" xfId="0" applyFont="1" applyFill="1" applyBorder="1" applyAlignment="1">
      <alignment horizontal="center" vertical="center" wrapText="1"/>
    </xf>
    <xf numFmtId="0" fontId="47" fillId="5" borderId="85" xfId="0" applyFont="1" applyFill="1" applyBorder="1" applyAlignment="1">
      <alignment horizontal="center" vertical="center" wrapText="1"/>
    </xf>
    <xf numFmtId="0" fontId="47" fillId="5" borderId="86" xfId="0" applyFont="1" applyFill="1" applyBorder="1" applyAlignment="1">
      <alignment horizontal="center" vertical="center" wrapText="1"/>
    </xf>
    <xf numFmtId="0" fontId="47" fillId="5" borderId="87" xfId="0" applyFont="1" applyFill="1" applyBorder="1" applyAlignment="1">
      <alignment horizontal="center" vertical="center" wrapText="1"/>
    </xf>
    <xf numFmtId="0" fontId="47" fillId="5" borderId="88" xfId="0" applyFont="1" applyFill="1" applyBorder="1" applyAlignment="1">
      <alignment horizontal="center" vertical="center" wrapText="1"/>
    </xf>
    <xf numFmtId="0" fontId="36" fillId="44" borderId="67" xfId="21" applyNumberFormat="1" applyFont="1" applyFill="1" applyBorder="1" applyAlignment="1">
      <alignment horizontal="center" vertical="center"/>
    </xf>
    <xf numFmtId="0" fontId="36" fillId="44" borderId="64" xfId="21" applyNumberFormat="1" applyFont="1" applyFill="1" applyBorder="1" applyAlignment="1">
      <alignment horizontal="center" vertical="center"/>
    </xf>
    <xf numFmtId="0" fontId="47" fillId="5" borderId="74" xfId="0" applyFont="1" applyFill="1" applyBorder="1" applyAlignment="1">
      <alignment horizontal="center" vertical="center"/>
    </xf>
    <xf numFmtId="0" fontId="47" fillId="5" borderId="72" xfId="0" applyFont="1" applyFill="1" applyBorder="1" applyAlignment="1">
      <alignment horizontal="center" vertical="center"/>
    </xf>
    <xf numFmtId="0" fontId="47" fillId="5" borderId="75" xfId="0" applyFont="1" applyFill="1" applyBorder="1" applyAlignment="1">
      <alignment horizontal="center" vertical="center"/>
    </xf>
    <xf numFmtId="0" fontId="47" fillId="5" borderId="73" xfId="0" applyFont="1" applyFill="1" applyBorder="1" applyAlignment="1">
      <alignment horizontal="center" vertical="center"/>
    </xf>
    <xf numFmtId="0" fontId="47" fillId="5" borderId="80" xfId="0" applyFont="1" applyFill="1" applyBorder="1" applyAlignment="1">
      <alignment horizontal="center" vertical="center" wrapText="1"/>
    </xf>
    <xf numFmtId="0" fontId="47" fillId="5" borderId="81" xfId="0" applyFont="1" applyFill="1" applyBorder="1" applyAlignment="1">
      <alignment horizontal="center" vertical="center" wrapText="1"/>
    </xf>
    <xf numFmtId="0" fontId="47" fillId="5" borderId="82" xfId="0" applyFont="1" applyFill="1" applyBorder="1" applyAlignment="1">
      <alignment horizontal="center" vertical="center" wrapText="1"/>
    </xf>
    <xf numFmtId="0" fontId="47" fillId="5" borderId="83" xfId="0" applyFont="1" applyFill="1" applyBorder="1" applyAlignment="1">
      <alignment horizontal="center" vertical="center" wrapText="1"/>
    </xf>
    <xf numFmtId="9" fontId="122" fillId="16" borderId="109" xfId="18" applyNumberFormat="1" applyFont="1" applyFill="1" applyBorder="1" applyAlignment="1">
      <alignment horizontal="center" vertical="center" wrapText="1" readingOrder="1"/>
    </xf>
    <xf numFmtId="9" fontId="122" fillId="16" borderId="110" xfId="18" applyNumberFormat="1" applyFont="1" applyFill="1" applyBorder="1" applyAlignment="1">
      <alignment horizontal="center" vertical="center" wrapText="1" readingOrder="1"/>
    </xf>
    <xf numFmtId="9" fontId="122" fillId="16" borderId="111" xfId="18" applyNumberFormat="1" applyFont="1" applyFill="1" applyBorder="1" applyAlignment="1">
      <alignment horizontal="center" vertical="center" wrapText="1" readingOrder="1"/>
    </xf>
    <xf numFmtId="0" fontId="46" fillId="42" borderId="112" xfId="21" applyFont="1" applyFill="1" applyBorder="1" applyAlignment="1">
      <alignment horizontal="center" vertical="center" readingOrder="1"/>
    </xf>
    <xf numFmtId="0" fontId="46" fillId="42" borderId="0" xfId="21" applyFont="1" applyFill="1" applyAlignment="1">
      <alignment horizontal="center" vertical="center" readingOrder="1"/>
    </xf>
    <xf numFmtId="0" fontId="46" fillId="38" borderId="176" xfId="0" applyFont="1" applyFill="1" applyBorder="1" applyAlignment="1">
      <alignment horizontal="center" vertical="center" textRotation="90" wrapText="1"/>
    </xf>
    <xf numFmtId="0" fontId="46" fillId="42" borderId="108" xfId="21" applyFont="1" applyFill="1" applyBorder="1" applyAlignment="1">
      <alignment horizontal="center" vertical="center" textRotation="90" readingOrder="1"/>
    </xf>
    <xf numFmtId="0" fontId="46" fillId="42" borderId="0" xfId="21" applyFont="1" applyFill="1" applyAlignment="1">
      <alignment horizontal="center" vertical="center" textRotation="90" readingOrder="1"/>
    </xf>
    <xf numFmtId="0" fontId="117" fillId="0" borderId="0" xfId="18" applyFont="1" applyAlignment="1">
      <alignment horizontal="left" vertical="center"/>
    </xf>
    <xf numFmtId="0" fontId="46" fillId="2" borderId="63" xfId="21" applyFont="1" applyFill="1" applyBorder="1" applyAlignment="1">
      <alignment horizontal="center" vertical="center" textRotation="90" readingOrder="1"/>
    </xf>
    <xf numFmtId="0" fontId="46" fillId="2" borderId="107" xfId="21" applyFont="1" applyFill="1" applyBorder="1" applyAlignment="1">
      <alignment horizontal="center" vertical="center" textRotation="90" readingOrder="1"/>
    </xf>
    <xf numFmtId="0" fontId="46" fillId="2" borderId="65" xfId="21" applyFont="1" applyFill="1" applyBorder="1" applyAlignment="1">
      <alignment horizontal="center" vertical="center" textRotation="90" readingOrder="1"/>
    </xf>
    <xf numFmtId="0" fontId="46" fillId="14" borderId="63" xfId="21" applyFont="1" applyFill="1" applyBorder="1" applyAlignment="1">
      <alignment horizontal="center" vertical="center" textRotation="90" readingOrder="1"/>
    </xf>
    <xf numFmtId="0" fontId="46" fillId="14" borderId="107" xfId="21" applyFont="1" applyFill="1" applyBorder="1" applyAlignment="1">
      <alignment horizontal="center" vertical="center" textRotation="90" readingOrder="1"/>
    </xf>
    <xf numFmtId="0" fontId="46" fillId="14" borderId="65" xfId="21" applyFont="1" applyFill="1" applyBorder="1" applyAlignment="1">
      <alignment horizontal="center" vertical="center" textRotation="90" readingOrder="1"/>
    </xf>
    <xf numFmtId="0" fontId="46" fillId="38" borderId="63" xfId="21" applyFont="1" applyFill="1" applyBorder="1" applyAlignment="1">
      <alignment horizontal="center" vertical="center" textRotation="90" readingOrder="1"/>
    </xf>
    <xf numFmtId="0" fontId="46" fillId="38" borderId="107" xfId="21" applyFont="1" applyFill="1" applyBorder="1" applyAlignment="1">
      <alignment horizontal="center" vertical="center" textRotation="90" readingOrder="1"/>
    </xf>
    <xf numFmtId="0" fontId="46" fillId="38" borderId="65" xfId="21" applyFont="1" applyFill="1" applyBorder="1" applyAlignment="1">
      <alignment horizontal="center" vertical="center" textRotation="90" readingOrder="1"/>
    </xf>
    <xf numFmtId="0" fontId="46" fillId="9" borderId="63" xfId="21" applyFont="1" applyFill="1" applyBorder="1" applyAlignment="1">
      <alignment horizontal="center" vertical="center" textRotation="90" readingOrder="1"/>
    </xf>
    <xf numFmtId="0" fontId="46" fillId="9" borderId="107" xfId="21" applyFont="1" applyFill="1" applyBorder="1" applyAlignment="1">
      <alignment horizontal="center" vertical="center" textRotation="90" readingOrder="1"/>
    </xf>
    <xf numFmtId="0" fontId="46" fillId="9" borderId="65" xfId="21" applyFont="1" applyFill="1" applyBorder="1" applyAlignment="1">
      <alignment horizontal="center" vertical="center" textRotation="90" readingOrder="1"/>
    </xf>
    <xf numFmtId="0" fontId="46" fillId="16" borderId="63" xfId="21" applyFont="1" applyFill="1" applyBorder="1" applyAlignment="1">
      <alignment horizontal="center" vertical="center" textRotation="90" readingOrder="1"/>
    </xf>
    <xf numFmtId="0" fontId="46" fillId="16" borderId="107" xfId="21" applyFont="1" applyFill="1" applyBorder="1" applyAlignment="1">
      <alignment horizontal="center" vertical="center" textRotation="90" readingOrder="1"/>
    </xf>
    <xf numFmtId="0" fontId="46" fillId="16" borderId="65" xfId="21" applyFont="1" applyFill="1" applyBorder="1" applyAlignment="1">
      <alignment horizontal="center" vertical="center" textRotation="90" readingOrder="1"/>
    </xf>
    <xf numFmtId="0" fontId="46" fillId="38" borderId="178" xfId="0" applyFont="1" applyFill="1" applyBorder="1" applyAlignment="1">
      <alignment horizontal="center" vertical="center" textRotation="90" wrapText="1"/>
    </xf>
    <xf numFmtId="0" fontId="119" fillId="0" borderId="0" xfId="18" applyFont="1" applyAlignment="1">
      <alignment horizontal="left" vertical="center"/>
    </xf>
    <xf numFmtId="0" fontId="77" fillId="0" borderId="180" xfId="0" applyFont="1" applyBorder="1" applyAlignment="1">
      <alignment horizontal="center" vertical="center" wrapText="1"/>
    </xf>
    <xf numFmtId="0" fontId="77" fillId="0" borderId="181" xfId="0" applyFont="1" applyBorder="1" applyAlignment="1">
      <alignment horizontal="center" vertical="center" wrapText="1"/>
    </xf>
    <xf numFmtId="0" fontId="78" fillId="0" borderId="115" xfId="0" applyFont="1" applyBorder="1" applyAlignment="1">
      <alignment horizontal="center" vertical="center" wrapText="1"/>
    </xf>
    <xf numFmtId="0" fontId="78" fillId="0" borderId="116" xfId="0" applyFont="1" applyBorder="1" applyAlignment="1">
      <alignment horizontal="center" vertical="center" wrapText="1"/>
    </xf>
    <xf numFmtId="0" fontId="76" fillId="14" borderId="113" xfId="0" applyFont="1" applyFill="1" applyBorder="1" applyAlignment="1">
      <alignment horizontal="center" vertical="center" wrapText="1"/>
    </xf>
    <xf numFmtId="0" fontId="76" fillId="14" borderId="119" xfId="0" applyFont="1" applyFill="1" applyBorder="1" applyAlignment="1">
      <alignment horizontal="center" vertical="center" wrapText="1"/>
    </xf>
    <xf numFmtId="0" fontId="76" fillId="14" borderId="114" xfId="0" applyFont="1" applyFill="1" applyBorder="1" applyAlignment="1">
      <alignment horizontal="center" vertical="center" wrapText="1"/>
    </xf>
    <xf numFmtId="0" fontId="70" fillId="0" borderId="0" xfId="0" applyFont="1" applyBorder="1" applyAlignment="1">
      <alignment horizontal="center"/>
    </xf>
    <xf numFmtId="0" fontId="70" fillId="0" borderId="32" xfId="0" applyFont="1" applyBorder="1" applyAlignment="1">
      <alignment horizontal="center"/>
    </xf>
    <xf numFmtId="0" fontId="39" fillId="16" borderId="4" xfId="21" applyFont="1" applyFill="1" applyBorder="1" applyAlignment="1">
      <alignment horizontal="center" vertical="center" wrapText="1"/>
    </xf>
    <xf numFmtId="0" fontId="76" fillId="45" borderId="122" xfId="0" applyFont="1" applyFill="1" applyBorder="1" applyAlignment="1">
      <alignment horizontal="center" vertical="center" wrapText="1"/>
    </xf>
    <xf numFmtId="0" fontId="76" fillId="45" borderId="123" xfId="0" applyFont="1" applyFill="1" applyBorder="1" applyAlignment="1">
      <alignment horizontal="center" vertical="center" wrapText="1"/>
    </xf>
    <xf numFmtId="0" fontId="76" fillId="45" borderId="124" xfId="0" applyFont="1" applyFill="1" applyBorder="1" applyAlignment="1">
      <alignment horizontal="center" vertical="center" wrapText="1"/>
    </xf>
    <xf numFmtId="0" fontId="39" fillId="42" borderId="115" xfId="21" applyFont="1" applyFill="1" applyBorder="1" applyAlignment="1">
      <alignment horizontal="center" vertical="center" wrapText="1"/>
    </xf>
    <xf numFmtId="0" fontId="39" fillId="42" borderId="120" xfId="21" applyFont="1" applyFill="1" applyBorder="1" applyAlignment="1">
      <alignment horizontal="center" vertical="center" wrapText="1"/>
    </xf>
    <xf numFmtId="0" fontId="39" fillId="42" borderId="116" xfId="21" applyFont="1" applyFill="1" applyBorder="1" applyAlignment="1">
      <alignment horizontal="center" vertical="center" wrapText="1"/>
    </xf>
    <xf numFmtId="0" fontId="76" fillId="36" borderId="122" xfId="0" applyFont="1" applyFill="1" applyBorder="1" applyAlignment="1">
      <alignment horizontal="center" vertical="center" wrapText="1"/>
    </xf>
    <xf numFmtId="0" fontId="76" fillId="36" borderId="123" xfId="0" applyFont="1" applyFill="1" applyBorder="1" applyAlignment="1">
      <alignment horizontal="center" vertical="center" wrapText="1"/>
    </xf>
    <xf numFmtId="0" fontId="76" fillId="36" borderId="124" xfId="0" applyFont="1" applyFill="1" applyBorder="1" applyAlignment="1">
      <alignment horizontal="center" vertical="center" wrapText="1"/>
    </xf>
    <xf numFmtId="0" fontId="76" fillId="8" borderId="113" xfId="0" applyFont="1" applyFill="1" applyBorder="1" applyAlignment="1">
      <alignment horizontal="center" vertical="center" wrapText="1"/>
    </xf>
    <xf numFmtId="0" fontId="76" fillId="8" borderId="119" xfId="0" applyFont="1" applyFill="1" applyBorder="1" applyAlignment="1">
      <alignment horizontal="center" vertical="center" wrapText="1"/>
    </xf>
    <xf numFmtId="0" fontId="76" fillId="8" borderId="114" xfId="0" applyFont="1" applyFill="1" applyBorder="1" applyAlignment="1">
      <alignment horizontal="center" vertical="center" wrapText="1"/>
    </xf>
    <xf numFmtId="0" fontId="24" fillId="0" borderId="0" xfId="0" applyFont="1" applyAlignment="1">
      <alignment horizontal="center"/>
    </xf>
    <xf numFmtId="0" fontId="29" fillId="0" borderId="0" xfId="0" applyFont="1" applyAlignment="1">
      <alignment horizontal="center"/>
    </xf>
    <xf numFmtId="0" fontId="23" fillId="0" borderId="96" xfId="0" applyFont="1" applyBorder="1" applyAlignment="1">
      <alignment horizontal="center"/>
    </xf>
    <xf numFmtId="0" fontId="29" fillId="0" borderId="96" xfId="0" applyFont="1" applyBorder="1" applyAlignment="1">
      <alignment horizontal="center"/>
    </xf>
    <xf numFmtId="0" fontId="93" fillId="41" borderId="0" xfId="0" applyFont="1" applyFill="1" applyAlignment="1">
      <alignment horizontal="center" vertical="center"/>
    </xf>
    <xf numFmtId="0" fontId="81" fillId="26" borderId="0" xfId="0" applyFont="1" applyFill="1" applyAlignment="1">
      <alignment horizontal="center" vertical="center" wrapText="1"/>
    </xf>
    <xf numFmtId="164" fontId="80"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261">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numFmt numFmtId="1" formatCode="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b val="0"/>
        <strike val="0"/>
        <outline val="0"/>
        <shadow val="0"/>
        <u val="none"/>
        <vertAlign val="baseline"/>
        <sz val="11"/>
        <color auto="1"/>
        <name val="Calibri"/>
        <family val="2"/>
        <scheme val="minor"/>
      </font>
    </dxf>
    <dxf>
      <border>
        <bottom style="thin">
          <color theme="0" tint="-0.14996795556505021"/>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medium">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3" formatCode="0%"/>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font>
        <b val="0"/>
        <i val="0"/>
        <strike val="0"/>
        <condense val="0"/>
        <extend val="0"/>
        <outline val="0"/>
        <shadow val="0"/>
        <u val="none"/>
        <vertAlign val="baseline"/>
        <sz val="11"/>
        <color auto="1"/>
        <name val="Calibri"/>
        <family val="2"/>
        <scheme val="minor"/>
      </font>
      <numFmt numFmtId="164" formatCode="_(* #,##0_);_(* \(#,##0\);_(* &quot;-&quot;??_);_(@_)"/>
      <alignment horizontal="center" vertical="center" textRotation="0" wrapText="0" indent="0" justifyLastLine="0" shrinkToFit="0" readingOrder="0"/>
      <border diagonalUp="0" diagonalDown="0" outline="0">
        <left style="thin">
          <color theme="4"/>
        </left>
        <right style="thin">
          <color theme="4"/>
        </right>
        <top style="thin">
          <color theme="4"/>
        </top>
        <bottom style="double">
          <color theme="4"/>
        </bottom>
      </border>
    </dxf>
    <dxf>
      <alignment horizontal="center" vertical="center" textRotation="0" wrapText="0" indent="0" justifyLastLine="0" shrinkToFit="0" readingOrder="0"/>
    </dxf>
    <dxf>
      <alignment horizontal="center" vertical="center" textRotation="0" wrapText="0" indent="0" justifyLastLine="0" shrinkToFit="0" readingOrder="0"/>
    </dxf>
    <dxf>
      <border diagonalUp="0" diagonalDown="0">
        <left style="medium">
          <color theme="4"/>
        </left>
        <right style="medium">
          <color theme="4"/>
        </right>
        <top style="medium">
          <color theme="4"/>
        </top>
        <bottom style="medium">
          <color theme="4"/>
        </bottom>
      </border>
    </dxf>
    <dxf>
      <alignment horizontal="center" vertical="center" textRotation="0" wrapText="0" indent="0" justifyLastLine="0" shrinkToFit="0" readingOrder="0"/>
    </dxf>
    <dxf>
      <border outline="0">
        <bottom style="medium">
          <color theme="4"/>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bottom style="thin">
          <color rgb="FF0070C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border>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theme="4" tint="0.39997558519241921"/>
        </top>
      </border>
    </dxf>
    <dxf>
      <font>
        <b val="0"/>
        <family val="1"/>
      </font>
      <fill>
        <patternFill patternType="none">
          <fgColor indexed="64"/>
          <bgColor auto="1"/>
        </patternFill>
      </fill>
    </dxf>
    <dxf>
      <border outline="0">
        <bottom style="thin">
          <color theme="4" tint="0.39997558519241921"/>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numFmt numFmtId="0" formatCode="General"/>
    </dxf>
    <dxf>
      <numFmt numFmtId="0" formatCode="General"/>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60"/>
      <tableStyleElement type="headerRow" dxfId="1259"/>
    </tableStyle>
    <tableStyle name="4W Style" pivot="0" table="0" count="1" xr9:uid="{00000000-0011-0000-FFFF-FFFF01000000}">
      <tableStyleElement type="wholeTable" dxfId="1258"/>
    </tableStyle>
    <tableStyle name="CUSTOM" table="0" count="13" xr9:uid="{00000000-0011-0000-FFFF-FFFF02000000}">
      <tableStyleElement type="wholeTable" dxfId="1257"/>
      <tableStyleElement type="headerRow" dxfId="1256"/>
      <tableStyleElement type="totalRow" dxfId="1255"/>
      <tableStyleElement type="firstColumn" dxfId="1254"/>
      <tableStyleElement type="firstRowStripe" dxfId="1253"/>
      <tableStyleElement type="secondRowStripe" dxfId="1252"/>
      <tableStyleElement type="firstColumnStripe" dxfId="1251"/>
      <tableStyleElement type="firstSubtotalRow" dxfId="1250"/>
      <tableStyleElement type="secondSubtotalRow" dxfId="1249"/>
      <tableStyleElement type="secondColumnSubheading" dxfId="1248"/>
      <tableStyleElement type="thirdColumnSubheading" dxfId="1247"/>
      <tableStyleElement type="firstRowSubheading" dxfId="1246"/>
      <tableStyleElement type="secondRowSubheading" dxfId="1245"/>
    </tableStyle>
    <tableStyle name="PivotStyleLight10 2" table="0" count="12" xr9:uid="{00000000-0011-0000-FFFF-FFFF03000000}">
      <tableStyleElement type="wholeTable" dxfId="1244"/>
      <tableStyleElement type="headerRow" dxfId="1243"/>
      <tableStyleElement type="totalRow" dxfId="1242"/>
      <tableStyleElement type="firstColumn" dxfId="1241"/>
      <tableStyleElement type="firstRowStripe" dxfId="1240"/>
      <tableStyleElement type="firstColumnStripe" dxfId="1239"/>
      <tableStyleElement type="firstSubtotalRow" dxfId="1238"/>
      <tableStyleElement type="secondSubtotalRow" dxfId="1237"/>
      <tableStyleElement type="secondColumnSubheading" dxfId="1236"/>
      <tableStyleElement type="thirdColumnSubheading" dxfId="1235"/>
      <tableStyleElement type="firstRowSubheading" dxfId="1234"/>
      <tableStyleElement type="secondRowSubheading" dxfId="1233"/>
    </tableStyle>
    <tableStyle name="PivotStyleLight14 2" table="0" count="12" xr9:uid="{00000000-0011-0000-FFFF-FFFF04000000}">
      <tableStyleElement type="wholeTable" dxfId="1232"/>
      <tableStyleElement type="headerRow" dxfId="1231"/>
      <tableStyleElement type="totalRow" dxfId="1230"/>
      <tableStyleElement type="firstColumn" dxfId="1229"/>
      <tableStyleElement type="firstRowStripe" dxfId="1228"/>
      <tableStyleElement type="firstColumnStripe" dxfId="1227"/>
      <tableStyleElement type="firstSubtotalRow" dxfId="1226"/>
      <tableStyleElement type="secondSubtotalRow" dxfId="1225"/>
      <tableStyleElement type="secondColumnSubheading" dxfId="1224"/>
      <tableStyleElement type="thirdColumnSubheading" dxfId="1223"/>
      <tableStyleElement type="firstRowSubheading" dxfId="1222"/>
      <tableStyleElement type="secondRowSubheading" dxfId="1221"/>
    </tableStyle>
    <tableStyle name="PivotStyleLight23 2" table="0" count="10" xr9:uid="{00000000-0011-0000-FFFF-FFFF05000000}">
      <tableStyleElement type="wholeTable" dxfId="1220"/>
      <tableStyleElement type="headerRow" dxfId="1219"/>
      <tableStyleElement type="totalRow" dxfId="1218"/>
      <tableStyleElement type="firstColumn" dxfId="1217"/>
      <tableStyleElement type="firstRowStripe" dxfId="1216"/>
      <tableStyleElement type="firstColumnStripe" dxfId="1215"/>
      <tableStyleElement type="firstSubtotalColumn" dxfId="1214"/>
      <tableStyleElement type="firstSubtotalRow" dxfId="1213"/>
      <tableStyleElement type="secondSubtotalRow" dxfId="1212"/>
      <tableStyleElement type="pageFieldLabels" dxfId="1211"/>
    </tableStyle>
    <tableStyle name="PivotStyleLight9 2" table="0" count="13" xr9:uid="{00000000-0011-0000-FFFF-FFFF06000000}">
      <tableStyleElement type="wholeTable" dxfId="1210"/>
      <tableStyleElement type="headerRow" dxfId="1209"/>
      <tableStyleElement type="totalRow" dxfId="1208"/>
      <tableStyleElement type="firstColumn" dxfId="1207"/>
      <tableStyleElement type="firstRowStripe" dxfId="1206"/>
      <tableStyleElement type="secondRowStripe" dxfId="1205"/>
      <tableStyleElement type="firstColumnStripe" dxfId="1204"/>
      <tableStyleElement type="firstSubtotalRow" dxfId="1203"/>
      <tableStyleElement type="secondSubtotalRow" dxfId="1202"/>
      <tableStyleElement type="secondColumnSubheading" dxfId="1201"/>
      <tableStyleElement type="thirdColumnSubheading" dxfId="1200"/>
      <tableStyleElement type="firstRowSubheading" dxfId="1199"/>
      <tableStyleElement type="secondRowSubheading" dxfId="1198"/>
    </tableStyle>
    <tableStyle name="PivotTable Style 1" table="0" count="1" xr9:uid="{00000000-0011-0000-FFFF-FFFF07000000}">
      <tableStyleElement type="wholeTable" dxfId="1197"/>
    </tableStyle>
    <tableStyle name="PivotTable Style a" table="0" count="7" xr9:uid="{00000000-0011-0000-FFFF-FFFF08000000}">
      <tableStyleElement type="wholeTable" dxfId="1196"/>
      <tableStyleElement type="headerRow" dxfId="1195"/>
      <tableStyleElement type="totalRow" dxfId="1194"/>
      <tableStyleElement type="firstColumn" dxfId="1193"/>
      <tableStyleElement type="secondSubtotalRow" dxfId="1192"/>
      <tableStyleElement type="firstRowSubheading" dxfId="1191"/>
      <tableStyleElement type="secondRowSubheading" dxfId="1190"/>
    </tableStyle>
    <tableStyle name="Slicer Style 1" pivot="0" table="0" count="5" xr9:uid="{00000000-0011-0000-FFFF-FFFF09000000}">
      <tableStyleElement type="wholeTable" dxfId="1189"/>
    </tableStyle>
  </tableStyles>
  <colors>
    <mruColors>
      <color rgb="FFBF9000"/>
      <color rgb="FFFFFF00"/>
      <color rgb="FF7F6000"/>
      <color rgb="FF000000"/>
      <color rgb="FFFF898C"/>
      <color rgb="FFF7FECE"/>
      <color rgb="FF85C2FF"/>
      <color rgb="FF44546A"/>
      <color rgb="FFD4E8C6"/>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microsoft.com/office/2007/relationships/slicerCache" Target="slicerCaches/slicerCache7.xml"/><Relationship Id="rId21" Type="http://schemas.openxmlformats.org/officeDocument/2006/relationships/externalLink" Target="externalLinks/externalLink1.xml"/><Relationship Id="rId34" Type="http://schemas.microsoft.com/office/2007/relationships/slicerCache" Target="slicerCaches/slicerCache2.xml"/><Relationship Id="rId42" Type="http://schemas.microsoft.com/office/2007/relationships/slicerCache" Target="slicerCaches/slicerCache10.xml"/><Relationship Id="rId47" Type="http://schemas.microsoft.com/office/2007/relationships/slicerCache" Target="slicerCaches/slicerCache15.xml"/><Relationship Id="rId50" Type="http://schemas.openxmlformats.org/officeDocument/2006/relationships/connections" Target="connections.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3.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6.xml"/><Relationship Id="rId37" Type="http://schemas.microsoft.com/office/2007/relationships/slicerCache" Target="slicerCaches/slicerCache5.xml"/><Relationship Id="rId40" Type="http://schemas.microsoft.com/office/2007/relationships/slicerCache" Target="slicerCaches/slicerCache8.xml"/><Relationship Id="rId45" Type="http://schemas.microsoft.com/office/2007/relationships/slicerCache" Target="slicerCaches/slicerCache13.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4" Type="http://schemas.microsoft.com/office/2007/relationships/slicerCache" Target="slicerCaches/slicerCache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3.xml"/><Relationship Id="rId43" Type="http://schemas.microsoft.com/office/2007/relationships/slicerCache" Target="slicerCaches/slicerCache11.xml"/><Relationship Id="rId48" Type="http://schemas.microsoft.com/office/2007/relationships/slicerCache" Target="slicerCaches/slicerCache1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microsoft.com/office/2007/relationships/slicerCache" Target="slicerCaches/slicerCache1.xml"/><Relationship Id="rId38" Type="http://schemas.microsoft.com/office/2007/relationships/slicerCache" Target="slicerCaches/slicerCache6.xml"/><Relationship Id="rId46" Type="http://schemas.microsoft.com/office/2007/relationships/slicerCache" Target="slicerCaches/slicerCache14.xml"/><Relationship Id="rId20" Type="http://schemas.openxmlformats.org/officeDocument/2006/relationships/worksheet" Target="worksheets/sheet20.xml"/><Relationship Id="rId41" Type="http://schemas.microsoft.com/office/2007/relationships/slicerCache" Target="slicerCaches/slicerCache9.xml"/><Relationship Id="rId54"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pivotCacheDefinition" Target="pivotCache/pivotCacheDefinition2.xml"/><Relationship Id="rId36" Type="http://schemas.microsoft.com/office/2007/relationships/slicerCache" Target="slicerCaches/slicerCache4.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2022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HRP!$E$172:$E$177</c:f>
              <c:numCache>
                <c:formatCode>_(* #,##0_);_(* \(#,##0\);_(* "-"??_);_(@_)</c:formatCode>
                <c:ptCount val="6"/>
                <c:pt idx="0">
                  <c:v>4493</c:v>
                </c:pt>
                <c:pt idx="1">
                  <c:v>28603</c:v>
                </c:pt>
                <c:pt idx="2">
                  <c:v>4004</c:v>
                </c:pt>
                <c:pt idx="3">
                  <c:v>487585.77402674593</c:v>
                </c:pt>
                <c:pt idx="4">
                  <c:v>293268</c:v>
                </c:pt>
                <c:pt idx="5">
                  <c:v>423315.38518518524</c:v>
                </c:pt>
              </c:numCache>
            </c:numRef>
          </c:val>
          <c:extLst>
            <c:ext xmlns:c16="http://schemas.microsoft.com/office/drawing/2014/chart" uri="{C3380CC4-5D6E-409C-BE32-E72D297353CC}">
              <c16:uniqueId val="{00000001-CAD5-4496-BE8A-D440D686860E}"/>
            </c:ext>
          </c:extLst>
        </c:ser>
        <c:ser>
          <c:idx val="1"/>
          <c:order val="1"/>
          <c:tx>
            <c:strRef>
              <c:f>HRP!$F$171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HRP!$C$172:$C$177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HRP!$F$172:$F$177</c:f>
              <c:numCache>
                <c:formatCode>_(* #,##0_);_(* \(#,##0\);_(* "-"??_);_(@_)</c:formatCode>
                <c:ptCount val="6"/>
                <c:pt idx="0">
                  <c:v>11949.099999999999</c:v>
                </c:pt>
                <c:pt idx="2">
                  <c:v>67245.100000000006</c:v>
                </c:pt>
                <c:pt idx="3">
                  <c:v>60484.22597325407</c:v>
                </c:pt>
                <c:pt idx="4">
                  <c:v>254802</c:v>
                </c:pt>
                <c:pt idx="5">
                  <c:v>124754.61481481476</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1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1166.8</c:v>
                </c:pt>
                <c:pt idx="1">
                  <c:v>1181</c:v>
                </c:pt>
                <c:pt idx="2" formatCode="General">
                  <c:v>210</c:v>
                </c:pt>
              </c:numCache>
            </c:numRef>
          </c:val>
          <c:extLst>
            <c:ext xmlns:c16="http://schemas.microsoft.com/office/drawing/2014/chart" uri="{C3380CC4-5D6E-409C-BE32-E72D297353CC}">
              <c16:uniqueId val="{00000000-CBDF-46C4-8398-2F2620566A1B}"/>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993.2</c:v>
                </c:pt>
                <c:pt idx="1">
                  <c:v>979</c:v>
                </c:pt>
                <c:pt idx="2" formatCode="General">
                  <c:v>1950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104</c:v>
                </c:pt>
                <c:pt idx="1">
                  <c:v>11</c:v>
                </c:pt>
                <c:pt idx="2">
                  <c:v>9</c:v>
                </c:pt>
                <c:pt idx="3">
                  <c:v>6</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Analysis!$C$162:$F$162</c:f>
              <c:numCache>
                <c:formatCode>General</c:formatCode>
                <c:ptCount val="4"/>
                <c:pt idx="0">
                  <c:v>14</c:v>
                </c:pt>
                <c:pt idx="1">
                  <c:v>14</c:v>
                </c:pt>
                <c:pt idx="2">
                  <c:v>4</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Analysis!$C$176:$E$176</c:f>
              <c:numCache>
                <c:formatCode>General</c:formatCode>
                <c:ptCount val="3"/>
                <c:pt idx="0">
                  <c:v>8</c:v>
                </c:pt>
                <c:pt idx="1">
                  <c:v>7</c:v>
                </c:pt>
                <c:pt idx="2">
                  <c:v>115</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Analysis!$C$178:$E$178</c:f>
              <c:numCache>
                <c:formatCode>General</c:formatCode>
                <c:ptCount val="3"/>
                <c:pt idx="0">
                  <c:v>14</c:v>
                </c:pt>
                <c:pt idx="1">
                  <c:v>6</c:v>
                </c:pt>
                <c:pt idx="2">
                  <c:v>18</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[20220721_Myanmar_WASH_4W_2022_Q2_KachinShan_camp_Consolidate with MIAG_f.xlsx]Analysis!K_water1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46799</c:v>
                </c:pt>
                <c:pt idx="1">
                  <c:v>17187.666666666668</c:v>
                </c:pt>
              </c:numCache>
            </c:numRef>
          </c:val>
          <c:extLst>
            <c:ext xmlns:c16="http://schemas.microsoft.com/office/drawing/2014/chart" uri="{C3380CC4-5D6E-409C-BE32-E72D297353CC}">
              <c16:uniqueId val="{00000001-96F2-476D-807A-787E9E02E9E8}"/>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14257.000000000002</c:v>
                </c:pt>
                <c:pt idx="1">
                  <c:v>28900.333333333336</c:v>
                </c:pt>
              </c:numCache>
            </c:numRef>
          </c:val>
          <c:extLst>
            <c:ext xmlns:c16="http://schemas.microsoft.com/office/drawing/2014/chart" uri="{C3380CC4-5D6E-409C-BE32-E72D297353CC}">
              <c16:uniqueId val="{00000002-96F2-476D-807A-787E9E02E9E8}"/>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[20220721_Myanmar_WASH_4W_2022_Q2_KachinShan_camp_Consolidate with MIAG_f.xlsx]Analysis!S_water1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9688.3333333333321</c:v>
                </c:pt>
              </c:numCache>
            </c:numRef>
          </c:val>
          <c:extLst>
            <c:ext xmlns:c16="http://schemas.microsoft.com/office/drawing/2014/chart" uri="{C3380CC4-5D6E-409C-BE32-E72D297353CC}">
              <c16:uniqueId val="{00000001-2E08-4A40-8F14-1AD23D01CF82}"/>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680.66666666666663</c:v>
                </c:pt>
              </c:numCache>
            </c:numRef>
          </c:val>
          <c:extLst>
            <c:ext xmlns:c16="http://schemas.microsoft.com/office/drawing/2014/chart" uri="{C3380CC4-5D6E-409C-BE32-E72D297353CC}">
              <c16:uniqueId val="{00000002-2E08-4A40-8F14-1AD23D01CF82}"/>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12474.2</c:v>
                </c:pt>
                <c:pt idx="1">
                  <c:v>9689</c:v>
                </c:pt>
              </c:numCache>
            </c:numRef>
          </c:val>
          <c:extLst>
            <c:ext xmlns:c16="http://schemas.microsoft.com/office/drawing/2014/chart" uri="{C3380CC4-5D6E-409C-BE32-E72D297353CC}">
              <c16:uniqueId val="{00000000-8A12-41BD-89DE-DD9C030FDA43}"/>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8276</c:v>
                </c:pt>
                <c:pt idx="1">
                  <c:v>11061.2</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Analysis!$B$131</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Analysis!$C$131:$D$131</c:f>
              <c:numCache>
                <c:formatCode>_(* #,##0_);_(* \(#,##0\);_(* "-"??_);_(@_)</c:formatCode>
                <c:ptCount val="2"/>
                <c:pt idx="0">
                  <c:v>2344</c:v>
                </c:pt>
                <c:pt idx="1">
                  <c:v>3662</c:v>
                </c:pt>
              </c:numCache>
            </c:numRef>
          </c:val>
          <c:extLst>
            <c:ext xmlns:c16="http://schemas.microsoft.com/office/drawing/2014/chart" uri="{C3380CC4-5D6E-409C-BE32-E72D297353CC}">
              <c16:uniqueId val="{00000000-11DD-45FB-9A7E-843D5E549A65}"/>
            </c:ext>
          </c:extLst>
        </c:ser>
        <c:ser>
          <c:idx val="1"/>
          <c:order val="1"/>
          <c:tx>
            <c:strRef>
              <c:f>Analysis!$B$132</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Analysis!$C$132:$D$132</c:f>
              <c:numCache>
                <c:formatCode>_(* #,##0_);_(* \(#,##0\);_(* "-"??_);_(@_)</c:formatCode>
                <c:ptCount val="2"/>
                <c:pt idx="0">
                  <c:v>710</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660</c:v>
                </c:pt>
                <c:pt idx="1">
                  <c:v>1055</c:v>
                </c:pt>
              </c:numCache>
            </c:numRef>
          </c:val>
          <c:extLst>
            <c:ext xmlns:c16="http://schemas.microsoft.com/office/drawing/2014/chart" uri="{C3380CC4-5D6E-409C-BE32-E72D297353CC}">
              <c16:uniqueId val="{00000000-EDB8-4005-B0CC-AA882CBF326D}"/>
            </c:ext>
          </c:extLst>
        </c:ser>
        <c:ser>
          <c:idx val="3"/>
          <c:order val="3"/>
          <c:tx>
            <c:strRef>
              <c:f>Analysis!$B$134</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2394</c:v>
                </c:pt>
                <c:pt idx="1">
                  <c:v>2607</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2344</c:v>
                      </c:pt>
                      <c:pt idx="1">
                        <c:v>3662</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710</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2022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3893</c:v>
                </c:pt>
                <c:pt idx="1">
                  <c:v>18980</c:v>
                </c:pt>
                <c:pt idx="2">
                  <c:v>1365</c:v>
                </c:pt>
                <c:pt idx="3">
                  <c:v>88275</c:v>
                </c:pt>
                <c:pt idx="4">
                  <c:v>82853</c:v>
                </c:pt>
                <c:pt idx="5">
                  <c:v>78619.051851851851</c:v>
                </c:pt>
              </c:numCache>
            </c:numRef>
          </c:val>
          <c:extLst>
            <c:ext xmlns:c16="http://schemas.microsoft.com/office/drawing/2014/chart" uri="{C3380CC4-5D6E-409C-BE32-E72D297353CC}">
              <c16:uniqueId val="{00000008-E8A8-4037-987C-1EFA4CA8A785}"/>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2">
                  <c:v>14334.894428130017</c:v>
                </c:pt>
                <c:pt idx="3">
                  <c:v>37763.34428130016</c:v>
                </c:pt>
                <c:pt idx="4">
                  <c:v>24916.268856260038</c:v>
                </c:pt>
                <c:pt idx="5">
                  <c:v>42852.023573188271</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Analysis!$B$135</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51</c:v>
                </c:pt>
                <c:pt idx="1">
                  <c:v>39</c:v>
                </c:pt>
              </c:numCache>
            </c:numRef>
          </c:val>
          <c:extLst>
            <c:ext xmlns:c16="http://schemas.microsoft.com/office/drawing/2014/chart" uri="{C3380CC4-5D6E-409C-BE32-E72D297353CC}">
              <c16:uniqueId val="{00000000-177F-4830-A166-C2511012B919}"/>
            </c:ext>
          </c:extLst>
        </c:ser>
        <c:ser>
          <c:idx val="1"/>
          <c:order val="1"/>
          <c:tx>
            <c:strRef>
              <c:f>Analysis!$B$136</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595</c:v>
                </c:pt>
                <c:pt idx="1">
                  <c:v>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6006</c:v>
                </c:pt>
                <c:pt idx="1">
                  <c:v>204</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Analysis!$J$131</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Analysis!$K$131:$L$131</c15:sqref>
                  </c15:fullRef>
                </c:ext>
              </c:extLst>
              <c:f>Analysis!$K$131</c:f>
              <c:numCache>
                <c:formatCode>General</c:formatCode>
                <c:ptCount val="1"/>
                <c:pt idx="0" formatCode="_(* #,##0_);_(* \(#,##0\);_(* &quot;-&quot;??_);_(@_)">
                  <c:v>1032</c:v>
                </c:pt>
              </c:numCache>
            </c:numRef>
          </c:val>
          <c:extLst>
            <c:ext xmlns:c16="http://schemas.microsoft.com/office/drawing/2014/chart" uri="{C3380CC4-5D6E-409C-BE32-E72D297353CC}">
              <c16:uniqueId val="{00000000-5769-47EB-833D-C7F3A5603476}"/>
            </c:ext>
          </c:extLst>
        </c:ser>
        <c:ser>
          <c:idx val="1"/>
          <c:order val="1"/>
          <c:tx>
            <c:strRef>
              <c:f>Analysis!$J$132</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Analysis!$K$132:$L$132</c15:sqref>
                  </c15:fullRef>
                </c:ext>
              </c:extLst>
              <c:f>Analysis!$K$132</c:f>
              <c:numCache>
                <c:formatCode>General</c:formatCode>
                <c:ptCount val="1"/>
                <c:pt idx="0" formatCode="_(* #,##0_);_(* \(#,##0\);_(* &quot;-&quot;??_);_(@_)">
                  <c:v>16</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Analysis!$J$133</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Analysis!$K$133:$L$133</c15:sqref>
                  </c15:fullRef>
                </c:ext>
              </c:extLst>
              <c:f>Analysis!$K$133</c:f>
              <c:numCache>
                <c:formatCode>General</c:formatCode>
                <c:ptCount val="1"/>
                <c:pt idx="0" formatCode="_(* #,##0_);_(* \(#,##0\);_(* &quot;-&quot;??_);_(@_)">
                  <c:v>121</c:v>
                </c:pt>
              </c:numCache>
            </c:numRef>
          </c:val>
          <c:extLst>
            <c:ext xmlns:c16="http://schemas.microsoft.com/office/drawing/2014/chart" uri="{C3380CC4-5D6E-409C-BE32-E72D297353CC}">
              <c16:uniqueId val="{00000000-56C5-41B0-B00A-3A7F63BCC9E4}"/>
            </c:ext>
          </c:extLst>
        </c:ser>
        <c:ser>
          <c:idx val="1"/>
          <c:order val="1"/>
          <c:tx>
            <c:strRef>
              <c:f>Analysis!$J$134</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Analysis!$K$134:$L$134</c15:sqref>
                  </c15:fullRef>
                </c:ext>
              </c:extLst>
              <c:f>Analysis!$K$134</c:f>
              <c:numCache>
                <c:formatCode>General</c:formatCode>
                <c:ptCount val="1"/>
                <c:pt idx="0" formatCode="_(* #,##0_);_(* \(#,##0\);_(* &quot;-&quot;??_);_(@_)">
                  <c:v>927</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Analysis!$J$135</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20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1032</c:v>
                </c:pt>
                <c:pt idx="1">
                  <c:v>16</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99</c:v>
                </c:pt>
                <c:pt idx="1">
                  <c:v>2328</c:v>
                </c:pt>
                <c:pt idx="2">
                  <c:v>288</c:v>
                </c:pt>
                <c:pt idx="3">
                  <c:v>42</c:v>
                </c:pt>
                <c:pt idx="4">
                  <c:v>2</c:v>
                </c:pt>
                <c:pt idx="5">
                  <c:v>44</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14</c:v>
                </c:pt>
                <c:pt idx="1">
                  <c:v>0</c:v>
                </c:pt>
                <c:pt idx="2">
                  <c:v>11</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107</c:v>
                </c:pt>
                <c:pt idx="2">
                  <c:v>5</c:v>
                </c:pt>
                <c:pt idx="3">
                  <c:v>1</c:v>
                </c:pt>
                <c:pt idx="4">
                  <c:v>1</c:v>
                </c:pt>
                <c:pt idx="5">
                  <c:v>9</c:v>
                </c:pt>
                <c:pt idx="6">
                  <c:v>3</c:v>
                </c:pt>
                <c:pt idx="7">
                  <c:v>1</c:v>
                </c:pt>
                <c:pt idx="8">
                  <c:v>2</c:v>
                </c:pt>
              </c:numCache>
            </c:numRef>
          </c:val>
          <c:extLst>
            <c:ext xmlns:c16="http://schemas.microsoft.com/office/drawing/2014/chart" uri="{C3380CC4-5D6E-409C-BE32-E72D297353CC}">
              <c16:uniqueId val="{00000001-92F7-487E-80E7-3326B452F2EC}"/>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3</c:v>
                </c:pt>
                <c:pt idx="2">
                  <c:v>11</c:v>
                </c:pt>
                <c:pt idx="4">
                  <c:v>7</c:v>
                </c:pt>
              </c:numCache>
            </c:numRef>
          </c:val>
          <c:extLst>
            <c:ext xmlns:c16="http://schemas.microsoft.com/office/drawing/2014/chart" uri="{C3380CC4-5D6E-409C-BE32-E72D297353CC}">
              <c16:uniqueId val="{00000002-92F7-487E-80E7-3326B452F2EC}"/>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0110951553774671"/>
          <c:h val="0.135511481097632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Analysis!$H$297:$H$300</c:f>
              <c:strCache>
                <c:ptCount val="4"/>
                <c:pt idx="0">
                  <c:v>Camp</c:v>
                </c:pt>
                <c:pt idx="1">
                  <c:v>Camp_not registered</c:v>
                </c:pt>
                <c:pt idx="2">
                  <c:v>Village</c:v>
                </c:pt>
                <c:pt idx="3">
                  <c:v>Relocated</c:v>
                </c:pt>
              </c:strCache>
            </c:strRef>
          </c:cat>
          <c:val>
            <c:numRef>
              <c:f>Analysis!$I$297:$I$300</c:f>
              <c:numCache>
                <c:formatCode>General</c:formatCode>
                <c:ptCount val="4"/>
                <c:pt idx="0">
                  <c:v>35</c:v>
                </c:pt>
                <c:pt idx="1">
                  <c:v>1</c:v>
                </c:pt>
                <c:pt idx="2">
                  <c:v>1</c:v>
                </c:pt>
                <c:pt idx="3">
                  <c:v>2</c:v>
                </c:pt>
              </c:numCache>
            </c:numRef>
          </c:val>
          <c:extLst>
            <c:ext xmlns:c16="http://schemas.microsoft.com/office/drawing/2014/chart" uri="{C3380CC4-5D6E-409C-BE32-E72D297353CC}">
              <c16:uniqueId val="{00000001-3222-4433-8213-89AC5F497E04}"/>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Analysis!$H$297:$H$300</c:f>
              <c:strCache>
                <c:ptCount val="4"/>
                <c:pt idx="0">
                  <c:v>Camp</c:v>
                </c:pt>
                <c:pt idx="1">
                  <c:v>Camp_not registered</c:v>
                </c:pt>
                <c:pt idx="2">
                  <c:v>Village</c:v>
                </c:pt>
                <c:pt idx="3">
                  <c:v>Relocated</c:v>
                </c:pt>
              </c:strCache>
            </c:strRef>
          </c:cat>
          <c:val>
            <c:numRef>
              <c:f>Analysis!$J$297:$J$300</c:f>
              <c:numCache>
                <c:formatCode>General</c:formatCode>
                <c:ptCount val="4"/>
                <c:pt idx="0">
                  <c:v>3</c:v>
                </c:pt>
                <c:pt idx="3">
                  <c:v>2</c:v>
                </c:pt>
              </c:numCache>
            </c:numRef>
          </c:val>
          <c:extLst>
            <c:ext xmlns:c16="http://schemas.microsoft.com/office/drawing/2014/chart" uri="{C3380CC4-5D6E-409C-BE32-E72D297353CC}">
              <c16:uniqueId val="{00000002-3222-4433-8213-89AC5F497E04}"/>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9.0744528430735855E-2"/>
          <c:h val="0.136679670030884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 Number of ppl Covered against 2021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23813</c:v>
                </c:pt>
                <c:pt idx="4">
                  <c:v>14016</c:v>
                </c:pt>
                <c:pt idx="5">
                  <c:v>12068.333333333332</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7D73-40A0-A891-00815A3FCB59}"/>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22542.336928268625</c:v>
                </c:pt>
                <c:pt idx="4">
                  <c:v>7614.2673856537258</c:v>
                </c:pt>
                <c:pt idx="5">
                  <c:v>28105.736209281571</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Analysis!$C$80</c:f>
              <c:strCache>
                <c:ptCount val="1"/>
                <c:pt idx="0">
                  <c:v> % Water Coverage</c:v>
                </c:pt>
              </c:strCache>
            </c:strRef>
          </c:tx>
          <c:spPr>
            <a:solidFill>
              <a:schemeClr val="accent1">
                <a:lumMod val="75000"/>
              </a:schemeClr>
            </a:solidFill>
            <a:ln>
              <a:noFill/>
            </a:ln>
            <a:effectLst/>
          </c:spPr>
          <c:invertIfNegative val="0"/>
          <c:cat>
            <c:strRef>
              <c:f>Analysis!$B$81:$B$93</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Analysis!$C$81:$C$93</c:f>
              <c:numCache>
                <c:formatCode>0%</c:formatCode>
                <c:ptCount val="13"/>
                <c:pt idx="0">
                  <c:v>1</c:v>
                </c:pt>
                <c:pt idx="1">
                  <c:v>0.51702296120348379</c:v>
                </c:pt>
                <c:pt idx="2">
                  <c:v>0.80106820768759313</c:v>
                </c:pt>
                <c:pt idx="3">
                  <c:v>0.71380849301157168</c:v>
                </c:pt>
                <c:pt idx="4">
                  <c:v>1</c:v>
                </c:pt>
                <c:pt idx="5">
                  <c:v>1</c:v>
                </c:pt>
                <c:pt idx="6">
                  <c:v>0.35763049283806753</c:v>
                </c:pt>
                <c:pt idx="7">
                  <c:v>1</c:v>
                </c:pt>
                <c:pt idx="8">
                  <c:v>1</c:v>
                </c:pt>
                <c:pt idx="9">
                  <c:v>1</c:v>
                </c:pt>
                <c:pt idx="10">
                  <c:v>0.90282131661442011</c:v>
                </c:pt>
                <c:pt idx="11">
                  <c:v>0.47106390268973786</c:v>
                </c:pt>
                <c:pt idx="12">
                  <c:v>1</c:v>
                </c:pt>
              </c:numCache>
            </c:numRef>
          </c:val>
          <c:extLst>
            <c:ext xmlns:c16="http://schemas.microsoft.com/office/drawing/2014/chart" uri="{C3380CC4-5D6E-409C-BE32-E72D297353CC}">
              <c16:uniqueId val="{00000001-629E-4E0F-8944-9E77F04558F1}"/>
            </c:ext>
          </c:extLst>
        </c:ser>
        <c:ser>
          <c:idx val="1"/>
          <c:order val="1"/>
          <c:tx>
            <c:strRef>
              <c:f>Analysis!$D$80</c:f>
              <c:strCache>
                <c:ptCount val="1"/>
                <c:pt idx="0">
                  <c:v> % Water GAP</c:v>
                </c:pt>
              </c:strCache>
            </c:strRef>
          </c:tx>
          <c:spPr>
            <a:solidFill>
              <a:schemeClr val="accent1">
                <a:lumMod val="40000"/>
                <a:lumOff val="60000"/>
              </a:schemeClr>
            </a:solidFill>
            <a:ln>
              <a:noFill/>
            </a:ln>
            <a:effectLst/>
          </c:spPr>
          <c:invertIfNegative val="0"/>
          <c:cat>
            <c:strRef>
              <c:f>Analysis!$B$81:$B$93</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Analysis!$D$81:$D$93</c:f>
              <c:numCache>
                <c:formatCode>0%</c:formatCode>
                <c:ptCount val="13"/>
                <c:pt idx="0">
                  <c:v>0</c:v>
                </c:pt>
                <c:pt idx="1">
                  <c:v>0.48297703879651621</c:v>
                </c:pt>
                <c:pt idx="2">
                  <c:v>0.19893179231240687</c:v>
                </c:pt>
                <c:pt idx="3">
                  <c:v>0.28619150698842832</c:v>
                </c:pt>
                <c:pt idx="4">
                  <c:v>0</c:v>
                </c:pt>
                <c:pt idx="5">
                  <c:v>0</c:v>
                </c:pt>
                <c:pt idx="6">
                  <c:v>0.64236950716193242</c:v>
                </c:pt>
                <c:pt idx="7">
                  <c:v>0</c:v>
                </c:pt>
                <c:pt idx="8">
                  <c:v>0</c:v>
                </c:pt>
                <c:pt idx="9">
                  <c:v>0</c:v>
                </c:pt>
                <c:pt idx="10">
                  <c:v>9.7178683385579889E-2</c:v>
                </c:pt>
                <c:pt idx="11">
                  <c:v>0.52893609731026214</c:v>
                </c:pt>
                <c:pt idx="12">
                  <c:v>0</c:v>
                </c:pt>
              </c:numCache>
            </c:numRef>
          </c:val>
          <c:extLst>
            <c:ext xmlns:c16="http://schemas.microsoft.com/office/drawing/2014/chart" uri="{C3380CC4-5D6E-409C-BE32-E72D297353CC}">
              <c16:uniqueId val="{00000002-629E-4E0F-8944-9E77F04558F1}"/>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Analysis!$C$101</c:f>
              <c:strCache>
                <c:ptCount val="1"/>
                <c:pt idx="0">
                  <c:v> % Water Coverage</c:v>
                </c:pt>
              </c:strCache>
            </c:strRef>
          </c:tx>
          <c:spPr>
            <a:solidFill>
              <a:srgbClr val="0070C0"/>
            </a:solidFill>
            <a:ln>
              <a:noFill/>
            </a:ln>
            <a:effectLst/>
          </c:spPr>
          <c:invertIfNegative val="0"/>
          <c:cat>
            <c:strRef>
              <c:f>Analysis!$B$102:$B$110</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Analysis!$C$102:$C$110</c:f>
              <c:numCache>
                <c:formatCode>0%</c:formatCode>
                <c:ptCount val="9"/>
                <c:pt idx="0">
                  <c:v>1</c:v>
                </c:pt>
                <c:pt idx="1">
                  <c:v>0.93791542921793258</c:v>
                </c:pt>
                <c:pt idx="2">
                  <c:v>1</c:v>
                </c:pt>
                <c:pt idx="3">
                  <c:v>1</c:v>
                </c:pt>
                <c:pt idx="4">
                  <c:v>0.78942213516160631</c:v>
                </c:pt>
                <c:pt idx="5">
                  <c:v>1</c:v>
                </c:pt>
                <c:pt idx="6">
                  <c:v>1</c:v>
                </c:pt>
                <c:pt idx="7">
                  <c:v>0.95579450418160095</c:v>
                </c:pt>
                <c:pt idx="8">
                  <c:v>0.67434210526315785</c:v>
                </c:pt>
              </c:numCache>
            </c:numRef>
          </c:val>
          <c:extLst>
            <c:ext xmlns:c16="http://schemas.microsoft.com/office/drawing/2014/chart" uri="{C3380CC4-5D6E-409C-BE32-E72D297353CC}">
              <c16:uniqueId val="{00000001-43E1-4126-B57D-9F25D87AB5CF}"/>
            </c:ext>
          </c:extLst>
        </c:ser>
        <c:ser>
          <c:idx val="1"/>
          <c:order val="1"/>
          <c:tx>
            <c:strRef>
              <c:f>Analysis!$D$101</c:f>
              <c:strCache>
                <c:ptCount val="1"/>
                <c:pt idx="0">
                  <c:v> % Water GAP</c:v>
                </c:pt>
              </c:strCache>
            </c:strRef>
          </c:tx>
          <c:spPr>
            <a:solidFill>
              <a:schemeClr val="accent1">
                <a:lumMod val="40000"/>
                <a:lumOff val="60000"/>
              </a:schemeClr>
            </a:solidFill>
            <a:ln>
              <a:noFill/>
            </a:ln>
            <a:effectLst/>
          </c:spPr>
          <c:invertIfNegative val="0"/>
          <c:cat>
            <c:strRef>
              <c:f>Analysis!$B$102:$B$110</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Analysis!$D$102:$D$110</c:f>
              <c:numCache>
                <c:formatCode>0%</c:formatCode>
                <c:ptCount val="9"/>
                <c:pt idx="0">
                  <c:v>0</c:v>
                </c:pt>
                <c:pt idx="1">
                  <c:v>6.2084570782067416E-2</c:v>
                </c:pt>
                <c:pt idx="2">
                  <c:v>0</c:v>
                </c:pt>
                <c:pt idx="3">
                  <c:v>0</c:v>
                </c:pt>
                <c:pt idx="4">
                  <c:v>0.21057786483839369</c:v>
                </c:pt>
                <c:pt idx="5">
                  <c:v>0</c:v>
                </c:pt>
                <c:pt idx="6">
                  <c:v>0</c:v>
                </c:pt>
                <c:pt idx="7">
                  <c:v>4.4205495818399054E-2</c:v>
                </c:pt>
                <c:pt idx="8">
                  <c:v>0.32565789473684215</c:v>
                </c:pt>
              </c:numCache>
            </c:numRef>
          </c:val>
          <c:extLst>
            <c:ext xmlns:c16="http://schemas.microsoft.com/office/drawing/2014/chart" uri="{C3380CC4-5D6E-409C-BE32-E72D297353CC}">
              <c16:uniqueId val="{00000002-43E1-4126-B57D-9F25D87AB5CF}"/>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Analysis!$C$187</c:f>
              <c:strCache>
                <c:ptCount val="1"/>
                <c:pt idx="0">
                  <c:v> % Latrine Coverage</c:v>
                </c:pt>
              </c:strCache>
            </c:strRef>
          </c:tx>
          <c:spPr>
            <a:solidFill>
              <a:schemeClr val="accent2">
                <a:lumMod val="75000"/>
              </a:schemeClr>
            </a:solidFill>
            <a:ln>
              <a:noFill/>
            </a:ln>
            <a:effectLst/>
          </c:spPr>
          <c:invertIfNegative val="0"/>
          <c:cat>
            <c:strRef>
              <c:f>Analysis!$B$188:$B$200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Analysis!$C$188:$C$200</c:f>
              <c:numCache>
                <c:formatCode>0%</c:formatCode>
                <c:ptCount val="13"/>
                <c:pt idx="0">
                  <c:v>0.75931766055045868</c:v>
                </c:pt>
                <c:pt idx="1">
                  <c:v>0.69041963578780685</c:v>
                </c:pt>
                <c:pt idx="2">
                  <c:v>0.79301287102705542</c:v>
                </c:pt>
                <c:pt idx="3">
                  <c:v>0.803335204040728</c:v>
                </c:pt>
                <c:pt idx="4">
                  <c:v>0.69747899159663862</c:v>
                </c:pt>
                <c:pt idx="5">
                  <c:v>0.34343434343434343</c:v>
                </c:pt>
                <c:pt idx="6">
                  <c:v>0.61780043699927167</c:v>
                </c:pt>
                <c:pt idx="7">
                  <c:v>0.7139892789209753</c:v>
                </c:pt>
                <c:pt idx="8">
                  <c:v>0.27887174028738693</c:v>
                </c:pt>
                <c:pt idx="9">
                  <c:v>1</c:v>
                </c:pt>
                <c:pt idx="10">
                  <c:v>0.37852664576802508</c:v>
                </c:pt>
                <c:pt idx="11">
                  <c:v>0.69008052081548743</c:v>
                </c:pt>
                <c:pt idx="12">
                  <c:v>1</c:v>
                </c:pt>
              </c:numCache>
            </c:numRef>
          </c:val>
          <c:extLst>
            <c:ext xmlns:c16="http://schemas.microsoft.com/office/drawing/2014/chart" uri="{C3380CC4-5D6E-409C-BE32-E72D297353CC}">
              <c16:uniqueId val="{00000001-B265-4EBA-83E6-756511A9CB9F}"/>
            </c:ext>
          </c:extLst>
        </c:ser>
        <c:ser>
          <c:idx val="1"/>
          <c:order val="1"/>
          <c:tx>
            <c:strRef>
              <c:f>Analysis!$D$187</c:f>
              <c:strCache>
                <c:ptCount val="1"/>
                <c:pt idx="0">
                  <c:v>  % Latrine GAP</c:v>
                </c:pt>
              </c:strCache>
            </c:strRef>
          </c:tx>
          <c:spPr>
            <a:solidFill>
              <a:schemeClr val="accent2">
                <a:lumMod val="40000"/>
                <a:lumOff val="60000"/>
              </a:schemeClr>
            </a:solidFill>
            <a:ln>
              <a:noFill/>
            </a:ln>
            <a:effectLst/>
          </c:spPr>
          <c:invertIfNegative val="0"/>
          <c:cat>
            <c:strRef>
              <c:f>Analysis!$B$188:$B$200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Analysis!$D$188:$D$200</c:f>
              <c:numCache>
                <c:formatCode>0%</c:formatCode>
                <c:ptCount val="13"/>
                <c:pt idx="0">
                  <c:v>0.24068233944954132</c:v>
                </c:pt>
                <c:pt idx="1">
                  <c:v>0.30958036421219315</c:v>
                </c:pt>
                <c:pt idx="2">
                  <c:v>0.20698712897294458</c:v>
                </c:pt>
                <c:pt idx="3">
                  <c:v>0.196664795959272</c:v>
                </c:pt>
                <c:pt idx="4">
                  <c:v>0.30252100840336138</c:v>
                </c:pt>
                <c:pt idx="5">
                  <c:v>0.65656565656565657</c:v>
                </c:pt>
                <c:pt idx="6">
                  <c:v>0.38219956300072833</c:v>
                </c:pt>
                <c:pt idx="7">
                  <c:v>0.2860107210790247</c:v>
                </c:pt>
                <c:pt idx="8">
                  <c:v>0.72112825971261307</c:v>
                </c:pt>
                <c:pt idx="9">
                  <c:v>0</c:v>
                </c:pt>
                <c:pt idx="10">
                  <c:v>0.62147335423197492</c:v>
                </c:pt>
                <c:pt idx="11">
                  <c:v>0.30991947918451257</c:v>
                </c:pt>
                <c:pt idx="12">
                  <c:v>0</c:v>
                </c:pt>
              </c:numCache>
            </c:numRef>
          </c:val>
          <c:extLst>
            <c:ext xmlns:c16="http://schemas.microsoft.com/office/drawing/2014/chart" uri="{C3380CC4-5D6E-409C-BE32-E72D297353CC}">
              <c16:uniqueId val="{00000002-B265-4EBA-83E6-756511A9CB9F}"/>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Analysis!$K$188</c:f>
              <c:strCache>
                <c:ptCount val="1"/>
                <c:pt idx="0">
                  <c:v>  % Latrine Coverage</c:v>
                </c:pt>
              </c:strCache>
            </c:strRef>
          </c:tx>
          <c:spPr>
            <a:solidFill>
              <a:schemeClr val="accent2">
                <a:lumMod val="75000"/>
              </a:schemeClr>
            </a:solidFill>
            <a:ln>
              <a:noFill/>
            </a:ln>
            <a:effectLst/>
          </c:spPr>
          <c:invertIfNegative val="0"/>
          <c:cat>
            <c:strRef>
              <c:f>Analysis!$J$189:$J$197</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Analysis!$K$189:$K$197</c:f>
              <c:numCache>
                <c:formatCode>0%</c:formatCode>
                <c:ptCount val="9"/>
                <c:pt idx="0">
                  <c:v>1</c:v>
                </c:pt>
                <c:pt idx="1">
                  <c:v>0.9140857021637675</c:v>
                </c:pt>
                <c:pt idx="2">
                  <c:v>1</c:v>
                </c:pt>
                <c:pt idx="3">
                  <c:v>1</c:v>
                </c:pt>
                <c:pt idx="4">
                  <c:v>0.11753183153770813</c:v>
                </c:pt>
                <c:pt idx="5">
                  <c:v>0.88844621513944222</c:v>
                </c:pt>
                <c:pt idx="6">
                  <c:v>0.90731707317073174</c:v>
                </c:pt>
                <c:pt idx="7">
                  <c:v>0.16726403823178015</c:v>
                </c:pt>
                <c:pt idx="8">
                  <c:v>1</c:v>
                </c:pt>
              </c:numCache>
            </c:numRef>
          </c:val>
          <c:extLst>
            <c:ext xmlns:c16="http://schemas.microsoft.com/office/drawing/2014/chart" uri="{C3380CC4-5D6E-409C-BE32-E72D297353CC}">
              <c16:uniqueId val="{00000000-2EBA-4304-A312-0DEF5F3783A9}"/>
            </c:ext>
          </c:extLst>
        </c:ser>
        <c:ser>
          <c:idx val="1"/>
          <c:order val="1"/>
          <c:tx>
            <c:strRef>
              <c:f>Analysis!$L$188</c:f>
              <c:strCache>
                <c:ptCount val="1"/>
                <c:pt idx="0">
                  <c:v>  % Latrine GAP</c:v>
                </c:pt>
              </c:strCache>
            </c:strRef>
          </c:tx>
          <c:spPr>
            <a:solidFill>
              <a:schemeClr val="accent2">
                <a:lumMod val="40000"/>
                <a:lumOff val="60000"/>
              </a:schemeClr>
            </a:solidFill>
            <a:ln>
              <a:noFill/>
            </a:ln>
            <a:effectLst/>
          </c:spPr>
          <c:invertIfNegative val="0"/>
          <c:cat>
            <c:strRef>
              <c:f>Analysis!$J$189:$J$197</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Analysis!$L$189:$L$197</c:f>
              <c:numCache>
                <c:formatCode>0%</c:formatCode>
                <c:ptCount val="9"/>
                <c:pt idx="0">
                  <c:v>0</c:v>
                </c:pt>
                <c:pt idx="1">
                  <c:v>8.59142978362325E-2</c:v>
                </c:pt>
                <c:pt idx="2">
                  <c:v>0</c:v>
                </c:pt>
                <c:pt idx="3">
                  <c:v>0</c:v>
                </c:pt>
                <c:pt idx="4">
                  <c:v>0.88246816846229192</c:v>
                </c:pt>
                <c:pt idx="5">
                  <c:v>0.11155378486055778</c:v>
                </c:pt>
                <c:pt idx="6">
                  <c:v>9.2682926829268264E-2</c:v>
                </c:pt>
                <c:pt idx="7">
                  <c:v>0.83273596176821985</c:v>
                </c:pt>
                <c:pt idx="8">
                  <c:v>0</c:v>
                </c:pt>
              </c:numCache>
            </c:numRef>
          </c:val>
          <c:extLst>
            <c:ext xmlns:c16="http://schemas.microsoft.com/office/drawing/2014/chart" uri="{C3380CC4-5D6E-409C-BE32-E72D297353CC}">
              <c16:uniqueId val="{00000001-2EBA-4304-A312-0DEF5F3783A9}"/>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Analysis!$C$267</c:f>
              <c:strCache>
                <c:ptCount val="1"/>
                <c:pt idx="0">
                  <c:v>  % Hygiene Coverage</c:v>
                </c:pt>
              </c:strCache>
            </c:strRef>
          </c:tx>
          <c:spPr>
            <a:solidFill>
              <a:schemeClr val="accent6">
                <a:lumMod val="75000"/>
              </a:schemeClr>
            </a:solidFill>
            <a:ln>
              <a:noFill/>
            </a:ln>
            <a:effectLst/>
          </c:spPr>
          <c:invertIfNegative val="0"/>
          <c:cat>
            <c:strRef>
              <c:f>Analysis!$B$268:$B$280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Analysis!$C$268:$C$280</c:f>
              <c:numCache>
                <c:formatCode>0%</c:formatCode>
                <c:ptCount val="13"/>
                <c:pt idx="0">
                  <c:v>0.67072821100917435</c:v>
                </c:pt>
                <c:pt idx="1">
                  <c:v>0.9184481393507522</c:v>
                </c:pt>
                <c:pt idx="2">
                  <c:v>0.93328079852902546</c:v>
                </c:pt>
                <c:pt idx="3">
                  <c:v>0.89312915898340417</c:v>
                </c:pt>
                <c:pt idx="4">
                  <c:v>0.78331332533013209</c:v>
                </c:pt>
                <c:pt idx="5">
                  <c:v>0.34343434343434343</c:v>
                </c:pt>
                <c:pt idx="6">
                  <c:v>0.53736343772760375</c:v>
                </c:pt>
                <c:pt idx="7">
                  <c:v>0.52057755490229984</c:v>
                </c:pt>
                <c:pt idx="8">
                  <c:v>0.15965939329430548</c:v>
                </c:pt>
                <c:pt idx="9">
                  <c:v>0.47781065088757396</c:v>
                </c:pt>
                <c:pt idx="10">
                  <c:v>0.62147335423197492</c:v>
                </c:pt>
                <c:pt idx="11">
                  <c:v>0.61624121980469415</c:v>
                </c:pt>
                <c:pt idx="12">
                  <c:v>1</c:v>
                </c:pt>
              </c:numCache>
            </c:numRef>
          </c:val>
          <c:extLst>
            <c:ext xmlns:c16="http://schemas.microsoft.com/office/drawing/2014/chart" uri="{C3380CC4-5D6E-409C-BE32-E72D297353CC}">
              <c16:uniqueId val="{00000001-4564-414E-8925-63724EF63043}"/>
            </c:ext>
          </c:extLst>
        </c:ser>
        <c:ser>
          <c:idx val="1"/>
          <c:order val="1"/>
          <c:tx>
            <c:strRef>
              <c:f>Analysis!$D$267</c:f>
              <c:strCache>
                <c:ptCount val="1"/>
                <c:pt idx="0">
                  <c:v>  % Hygiene Gap</c:v>
                </c:pt>
              </c:strCache>
            </c:strRef>
          </c:tx>
          <c:spPr>
            <a:solidFill>
              <a:schemeClr val="accent6">
                <a:lumMod val="40000"/>
                <a:lumOff val="60000"/>
              </a:schemeClr>
            </a:solidFill>
            <a:ln>
              <a:noFill/>
            </a:ln>
            <a:effectLst/>
          </c:spPr>
          <c:invertIfNegative val="0"/>
          <c:cat>
            <c:strRef>
              <c:f>Analysis!$B$268:$B$280</c:f>
              <c:strCache>
                <c:ptCount val="13"/>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strCache>
            </c:strRef>
          </c:cat>
          <c:val>
            <c:numRef>
              <c:f>Analysis!$D$268:$D$280</c:f>
              <c:numCache>
                <c:formatCode>0%</c:formatCode>
                <c:ptCount val="13"/>
                <c:pt idx="0">
                  <c:v>0.32927178899082565</c:v>
                </c:pt>
                <c:pt idx="1">
                  <c:v>8.1551860649247798E-2</c:v>
                </c:pt>
                <c:pt idx="2">
                  <c:v>6.6719201470974543E-2</c:v>
                </c:pt>
                <c:pt idx="3">
                  <c:v>0.10687084101659583</c:v>
                </c:pt>
                <c:pt idx="4">
                  <c:v>0.21668667466986791</c:v>
                </c:pt>
                <c:pt idx="5">
                  <c:v>0.65656565656565657</c:v>
                </c:pt>
                <c:pt idx="6">
                  <c:v>0.46263656227239625</c:v>
                </c:pt>
                <c:pt idx="7">
                  <c:v>0.47942244509770016</c:v>
                </c:pt>
                <c:pt idx="8">
                  <c:v>0.84034060670569455</c:v>
                </c:pt>
                <c:pt idx="9">
                  <c:v>0.52218934911242609</c:v>
                </c:pt>
                <c:pt idx="10">
                  <c:v>0.37852664576802508</c:v>
                </c:pt>
                <c:pt idx="11">
                  <c:v>0.38375878019530585</c:v>
                </c:pt>
                <c:pt idx="12">
                  <c:v>0</c:v>
                </c:pt>
              </c:numCache>
            </c:numRef>
          </c:val>
          <c:extLst>
            <c:ext xmlns:c16="http://schemas.microsoft.com/office/drawing/2014/chart" uri="{C3380CC4-5D6E-409C-BE32-E72D297353CC}">
              <c16:uniqueId val="{00000002-4564-414E-8925-63724EF6304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Analysis!$L$266</c:f>
              <c:strCache>
                <c:ptCount val="1"/>
                <c:pt idx="0">
                  <c:v>  % Hygiene Coverage</c:v>
                </c:pt>
              </c:strCache>
            </c:strRef>
          </c:tx>
          <c:spPr>
            <a:solidFill>
              <a:schemeClr val="accent6">
                <a:lumMod val="75000"/>
              </a:schemeClr>
            </a:solidFill>
            <a:ln>
              <a:noFill/>
            </a:ln>
            <a:effectLst/>
          </c:spPr>
          <c:invertIfNegative val="0"/>
          <c:cat>
            <c:strRef>
              <c:f>Analysis!$K$267:$K$275</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Analysis!$L$267:$L$275</c:f>
              <c:numCache>
                <c:formatCode>0%</c:formatCode>
                <c:ptCount val="9"/>
                <c:pt idx="0">
                  <c:v>1</c:v>
                </c:pt>
                <c:pt idx="1">
                  <c:v>0.78086550700042423</c:v>
                </c:pt>
                <c:pt idx="2">
                  <c:v>0</c:v>
                </c:pt>
                <c:pt idx="3">
                  <c:v>1</c:v>
                </c:pt>
                <c:pt idx="4">
                  <c:v>0.78942213516160631</c:v>
                </c:pt>
                <c:pt idx="5">
                  <c:v>0.7426294820717132</c:v>
                </c:pt>
                <c:pt idx="6">
                  <c:v>0.87479674796747964</c:v>
                </c:pt>
                <c:pt idx="7">
                  <c:v>0</c:v>
                </c:pt>
                <c:pt idx="8">
                  <c:v>0</c:v>
                </c:pt>
              </c:numCache>
            </c:numRef>
          </c:val>
          <c:extLst>
            <c:ext xmlns:c16="http://schemas.microsoft.com/office/drawing/2014/chart" uri="{C3380CC4-5D6E-409C-BE32-E72D297353CC}">
              <c16:uniqueId val="{00000001-079F-45E9-A6E9-675CF9B1E9D8}"/>
            </c:ext>
          </c:extLst>
        </c:ser>
        <c:ser>
          <c:idx val="1"/>
          <c:order val="1"/>
          <c:tx>
            <c:strRef>
              <c:f>Analysis!$M$266</c:f>
              <c:strCache>
                <c:ptCount val="1"/>
                <c:pt idx="0">
                  <c:v>  % Hygiene Gap</c:v>
                </c:pt>
              </c:strCache>
            </c:strRef>
          </c:tx>
          <c:spPr>
            <a:solidFill>
              <a:schemeClr val="accent6">
                <a:lumMod val="40000"/>
                <a:lumOff val="60000"/>
              </a:schemeClr>
            </a:solidFill>
            <a:ln>
              <a:noFill/>
            </a:ln>
            <a:effectLst/>
          </c:spPr>
          <c:invertIfNegative val="0"/>
          <c:cat>
            <c:strRef>
              <c:f>Analysis!$K$267:$K$275</c:f>
              <c:strCache>
                <c:ptCount val="9"/>
                <c:pt idx="0">
                  <c:v>Hseni</c:v>
                </c:pt>
                <c:pt idx="1">
                  <c:v>Kutkai</c:v>
                </c:pt>
                <c:pt idx="2">
                  <c:v>Lashio</c:v>
                </c:pt>
                <c:pt idx="3">
                  <c:v>Manton</c:v>
                </c:pt>
                <c:pt idx="4">
                  <c:v>Muse</c:v>
                </c:pt>
                <c:pt idx="5">
                  <c:v>Namhkan</c:v>
                </c:pt>
                <c:pt idx="6">
                  <c:v>Namtu</c:v>
                </c:pt>
                <c:pt idx="7">
                  <c:v>Laukkaing (Kokang SAZ)</c:v>
                </c:pt>
                <c:pt idx="8">
                  <c:v>Kyaukme</c:v>
                </c:pt>
              </c:strCache>
            </c:strRef>
          </c:cat>
          <c:val>
            <c:numRef>
              <c:f>Analysis!$M$267:$M$275</c:f>
              <c:numCache>
                <c:formatCode>0%</c:formatCode>
                <c:ptCount val="9"/>
                <c:pt idx="0">
                  <c:v>0</c:v>
                </c:pt>
                <c:pt idx="1">
                  <c:v>0.21913449299957577</c:v>
                </c:pt>
                <c:pt idx="2">
                  <c:v>1</c:v>
                </c:pt>
                <c:pt idx="3">
                  <c:v>0</c:v>
                </c:pt>
                <c:pt idx="4">
                  <c:v>0.21057786483839369</c:v>
                </c:pt>
                <c:pt idx="5">
                  <c:v>0.2573705179282868</c:v>
                </c:pt>
                <c:pt idx="6">
                  <c:v>0.12520325203252036</c:v>
                </c:pt>
                <c:pt idx="7">
                  <c:v>1</c:v>
                </c:pt>
                <c:pt idx="8">
                  <c:v>1</c:v>
                </c:pt>
              </c:numCache>
            </c:numRef>
          </c:val>
          <c:extLst>
            <c:ext xmlns:c16="http://schemas.microsoft.com/office/drawing/2014/chart" uri="{C3380CC4-5D6E-409C-BE32-E72D297353CC}">
              <c16:uniqueId val="{00000002-079F-45E9-A6E9-675CF9B1E9D8}"/>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56581537182738895"/>
          <c:h val="7.49954494974862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33</c:v>
                </c:pt>
                <c:pt idx="1">
                  <c:v>97</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1</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1</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33</c:v>
                      </c:pt>
                      <c:pt idx="1">
                        <c:v>97</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Analysis!$K$61:$K$62</c:f>
              <c:strCache>
                <c:ptCount val="2"/>
                <c:pt idx="0">
                  <c:v>2022_Q1</c:v>
                </c:pt>
                <c:pt idx="1">
                  <c:v>2022_Q2</c:v>
                </c:pt>
              </c:strCache>
            </c:strRef>
          </c:cat>
          <c:val>
            <c:numRef>
              <c:f>Analysis!$L$61:$L$62</c:f>
              <c:numCache>
                <c:formatCode>General</c:formatCode>
                <c:ptCount val="2"/>
                <c:pt idx="0">
                  <c:v>46</c:v>
                </c:pt>
                <c:pt idx="1">
                  <c:v>140</c:v>
                </c:pt>
              </c:numCache>
            </c:numRef>
          </c:val>
          <c:extLst>
            <c:ext xmlns:c16="http://schemas.microsoft.com/office/drawing/2014/chart" uri="{C3380CC4-5D6E-409C-BE32-E72D297353CC}">
              <c16:uniqueId val="{00000000-F935-4EB7-A6DD-5FF2CD715C68}"/>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Analysis!$K$61:$K$62</c:f>
              <c:strCache>
                <c:ptCount val="2"/>
                <c:pt idx="0">
                  <c:v>2022_Q1</c:v>
                </c:pt>
                <c:pt idx="1">
                  <c:v>2022_Q2</c:v>
                </c:pt>
              </c:strCache>
            </c:strRef>
          </c:cat>
          <c:val>
            <c:numRef>
              <c:f>Analysis!$M$61:$M$62</c:f>
              <c:numCache>
                <c:formatCode>General</c:formatCode>
                <c:ptCount val="2"/>
                <c:pt idx="0">
                  <c:v>31</c:v>
                </c:pt>
                <c:pt idx="1">
                  <c:v>99</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15</c:v>
                </c:pt>
                <c:pt idx="1">
                  <c:v>115</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2022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HRP Objective 2: (Non-IDPs)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HRP!$S$171</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HRP!$S$174:$S$177</c:f>
              <c:numCache>
                <c:formatCode>_(* #,##0_);_(* \(#,##0\);_(* "-"??_);_(@_)</c:formatCode>
                <c:ptCount val="4"/>
                <c:pt idx="0">
                  <c:v>44464</c:v>
                </c:pt>
                <c:pt idx="1">
                  <c:v>252333</c:v>
                </c:pt>
                <c:pt idx="2">
                  <c:v>53143</c:v>
                </c:pt>
                <c:pt idx="3">
                  <c:v>108639</c:v>
                </c:pt>
              </c:numCache>
            </c:numRef>
          </c:val>
          <c:extLst>
            <c:ext xmlns:c16="http://schemas.microsoft.com/office/drawing/2014/chart" uri="{C3380CC4-5D6E-409C-BE32-E72D297353CC}">
              <c16:uniqueId val="{00000000-851F-45C7-9C99-A7FF6B6487FE}"/>
            </c:ext>
          </c:extLst>
        </c:ser>
        <c:ser>
          <c:idx val="1"/>
          <c:order val="1"/>
          <c:tx>
            <c:strRef>
              <c:f>HRP!$T$171</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HRP!$Q$174:$Q$177</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HRP!$T$174:$T$177</c:f>
              <c:numCache>
                <c:formatCode>_(* #,##0_);_(* \(#,##0\);_(* "-"??_);_(@_)</c:formatCode>
                <c:ptCount val="4"/>
                <c:pt idx="0">
                  <c:v>32461.49016123444</c:v>
                </c:pt>
                <c:pt idx="1">
                  <c:v>516921.90161234443</c:v>
                </c:pt>
                <c:pt idx="2">
                  <c:v>100707.98032246888</c:v>
                </c:pt>
                <c:pt idx="3">
                  <c:v>506764.92128987552</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15</c:v>
                      </c:pt>
                      <c:pt idx="1">
                        <c:v>115</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Analysis!$Y$59:$Y$60</c:f>
              <c:strCache>
                <c:ptCount val="2"/>
                <c:pt idx="0">
                  <c:v>2022_Q1</c:v>
                </c:pt>
                <c:pt idx="1">
                  <c:v>2022_Q2</c:v>
                </c:pt>
              </c:strCache>
            </c:strRef>
          </c:cat>
          <c:val>
            <c:numRef>
              <c:f>Analysis!$Z$59:$Z$60</c:f>
              <c:numCache>
                <c:formatCode>General</c:formatCode>
                <c:ptCount val="2"/>
                <c:pt idx="0">
                  <c:v>100</c:v>
                </c:pt>
                <c:pt idx="1">
                  <c:v>181</c:v>
                </c:pt>
              </c:numCache>
            </c:numRef>
          </c:val>
          <c:extLst>
            <c:ext xmlns:c16="http://schemas.microsoft.com/office/drawing/2014/chart" uri="{C3380CC4-5D6E-409C-BE32-E72D297353CC}">
              <c16:uniqueId val="{00000000-A528-4231-8455-2E23C4C4DBA8}"/>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Analysis!$Y$59:$Y$60</c:f>
              <c:strCache>
                <c:ptCount val="2"/>
                <c:pt idx="0">
                  <c:v>2022_Q1</c:v>
                </c:pt>
                <c:pt idx="1">
                  <c:v>2022_Q2</c:v>
                </c:pt>
              </c:strCache>
            </c:strRef>
          </c:cat>
          <c:val>
            <c:numRef>
              <c:f>Analysis!$AA$59:$AA$60</c:f>
              <c:numCache>
                <c:formatCode>General</c:formatCode>
                <c:ptCount val="2"/>
                <c:pt idx="0">
                  <c:v>71</c:v>
                </c:pt>
                <c:pt idx="1">
                  <c:v>163</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5980</c:v>
                </c:pt>
                <c:pt idx="1">
                  <c:v>1363</c:v>
                </c:pt>
              </c:numCache>
            </c:numRef>
          </c:val>
          <c:extLst>
            <c:ext xmlns:c16="http://schemas.microsoft.com/office/drawing/2014/chart" uri="{C3380CC4-5D6E-409C-BE32-E72D297353CC}">
              <c16:uniqueId val="{00000000-508F-4540-BAAC-3440C3BC2E85}"/>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0</c:v>
                </c:pt>
                <c:pt idx="1">
                  <c:v>7687.2000000000007</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8742</c:v>
                </c:pt>
                <c:pt idx="1">
                  <c:v>1898</c:v>
                </c:pt>
              </c:numCache>
            </c:numRef>
          </c:val>
          <c:extLst>
            <c:ext xmlns:c16="http://schemas.microsoft.com/office/drawing/2014/chart" uri="{C3380CC4-5D6E-409C-BE32-E72D297353CC}">
              <c16:uniqueId val="{00000000-60D0-4AE6-A456-9C602536AFEE}"/>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8964.239999999998</c:v>
                </c:pt>
                <c:pt idx="1">
                  <c:v>11467.519999999999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37127</c:v>
                </c:pt>
                <c:pt idx="1">
                  <c:v>36061</c:v>
                </c:pt>
              </c:numCache>
            </c:numRef>
          </c:val>
          <c:extLst>
            <c:ext xmlns:c16="http://schemas.microsoft.com/office/drawing/2014/chart" uri="{C3380CC4-5D6E-409C-BE32-E72D297353CC}">
              <c16:uniqueId val="{00000001-850C-4C98-97BF-FA72C0FA135E}"/>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23929</c:v>
                </c:pt>
                <c:pt idx="1">
                  <c:v>10027</c:v>
                </c:pt>
              </c:numCache>
            </c:numRef>
          </c:val>
          <c:extLst>
            <c:ext xmlns:c16="http://schemas.microsoft.com/office/drawing/2014/chart" uri="{C3380CC4-5D6E-409C-BE32-E72D297353CC}">
              <c16:uniqueId val="{00000002-850C-4C98-97BF-FA72C0FA135E}"/>
            </c:ext>
          </c:extLst>
        </c:ser>
        <c:dLbls>
          <c:showLegendKey val="0"/>
          <c:showVal val="0"/>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Analysis!$Y$121</c:f>
              <c:numCache>
                <c:formatCode>_(* #,##0_);_(* \(#,##0\);_(* "-"??_);_(@_)</c:formatCode>
                <c:ptCount val="1"/>
                <c:pt idx="0">
                  <c:v>7472</c:v>
                </c:pt>
              </c:numCache>
            </c:numRef>
          </c:val>
          <c:extLst>
            <c:ext xmlns:c16="http://schemas.microsoft.com/office/drawing/2014/chart" uri="{C3380CC4-5D6E-409C-BE32-E72D297353CC}">
              <c16:uniqueId val="{00000001-F10B-484E-A393-549D94337AB0}"/>
            </c:ext>
          </c:extLst>
        </c:ser>
        <c:ser>
          <c:idx val="1"/>
          <c:order val="1"/>
          <c:tx>
            <c:strRef>
              <c:f>Analysis!$Z$120</c:f>
              <c:strCache>
                <c:ptCount val="1"/>
                <c:pt idx="0">
                  <c:v>Not-accessed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Analysis!$X$121</c:f>
              <c:strCache>
                <c:ptCount val="1"/>
                <c:pt idx="0">
                  <c:v># in GCA (20:1)</c:v>
                </c:pt>
              </c:strCache>
            </c:strRef>
          </c:cat>
          <c:val>
            <c:numRef>
              <c:f>Analysis!$Z$121</c:f>
              <c:numCache>
                <c:formatCode>_(* #,##0_);_(* \(#,##0\);_(* "-"??_);_(@_)</c:formatCode>
                <c:ptCount val="1"/>
                <c:pt idx="0">
                  <c:v>2897</c:v>
                </c:pt>
              </c:numCache>
            </c:numRef>
          </c:val>
          <c:extLst>
            <c:ext xmlns:c16="http://schemas.microsoft.com/office/drawing/2014/chart" uri="{C3380CC4-5D6E-409C-BE32-E72D297353CC}">
              <c16:uniqueId val="{00000002-F10B-484E-A393-549D94337AB0}"/>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0</c:v>
                </c:pt>
              </c:numCache>
            </c:numRef>
          </c:val>
          <c:extLst>
            <c:ext xmlns:c16="http://schemas.microsoft.com/office/drawing/2014/chart" uri="{C3380CC4-5D6E-409C-BE32-E72D297353CC}">
              <c16:uniqueId val="{00000000-35E5-4CBD-893B-463E52BE8668}"/>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3007.0099999999998</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MIAG_f.xlsx]Analysis!PivotTable13</c:name>
    <c:fmtId val="24"/>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286</c:v>
                </c:pt>
                <c:pt idx="1">
                  <c:v>129</c:v>
                </c:pt>
                <c:pt idx="2">
                  <c:v>191</c:v>
                </c:pt>
                <c:pt idx="3">
                  <c:v>12</c:v>
                </c:pt>
                <c:pt idx="4">
                  <c:v>1015</c:v>
                </c:pt>
                <c:pt idx="5">
                  <c:v>70</c:v>
                </c:pt>
                <c:pt idx="6">
                  <c:v>12</c:v>
                </c:pt>
                <c:pt idx="7">
                  <c:v>1003</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1-22C4-49E8-928E-A208164A9841}"/>
            </c:ext>
          </c:extLst>
        </c:ser>
        <c:ser>
          <c:idx val="1"/>
          <c:order val="1"/>
          <c:tx>
            <c:strRef>
              <c:f>Analysis!$AK$120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1308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2-22C4-49E8-928E-A208164A9841}"/>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MIAG_f.xlsx]Analysis!PivotTable15</c:name>
    <c:fmtId val="31"/>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Analysis!$AJ$140</c:f>
              <c:strCache>
                <c:ptCount val="1"/>
                <c:pt idx="0">
                  <c:v>Reached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54</c:v>
                </c:pt>
                <c:pt idx="7">
                  <c:v>42</c:v>
                </c:pt>
              </c:numCache>
            </c:numRef>
          </c:val>
          <c:extLst>
            <c:ext xmlns:c16="http://schemas.microsoft.com/office/drawing/2014/chart" uri="{C3380CC4-5D6E-409C-BE32-E72D297353CC}">
              <c16:uniqueId val="{00000001-EADF-4CA0-85F4-D98B78383CFD}"/>
            </c:ext>
          </c:extLst>
        </c:ser>
        <c:ser>
          <c:idx val="1"/>
          <c:order val="1"/>
          <c:tx>
            <c:strRef>
              <c:f>Analysis!$AK$140</c:f>
              <c:strCache>
                <c:ptCount val="1"/>
                <c:pt idx="0">
                  <c:v>Target (20:1)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49</c:v>
                </c:pt>
                <c:pt idx="7">
                  <c:v>32</c:v>
                </c:pt>
              </c:numCache>
            </c:numRef>
          </c:val>
          <c:extLst>
            <c:ext xmlns:c16="http://schemas.microsoft.com/office/drawing/2014/chart" uri="{C3380CC4-5D6E-409C-BE32-E72D297353CC}">
              <c16:uniqueId val="{00000002-EADF-4CA0-85F4-D98B78383CFD}"/>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MIAG_f.xlsx]Analysis!PivotTable3</c:name>
    <c:fmtId val="18"/>
  </c:pivotSource>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Analysis!$D$404:$D$405</c:f>
              <c:strCache>
                <c:ptCount val="1"/>
                <c:pt idx="0">
                  <c:v>2022_Q1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0.91302402761184132</c:v>
                </c:pt>
                <c:pt idx="1">
                  <c:v>0.89170506912442404</c:v>
                </c:pt>
                <c:pt idx="2">
                  <c:v>0.73531249999999981</c:v>
                </c:pt>
                <c:pt idx="3">
                  <c:v>0.25169091445849412</c:v>
                </c:pt>
              </c:numCache>
            </c:numRef>
          </c:val>
          <c:extLst>
            <c:ext xmlns:c16="http://schemas.microsoft.com/office/drawing/2014/chart" uri="{C3380CC4-5D6E-409C-BE32-E72D297353CC}">
              <c16:uniqueId val="{00000000-4BC3-4991-AC11-AEBD3462C7AA}"/>
            </c:ext>
          </c:extLst>
        </c:ser>
        <c:ser>
          <c:idx val="1"/>
          <c:order val="1"/>
          <c:tx>
            <c:strRef>
              <c:f>Analysis!$E$404:$E$405</c:f>
              <c:strCache>
                <c:ptCount val="1"/>
                <c:pt idx="0">
                  <c:v>2022_Q2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Analysis!$E$406:$E$409</c:f>
              <c:numCache>
                <c:formatCode>0%</c:formatCode>
                <c:ptCount val="4"/>
                <c:pt idx="0">
                  <c:v>0.80333333333333334</c:v>
                </c:pt>
                <c:pt idx="1">
                  <c:v>0.8036585365853659</c:v>
                </c:pt>
                <c:pt idx="2">
                  <c:v>0.33873239436619773</c:v>
                </c:pt>
                <c:pt idx="3">
                  <c:v>8.9258899888097015E-2</c:v>
                </c:pt>
              </c:numCache>
            </c:numRef>
          </c:val>
          <c:extLst>
            <c:ext xmlns:c16="http://schemas.microsoft.com/office/drawing/2014/chart" uri="{C3380CC4-5D6E-409C-BE32-E72D297353CC}">
              <c16:uniqueId val="{00000000-5582-4FD5-85B0-59C58AA9BE3A}"/>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2022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HRP!$AC$171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HRP!$AC$172:$AC$177</c:f>
              <c:numCache>
                <c:formatCode>_(* #,##0_);_(* \(#,##0\);_(* "-"??_);_(@_)</c:formatCode>
                <c:ptCount val="6"/>
                <c:pt idx="0">
                  <c:v>4493</c:v>
                </c:pt>
                <c:pt idx="1">
                  <c:v>28603</c:v>
                </c:pt>
                <c:pt idx="2">
                  <c:v>48468</c:v>
                </c:pt>
                <c:pt idx="3">
                  <c:v>739918.77402674593</c:v>
                </c:pt>
                <c:pt idx="4">
                  <c:v>346411</c:v>
                </c:pt>
                <c:pt idx="5">
                  <c:v>531954.38518518524</c:v>
                </c:pt>
              </c:numCache>
            </c:numRef>
          </c:val>
          <c:extLst>
            <c:ext xmlns:c16="http://schemas.microsoft.com/office/drawing/2014/chart" uri="{C3380CC4-5D6E-409C-BE32-E72D297353CC}">
              <c16:uniqueId val="{00000006-DF59-4E13-A78D-D1FAA2870958}"/>
            </c:ext>
          </c:extLst>
        </c:ser>
        <c:ser>
          <c:idx val="1"/>
          <c:order val="1"/>
          <c:tx>
            <c:strRef>
              <c:f>HRP!$AD$171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HRP!$AA$172:$AA$177</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HRP!$AD$172:$AD$177</c:f>
              <c:numCache>
                <c:formatCode>_(* #,##0_);_(* \(#,##0\);_(* "-"??_);_(@_)</c:formatCode>
                <c:ptCount val="6"/>
                <c:pt idx="0">
                  <c:v>11949.099999999999</c:v>
                </c:pt>
                <c:pt idx="2">
                  <c:v>99706.590161234431</c:v>
                </c:pt>
                <c:pt idx="3">
                  <c:v>577406.1275855985</c:v>
                </c:pt>
                <c:pt idx="4">
                  <c:v>355509.98032246891</c:v>
                </c:pt>
                <c:pt idx="5">
                  <c:v>631519.5361046904</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cat>
            <c:strRef>
              <c:f>Analysis!$K$65:$K$66</c:f>
              <c:strCache>
                <c:ptCount val="2"/>
                <c:pt idx="0">
                  <c:v>2022_Q1</c:v>
                </c:pt>
                <c:pt idx="1">
                  <c:v>2022_Q2</c:v>
                </c:pt>
              </c:strCache>
            </c:strRef>
          </c:cat>
          <c:val>
            <c:numRef>
              <c:f>Analysis!$L$65:$L$66</c:f>
              <c:numCache>
                <c:formatCode>General</c:formatCode>
                <c:ptCount val="2"/>
                <c:pt idx="0">
                  <c:v>0</c:v>
                </c:pt>
                <c:pt idx="1">
                  <c:v>0</c:v>
                </c:pt>
              </c:numCache>
            </c:numRef>
          </c:val>
          <c:extLst>
            <c:ext xmlns:c16="http://schemas.microsoft.com/office/drawing/2014/chart" uri="{C3380CC4-5D6E-409C-BE32-E72D297353CC}">
              <c16:uniqueId val="{00000000-21B5-45C9-885F-449121B2DA1C}"/>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cat>
            <c:strRef>
              <c:f>Analysis!$K$65:$K$66</c:f>
              <c:strCache>
                <c:ptCount val="2"/>
                <c:pt idx="0">
                  <c:v>2022_Q1</c:v>
                </c:pt>
                <c:pt idx="1">
                  <c:v>2022_Q2</c:v>
                </c:pt>
              </c:strCache>
            </c:strRef>
          </c:cat>
          <c:val>
            <c:numRef>
              <c:f>Analysis!$M$65:$M$66</c:f>
              <c:numCache>
                <c:formatCode>General</c:formatCode>
                <c:ptCount val="2"/>
                <c:pt idx="0">
                  <c:v>0</c:v>
                </c:pt>
                <c:pt idx="1">
                  <c:v>0</c:v>
                </c:pt>
              </c:numCache>
            </c:numRef>
          </c:val>
          <c:extLst>
            <c:ext xmlns:c16="http://schemas.microsoft.com/office/drawing/2014/chart" uri="{C3380CC4-5D6E-409C-BE32-E72D297353CC}">
              <c16:uniqueId val="{00000001-21B5-45C9-885F-449121B2DA1C}"/>
            </c:ext>
          </c:extLst>
        </c:ser>
        <c:dLbls>
          <c:showLegendKey val="0"/>
          <c:showVal val="0"/>
          <c:showCatName val="0"/>
          <c:showSerName val="0"/>
          <c:showPercent val="0"/>
          <c:showBubbleSize val="0"/>
        </c:dLbls>
        <c:gapWidth val="150"/>
        <c:overlap val="100"/>
        <c:axId val="100006607"/>
        <c:axId val="100007023"/>
      </c:barChart>
      <c:catAx>
        <c:axId val="10000660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0007023"/>
        <c:crosses val="autoZero"/>
        <c:auto val="1"/>
        <c:lblAlgn val="ctr"/>
        <c:lblOffset val="100"/>
        <c:noMultiLvlLbl val="0"/>
      </c:catAx>
      <c:valAx>
        <c:axId val="100007023"/>
        <c:scaling>
          <c:orientation val="minMax"/>
          <c:max val="1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0006607"/>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MIAG_f.xlsx]Analysis!PivotTable4</c:name>
    <c:fmtId val="24"/>
  </c:pivotSource>
  <c:chart>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Analysis!$D$419:$D$420</c:f>
              <c:strCache>
                <c:ptCount val="1"/>
                <c:pt idx="0">
                  <c:v>2022_Q1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Analysis!$D$421:$D$424</c:f>
              <c:numCache>
                <c:formatCode>0%</c:formatCode>
                <c:ptCount val="4"/>
                <c:pt idx="3">
                  <c:v>#N/A</c:v>
                </c:pt>
              </c:numCache>
            </c:numRef>
          </c:val>
          <c:extLst>
            <c:ext xmlns:c16="http://schemas.microsoft.com/office/drawing/2014/chart" uri="{C3380CC4-5D6E-409C-BE32-E72D297353CC}">
              <c16:uniqueId val="{00000000-F8BB-4D3C-80CD-661BBADB251C}"/>
            </c:ext>
          </c:extLst>
        </c:ser>
        <c:ser>
          <c:idx val="1"/>
          <c:order val="1"/>
          <c:tx>
            <c:strRef>
              <c:f>Analysis!$E$419:$E$420</c:f>
              <c:strCache>
                <c:ptCount val="1"/>
                <c:pt idx="0">
                  <c:v>2022_Q2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Analysis!$E$421:$E$424</c:f>
              <c:numCache>
                <c:formatCode>0%</c:formatCode>
                <c:ptCount val="4"/>
                <c:pt idx="3">
                  <c:v>#N/A</c:v>
                </c:pt>
              </c:numCache>
            </c:numRef>
          </c:val>
          <c:extLst>
            <c:ext xmlns:c16="http://schemas.microsoft.com/office/drawing/2014/chart" uri="{C3380CC4-5D6E-409C-BE32-E72D297353CC}">
              <c16:uniqueId val="{00000001-F8BB-4D3C-80CD-661BBADB251C}"/>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Analysis!$D$296:$D$306</c:f>
              <c:numCache>
                <c:formatCode>General</c:formatCode>
                <c:ptCount val="9"/>
                <c:pt idx="0">
                  <c:v>1</c:v>
                </c:pt>
                <c:pt idx="1">
                  <c:v>107</c:v>
                </c:pt>
                <c:pt idx="2">
                  <c:v>5</c:v>
                </c:pt>
                <c:pt idx="3">
                  <c:v>1</c:v>
                </c:pt>
                <c:pt idx="4">
                  <c:v>1</c:v>
                </c:pt>
                <c:pt idx="5">
                  <c:v>9</c:v>
                </c:pt>
                <c:pt idx="6">
                  <c:v>3</c:v>
                </c:pt>
                <c:pt idx="7">
                  <c:v>1</c:v>
                </c:pt>
                <c:pt idx="8">
                  <c:v>2</c:v>
                </c:pt>
              </c:numCache>
            </c:numRef>
          </c:val>
          <c:extLst>
            <c:ext xmlns:c16="http://schemas.microsoft.com/office/drawing/2014/chart" uri="{C3380CC4-5D6E-409C-BE32-E72D297353CC}">
              <c16:uniqueId val="{00000001-AE8F-45E4-B286-B13599EF8A91}"/>
            </c:ext>
          </c:extLst>
        </c:ser>
        <c:ser>
          <c:idx val="1"/>
          <c:order val="1"/>
          <c:tx>
            <c:strRef>
              <c:f>Analysis!$E$294:$E$295</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Analysis!$C$296:$C$306</c:f>
              <c:multiLvlStrCache>
                <c:ptCount val="9"/>
                <c:lvl>
                  <c:pt idx="0">
                    <c:v>Boarding School</c:v>
                  </c:pt>
                  <c:pt idx="1">
                    <c:v>Camp</c:v>
                  </c:pt>
                  <c:pt idx="2">
                    <c:v>Camp Like setting</c:v>
                  </c:pt>
                  <c:pt idx="3">
                    <c:v>Closed Camp</c:v>
                  </c:pt>
                  <c:pt idx="4">
                    <c:v>IDPs in host</c:v>
                  </c:pt>
                  <c:pt idx="5">
                    <c:v>Camp</c:v>
                  </c:pt>
                  <c:pt idx="6">
                    <c:v>Camp Like setting</c:v>
                  </c:pt>
                  <c:pt idx="7">
                    <c:v>Host Families</c:v>
                  </c:pt>
                  <c:pt idx="8">
                    <c:v>School</c:v>
                  </c:pt>
                </c:lvl>
                <c:lvl>
                  <c:pt idx="0">
                    <c:v>Camp</c:v>
                  </c:pt>
                  <c:pt idx="5">
                    <c:v>Camp_not registered</c:v>
                  </c:pt>
                </c:lvl>
              </c:multiLvlStrCache>
            </c:multiLvlStrRef>
          </c:cat>
          <c:val>
            <c:numRef>
              <c:f>Analysis!$E$296:$E$306</c:f>
              <c:numCache>
                <c:formatCode>General</c:formatCode>
                <c:ptCount val="9"/>
                <c:pt idx="1">
                  <c:v>3</c:v>
                </c:pt>
                <c:pt idx="2">
                  <c:v>11</c:v>
                </c:pt>
                <c:pt idx="4">
                  <c:v>7</c:v>
                </c:pt>
              </c:numCache>
            </c:numRef>
          </c:val>
          <c:extLst>
            <c:ext xmlns:c16="http://schemas.microsoft.com/office/drawing/2014/chart" uri="{C3380CC4-5D6E-409C-BE32-E72D297353CC}">
              <c16:uniqueId val="{00000002-AE8F-45E4-B286-B13599EF8A91}"/>
            </c:ext>
          </c:extLst>
        </c:ser>
        <c:dLbls>
          <c:showLegendKey val="0"/>
          <c:showVal val="0"/>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75840945144105"/>
          <c:h val="0.153677138434245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Analysis!$C$377</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Analysis!$D$377:$I$377</c:f>
              <c:numCache>
                <c:formatCode>_(* #,##0_);_(* \(#,##0\);_(* "-"??_);_(@_)</c:formatCode>
                <c:ptCount val="6"/>
                <c:pt idx="0">
                  <c:v>99</c:v>
                </c:pt>
                <c:pt idx="1">
                  <c:v>2328</c:v>
                </c:pt>
                <c:pt idx="2">
                  <c:v>288</c:v>
                </c:pt>
                <c:pt idx="3">
                  <c:v>42</c:v>
                </c:pt>
                <c:pt idx="4">
                  <c:v>2</c:v>
                </c:pt>
                <c:pt idx="5">
                  <c:v>44</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21855181099570711"/>
          <c:y val="0.73082254347293263"/>
          <c:w val="0.6563348564832191"/>
          <c:h val="0.2609825323580416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[20220721_Myanmar_WASH_4W_2022_Q2_KachinShan_camp_Consolidate with MIAG_f.xlsx]Analysis!K_water1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Analysis!$C$39:$C$40</c:f>
              <c:numCache>
                <c:formatCode>_(* #,##0_);_(* \(#,##0\);_(* "-"??_);_(@_)</c:formatCode>
                <c:ptCount val="2"/>
                <c:pt idx="0">
                  <c:v>46799</c:v>
                </c:pt>
                <c:pt idx="1">
                  <c:v>17187.666666666668</c:v>
                </c:pt>
              </c:numCache>
            </c:numRef>
          </c:val>
          <c:extLst>
            <c:ext xmlns:c16="http://schemas.microsoft.com/office/drawing/2014/chart" uri="{C3380CC4-5D6E-409C-BE32-E72D297353CC}">
              <c16:uniqueId val="{00000000-7B97-4ED9-881B-D1166C8A0E61}"/>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 (500:1)</c:v>
                </c:pt>
                <c:pt idx="1">
                  <c:v>NGCA (500:1)</c:v>
                </c:pt>
              </c:strCache>
            </c:strRef>
          </c:cat>
          <c:val>
            <c:numRef>
              <c:f>Analysis!$D$39:$D$40</c:f>
              <c:numCache>
                <c:formatCode>_(* #,##0_);_(* \(#,##0\);_(* "-"??_);_(@_)</c:formatCode>
                <c:ptCount val="2"/>
                <c:pt idx="0">
                  <c:v>14257.000000000002</c:v>
                </c:pt>
                <c:pt idx="1">
                  <c:v>28900.333333333336</c:v>
                </c:pt>
              </c:numCache>
            </c:numRef>
          </c:val>
          <c:extLst>
            <c:ext xmlns:c16="http://schemas.microsoft.com/office/drawing/2014/chart" uri="{C3380CC4-5D6E-409C-BE32-E72D297353CC}">
              <c16:uniqueId val="{00000001-7B97-4ED9-881B-D1166C8A0E61}"/>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Q2-2022</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689726284214473E-2"/>
          <c:y val="0.23610667491059015"/>
          <c:w val="0.43774608274889804"/>
          <c:h val="0.59102878282892879"/>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7.1951770996849559E-2"/>
                  <c:y val="0.1214298058512193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33</c:v>
                </c:pt>
                <c:pt idx="1">
                  <c:v>97</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1</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2.1734470691163604E-2"/>
          <c:y val="0.78500082416436234"/>
          <c:w val="0.45558055243094614"/>
          <c:h val="0.1194508261136307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Q2-2022</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0123421027221081E-3"/>
          <c:y val="0.28992098970786989"/>
          <c:w val="0.46906767088896495"/>
          <c:h val="0.45684425287670782"/>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7.4255479693366419E-2"/>
                  <c:y val="0.116393565340472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15</c:v>
                </c:pt>
                <c:pt idx="1">
                  <c:v>115</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1.1585775858285272E-2"/>
          <c:y val="0.80010813302619266"/>
          <c:w val="0.48745477049482516"/>
          <c:h val="7.37710081321801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12474.2</c:v>
                </c:pt>
                <c:pt idx="1">
                  <c:v>9689</c:v>
                </c:pt>
              </c:numCache>
            </c:numRef>
          </c:val>
          <c:extLst>
            <c:ext xmlns:c16="http://schemas.microsoft.com/office/drawing/2014/chart" uri="{C3380CC4-5D6E-409C-BE32-E72D297353CC}">
              <c16:uniqueId val="{00000000-1389-4B41-AB26-BD561376BE5E}"/>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8276</c:v>
                </c:pt>
                <c:pt idx="1">
                  <c:v>11061.2</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5980</c:v>
                </c:pt>
                <c:pt idx="1">
                  <c:v>1363</c:v>
                </c:pt>
              </c:numCache>
            </c:numRef>
          </c:val>
          <c:extLst>
            <c:ext xmlns:c16="http://schemas.microsoft.com/office/drawing/2014/chart" uri="{C3380CC4-5D6E-409C-BE32-E72D297353CC}">
              <c16:uniqueId val="{00000000-D8C3-41A2-A2F3-A019286DD688}"/>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0</c:v>
                </c:pt>
                <c:pt idx="1">
                  <c:v>7687.2000000000007</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567931446309913E-17"/>
                  <c:y val="-2.48445613034434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8742</c:v>
                </c:pt>
                <c:pt idx="1">
                  <c:v>1898</c:v>
                </c:pt>
              </c:numCache>
            </c:numRef>
          </c:val>
          <c:extLst>
            <c:ext xmlns:c16="http://schemas.microsoft.com/office/drawing/2014/chart" uri="{C3380CC4-5D6E-409C-BE32-E72D297353CC}">
              <c16:uniqueId val="{00000000-06ED-4B2E-A650-D2BCC4F3ED16}"/>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dLbl>
              <c:idx val="1"/>
              <c:layout>
                <c:manualLayout>
                  <c:x val="-7.8567931446309913E-17"/>
                  <c:y val="-4.6500407031121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1-40B9-AE05-9A1CC3A0B8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8964.239999999998</c:v>
                </c:pt>
                <c:pt idx="1">
                  <c:v>11467.519999999999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2"/>
            <c:invertIfNegative val="0"/>
            <c:bubble3D val="0"/>
            <c:spPr>
              <a:solidFill>
                <a:srgbClr val="FFFF00"/>
              </a:solidFill>
              <a:ln>
                <a:noFill/>
              </a:ln>
              <a:effectLst/>
            </c:spPr>
            <c:extLst>
              <c:ext xmlns:c16="http://schemas.microsoft.com/office/drawing/2014/chart" uri="{C3380CC4-5D6E-409C-BE32-E72D297353CC}">
                <c16:uniqueId val="{00000011-C862-4B01-A4CD-34DAB467B30C}"/>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3-046B-47CF-91D0-69549E2F40B6}"/>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dLbl>
              <c:idx val="2"/>
              <c:layout>
                <c:manualLayout>
                  <c:x val="4.4251938974395173E-2"/>
                  <c:y val="4.5759112143512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62-4B01-A4CD-34DAB467B30C}"/>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3-046B-47CF-91D0-69549E2F40B6}"/>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536-470B-9DC6-209F9010E8C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HRP!$E$220:$E$225</c:f>
              <c:numCache>
                <c:formatCode>_(* #,##0_);_(* \(#,##0\);_(* "-"??_);_(@_)</c:formatCode>
                <c:ptCount val="6"/>
                <c:pt idx="0">
                  <c:v>0</c:v>
                </c:pt>
                <c:pt idx="1">
                  <c:v>0</c:v>
                </c:pt>
                <c:pt idx="2">
                  <c:v>150</c:v>
                </c:pt>
                <c:pt idx="3">
                  <c:v>62978</c:v>
                </c:pt>
                <c:pt idx="4">
                  <c:v>19599</c:v>
                </c:pt>
                <c:pt idx="5">
                  <c:v>75638</c:v>
                </c:pt>
              </c:numCache>
            </c:numRef>
          </c:val>
          <c:extLst>
            <c:ext xmlns:c16="http://schemas.microsoft.com/office/drawing/2014/chart" uri="{C3380CC4-5D6E-409C-BE32-E72D297353CC}">
              <c16:uniqueId val="{00000000-4536-470B-9DC6-209F9010E8C8}"/>
            </c:ext>
          </c:extLst>
        </c:ser>
        <c:ser>
          <c:idx val="1"/>
          <c:order val="1"/>
          <c:tx>
            <c:strRef>
              <c:f>HRP!$F$219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HRP!$C$220:$C$225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HRP!$F$220:$F$225</c:f>
              <c:numCache>
                <c:formatCode>_(* #,##0_);_(* \(#,##0\);_(* "-"??_);_(@_)</c:formatCode>
                <c:ptCount val="6"/>
                <c:pt idx="0">
                  <c:v>1776.72</c:v>
                </c:pt>
                <c:pt idx="1">
                  <c:v>2961.2000000000003</c:v>
                </c:pt>
                <c:pt idx="2">
                  <c:v>8484.3915255669617</c:v>
                </c:pt>
                <c:pt idx="3">
                  <c:v>5598.7152556696092</c:v>
                </c:pt>
                <c:pt idx="4">
                  <c:v>41495.543051133922</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39053625044274309"/>
          <c:y val="2.7107713674240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HRP!$E$189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HRP!$E$190:$E$195</c:f>
              <c:numCache>
                <c:formatCode>_(* #,##0_);_(* \(#,##0\);_(* "-"??_);_(@_)</c:formatCode>
                <c:ptCount val="6"/>
                <c:pt idx="0">
                  <c:v>3893</c:v>
                </c:pt>
                <c:pt idx="1">
                  <c:v>18980</c:v>
                </c:pt>
                <c:pt idx="2">
                  <c:v>1365</c:v>
                </c:pt>
                <c:pt idx="3">
                  <c:v>88275</c:v>
                </c:pt>
                <c:pt idx="4">
                  <c:v>82853</c:v>
                </c:pt>
                <c:pt idx="5">
                  <c:v>78619.051851851851</c:v>
                </c:pt>
              </c:numCache>
            </c:numRef>
          </c:val>
          <c:extLst>
            <c:ext xmlns:c16="http://schemas.microsoft.com/office/drawing/2014/chart" uri="{C3380CC4-5D6E-409C-BE32-E72D297353CC}">
              <c16:uniqueId val="{00000008-B308-4468-B0EF-D5596C95F4FD}"/>
            </c:ext>
          </c:extLst>
        </c:ser>
        <c:ser>
          <c:idx val="1"/>
          <c:order val="1"/>
          <c:tx>
            <c:strRef>
              <c:f>HRP!$F$189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HRP!$C$190:$C$195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HRP!$F$190:$F$195</c:f>
              <c:numCache>
                <c:formatCode>_(* #,##0_);_(* \(#,##0\);_(* "-"??_);_(@_)</c:formatCode>
                <c:ptCount val="6"/>
                <c:pt idx="2">
                  <c:v>14334.894428130017</c:v>
                </c:pt>
                <c:pt idx="3">
                  <c:v>37763.34428130016</c:v>
                </c:pt>
                <c:pt idx="4">
                  <c:v>24916.268856260038</c:v>
                </c:pt>
                <c:pt idx="5">
                  <c:v>42852.023573188271</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r>
              <a:rPr lang="en-US" sz="12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104</c:v>
                </c:pt>
                <c:pt idx="1">
                  <c:v>11</c:v>
                </c:pt>
                <c:pt idx="2">
                  <c:v>9</c:v>
                </c:pt>
                <c:pt idx="3">
                  <c:v>6</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Analysis!$C$161:$F$161</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Analysis!$C$162:$F$162</c15:sqref>
                        </c15:formulaRef>
                      </c:ext>
                    </c:extLst>
                    <c:numCache>
                      <c:formatCode>General</c:formatCode>
                      <c:ptCount val="4"/>
                      <c:pt idx="0">
                        <c:v>14</c:v>
                      </c:pt>
                      <c:pt idx="1">
                        <c:v>14</c:v>
                      </c:pt>
                      <c:pt idx="2">
                        <c:v>4</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Analysis!$B$176</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Analysis!$C$176:$F$176</c15:sqref>
                  </c15:fullRef>
                </c:ext>
              </c:extLst>
              <c:f>Analysis!$C$176:$E$176</c:f>
              <c:numCache>
                <c:formatCode>General</c:formatCode>
                <c:ptCount val="3"/>
                <c:pt idx="0">
                  <c:v>8</c:v>
                </c:pt>
                <c:pt idx="1">
                  <c:v>7</c:v>
                </c:pt>
                <c:pt idx="2">
                  <c:v>115</c:v>
                </c:pt>
              </c:numCache>
            </c:numRef>
          </c:val>
          <c:extLst>
            <c:ext xmlns:c15="http://schemas.microsoft.com/office/drawing/2012/char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3B82-424E-BF91-6CAC0B6A4257}"/>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Analysis!$C$177:$F$177</c15:sqref>
                        </c15:fullRef>
                        <c15:formulaRef>
                          <c15:sqref>Analysis!$C$177:$E$177</c15:sqref>
                        </c15:formulaRef>
                      </c:ext>
                    </c:extLst>
                    <c:numCache>
                      <c:formatCode>General</c:formatCode>
                      <c:ptCount val="3"/>
                    </c:numCache>
                  </c:numRef>
                </c:val>
                <c:extLst>
                  <c:ex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Analysis!$B$178</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15:formulaRef>
                          <c15:sqref>Analysis!$C$178:$E$178</c15:sqref>
                        </c15:formulaRef>
                      </c:ext>
                    </c:extLst>
                    <c:numCache>
                      <c:formatCode>General</c:formatCode>
                      <c:ptCount val="3"/>
                      <c:pt idx="0">
                        <c:v>14</c:v>
                      </c:pt>
                      <c:pt idx="1">
                        <c:v>6</c:v>
                      </c:pt>
                      <c:pt idx="2">
                        <c:v>18</c:v>
                      </c:pt>
                    </c:numCache>
                  </c:numRef>
                </c:val>
                <c:extLst xmlns:c15="http://schemas.microsoft.com/office/drawing/2012/char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1"/>
              <c:layout>
                <c:manualLayout>
                  <c:x val="1.686114515056206E-2"/>
                  <c:y val="-6.4584614433289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660</c:v>
                </c:pt>
                <c:pt idx="1">
                  <c:v>1055</c:v>
                </c:pt>
              </c:numCache>
            </c:numRef>
          </c:val>
          <c:extLst>
            <c:ext xmlns:c16="http://schemas.microsoft.com/office/drawing/2014/chart" uri="{C3380CC4-5D6E-409C-BE32-E72D297353CC}">
              <c16:uniqueId val="{00000000-89DD-4829-838C-9132D2EEC9DD}"/>
            </c:ext>
          </c:extLst>
        </c:ser>
        <c:ser>
          <c:idx val="3"/>
          <c:order val="3"/>
          <c:tx>
            <c:strRef>
              <c:f>Analysis!$B$134</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2394</c:v>
                </c:pt>
                <c:pt idx="1">
                  <c:v>2607</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2344</c:v>
                      </c:pt>
                      <c:pt idx="1">
                        <c:v>3662</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710</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majorUnit val="0.5"/>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8110503941046066"/>
          <c:w val="0.8269872515935508"/>
          <c:h val="0.45797951668100412"/>
        </c:manualLayout>
      </c:layout>
      <c:barChart>
        <c:barDir val="col"/>
        <c:grouping val="clustered"/>
        <c:varyColors val="0"/>
        <c:ser>
          <c:idx val="0"/>
          <c:order val="0"/>
          <c:tx>
            <c:strRef>
              <c:f>Analysis!$B$135</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51</c:v>
                </c:pt>
                <c:pt idx="1">
                  <c:v>39</c:v>
                </c:pt>
              </c:numCache>
            </c:numRef>
          </c:val>
          <c:extLst>
            <c:ext xmlns:c16="http://schemas.microsoft.com/office/drawing/2014/chart" uri="{C3380CC4-5D6E-409C-BE32-E72D297353CC}">
              <c16:uniqueId val="{00000000-BE5C-460C-9416-9E341743CD67}"/>
            </c:ext>
          </c:extLst>
        </c:ser>
        <c:ser>
          <c:idx val="1"/>
          <c:order val="1"/>
          <c:tx>
            <c:strRef>
              <c:f>Analysis!$B$136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595</c:v>
                </c:pt>
                <c:pt idx="1">
                  <c:v>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6006</c:v>
                </c:pt>
                <c:pt idx="1">
                  <c:v>204</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Analysis!$P$121:$P$122</c:f>
              <c:numCache>
                <c:formatCode>_(* #,##0_);_(* \(#,##0\);_(* "-"??_);_(@_)</c:formatCode>
                <c:ptCount val="2"/>
                <c:pt idx="0">
                  <c:v>37127</c:v>
                </c:pt>
                <c:pt idx="1">
                  <c:v>36061</c:v>
                </c:pt>
              </c:numCache>
            </c:numRef>
          </c:val>
          <c:extLst>
            <c:ext xmlns:c16="http://schemas.microsoft.com/office/drawing/2014/chart" uri="{C3380CC4-5D6E-409C-BE32-E72D297353CC}">
              <c16:uniqueId val="{00000000-5E5B-49CC-95ED-B9B52369944B}"/>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 in GCA (20:1)</c:v>
                </c:pt>
                <c:pt idx="1">
                  <c:v># in NGCA (20:1)</c:v>
                </c:pt>
              </c:strCache>
            </c:strRef>
          </c:cat>
          <c:val>
            <c:numRef>
              <c:f>Analysis!$Q$121:$Q$122</c:f>
              <c:numCache>
                <c:formatCode>_(* #,##0_);_(* \(#,##0\);_(* "-"??_);_(@_)</c:formatCode>
                <c:ptCount val="2"/>
                <c:pt idx="0">
                  <c:v>23929</c:v>
                </c:pt>
                <c:pt idx="1">
                  <c:v>10027</c:v>
                </c:pt>
              </c:numCache>
            </c:numRef>
          </c:val>
          <c:extLst>
            <c:ext xmlns:c16="http://schemas.microsoft.com/office/drawing/2014/chart" uri="{C3380CC4-5D6E-409C-BE32-E72D297353CC}">
              <c16:uniqueId val="{00000001-5E5B-49CC-95ED-B9B52369944B}"/>
            </c:ext>
          </c:extLst>
        </c:ser>
        <c:dLbls>
          <c:showLegendKey val="0"/>
          <c:showVal val="0"/>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Analysis!$AJ$121:$AJ$134</c:f>
              <c:numCache>
                <c:formatCode>General</c:formatCode>
                <c:ptCount val="14"/>
                <c:pt idx="0">
                  <c:v>286</c:v>
                </c:pt>
                <c:pt idx="1">
                  <c:v>129</c:v>
                </c:pt>
                <c:pt idx="2">
                  <c:v>191</c:v>
                </c:pt>
                <c:pt idx="3">
                  <c:v>12</c:v>
                </c:pt>
                <c:pt idx="4">
                  <c:v>1015</c:v>
                </c:pt>
                <c:pt idx="5">
                  <c:v>70</c:v>
                </c:pt>
                <c:pt idx="6">
                  <c:v>12</c:v>
                </c:pt>
                <c:pt idx="7">
                  <c:v>1003</c:v>
                </c:pt>
                <c:pt idx="8">
                  <c:v>441</c:v>
                </c:pt>
                <c:pt idx="9">
                  <c:v>12</c:v>
                </c:pt>
                <c:pt idx="10">
                  <c:v>27</c:v>
                </c:pt>
                <c:pt idx="11">
                  <c:v>155</c:v>
                </c:pt>
                <c:pt idx="12">
                  <c:v>0</c:v>
                </c:pt>
                <c:pt idx="13">
                  <c:v>2106</c:v>
                </c:pt>
              </c:numCache>
            </c:numRef>
          </c:val>
          <c:extLst>
            <c:ext xmlns:c16="http://schemas.microsoft.com/office/drawing/2014/chart" uri="{C3380CC4-5D6E-409C-BE32-E72D297353CC}">
              <c16:uniqueId val="{00000000-AB53-4569-A138-4B2EA2158C48}"/>
            </c:ext>
          </c:extLst>
        </c:ser>
        <c:ser>
          <c:idx val="1"/>
          <c:order val="1"/>
          <c:tx>
            <c:strRef>
              <c:f>Analysis!$AK$120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Analysis!$AI$121:$AI$134</c:f>
              <c:strCache>
                <c:ptCount val="14"/>
                <c:pt idx="0">
                  <c:v>Bhamo</c:v>
                </c:pt>
                <c:pt idx="1">
                  <c:v>Chipwi</c:v>
                </c:pt>
                <c:pt idx="2">
                  <c:v>Hpakant</c:v>
                </c:pt>
                <c:pt idx="3">
                  <c:v>Injangyang</c:v>
                </c:pt>
                <c:pt idx="4">
                  <c:v>Mansi</c:v>
                </c:pt>
                <c:pt idx="5">
                  <c:v>Mogaung</c:v>
                </c:pt>
                <c:pt idx="6">
                  <c:v>Mohnyin</c:v>
                </c:pt>
                <c:pt idx="7">
                  <c:v>Momauk</c:v>
                </c:pt>
                <c:pt idx="8">
                  <c:v>Myitkyina</c:v>
                </c:pt>
                <c:pt idx="9">
                  <c:v>Puta-O</c:v>
                </c:pt>
                <c:pt idx="10">
                  <c:v>Shwegu</c:v>
                </c:pt>
                <c:pt idx="11">
                  <c:v>Sumprabum</c:v>
                </c:pt>
                <c:pt idx="12">
                  <c:v>Tanai</c:v>
                </c:pt>
                <c:pt idx="13">
                  <c:v>Waingmaw</c:v>
                </c:pt>
              </c:strCache>
            </c:strRef>
          </c:cat>
          <c:val>
            <c:numRef>
              <c:f>Analysis!$AK$121:$AK$134</c:f>
              <c:numCache>
                <c:formatCode>General</c:formatCode>
                <c:ptCount val="14"/>
                <c:pt idx="0">
                  <c:v>335</c:v>
                </c:pt>
                <c:pt idx="1">
                  <c:v>130</c:v>
                </c:pt>
                <c:pt idx="2">
                  <c:v>192</c:v>
                </c:pt>
                <c:pt idx="3">
                  <c:v>29</c:v>
                </c:pt>
                <c:pt idx="4">
                  <c:v>590</c:v>
                </c:pt>
                <c:pt idx="5">
                  <c:v>76</c:v>
                </c:pt>
                <c:pt idx="6">
                  <c:v>9</c:v>
                </c:pt>
                <c:pt idx="7">
                  <c:v>1308</c:v>
                </c:pt>
                <c:pt idx="8">
                  <c:v>549</c:v>
                </c:pt>
                <c:pt idx="9">
                  <c:v>14</c:v>
                </c:pt>
                <c:pt idx="10">
                  <c:v>94</c:v>
                </c:pt>
                <c:pt idx="11">
                  <c:v>43</c:v>
                </c:pt>
                <c:pt idx="12">
                  <c:v>62</c:v>
                </c:pt>
                <c:pt idx="13">
                  <c:v>1725</c:v>
                </c:pt>
              </c:numCache>
            </c:numRef>
          </c:val>
          <c:extLst>
            <c:ext xmlns:c16="http://schemas.microsoft.com/office/drawing/2014/chart" uri="{C3380CC4-5D6E-409C-BE32-E72D297353CC}">
              <c16:uniqueId val="{00000001-AB53-4569-A138-4B2EA2158C48}"/>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4">
              <a:lumMod val="50000"/>
            </a:schemeClr>
          </a:solidFill>
          <a:ln>
            <a:noFill/>
          </a:ln>
          <a:effectLst/>
        </c:spPr>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199635741184523"/>
          <c:y val="0.16105528260650198"/>
          <c:w val="0.52086611434440266"/>
          <c:h val="0.65017441414310484"/>
        </c:manualLayout>
      </c:layout>
      <c:barChart>
        <c:barDir val="bar"/>
        <c:grouping val="clustered"/>
        <c:varyColors val="0"/>
        <c:ser>
          <c:idx val="0"/>
          <c:order val="0"/>
          <c:tx>
            <c:strRef>
              <c:f>Analysis!$D$404:$D$405</c:f>
              <c:strCache>
                <c:ptCount val="1"/>
                <c:pt idx="0">
                  <c:v>2022_Q1</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Analysis!$D$406:$D$409</c:f>
              <c:numCache>
                <c:formatCode>0%</c:formatCode>
                <c:ptCount val="4"/>
                <c:pt idx="0">
                  <c:v>0.91302402761184132</c:v>
                </c:pt>
                <c:pt idx="1">
                  <c:v>0.89170506912442404</c:v>
                </c:pt>
                <c:pt idx="2">
                  <c:v>0.73531249999999981</c:v>
                </c:pt>
                <c:pt idx="3">
                  <c:v>0.25169091445849412</c:v>
                </c:pt>
              </c:numCache>
            </c:numRef>
          </c:val>
          <c:extLst>
            <c:ext xmlns:c16="http://schemas.microsoft.com/office/drawing/2014/chart" uri="{C3380CC4-5D6E-409C-BE32-E72D297353CC}">
              <c16:uniqueId val="{00000000-7DF0-45A1-94D6-738D4888EEB7}"/>
            </c:ext>
          </c:extLst>
        </c:ser>
        <c:ser>
          <c:idx val="1"/>
          <c:order val="1"/>
          <c:tx>
            <c:strRef>
              <c:f>Analysis!$E$404:$E$405</c:f>
              <c:strCache>
                <c:ptCount val="1"/>
                <c:pt idx="0">
                  <c:v>2022_Q2</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Analysis!$C$406:$C$409</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Analysis!$E$406:$E$409</c:f>
              <c:numCache>
                <c:formatCode>0%</c:formatCode>
                <c:ptCount val="4"/>
                <c:pt idx="0">
                  <c:v>0.80333333333333334</c:v>
                </c:pt>
                <c:pt idx="1">
                  <c:v>0.8036585365853659</c:v>
                </c:pt>
                <c:pt idx="2">
                  <c:v>0.33873239436619773</c:v>
                </c:pt>
                <c:pt idx="3">
                  <c:v>8.9258899888097015E-2</c:v>
                </c:pt>
              </c:numCache>
            </c:numRef>
          </c:val>
          <c:extLst>
            <c:ext xmlns:c16="http://schemas.microsoft.com/office/drawing/2014/chart" uri="{C3380CC4-5D6E-409C-BE32-E72D297353CC}">
              <c16:uniqueId val="{00000000-34DD-4BE5-ACC4-11D0444DFE0C}"/>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0.204910373987951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Analysis!$K$61:$K$62</c:f>
              <c:strCache>
                <c:ptCount val="2"/>
                <c:pt idx="0">
                  <c:v>2022_Q1</c:v>
                </c:pt>
                <c:pt idx="1">
                  <c:v>2022_Q2</c:v>
                </c:pt>
              </c:strCache>
            </c:strRef>
          </c:cat>
          <c:val>
            <c:numRef>
              <c:f>Analysis!$L$61:$L$62</c:f>
              <c:numCache>
                <c:formatCode>General</c:formatCode>
                <c:ptCount val="2"/>
                <c:pt idx="0">
                  <c:v>46</c:v>
                </c:pt>
                <c:pt idx="1">
                  <c:v>140</c:v>
                </c:pt>
              </c:numCache>
            </c:numRef>
          </c:val>
          <c:extLst>
            <c:ext xmlns:c16="http://schemas.microsoft.com/office/drawing/2014/chart" uri="{C3380CC4-5D6E-409C-BE32-E72D297353CC}">
              <c16:uniqueId val="{00000000-A3F4-4E19-8020-F240E8954E2B}"/>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Analysis!$K$61:$K$62</c:f>
              <c:strCache>
                <c:ptCount val="2"/>
                <c:pt idx="0">
                  <c:v>2022_Q1</c:v>
                </c:pt>
                <c:pt idx="1">
                  <c:v>2022_Q2</c:v>
                </c:pt>
              </c:strCache>
            </c:strRef>
          </c:cat>
          <c:val>
            <c:numRef>
              <c:f>Analysis!$M$61:$M$62</c:f>
              <c:numCache>
                <c:formatCode>General</c:formatCode>
                <c:ptCount val="2"/>
                <c:pt idx="0">
                  <c:v>31</c:v>
                </c:pt>
                <c:pt idx="1">
                  <c:v>99</c:v>
                </c:pt>
              </c:numCache>
            </c:numRef>
          </c:val>
          <c:extLst>
            <c:ext xmlns:c16="http://schemas.microsoft.com/office/drawing/2014/chart" uri="{C3380CC4-5D6E-409C-BE32-E72D297353CC}">
              <c16:uniqueId val="{00000001-A3F4-4E19-8020-F240E8954E2B}"/>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25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HRP!$S$219</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rgbClr val="ED7D31">
                  <a:lumMod val="75000"/>
                </a:srgbClr>
              </a:solidFill>
              <a:ln>
                <a:noFill/>
              </a:ln>
              <a:effectLst/>
            </c:spPr>
            <c:extLst>
              <c:ext xmlns:c16="http://schemas.microsoft.com/office/drawing/2014/chart" uri="{C3380CC4-5D6E-409C-BE32-E72D297353CC}">
                <c16:uniqueId val="{00000011-6EDD-46FF-B657-D8AD6C198DB7}"/>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HRP!$S$220:$S$225</c:f>
              <c:numCache>
                <c:formatCode>_(* #,##0_);_(* \(#,##0\);_(* "-"??_);_(@_)</c:formatCode>
                <c:ptCount val="6"/>
                <c:pt idx="0">
                  <c:v>0</c:v>
                </c:pt>
                <c:pt idx="1">
                  <c:v>0</c:v>
                </c:pt>
                <c:pt idx="2">
                  <c:v>0</c:v>
                </c:pt>
                <c:pt idx="3">
                  <c:v>80409</c:v>
                </c:pt>
                <c:pt idx="4">
                  <c:v>35400</c:v>
                </c:pt>
                <c:pt idx="5">
                  <c:v>49244</c:v>
                </c:pt>
              </c:numCache>
            </c:numRef>
          </c:val>
          <c:extLst>
            <c:ext xmlns:c16="http://schemas.microsoft.com/office/drawing/2014/chart" uri="{C3380CC4-5D6E-409C-BE32-E72D297353CC}">
              <c16:uniqueId val="{00000000-4536-470B-9DC6-209F9010E8C8}"/>
            </c:ext>
          </c:extLst>
        </c:ser>
        <c:ser>
          <c:idx val="1"/>
          <c:order val="1"/>
          <c:tx>
            <c:strRef>
              <c:f>HRP!$T$219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HRP!$Q$220:$Q$225</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HRP!$T$220:$T$225</c:f>
              <c:numCache>
                <c:formatCode>_(* #,##0_);_(* \(#,##0\);_(* "-"??_);_(@_)</c:formatCode>
                <c:ptCount val="6"/>
                <c:pt idx="0">
                  <c:v>2406.69</c:v>
                </c:pt>
                <c:pt idx="1">
                  <c:v>4011.15</c:v>
                </c:pt>
                <c:pt idx="2">
                  <c:v>10430.134801816714</c:v>
                </c:pt>
                <c:pt idx="4">
                  <c:v>44825.289603633428</c:v>
                </c:pt>
                <c:pt idx="5">
                  <c:v>30988.158414533711</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46634084070901"/>
          <c:y val="5.6798964648793998E-2"/>
          <c:w val="0.65019001868830661"/>
          <c:h val="0.50781125525152837"/>
        </c:manualLayout>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Analysis!$Y$59:$Y$60</c:f>
              <c:strCache>
                <c:ptCount val="2"/>
                <c:pt idx="0">
                  <c:v>2022_Q1</c:v>
                </c:pt>
                <c:pt idx="1">
                  <c:v>2022_Q2</c:v>
                </c:pt>
              </c:strCache>
            </c:strRef>
          </c:cat>
          <c:val>
            <c:numRef>
              <c:f>Analysis!$Z$59:$Z$60</c:f>
              <c:numCache>
                <c:formatCode>General</c:formatCode>
                <c:ptCount val="2"/>
                <c:pt idx="0">
                  <c:v>100</c:v>
                </c:pt>
                <c:pt idx="1">
                  <c:v>181</c:v>
                </c:pt>
              </c:numCache>
            </c:numRef>
          </c:val>
          <c:extLst>
            <c:ext xmlns:c16="http://schemas.microsoft.com/office/drawing/2014/chart" uri="{C3380CC4-5D6E-409C-BE32-E72D297353CC}">
              <c16:uniqueId val="{00000000-B2B9-4CF1-AB93-D37D38D113BC}"/>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Analysis!$Y$59:$Y$60</c:f>
              <c:strCache>
                <c:ptCount val="2"/>
                <c:pt idx="0">
                  <c:v>2022_Q1</c:v>
                </c:pt>
                <c:pt idx="1">
                  <c:v>2022_Q2</c:v>
                </c:pt>
              </c:strCache>
            </c:strRef>
          </c:cat>
          <c:val>
            <c:numRef>
              <c:f>Analysis!$AA$59:$AA$60</c:f>
              <c:numCache>
                <c:formatCode>General</c:formatCode>
                <c:ptCount val="2"/>
                <c:pt idx="0">
                  <c:v>71</c:v>
                </c:pt>
                <c:pt idx="1">
                  <c:v>163</c:v>
                </c:pt>
              </c:numCache>
            </c:numRef>
          </c:val>
          <c:extLst>
            <c:ext xmlns:c16="http://schemas.microsoft.com/office/drawing/2014/chart" uri="{C3380CC4-5D6E-409C-BE32-E72D297353CC}">
              <c16:uniqueId val="{00000001-B2B9-4CF1-AB93-D37D38D113BC}"/>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8.1930316725686049E-3"/>
          <c:y val="0.69356399527047996"/>
          <c:w val="0.99180696832743143"/>
          <c:h val="0.3064360047295200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2022-Q2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2022</c:v>
                </c:pt>
              </c:strCache>
            </c:strRef>
          </c:tx>
          <c:spPr>
            <a:solidFill>
              <a:srgbClr val="0070C0"/>
            </a:solidFill>
            <a:ln>
              <a:noFill/>
            </a:ln>
            <a:effectLst/>
          </c:spPr>
          <c:invertIfNegative val="0"/>
          <c:dLbls>
            <c:dLbl>
              <c:idx val="0"/>
              <c:layout>
                <c:manualLayout>
                  <c:x val="6.6901086557717107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B9-4B55-A33F-B60756A8F6AD}"/>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[6]National!$D$6:$D$22</c15:sqref>
                  </c15:fullRef>
                </c:ext>
              </c:extLst>
              <c:f>[6]National!$D$11</c:f>
              <c:numCache>
                <c:formatCode>General</c:formatCode>
                <c:ptCount val="1"/>
                <c:pt idx="0">
                  <c:v>2320100.8068778007</c:v>
                </c:pt>
              </c:numCache>
            </c:numRef>
          </c:val>
          <c:extLst xmlns:c15="http://schemas.microsoft.com/office/drawing/2012/chart">
            <c:ext xmlns:c16="http://schemas.microsoft.com/office/drawing/2014/chart" uri="{C3380CC4-5D6E-409C-BE32-E72D297353CC}">
              <c16:uniqueId val="{00000001-ECB9-4B55-A33F-B60756A8F6AD}"/>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[6]National!$E$6:$E$22</c15:sqref>
                  </c15:fullRef>
                </c:ext>
              </c:extLst>
              <c:f>[6]National!$E$11</c:f>
              <c:numCache>
                <c:formatCode>General</c:formatCode>
                <c:ptCount val="1"/>
                <c:pt idx="0">
                  <c:v>17778102.050564952</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ECB9-4B55-A33F-B60756A8F6AD}"/>
            </c:ext>
          </c:extLst>
        </c:ser>
        <c:dLbls>
          <c:dLblPos val="ctr"/>
          <c:showLegendKey val="0"/>
          <c:showVal val="1"/>
          <c:showCatName val="0"/>
          <c:showSerName val="0"/>
          <c:showPercent val="0"/>
          <c:showBubbleSize val="0"/>
        </c:dLbls>
        <c:gapWidth val="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0.11392710281820469</c:v>
              </c:pt>
            </c:numLit>
          </c:val>
          <c:extLst>
            <c:ext xmlns:c16="http://schemas.microsoft.com/office/drawing/2014/chart" uri="{C3380CC4-5D6E-409C-BE32-E72D297353CC}">
              <c16:uniqueId val="{00000000-50B8-496E-BCF1-846AB4AEF693}"/>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0.53682371463453304</c:v>
              </c:pt>
            </c:numLit>
          </c:val>
          <c:extLst>
            <c:ext xmlns:c16="http://schemas.microsoft.com/office/drawing/2014/chart" uri="{C3380CC4-5D6E-409C-BE32-E72D297353CC}">
              <c16:uniqueId val="{00000001-50B8-496E-BCF1-846AB4AEF693}"/>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0.34924918254726239</c:v>
              </c:pt>
            </c:numLit>
          </c:val>
          <c:extLst>
            <c:ext xmlns:c16="http://schemas.microsoft.com/office/drawing/2014/chart" uri="{C3380CC4-5D6E-409C-BE32-E72D297353CC}">
              <c16:uniqueId val="{00000002-50B8-496E-BCF1-846AB4AEF693}"/>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153021790473695E-2"/>
          <c:y val="0.15432734001630938"/>
          <c:w val="0.91153744135782122"/>
          <c:h val="0.6239307418535871"/>
        </c:manualLayout>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5431372.7659449074</c:v>
              </c:pt>
              <c:pt idx="1">
                <c:v>4353706.9810160939</c:v>
              </c:pt>
              <c:pt idx="2">
                <c:v>4283214.5919899773</c:v>
              </c:pt>
              <c:pt idx="3">
                <c:v>2928740.2487938525</c:v>
              </c:pt>
              <c:pt idx="4">
                <c:v>3193730.5528003741</c:v>
              </c:pt>
              <c:pt idx="5">
                <c:v>5303397.3983148374</c:v>
              </c:pt>
              <c:pt idx="6">
                <c:v>6844809.4371433221</c:v>
              </c:pt>
              <c:pt idx="7">
                <c:v>4623392.5480022803</c:v>
              </c:pt>
              <c:pt idx="8">
                <c:v>3772808.7855382375</c:v>
              </c:pt>
              <c:pt idx="9">
                <c:v>2320100.8068778003</c:v>
              </c:pt>
            </c:numLit>
          </c:val>
          <c:smooth val="0"/>
          <c:extLst>
            <c:ext xmlns:c16="http://schemas.microsoft.com/office/drawing/2014/chart" uri="{C3380CC4-5D6E-409C-BE32-E72D297353CC}">
              <c16:uniqueId val="{00000000-3208-4A0F-BB8C-BE044F8698C7}"/>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MIAG_f.xlsx]Analysis!PivotTable4</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Analysis!$D$419:$D$420</c:f>
              <c:strCache>
                <c:ptCount val="1"/>
                <c:pt idx="0">
                  <c:v>2022_Q1</c:v>
                </c:pt>
              </c:strCache>
            </c:strRef>
          </c:tx>
          <c:spPr>
            <a:solidFill>
              <a:schemeClr val="accent4">
                <a:lumMod val="75000"/>
              </a:schemeClr>
            </a:soli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Analysis!$D$421:$D$424</c:f>
              <c:numCache>
                <c:formatCode>0%</c:formatCode>
                <c:ptCount val="4"/>
                <c:pt idx="3">
                  <c:v>#N/A</c:v>
                </c:pt>
              </c:numCache>
            </c:numRef>
          </c:val>
          <c:extLst>
            <c:ext xmlns:c16="http://schemas.microsoft.com/office/drawing/2014/chart" uri="{C3380CC4-5D6E-409C-BE32-E72D297353CC}">
              <c16:uniqueId val="{00000000-2C74-4093-8B8F-ACE0C94E8006}"/>
            </c:ext>
          </c:extLst>
        </c:ser>
        <c:ser>
          <c:idx val="1"/>
          <c:order val="1"/>
          <c:tx>
            <c:strRef>
              <c:f>Analysis!$E$419:$E$420</c:f>
              <c:strCache>
                <c:ptCount val="1"/>
                <c:pt idx="0">
                  <c:v>2022_Q2</c:v>
                </c:pt>
              </c:strCache>
            </c:strRef>
          </c:tx>
          <c:spPr>
            <a:solidFill>
              <a:schemeClr val="accent4">
                <a:lumMod val="75000"/>
              </a:schemeClr>
            </a:solidFill>
            <a:ln>
              <a:noFill/>
            </a:ln>
            <a:effectLst/>
          </c:spPr>
          <c:invertIfNegative val="0"/>
          <c:cat>
            <c:strRef>
              <c:f>Analysis!$C$421:$C$424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Analysis!$E$421:$E$424</c:f>
              <c:numCache>
                <c:formatCode>0%</c:formatCode>
                <c:ptCount val="4"/>
                <c:pt idx="3">
                  <c:v>#N/A</c:v>
                </c:pt>
              </c:numCache>
            </c:numRef>
          </c:val>
          <c:extLst>
            <c:ext xmlns:c16="http://schemas.microsoft.com/office/drawing/2014/chart" uri="{C3380CC4-5D6E-409C-BE32-E72D297353CC}">
              <c16:uniqueId val="{00000001-2C74-4093-8B8F-ACE0C94E8006}"/>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Analysis!$AJ$140</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Analysis!$AJ$141:$AJ$148</c:f>
              <c:numCache>
                <c:formatCode>General</c:formatCode>
                <c:ptCount val="8"/>
                <c:pt idx="0">
                  <c:v>48</c:v>
                </c:pt>
                <c:pt idx="1">
                  <c:v>685</c:v>
                </c:pt>
                <c:pt idx="2">
                  <c:v>23</c:v>
                </c:pt>
                <c:pt idx="3">
                  <c:v>641</c:v>
                </c:pt>
                <c:pt idx="4">
                  <c:v>26</c:v>
                </c:pt>
                <c:pt idx="5">
                  <c:v>40</c:v>
                </c:pt>
                <c:pt idx="6">
                  <c:v>54</c:v>
                </c:pt>
                <c:pt idx="7">
                  <c:v>42</c:v>
                </c:pt>
              </c:numCache>
            </c:numRef>
          </c:val>
          <c:extLst>
            <c:ext xmlns:c16="http://schemas.microsoft.com/office/drawing/2014/chart" uri="{C3380CC4-5D6E-409C-BE32-E72D297353CC}">
              <c16:uniqueId val="{00000000-D2B9-47FA-91A9-3E63AAEE34A8}"/>
            </c:ext>
          </c:extLst>
        </c:ser>
        <c:ser>
          <c:idx val="1"/>
          <c:order val="1"/>
          <c:tx>
            <c:strRef>
              <c:f>Analysis!$AK$140</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Analysis!$AI$141:$AI$148</c:f>
              <c:strCache>
                <c:ptCount val="8"/>
                <c:pt idx="0">
                  <c:v>Hseni</c:v>
                </c:pt>
                <c:pt idx="1">
                  <c:v>Kutkai</c:v>
                </c:pt>
                <c:pt idx="2">
                  <c:v>Lashio</c:v>
                </c:pt>
                <c:pt idx="3">
                  <c:v>Laukkaing</c:v>
                </c:pt>
                <c:pt idx="4">
                  <c:v>Manton</c:v>
                </c:pt>
                <c:pt idx="5">
                  <c:v>Muse</c:v>
                </c:pt>
                <c:pt idx="6">
                  <c:v>Namhkan</c:v>
                </c:pt>
                <c:pt idx="7">
                  <c:v>Namtu</c:v>
                </c:pt>
              </c:strCache>
            </c:strRef>
          </c:cat>
          <c:val>
            <c:numRef>
              <c:f>Analysis!$AK$141:$AK$148</c:f>
              <c:numCache>
                <c:formatCode>General</c:formatCode>
                <c:ptCount val="8"/>
                <c:pt idx="0">
                  <c:v>20</c:v>
                </c:pt>
                <c:pt idx="1">
                  <c:v>473</c:v>
                </c:pt>
                <c:pt idx="2">
                  <c:v>5</c:v>
                </c:pt>
                <c:pt idx="3">
                  <c:v>257</c:v>
                </c:pt>
                <c:pt idx="4">
                  <c:v>14</c:v>
                </c:pt>
                <c:pt idx="5">
                  <c:v>47</c:v>
                </c:pt>
                <c:pt idx="6">
                  <c:v>49</c:v>
                </c:pt>
                <c:pt idx="7">
                  <c:v>32</c:v>
                </c:pt>
              </c:numCache>
            </c:numRef>
          </c:val>
          <c:extLst>
            <c:ext xmlns:c16="http://schemas.microsoft.com/office/drawing/2014/chart" uri="{C3380CC4-5D6E-409C-BE32-E72D297353CC}">
              <c16:uniqueId val="{00000001-D2B9-47FA-91A9-3E63AAEE34A8}"/>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394211835787555"/>
          <c:y val="0.2017504968066309"/>
          <c:w val="0.64463104091723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Analysis!$H$297:$H$300</c:f>
              <c:strCache>
                <c:ptCount val="4"/>
                <c:pt idx="0">
                  <c:v>Camp</c:v>
                </c:pt>
                <c:pt idx="1">
                  <c:v>Camp_not registered</c:v>
                </c:pt>
                <c:pt idx="2">
                  <c:v>Village</c:v>
                </c:pt>
                <c:pt idx="3">
                  <c:v>Relocated</c:v>
                </c:pt>
              </c:strCache>
            </c:strRef>
          </c:cat>
          <c:val>
            <c:numRef>
              <c:f>Analysis!$I$297:$I$300</c:f>
              <c:numCache>
                <c:formatCode>General</c:formatCode>
                <c:ptCount val="4"/>
                <c:pt idx="0">
                  <c:v>35</c:v>
                </c:pt>
                <c:pt idx="1">
                  <c:v>1</c:v>
                </c:pt>
                <c:pt idx="2">
                  <c:v>1</c:v>
                </c:pt>
                <c:pt idx="3">
                  <c:v>2</c:v>
                </c:pt>
              </c:numCache>
            </c:numRef>
          </c:val>
          <c:extLst>
            <c:ext xmlns:c16="http://schemas.microsoft.com/office/drawing/2014/chart" uri="{C3380CC4-5D6E-409C-BE32-E72D297353CC}">
              <c16:uniqueId val="{00000001-8221-445C-B6AE-46D4F06A8E73}"/>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Analysis!$H$297:$H$300</c:f>
              <c:strCache>
                <c:ptCount val="4"/>
                <c:pt idx="0">
                  <c:v>Camp</c:v>
                </c:pt>
                <c:pt idx="1">
                  <c:v>Camp_not registered</c:v>
                </c:pt>
                <c:pt idx="2">
                  <c:v>Village</c:v>
                </c:pt>
                <c:pt idx="3">
                  <c:v>Relocated</c:v>
                </c:pt>
              </c:strCache>
            </c:strRef>
          </c:cat>
          <c:val>
            <c:numRef>
              <c:f>Analysis!$J$297:$J$300</c:f>
              <c:numCache>
                <c:formatCode>General</c:formatCode>
                <c:ptCount val="4"/>
                <c:pt idx="0">
                  <c:v>3</c:v>
                </c:pt>
                <c:pt idx="3">
                  <c:v>2</c:v>
                </c:pt>
              </c:numCache>
            </c:numRef>
          </c:val>
          <c:extLst>
            <c:ext xmlns:c16="http://schemas.microsoft.com/office/drawing/2014/chart" uri="{C3380CC4-5D6E-409C-BE32-E72D297353CC}">
              <c16:uniqueId val="{00000002-8221-445C-B6AE-46D4F06A8E73}"/>
            </c:ext>
          </c:extLst>
        </c:ser>
        <c:dLbls>
          <c:dLblPos val="outEnd"/>
          <c:showLegendKey val="0"/>
          <c:showVal val="1"/>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9328942711348737"/>
          <c:h val="0.115718407801454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Analysis!$C$378</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Analysis!$D$376:$I$376</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Analysis!$D$378:$I$378</c:f>
              <c:numCache>
                <c:formatCode>_(* #,##0_);_(* \(#,##0\);_(* "-"??_);_(@_)</c:formatCode>
                <c:ptCount val="6"/>
                <c:pt idx="0">
                  <c:v>14</c:v>
                </c:pt>
                <c:pt idx="1">
                  <c:v>0</c:v>
                </c:pt>
                <c:pt idx="2">
                  <c:v>11</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[20220721_Myanmar_WASH_4W_2022_Q2_KachinShan_camp_Consolidate with MIAG_f.xlsx]Analysis!S_water1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Analysis!$J$39</c:f>
              <c:numCache>
                <c:formatCode>_(* #,##0_);_(* \(#,##0\);_(* "-"??_);_(@_)</c:formatCode>
                <c:ptCount val="1"/>
                <c:pt idx="0">
                  <c:v>9688.3333333333321</c:v>
                </c:pt>
              </c:numCache>
            </c:numRef>
          </c:val>
          <c:extLst>
            <c:ext xmlns:c16="http://schemas.microsoft.com/office/drawing/2014/chart" uri="{C3380CC4-5D6E-409C-BE32-E72D297353CC}">
              <c16:uniqueId val="{00000000-CDE2-4454-BEB2-C490CEC2ECAB}"/>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 (500:1)</c:v>
                </c:pt>
              </c:strCache>
            </c:strRef>
          </c:cat>
          <c:val>
            <c:numRef>
              <c:f>Analysis!$K$39</c:f>
              <c:numCache>
                <c:formatCode>_(* #,##0_);_(* \(#,##0\);_(* "-"??_);_(@_)</c:formatCode>
                <c:ptCount val="1"/>
                <c:pt idx="0">
                  <c:v>680.66666666666663</c:v>
                </c:pt>
              </c:numCache>
            </c:numRef>
          </c:val>
          <c:extLst>
            <c:ext xmlns:c16="http://schemas.microsoft.com/office/drawing/2014/chart" uri="{C3380CC4-5D6E-409C-BE32-E72D297353CC}">
              <c16:uniqueId val="{00000001-CDE2-4454-BEB2-C490CEC2ECAB}"/>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Q2-2022</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1</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33</c:v>
                      </c:pt>
                      <c:pt idx="1">
                        <c:v>97</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Mon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F35F-4C2B-9D43-B58A16CDA4E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F35F-4C2B-9D43-B58A16CDA4EA}"/>
              </c:ext>
            </c:extLst>
          </c:dPt>
          <c:dPt>
            <c:idx val="5"/>
            <c:invertIfNegative val="0"/>
            <c:bubble3D val="0"/>
            <c:spPr>
              <a:solidFill>
                <a:srgbClr val="0070C0"/>
              </a:solidFill>
              <a:ln>
                <a:noFill/>
              </a:ln>
              <a:effectLst/>
            </c:spPr>
            <c:extLst>
              <c:ext xmlns:c16="http://schemas.microsoft.com/office/drawing/2014/chart" uri="{C3380CC4-5D6E-409C-BE32-E72D297353CC}">
                <c16:uniqueId val="{00000003-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HRP!$C$231:$C$236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HRP!$E$231:$E$236</c:f>
              <c:numCache>
                <c:formatCode>_(* #,##0_);_(* \(#,##0\);_(* "-"??_);_(@_)</c:formatCode>
                <c:ptCount val="6"/>
                <c:pt idx="0">
                  <c:v>0</c:v>
                </c:pt>
                <c:pt idx="1">
                  <c:v>0</c:v>
                </c:pt>
                <c:pt idx="2">
                  <c:v>0</c:v>
                </c:pt>
                <c:pt idx="3">
                  <c:v>3289</c:v>
                </c:pt>
                <c:pt idx="4">
                  <c:v>150</c:v>
                </c:pt>
                <c:pt idx="5">
                  <c:v>150</c:v>
                </c:pt>
              </c:numCache>
            </c:numRef>
          </c:val>
          <c:extLst>
            <c:ext xmlns:c16="http://schemas.microsoft.com/office/drawing/2014/chart" uri="{C3380CC4-5D6E-409C-BE32-E72D297353CC}">
              <c16:uniqueId val="{00000000-F35F-4C2B-9D43-B58A16CDA4EA}"/>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B-F35F-4C2B-9D43-B58A16CDA4E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F35F-4C2B-9D43-B58A16CDA4E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9-F35F-4C2B-9D43-B58A16CDA4E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F35F-4C2B-9D43-B58A16CDA4E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F35F-4C2B-9D43-B58A16CDA4E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HRP!$C$231:$C$236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HRP!$F$231:$F$236</c:f>
              <c:numCache>
                <c:formatCode>_(* #,##0_);_(* \(#,##0\);_(* "-"??_);_(@_)</c:formatCode>
                <c:ptCount val="6"/>
                <c:pt idx="0">
                  <c:v>32.85</c:v>
                </c:pt>
                <c:pt idx="1">
                  <c:v>54.75</c:v>
                </c:pt>
                <c:pt idx="2">
                  <c:v>1157.058705343994</c:v>
                </c:pt>
                <c:pt idx="3">
                  <c:v>7953.0870534399401</c:v>
                </c:pt>
                <c:pt idx="4">
                  <c:v>2974.4174106879882</c:v>
                </c:pt>
                <c:pt idx="5">
                  <c:v>9062.6696427519528</c:v>
                </c:pt>
              </c:numCache>
            </c:numRef>
          </c:val>
          <c:extLst>
            <c:ext xmlns:c16="http://schemas.microsoft.com/office/drawing/2014/chart" uri="{C3380CC4-5D6E-409C-BE32-E72D297353CC}">
              <c16:uniqueId val="{00000001-F35F-4C2B-9D43-B58A16CDA4EA}"/>
            </c:ext>
          </c:extLst>
        </c:ser>
        <c:dLbls>
          <c:dLblPos val="ctr"/>
          <c:showLegendKey val="0"/>
          <c:showVal val="1"/>
          <c:showCatName val="0"/>
          <c:showSerName val="0"/>
          <c:showPercent val="0"/>
          <c:showBubbleSize val="0"/>
        </c:dLbls>
        <c:gapWidth val="50"/>
        <c:overlap val="100"/>
        <c:axId val="1837750911"/>
        <c:axId val="1837757983"/>
      </c:barChart>
      <c:catAx>
        <c:axId val="183775091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837757983"/>
        <c:crosses val="autoZero"/>
        <c:auto val="1"/>
        <c:lblAlgn val="ctr"/>
        <c:lblOffset val="100"/>
        <c:noMultiLvlLbl val="0"/>
      </c:catAx>
      <c:valAx>
        <c:axId val="183775798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3775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cat>
            <c:strRef>
              <c:f>Analysis!$K$65:$K$66</c:f>
              <c:strCache>
                <c:ptCount val="2"/>
                <c:pt idx="0">
                  <c:v>2022_Q1</c:v>
                </c:pt>
                <c:pt idx="1">
                  <c:v>2022_Q2</c:v>
                </c:pt>
              </c:strCache>
            </c:strRef>
          </c:cat>
          <c:val>
            <c:numRef>
              <c:f>Analysis!$L$65:$L$66</c:f>
              <c:numCache>
                <c:formatCode>General</c:formatCode>
                <c:ptCount val="2"/>
                <c:pt idx="0">
                  <c:v>0</c:v>
                </c:pt>
                <c:pt idx="1">
                  <c:v>0</c:v>
                </c:pt>
              </c:numCache>
            </c:numRef>
          </c:val>
          <c:extLst>
            <c:ext xmlns:c16="http://schemas.microsoft.com/office/drawing/2014/chart" uri="{C3380CC4-5D6E-409C-BE32-E72D297353CC}">
              <c16:uniqueId val="{00000000-38D6-4369-BEB9-91BE6B261982}"/>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cat>
            <c:strRef>
              <c:f>Analysis!$K$65:$K$66</c:f>
              <c:strCache>
                <c:ptCount val="2"/>
                <c:pt idx="0">
                  <c:v>2022_Q1</c:v>
                </c:pt>
                <c:pt idx="1">
                  <c:v>2022_Q2</c:v>
                </c:pt>
              </c:strCache>
            </c:strRef>
          </c:cat>
          <c:val>
            <c:numRef>
              <c:f>Analysis!$M$65:$M$66</c:f>
              <c:numCache>
                <c:formatCode>General</c:formatCode>
                <c:ptCount val="2"/>
                <c:pt idx="0">
                  <c:v>0</c:v>
                </c:pt>
                <c:pt idx="1">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Q2-2022</a:t>
            </a:r>
            <a:endParaRPr lang="en-US" sz="1400">
              <a:effectLst/>
            </a:endParaRPr>
          </a:p>
        </c:rich>
      </c:tx>
      <c:layout>
        <c:manualLayout>
          <c:xMode val="edge"/>
          <c:yMode val="edge"/>
          <c:x val="0.1569508778561079"/>
          <c:y val="7.483163242886566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15</c:v>
                      </c:pt>
                      <c:pt idx="1">
                        <c:v>115</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Analysis!$Z$61</c:f>
              <c:strCache>
                <c:ptCount val="1"/>
                <c:pt idx="0">
                  <c:v> # Tested</c:v>
                </c:pt>
              </c:strCache>
            </c:strRef>
          </c:tx>
          <c:spPr>
            <a:solidFill>
              <a:srgbClr val="0070C0"/>
            </a:solidFill>
            <a:ln>
              <a:noFill/>
            </a:ln>
            <a:effectLst/>
          </c:spPr>
          <c:invertIfNegative val="0"/>
          <c:cat>
            <c:strRef>
              <c:f>Analysis!$Y$62:$Y$63</c:f>
              <c:strCache>
                <c:ptCount val="2"/>
                <c:pt idx="0">
                  <c:v>2022_Q1</c:v>
                </c:pt>
                <c:pt idx="1">
                  <c:v>2022_Q2</c:v>
                </c:pt>
              </c:strCache>
            </c:strRef>
          </c:cat>
          <c:val>
            <c:numRef>
              <c:f>Analysis!$Z$62:$Z$63</c:f>
              <c:numCache>
                <c:formatCode>General</c:formatCode>
                <c:ptCount val="2"/>
                <c:pt idx="0">
                  <c:v>0</c:v>
                </c:pt>
                <c:pt idx="1">
                  <c:v>0</c:v>
                </c:pt>
              </c:numCache>
            </c:numRef>
          </c:val>
          <c:extLst>
            <c:ext xmlns:c16="http://schemas.microsoft.com/office/drawing/2014/chart" uri="{C3380CC4-5D6E-409C-BE32-E72D297353CC}">
              <c16:uniqueId val="{00000000-16BA-41CC-B04A-6600D6A5C684}"/>
            </c:ext>
          </c:extLst>
        </c:ser>
        <c:ser>
          <c:idx val="1"/>
          <c:order val="1"/>
          <c:tx>
            <c:strRef>
              <c:f>Analysis!$AA$61</c:f>
              <c:strCache>
                <c:ptCount val="1"/>
                <c:pt idx="0">
                  <c:v> # Household received remediation action</c:v>
                </c:pt>
              </c:strCache>
            </c:strRef>
          </c:tx>
          <c:spPr>
            <a:solidFill>
              <a:schemeClr val="accent1">
                <a:lumMod val="40000"/>
                <a:lumOff val="60000"/>
              </a:schemeClr>
            </a:solidFill>
            <a:ln>
              <a:noFill/>
            </a:ln>
            <a:effectLst/>
          </c:spPr>
          <c:invertIfNegative val="0"/>
          <c:cat>
            <c:strRef>
              <c:f>Analysis!$Y$62:$Y$63</c:f>
              <c:strCache>
                <c:ptCount val="2"/>
                <c:pt idx="0">
                  <c:v>2022_Q1</c:v>
                </c:pt>
                <c:pt idx="1">
                  <c:v>2022_Q2</c:v>
                </c:pt>
              </c:strCache>
            </c:strRef>
          </c:cat>
          <c:val>
            <c:numRef>
              <c:f>Analysis!$AA$62:$AA$63</c:f>
              <c:numCache>
                <c:formatCode>General</c:formatCode>
                <c:ptCount val="2"/>
                <c:pt idx="0">
                  <c:v>0</c:v>
                </c:pt>
                <c:pt idx="1">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7936860645290742"/>
          <c:w val="0.72655188909156909"/>
          <c:h val="0.31395749131831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Analysis!$B$162</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9.8610425988626141E-2"/>
                  <c:y val="-9.543127109572097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extLst xmlns:c15="http://schemas.microsoft.com/office/drawing/2012/chart"/>
            </c:strRef>
          </c:cat>
          <c:val>
            <c:numRef>
              <c:f>Analysis!$C$162:$F$162</c:f>
              <c:numCache>
                <c:formatCode>General</c:formatCode>
                <c:ptCount val="4"/>
                <c:pt idx="0">
                  <c:v>14</c:v>
                </c:pt>
                <c:pt idx="1">
                  <c:v>14</c:v>
                </c:pt>
                <c:pt idx="2">
                  <c:v>4</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Analysis!$C$160:$F$160</c15:sqref>
                        </c15:formulaRef>
                      </c:ext>
                    </c:extLst>
                    <c:numCache>
                      <c:formatCode>General</c:formatCode>
                      <c:ptCount val="4"/>
                      <c:pt idx="0">
                        <c:v>104</c:v>
                      </c:pt>
                      <c:pt idx="1">
                        <c:v>11</c:v>
                      </c:pt>
                      <c:pt idx="2">
                        <c:v>9</c:v>
                      </c:pt>
                      <c:pt idx="3">
                        <c:v>6</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Analysis!$C$161:$F$161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Analysis!$B$178</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5.9140873849878359E-2"/>
                  <c:y val="0.1324815426088943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ext>
              </c:extLst>
              <c:f>Analysis!$C$178:$E$178</c:f>
              <c:numCache>
                <c:formatCode>General</c:formatCode>
                <c:ptCount val="3"/>
                <c:pt idx="0">
                  <c:v>14</c:v>
                </c:pt>
                <c:pt idx="1">
                  <c:v>6</c:v>
                </c:pt>
                <c:pt idx="2">
                  <c:v>18</c:v>
                </c:pt>
              </c:numCache>
            </c:numRef>
          </c:val>
          <c:extLs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D53B-43EE-BDA3-CBCF24A26A1E}"/>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Analysis!$B$176</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Analysis!$C$176:$F$176</c15:sqref>
                        </c15:fullRef>
                        <c15:formulaRef>
                          <c15:sqref>Analysis!$C$176:$E$176</c15:sqref>
                        </c15:formulaRef>
                      </c:ext>
                    </c:extLst>
                    <c:numCache>
                      <c:formatCode>General</c:formatCode>
                      <c:ptCount val="3"/>
                      <c:pt idx="0">
                        <c:v>8</c:v>
                      </c:pt>
                      <c:pt idx="1">
                        <c:v>7</c:v>
                      </c:pt>
                      <c:pt idx="2">
                        <c:v>115</c:v>
                      </c:pt>
                    </c:numCache>
                  </c:numRef>
                </c:val>
                <c:extLst>
                  <c:ex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Analysis!$C$177:$F$177</c15:sqref>
                        </c15:fullRef>
                        <c15:formulaRef>
                          <c15:sqref>Analysis!$C$177:$E$177</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Analysis!$J$135</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Analysis!$J$136</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20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1032</c:v>
                </c:pt>
                <c:pt idx="1">
                  <c:v>16</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94311478239E-2"/>
          <c:y val="0.83841695392747162"/>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1166.8</c:v>
                </c:pt>
                <c:pt idx="1">
                  <c:v>1181</c:v>
                </c:pt>
                <c:pt idx="2" formatCode="General">
                  <c:v>210</c:v>
                </c:pt>
              </c:numCache>
            </c:numRef>
          </c:val>
          <c:extLst>
            <c:ext xmlns:c16="http://schemas.microsoft.com/office/drawing/2014/chart" uri="{C3380CC4-5D6E-409C-BE32-E72D297353CC}">
              <c16:uniqueId val="{00000000-167B-4022-87C3-E61198FB0BE3}"/>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993.2</c:v>
                </c:pt>
                <c:pt idx="1">
                  <c:v>979</c:v>
                </c:pt>
                <c:pt idx="2" formatCode="General">
                  <c:v>1950</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Analysis!$Y$121</c:f>
              <c:numCache>
                <c:formatCode>_(* #,##0_);_(* \(#,##0\);_(* "-"??_);_(@_)</c:formatCode>
                <c:ptCount val="1"/>
                <c:pt idx="0">
                  <c:v>7472</c:v>
                </c:pt>
              </c:numCache>
            </c:numRef>
          </c:val>
          <c:extLst>
            <c:ext xmlns:c16="http://schemas.microsoft.com/office/drawing/2014/chart" uri="{C3380CC4-5D6E-409C-BE32-E72D297353CC}">
              <c16:uniqueId val="{00000000-2A2B-48AD-AA9F-1EC4F6C77BB8}"/>
            </c:ext>
          </c:extLst>
        </c:ser>
        <c:ser>
          <c:idx val="1"/>
          <c:order val="1"/>
          <c:tx>
            <c:strRef>
              <c:f>Analysis!$Z$120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 in GCA (20:1)</c:v>
                </c:pt>
              </c:strCache>
            </c:strRef>
          </c:cat>
          <c:val>
            <c:numRef>
              <c:f>Analysis!$Z$121</c:f>
              <c:numCache>
                <c:formatCode>_(* #,##0_);_(* \(#,##0\);_(* "-"??_);_(@_)</c:formatCode>
                <c:ptCount val="1"/>
                <c:pt idx="0">
                  <c:v>2897</c:v>
                </c:pt>
              </c:numCache>
            </c:numRef>
          </c:val>
          <c:extLst>
            <c:ext xmlns:c16="http://schemas.microsoft.com/office/drawing/2014/chart" uri="{C3380CC4-5D6E-409C-BE32-E72D297353CC}">
              <c16:uniqueId val="{00000001-2A2B-48AD-AA9F-1EC4F6C77BB8}"/>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0</c:v>
                </c:pt>
              </c:numCache>
            </c:numRef>
          </c:val>
          <c:extLst>
            <c:ext xmlns:c16="http://schemas.microsoft.com/office/drawing/2014/chart" uri="{C3380CC4-5D6E-409C-BE32-E72D297353CC}">
              <c16:uniqueId val="{00000000-77A7-49E7-9F14-3E959DA2AC0D}"/>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3007.0099999999998</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Shan (South)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HRP!$S$230</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53B3-4201-AFAE-57734679A4AA}"/>
              </c:ext>
            </c:extLst>
          </c:dPt>
          <c:dLbls>
            <c:dLbl>
              <c:idx val="3"/>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5-53B3-4201-AFAE-57734679A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HRP!$Q$231:$Q$236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HRP!$S$231:$S$236</c:f>
              <c:numCache>
                <c:formatCode>_(* #,##0_);_(* \(#,##0\);_(* "-"??_);_(@_)</c:formatCode>
                <c:ptCount val="6"/>
                <c:pt idx="0">
                  <c:v>0</c:v>
                </c:pt>
                <c:pt idx="1">
                  <c:v>0</c:v>
                </c:pt>
                <c:pt idx="2">
                  <c:v>0</c:v>
                </c:pt>
                <c:pt idx="3">
                  <c:v>4148</c:v>
                </c:pt>
                <c:pt idx="4">
                  <c:v>0</c:v>
                </c:pt>
                <c:pt idx="5">
                  <c:v>0</c:v>
                </c:pt>
              </c:numCache>
            </c:numRef>
          </c:val>
          <c:extLst>
            <c:ext xmlns:c16="http://schemas.microsoft.com/office/drawing/2014/chart" uri="{C3380CC4-5D6E-409C-BE32-E72D297353CC}">
              <c16:uniqueId val="{00000000-53B3-4201-AFAE-57734679A4AA}"/>
            </c:ext>
          </c:extLst>
        </c:ser>
        <c:ser>
          <c:idx val="1"/>
          <c:order val="1"/>
          <c:tx>
            <c:strRef>
              <c:f>HRP!$T$230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53B3-4201-AFAE-57734679A4A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8-53B3-4201-AFAE-57734679A4A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7-53B3-4201-AFAE-57734679A4A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3B3-4201-AFAE-57734679A4A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3B3-4201-AFAE-57734679A4A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53B3-4201-AFAE-57734679A4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HRP!$Q$231:$Q$236</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HRP!$T$231:$T$236</c:f>
              <c:numCache>
                <c:formatCode>_(* #,##0_);_(* \(#,##0\);_(* "-"??_);_(@_)</c:formatCode>
                <c:ptCount val="6"/>
                <c:pt idx="0">
                  <c:v>455.46</c:v>
                </c:pt>
                <c:pt idx="1">
                  <c:v>759.1</c:v>
                </c:pt>
                <c:pt idx="2">
                  <c:v>4585.8642490051216</c:v>
                </c:pt>
                <c:pt idx="3">
                  <c:v>37156.042490051215</c:v>
                </c:pt>
                <c:pt idx="4">
                  <c:v>20406.408498010242</c:v>
                </c:pt>
                <c:pt idx="5">
                  <c:v>36079.633992040974</c:v>
                </c:pt>
              </c:numCache>
            </c:numRef>
          </c:val>
          <c:extLst>
            <c:ext xmlns:c16="http://schemas.microsoft.com/office/drawing/2014/chart" uri="{C3380CC4-5D6E-409C-BE32-E72D297353CC}">
              <c16:uniqueId val="{00000001-53B3-4201-AFAE-57734679A4AA}"/>
            </c:ext>
          </c:extLst>
        </c:ser>
        <c:dLbls>
          <c:dLblPos val="ctr"/>
          <c:showLegendKey val="0"/>
          <c:showVal val="1"/>
          <c:showCatName val="0"/>
          <c:showSerName val="0"/>
          <c:showPercent val="0"/>
          <c:showBubbleSize val="0"/>
        </c:dLbls>
        <c:gapWidth val="50"/>
        <c:overlap val="100"/>
        <c:axId val="1616662543"/>
        <c:axId val="1616664623"/>
      </c:barChart>
      <c:catAx>
        <c:axId val="161666254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616664623"/>
        <c:crosses val="autoZero"/>
        <c:auto val="1"/>
        <c:lblAlgn val="ctr"/>
        <c:lblOffset val="100"/>
        <c:noMultiLvlLbl val="0"/>
      </c:catAx>
      <c:valAx>
        <c:axId val="161666462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166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2022 HRP targets</a:t>
            </a:r>
            <a:endParaRPr lang="en-US" sz="1600">
              <a:effectLst/>
            </a:endParaRPr>
          </a:p>
        </c:rich>
      </c:tx>
      <c:layout>
        <c:manualLayout>
          <c:xMode val="edge"/>
          <c:yMode val="edge"/>
          <c:x val="0.29043627426778662"/>
          <c:y val="1.487384420275609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HRP!$E$206:$E$211</c:f>
              <c:numCache>
                <c:formatCode>_(* #,##0_);_(* \(#,##0\);_(* "-"??_);_(@_)</c:formatCode>
                <c:ptCount val="6"/>
                <c:pt idx="0">
                  <c:v>0</c:v>
                </c:pt>
                <c:pt idx="1">
                  <c:v>2223</c:v>
                </c:pt>
                <c:pt idx="2">
                  <c:v>0</c:v>
                </c:pt>
                <c:pt idx="3">
                  <c:v>23813</c:v>
                </c:pt>
                <c:pt idx="4">
                  <c:v>14016</c:v>
                </c:pt>
                <c:pt idx="5">
                  <c:v>12068.333333333332</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F-A245-4D7D-AE77-65E608C755A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HRP!$C$206:$C$211</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HRP!$F$206:$F$211</c:f>
              <c:numCache>
                <c:formatCode>_(* #,##0_);_(* \(#,##0\);_(* "-"??_);_(@_)</c:formatCode>
                <c:ptCount val="6"/>
                <c:pt idx="0">
                  <c:v>463.46999999999997</c:v>
                </c:pt>
                <c:pt idx="2">
                  <c:v>5099.0036928268628</c:v>
                </c:pt>
                <c:pt idx="3">
                  <c:v>22542.336928268625</c:v>
                </c:pt>
                <c:pt idx="4">
                  <c:v>7614.2673856537258</c:v>
                </c:pt>
                <c:pt idx="5">
                  <c:v>28105.736209281571</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2022-Q2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2022</c:v>
                </c:pt>
              </c:strCache>
            </c:strRef>
          </c:tx>
          <c:spPr>
            <a:solidFill>
              <a:srgbClr val="0070C0"/>
            </a:solidFill>
            <a:ln>
              <a:noFill/>
            </a:ln>
            <a:effectLst/>
          </c:spPr>
          <c:invertIfNegative val="0"/>
          <c:dLbls>
            <c:dLbl>
              <c:idx val="0"/>
              <c:layout>
                <c:manualLayout>
                  <c:x val="6.6901086557717107E-2"/>
                  <c:y val="-5.94740248367274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7E-48B6-B69C-7B7C2D8ED777}"/>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[6]National!$D$6:$D$22</c15:sqref>
                  </c15:fullRef>
                </c:ext>
              </c:extLst>
              <c:f>[6]National!$D$11</c:f>
              <c:numCache>
                <c:formatCode>General</c:formatCode>
                <c:ptCount val="1"/>
                <c:pt idx="0">
                  <c:v>2320100.8068778007</c:v>
                </c:pt>
              </c:numCache>
            </c:numRef>
          </c:val>
          <c:extLst xmlns:c15="http://schemas.microsoft.com/office/drawing/2012/chart">
            <c:ext xmlns:c16="http://schemas.microsoft.com/office/drawing/2014/chart" uri="{C3380CC4-5D6E-409C-BE32-E72D297353CC}">
              <c16:uniqueId val="{00000001-DB7E-48B6-B69C-7B7C2D8ED777}"/>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[6]National!$B$6:$B$22</c15:sqref>
                  </c15:fullRef>
                </c:ext>
              </c:extLst>
              <c:f>[6]National!$B$11</c:f>
              <c:strCache>
                <c:ptCount val="1"/>
                <c:pt idx="0">
                  <c:v>Kachin/Shan (North)</c:v>
                </c:pt>
              </c:strCache>
            </c:strRef>
          </c:cat>
          <c:val>
            <c:numRef>
              <c:extLst>
                <c:ext xmlns:c15="http://schemas.microsoft.com/office/drawing/2012/chart" uri="{02D57815-91ED-43cb-92C2-25804820EDAC}">
                  <c15:fullRef>
                    <c15:sqref>[6]National!$E$6:$E$22</c15:sqref>
                  </c15:fullRef>
                </c:ext>
              </c:extLst>
              <c:f>[6]National!$E$11</c:f>
              <c:numCache>
                <c:formatCode>General</c:formatCode>
                <c:ptCount val="1"/>
                <c:pt idx="0">
                  <c:v>17778102.050564952</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DB7E-48B6-B69C-7B7C2D8ED777}"/>
            </c:ext>
          </c:extLst>
        </c:ser>
        <c:dLbls>
          <c:dLblPos val="ctr"/>
          <c:showLegendKey val="0"/>
          <c:showVal val="1"/>
          <c:showCatName val="0"/>
          <c:showSerName val="0"/>
          <c:showPercent val="0"/>
          <c:showBubbleSize val="0"/>
        </c:dLbls>
        <c:gapWidth val="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0.11392710281820469</c:v>
              </c:pt>
            </c:numLit>
          </c:val>
          <c:extLst>
            <c:ext xmlns:c16="http://schemas.microsoft.com/office/drawing/2014/chart" uri="{C3380CC4-5D6E-409C-BE32-E72D297353CC}">
              <c16:uniqueId val="{00000000-C30E-444D-92FA-30DEA4EE6E23}"/>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0.53682371463453304</c:v>
              </c:pt>
            </c:numLit>
          </c:val>
          <c:extLst>
            <c:ext xmlns:c16="http://schemas.microsoft.com/office/drawing/2014/chart" uri="{C3380CC4-5D6E-409C-BE32-E72D297353CC}">
              <c16:uniqueId val="{00000001-C30E-444D-92FA-30DEA4EE6E23}"/>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0.34924918254726239</c:v>
              </c:pt>
            </c:numLit>
          </c:val>
          <c:extLst>
            <c:ext xmlns:c16="http://schemas.microsoft.com/office/drawing/2014/chart" uri="{C3380CC4-5D6E-409C-BE32-E72D297353CC}">
              <c16:uniqueId val="{00000002-C30E-444D-92FA-30DEA4EE6E23}"/>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153021790473695E-2"/>
          <c:y val="0.15432734001630938"/>
          <c:w val="0.91153744135782122"/>
          <c:h val="0.6239307418535871"/>
        </c:manualLayout>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5431372.7659449074</c:v>
              </c:pt>
              <c:pt idx="1">
                <c:v>4353706.9810160939</c:v>
              </c:pt>
              <c:pt idx="2">
                <c:v>4283214.5919899773</c:v>
              </c:pt>
              <c:pt idx="3">
                <c:v>2928740.2487938525</c:v>
              </c:pt>
              <c:pt idx="4">
                <c:v>3193730.5528003741</c:v>
              </c:pt>
              <c:pt idx="5">
                <c:v>5303397.3983148374</c:v>
              </c:pt>
              <c:pt idx="6">
                <c:v>6844809.4371433221</c:v>
              </c:pt>
              <c:pt idx="7">
                <c:v>4623392.5480022803</c:v>
              </c:pt>
              <c:pt idx="8">
                <c:v>3772808.7855382375</c:v>
              </c:pt>
              <c:pt idx="9">
                <c:v>2320100.8068778003</c:v>
              </c:pt>
            </c:numLit>
          </c:val>
          <c:smooth val="0"/>
          <c:extLst>
            <c:ext xmlns:c16="http://schemas.microsoft.com/office/drawing/2014/chart" uri="{C3380CC4-5D6E-409C-BE32-E72D297353CC}">
              <c16:uniqueId val="{00000000-52F1-4A6B-8082-6D79C2072C0F}"/>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Dashboard'!$C$30:$C$56</c:f>
              <c:numCache>
                <c:formatCode>General</c:formatCode>
                <c:ptCount val="24"/>
                <c:pt idx="0">
                  <c:v>15779</c:v>
                </c:pt>
                <c:pt idx="1">
                  <c:v>5653</c:v>
                </c:pt>
                <c:pt idx="2">
                  <c:v>8820</c:v>
                </c:pt>
                <c:pt idx="3">
                  <c:v>25577</c:v>
                </c:pt>
                <c:pt idx="4">
                  <c:v>3240</c:v>
                </c:pt>
                <c:pt idx="5">
                  <c:v>773</c:v>
                </c:pt>
                <c:pt idx="6">
                  <c:v>62831</c:v>
                </c:pt>
                <c:pt idx="7">
                  <c:v>22841</c:v>
                </c:pt>
                <c:pt idx="8">
                  <c:v>289</c:v>
                </c:pt>
                <c:pt idx="9">
                  <c:v>3758</c:v>
                </c:pt>
                <c:pt idx="10">
                  <c:v>1890</c:v>
                </c:pt>
                <c:pt idx="11">
                  <c:v>2519</c:v>
                </c:pt>
                <c:pt idx="12">
                  <c:v>61094</c:v>
                </c:pt>
                <c:pt idx="13">
                  <c:v>1177</c:v>
                </c:pt>
                <c:pt idx="14">
                  <c:v>802</c:v>
                </c:pt>
                <c:pt idx="15">
                  <c:v>269</c:v>
                </c:pt>
                <c:pt idx="16">
                  <c:v>9428</c:v>
                </c:pt>
                <c:pt idx="17">
                  <c:v>206</c:v>
                </c:pt>
                <c:pt idx="18">
                  <c:v>564</c:v>
                </c:pt>
                <c:pt idx="19">
                  <c:v>2046</c:v>
                </c:pt>
                <c:pt idx="20">
                  <c:v>2510</c:v>
                </c:pt>
                <c:pt idx="21">
                  <c:v>1321</c:v>
                </c:pt>
                <c:pt idx="22">
                  <c:v>13895</c:v>
                </c:pt>
                <c:pt idx="23">
                  <c:v>1312</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Dashboard'!$D$30:$D$56</c:f>
              <c:numCache>
                <c:formatCode>General</c:formatCode>
                <c:ptCount val="24"/>
                <c:pt idx="0">
                  <c:v>10937</c:v>
                </c:pt>
                <c:pt idx="1">
                  <c:v>4421</c:v>
                </c:pt>
                <c:pt idx="2">
                  <c:v>7667</c:v>
                </c:pt>
                <c:pt idx="3">
                  <c:v>20708</c:v>
                </c:pt>
                <c:pt idx="4">
                  <c:v>2485</c:v>
                </c:pt>
                <c:pt idx="5">
                  <c:v>446</c:v>
                </c:pt>
                <c:pt idx="6">
                  <c:v>35197</c:v>
                </c:pt>
                <c:pt idx="7">
                  <c:v>15717</c:v>
                </c:pt>
                <c:pt idx="8">
                  <c:v>289</c:v>
                </c:pt>
                <c:pt idx="9">
                  <c:v>987</c:v>
                </c:pt>
                <c:pt idx="10">
                  <c:v>1225</c:v>
                </c:pt>
                <c:pt idx="11">
                  <c:v>1869</c:v>
                </c:pt>
                <c:pt idx="12">
                  <c:v>35681</c:v>
                </c:pt>
                <c:pt idx="13">
                  <c:v>1177</c:v>
                </c:pt>
                <c:pt idx="14">
                  <c:v>802</c:v>
                </c:pt>
                <c:pt idx="15">
                  <c:v>59</c:v>
                </c:pt>
                <c:pt idx="16">
                  <c:v>7748</c:v>
                </c:pt>
                <c:pt idx="17">
                  <c:v>103</c:v>
                </c:pt>
                <c:pt idx="18">
                  <c:v>564</c:v>
                </c:pt>
                <c:pt idx="19">
                  <c:v>1831</c:v>
                </c:pt>
                <c:pt idx="20">
                  <c:v>2187</c:v>
                </c:pt>
                <c:pt idx="21">
                  <c:v>1244</c:v>
                </c:pt>
                <c:pt idx="22">
                  <c:v>490</c:v>
                </c:pt>
                <c:pt idx="23">
                  <c:v>504</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Dashboard'!$E$30:$E$56</c:f>
              <c:numCache>
                <c:formatCode>General</c:formatCode>
                <c:ptCount val="24"/>
                <c:pt idx="0">
                  <c:v>10221</c:v>
                </c:pt>
                <c:pt idx="1">
                  <c:v>4436</c:v>
                </c:pt>
                <c:pt idx="2">
                  <c:v>6605</c:v>
                </c:pt>
                <c:pt idx="3">
                  <c:v>21669</c:v>
                </c:pt>
                <c:pt idx="4">
                  <c:v>2368</c:v>
                </c:pt>
                <c:pt idx="5">
                  <c:v>236</c:v>
                </c:pt>
                <c:pt idx="6">
                  <c:v>35265</c:v>
                </c:pt>
                <c:pt idx="7">
                  <c:v>16617</c:v>
                </c:pt>
                <c:pt idx="8">
                  <c:v>240</c:v>
                </c:pt>
                <c:pt idx="9">
                  <c:v>1068</c:v>
                </c:pt>
                <c:pt idx="10">
                  <c:v>1548</c:v>
                </c:pt>
                <c:pt idx="11">
                  <c:v>483</c:v>
                </c:pt>
                <c:pt idx="12">
                  <c:v>40559</c:v>
                </c:pt>
                <c:pt idx="13">
                  <c:v>856</c:v>
                </c:pt>
                <c:pt idx="14">
                  <c:v>796</c:v>
                </c:pt>
                <c:pt idx="15">
                  <c:v>0</c:v>
                </c:pt>
                <c:pt idx="16">
                  <c:v>8618</c:v>
                </c:pt>
                <c:pt idx="17">
                  <c:v>206</c:v>
                </c:pt>
                <c:pt idx="18">
                  <c:v>564</c:v>
                </c:pt>
                <c:pt idx="19">
                  <c:v>920</c:v>
                </c:pt>
                <c:pt idx="20">
                  <c:v>2080</c:v>
                </c:pt>
                <c:pt idx="21">
                  <c:v>1207</c:v>
                </c:pt>
                <c:pt idx="22">
                  <c:v>7164</c:v>
                </c:pt>
                <c:pt idx="23">
                  <c:v>304</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Injangyang</c:v>
                  </c:pt>
                  <c:pt idx="14">
                    <c:v>Hseni</c:v>
                  </c:pt>
                  <c:pt idx="15">
                    <c:v>Hsipaw</c:v>
                  </c:pt>
                  <c:pt idx="16">
                    <c:v>Kutkai</c:v>
                  </c:pt>
                  <c:pt idx="17">
                    <c:v>Lashio</c:v>
                  </c:pt>
                  <c:pt idx="18">
                    <c:v>Manton</c:v>
                  </c:pt>
                  <c:pt idx="19">
                    <c:v>Muse</c:v>
                  </c:pt>
                  <c:pt idx="20">
                    <c:v>Namhkan</c:v>
                  </c:pt>
                  <c:pt idx="21">
                    <c:v>Namtu</c:v>
                  </c:pt>
                  <c:pt idx="22">
                    <c:v>Laukkaing (Kokang SAZ)</c:v>
                  </c:pt>
                  <c:pt idx="23">
                    <c:v>Kyaukme</c:v>
                  </c:pt>
                </c:lvl>
                <c:lvl>
                  <c:pt idx="0">
                    <c:v>Kachin</c:v>
                  </c:pt>
                  <c:pt idx="14">
                    <c:v>Shan (North)</c:v>
                  </c:pt>
                </c:lvl>
              </c:multiLvlStrCache>
            </c:multiLvlStrRef>
          </c:cat>
          <c:val>
            <c:numRef>
              <c:f>'Quarterly Dashboard'!$F$30:$F$56</c:f>
              <c:numCache>
                <c:formatCode>General</c:formatCode>
                <c:ptCount val="24"/>
                <c:pt idx="0">
                  <c:v>13679</c:v>
                </c:pt>
                <c:pt idx="1">
                  <c:v>3068</c:v>
                </c:pt>
                <c:pt idx="2">
                  <c:v>7033.666666666667</c:v>
                </c:pt>
                <c:pt idx="3">
                  <c:v>18541.333333333332</c:v>
                </c:pt>
                <c:pt idx="4">
                  <c:v>3102</c:v>
                </c:pt>
                <c:pt idx="5">
                  <c:v>379</c:v>
                </c:pt>
                <c:pt idx="6">
                  <c:v>21700.799999999999</c:v>
                </c:pt>
                <c:pt idx="7">
                  <c:v>22547</c:v>
                </c:pt>
                <c:pt idx="8">
                  <c:v>289</c:v>
                </c:pt>
                <c:pt idx="9">
                  <c:v>3758</c:v>
                </c:pt>
                <c:pt idx="10">
                  <c:v>676</c:v>
                </c:pt>
                <c:pt idx="11">
                  <c:v>1927</c:v>
                </c:pt>
                <c:pt idx="12">
                  <c:v>22948.585185185191</c:v>
                </c:pt>
                <c:pt idx="13">
                  <c:v>591</c:v>
                </c:pt>
                <c:pt idx="14">
                  <c:v>802</c:v>
                </c:pt>
                <c:pt idx="15">
                  <c:v>0</c:v>
                </c:pt>
                <c:pt idx="16">
                  <c:v>8842.6666666666679</c:v>
                </c:pt>
                <c:pt idx="17">
                  <c:v>206</c:v>
                </c:pt>
                <c:pt idx="18">
                  <c:v>564</c:v>
                </c:pt>
                <c:pt idx="19">
                  <c:v>1740</c:v>
                </c:pt>
                <c:pt idx="20">
                  <c:v>2510</c:v>
                </c:pt>
                <c:pt idx="21">
                  <c:v>1169.6666666666667</c:v>
                </c:pt>
                <c:pt idx="22">
                  <c:v>3200</c:v>
                </c:pt>
                <c:pt idx="23">
                  <c:v>205</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MIAG_f.xlsx]By Camps!PivotTable1</c:name>
    <c:fmtId val="4"/>
  </c:pivotSource>
  <c:chart>
    <c:title>
      <c:tx>
        <c:strRef>
          <c:f>'By Camps'!$B$34</c:f>
          <c:strCache>
            <c:ptCount val="1"/>
            <c:pt idx="0">
              <c:v>2022_Q1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1226</c:v>
                </c:pt>
                <c:pt idx="2">
                  <c:v>435</c:v>
                </c:pt>
                <c:pt idx="3">
                  <c:v>72</c:v>
                </c:pt>
                <c:pt idx="4">
                  <c:v>605</c:v>
                </c:pt>
                <c:pt idx="5">
                  <c:v>51</c:v>
                </c:pt>
                <c:pt idx="6">
                  <c:v>250</c:v>
                </c:pt>
                <c:pt idx="7">
                  <c:v>421</c:v>
                </c:pt>
                <c:pt idx="8">
                  <c:v>1887</c:v>
                </c:pt>
                <c:pt idx="9">
                  <c:v>24</c:v>
                </c:pt>
                <c:pt idx="10">
                  <c:v>878</c:v>
                </c:pt>
                <c:pt idx="11">
                  <c:v>442</c:v>
                </c:pt>
                <c:pt idx="12">
                  <c:v>197</c:v>
                </c:pt>
                <c:pt idx="13">
                  <c:v>394</c:v>
                </c:pt>
                <c:pt idx="14">
                  <c:v>410</c:v>
                </c:pt>
                <c:pt idx="15">
                  <c:v>291</c:v>
                </c:pt>
                <c:pt idx="16">
                  <c:v>895</c:v>
                </c:pt>
                <c:pt idx="17">
                  <c:v>132</c:v>
                </c:pt>
                <c:pt idx="18">
                  <c:v>934</c:v>
                </c:pt>
                <c:pt idx="19">
                  <c:v>504</c:v>
                </c:pt>
                <c:pt idx="20">
                  <c:v>837</c:v>
                </c:pt>
                <c:pt idx="21">
                  <c:v>3789</c:v>
                </c:pt>
                <c:pt idx="22">
                  <c:v>222</c:v>
                </c:pt>
                <c:pt idx="23">
                  <c:v>2131</c:v>
                </c:pt>
                <c:pt idx="24">
                  <c:v>1124</c:v>
                </c:pt>
                <c:pt idx="25">
                  <c:v>398</c:v>
                </c:pt>
                <c:pt idx="26">
                  <c:v>8486</c:v>
                </c:pt>
                <c:pt idx="27">
                  <c:v>100</c:v>
                </c:pt>
                <c:pt idx="28">
                  <c:v>106</c:v>
                </c:pt>
                <c:pt idx="29">
                  <c:v>244</c:v>
                </c:pt>
                <c:pt idx="30">
                  <c:v>180</c:v>
                </c:pt>
                <c:pt idx="31">
                  <c:v>270</c:v>
                </c:pt>
                <c:pt idx="32">
                  <c:v>66</c:v>
                </c:pt>
                <c:pt idx="33">
                  <c:v>2199</c:v>
                </c:pt>
                <c:pt idx="34">
                  <c:v>2691</c:v>
                </c:pt>
                <c:pt idx="35">
                  <c:v>633</c:v>
                </c:pt>
                <c:pt idx="36">
                  <c:v>680</c:v>
                </c:pt>
                <c:pt idx="37">
                  <c:v>676</c:v>
                </c:pt>
                <c:pt idx="38">
                  <c:v>884</c:v>
                </c:pt>
                <c:pt idx="39">
                  <c:v>100</c:v>
                </c:pt>
                <c:pt idx="40">
                  <c:v>54</c:v>
                </c:pt>
                <c:pt idx="41">
                  <c:v>689</c:v>
                </c:pt>
                <c:pt idx="42">
                  <c:v>127</c:v>
                </c:pt>
                <c:pt idx="43">
                  <c:v>239</c:v>
                </c:pt>
                <c:pt idx="44">
                  <c:v>426</c:v>
                </c:pt>
                <c:pt idx="45">
                  <c:v>1322</c:v>
                </c:pt>
                <c:pt idx="46">
                  <c:v>289</c:v>
                </c:pt>
                <c:pt idx="48">
                  <c:v>159</c:v>
                </c:pt>
                <c:pt idx="49">
                  <c:v>1736</c:v>
                </c:pt>
                <c:pt idx="50">
                  <c:v>2160</c:v>
                </c:pt>
                <c:pt idx="51">
                  <c:v>1776</c:v>
                </c:pt>
                <c:pt idx="52">
                  <c:v>2500</c:v>
                </c:pt>
                <c:pt idx="53">
                  <c:v>191</c:v>
                </c:pt>
                <c:pt idx="54">
                  <c:v>1599</c:v>
                </c:pt>
                <c:pt idx="55">
                  <c:v>694</c:v>
                </c:pt>
                <c:pt idx="56">
                  <c:v>290</c:v>
                </c:pt>
                <c:pt idx="57">
                  <c:v>741</c:v>
                </c:pt>
                <c:pt idx="58">
                  <c:v>590</c:v>
                </c:pt>
                <c:pt idx="59">
                  <c:v>547</c:v>
                </c:pt>
                <c:pt idx="60">
                  <c:v>120</c:v>
                </c:pt>
                <c:pt idx="61">
                  <c:v>104</c:v>
                </c:pt>
                <c:pt idx="62">
                  <c:v>655</c:v>
                </c:pt>
                <c:pt idx="63">
                  <c:v>538</c:v>
                </c:pt>
                <c:pt idx="64">
                  <c:v>2354</c:v>
                </c:pt>
                <c:pt idx="65">
                  <c:v>737</c:v>
                </c:pt>
                <c:pt idx="66">
                  <c:v>125</c:v>
                </c:pt>
                <c:pt idx="67">
                  <c:v>157</c:v>
                </c:pt>
                <c:pt idx="68">
                  <c:v>789</c:v>
                </c:pt>
                <c:pt idx="69">
                  <c:v>90</c:v>
                </c:pt>
                <c:pt idx="70">
                  <c:v>166</c:v>
                </c:pt>
                <c:pt idx="71">
                  <c:v>15</c:v>
                </c:pt>
                <c:pt idx="72">
                  <c:v>424</c:v>
                </c:pt>
                <c:pt idx="73">
                  <c:v>176</c:v>
                </c:pt>
                <c:pt idx="74">
                  <c:v>18</c:v>
                </c:pt>
                <c:pt idx="75">
                  <c:v>396</c:v>
                </c:pt>
                <c:pt idx="76">
                  <c:v>323</c:v>
                </c:pt>
                <c:pt idx="77">
                  <c:v>31</c:v>
                </c:pt>
                <c:pt idx="78">
                  <c:v>213</c:v>
                </c:pt>
                <c:pt idx="79">
                  <c:v>250</c:v>
                </c:pt>
                <c:pt idx="80">
                  <c:v>24</c:v>
                </c:pt>
                <c:pt idx="81">
                  <c:v>206</c:v>
                </c:pt>
                <c:pt idx="82">
                  <c:v>141</c:v>
                </c:pt>
                <c:pt idx="83">
                  <c:v>309</c:v>
                </c:pt>
                <c:pt idx="84">
                  <c:v>218</c:v>
                </c:pt>
                <c:pt idx="85">
                  <c:v>41</c:v>
                </c:pt>
                <c:pt idx="86">
                  <c:v>85</c:v>
                </c:pt>
                <c:pt idx="87">
                  <c:v>113</c:v>
                </c:pt>
                <c:pt idx="88">
                  <c:v>547</c:v>
                </c:pt>
                <c:pt idx="89">
                  <c:v>664</c:v>
                </c:pt>
                <c:pt idx="90">
                  <c:v>1675</c:v>
                </c:pt>
                <c:pt idx="91">
                  <c:v>299</c:v>
                </c:pt>
                <c:pt idx="92">
                  <c:v>299</c:v>
                </c:pt>
                <c:pt idx="93">
                  <c:v>895</c:v>
                </c:pt>
                <c:pt idx="94">
                  <c:v>2975</c:v>
                </c:pt>
                <c:pt idx="95">
                  <c:v>852</c:v>
                </c:pt>
                <c:pt idx="96">
                  <c:v>221</c:v>
                </c:pt>
                <c:pt idx="97">
                  <c:v>91</c:v>
                </c:pt>
                <c:pt idx="98">
                  <c:v>334</c:v>
                </c:pt>
                <c:pt idx="99">
                  <c:v>506</c:v>
                </c:pt>
                <c:pt idx="100">
                  <c:v>307</c:v>
                </c:pt>
                <c:pt idx="101">
                  <c:v>70</c:v>
                </c:pt>
                <c:pt idx="102">
                  <c:v>3860</c:v>
                </c:pt>
                <c:pt idx="103">
                  <c:v>325</c:v>
                </c:pt>
                <c:pt idx="104">
                  <c:v>136</c:v>
                </c:pt>
                <c:pt idx="105">
                  <c:v>255</c:v>
                </c:pt>
                <c:pt idx="106">
                  <c:v>1532</c:v>
                </c:pt>
                <c:pt idx="107">
                  <c:v>103</c:v>
                </c:pt>
                <c:pt idx="108">
                  <c:v>583</c:v>
                </c:pt>
                <c:pt idx="109">
                  <c:v>119</c:v>
                </c:pt>
                <c:pt idx="110">
                  <c:v>958</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6861</c:v>
                </c:pt>
                <c:pt idx="125">
                  <c:v>709</c:v>
                </c:pt>
                <c:pt idx="126">
                  <c:v>2550</c:v>
                </c:pt>
                <c:pt idx="127">
                  <c:v>66</c:v>
                </c:pt>
                <c:pt idx="128">
                  <c:v>1101</c:v>
                </c:pt>
                <c:pt idx="129">
                  <c:v>32</c:v>
                </c:pt>
                <c:pt idx="130">
                  <c:v>247</c:v>
                </c:pt>
                <c:pt idx="131">
                  <c:v>242</c:v>
                </c:pt>
                <c:pt idx="132">
                  <c:v>52</c:v>
                </c:pt>
                <c:pt idx="133">
                  <c:v>43</c:v>
                </c:pt>
                <c:pt idx="134">
                  <c:v>1397</c:v>
                </c:pt>
                <c:pt idx="135">
                  <c:v>467</c:v>
                </c:pt>
                <c:pt idx="136">
                  <c:v>78</c:v>
                </c:pt>
                <c:pt idx="137">
                  <c:v>468</c:v>
                </c:pt>
                <c:pt idx="138">
                  <c:v>158</c:v>
                </c:pt>
                <c:pt idx="139">
                  <c:v>502</c:v>
                </c:pt>
                <c:pt idx="140">
                  <c:v>251</c:v>
                </c:pt>
                <c:pt idx="141">
                  <c:v>474</c:v>
                </c:pt>
                <c:pt idx="142">
                  <c:v>866</c:v>
                </c:pt>
                <c:pt idx="143">
                  <c:v>612</c:v>
                </c:pt>
                <c:pt idx="144">
                  <c:v>351</c:v>
                </c:pt>
                <c:pt idx="145">
                  <c:v>1365</c:v>
                </c:pt>
                <c:pt idx="146">
                  <c:v>622</c:v>
                </c:pt>
                <c:pt idx="147">
                  <c:v>439</c:v>
                </c:pt>
                <c:pt idx="148">
                  <c:v>130</c:v>
                </c:pt>
                <c:pt idx="149">
                  <c:v>171</c:v>
                </c:pt>
                <c:pt idx="150">
                  <c:v>16</c:v>
                </c:pt>
                <c:pt idx="151">
                  <c:v>103</c:v>
                </c:pt>
                <c:pt idx="154">
                  <c:v>143</c:v>
                </c:pt>
                <c:pt idx="155">
                  <c:v>267</c:v>
                </c:pt>
                <c:pt idx="156">
                  <c:v>147</c:v>
                </c:pt>
                <c:pt idx="157">
                  <c:v>36</c:v>
                </c:pt>
                <c:pt idx="158">
                  <c:v>1674</c:v>
                </c:pt>
                <c:pt idx="159">
                  <c:v>3469</c:v>
                </c:pt>
                <c:pt idx="160">
                  <c:v>586</c:v>
                </c:pt>
                <c:pt idx="161">
                  <c:v>91</c:v>
                </c:pt>
                <c:pt idx="162">
                  <c:v>29</c:v>
                </c:pt>
                <c:pt idx="163">
                  <c:v>504</c:v>
                </c:pt>
                <c:pt idx="164">
                  <c:v>168</c:v>
                </c:pt>
                <c:pt idx="165">
                  <c:v>80</c:v>
                </c:pt>
                <c:pt idx="166">
                  <c:v>139</c:v>
                </c:pt>
                <c:pt idx="167">
                  <c:v>231</c:v>
                </c:pt>
                <c:pt idx="168">
                  <c:v>220</c:v>
                </c:pt>
                <c:pt idx="169">
                  <c:v>183</c:v>
                </c:pt>
                <c:pt idx="170">
                  <c:v>247</c:v>
                </c:pt>
                <c:pt idx="171">
                  <c:v>247</c:v>
                </c:pt>
                <c:pt idx="172">
                  <c:v>240</c:v>
                </c:pt>
                <c:pt idx="173">
                  <c:v>189</c:v>
                </c:pt>
                <c:pt idx="174">
                  <c:v>59</c:v>
                </c:pt>
                <c:pt idx="175">
                  <c:v>1340</c:v>
                </c:pt>
                <c:pt idx="176">
                  <c:v>267</c:v>
                </c:pt>
                <c:pt idx="177">
                  <c:v>412</c:v>
                </c:pt>
                <c:pt idx="178">
                  <c:v>162</c:v>
                </c:pt>
                <c:pt idx="179">
                  <c:v>132</c:v>
                </c:pt>
                <c:pt idx="180">
                  <c:v>544</c:v>
                </c:pt>
                <c:pt idx="181">
                  <c:v>60</c:v>
                </c:pt>
                <c:pt idx="182">
                  <c:v>906</c:v>
                </c:pt>
                <c:pt idx="183">
                  <c:v>264</c:v>
                </c:pt>
                <c:pt idx="184">
                  <c:v>472</c:v>
                </c:pt>
                <c:pt idx="185">
                  <c:v>308</c:v>
                </c:pt>
                <c:pt idx="186">
                  <c:v>126</c:v>
                </c:pt>
                <c:pt idx="187">
                  <c:v>71</c:v>
                </c:pt>
                <c:pt idx="188">
                  <c:v>1067</c:v>
                </c:pt>
                <c:pt idx="189">
                  <c:v>101</c:v>
                </c:pt>
                <c:pt idx="190">
                  <c:v>83</c:v>
                </c:pt>
                <c:pt idx="191">
                  <c:v>189</c:v>
                </c:pt>
                <c:pt idx="192">
                  <c:v>319</c:v>
                </c:pt>
                <c:pt idx="193">
                  <c:v>292</c:v>
                </c:pt>
                <c:pt idx="194">
                  <c:v>77</c:v>
                </c:pt>
                <c:pt idx="195">
                  <c:v>221</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0</c:v>
                </c:pt>
                <c:pt idx="1">
                  <c:v>1226</c:v>
                </c:pt>
                <c:pt idx="2">
                  <c:v>435</c:v>
                </c:pt>
                <c:pt idx="3">
                  <c:v>72</c:v>
                </c:pt>
                <c:pt idx="4">
                  <c:v>500</c:v>
                </c:pt>
                <c:pt idx="5">
                  <c:v>51</c:v>
                </c:pt>
                <c:pt idx="6">
                  <c:v>250</c:v>
                </c:pt>
                <c:pt idx="7">
                  <c:v>421</c:v>
                </c:pt>
                <c:pt idx="8">
                  <c:v>1887</c:v>
                </c:pt>
                <c:pt idx="9">
                  <c:v>24</c:v>
                </c:pt>
                <c:pt idx="10">
                  <c:v>500</c:v>
                </c:pt>
                <c:pt idx="11">
                  <c:v>442</c:v>
                </c:pt>
                <c:pt idx="12">
                  <c:v>197</c:v>
                </c:pt>
                <c:pt idx="13">
                  <c:v>394</c:v>
                </c:pt>
                <c:pt idx="14">
                  <c:v>205</c:v>
                </c:pt>
                <c:pt idx="15">
                  <c:v>291</c:v>
                </c:pt>
                <c:pt idx="16">
                  <c:v>895</c:v>
                </c:pt>
                <c:pt idx="17">
                  <c:v>132</c:v>
                </c:pt>
                <c:pt idx="18">
                  <c:v>934</c:v>
                </c:pt>
                <c:pt idx="19">
                  <c:v>504</c:v>
                </c:pt>
                <c:pt idx="20">
                  <c:v>837</c:v>
                </c:pt>
                <c:pt idx="21">
                  <c:v>500</c:v>
                </c:pt>
                <c:pt idx="22">
                  <c:v>222</c:v>
                </c:pt>
                <c:pt idx="23">
                  <c:v>440</c:v>
                </c:pt>
                <c:pt idx="24">
                  <c:v>1124</c:v>
                </c:pt>
                <c:pt idx="25">
                  <c:v>398</c:v>
                </c:pt>
                <c:pt idx="26">
                  <c:v>4500</c:v>
                </c:pt>
                <c:pt idx="27">
                  <c:v>100</c:v>
                </c:pt>
                <c:pt idx="28">
                  <c:v>106</c:v>
                </c:pt>
                <c:pt idx="29">
                  <c:v>244</c:v>
                </c:pt>
                <c:pt idx="30">
                  <c:v>180</c:v>
                </c:pt>
                <c:pt idx="31">
                  <c:v>270</c:v>
                </c:pt>
                <c:pt idx="32">
                  <c:v>66</c:v>
                </c:pt>
                <c:pt idx="33">
                  <c:v>440</c:v>
                </c:pt>
                <c:pt idx="34">
                  <c:v>2691</c:v>
                </c:pt>
                <c:pt idx="35">
                  <c:v>500</c:v>
                </c:pt>
                <c:pt idx="36">
                  <c:v>680</c:v>
                </c:pt>
                <c:pt idx="37">
                  <c:v>676</c:v>
                </c:pt>
                <c:pt idx="38">
                  <c:v>500</c:v>
                </c:pt>
                <c:pt idx="39">
                  <c:v>100</c:v>
                </c:pt>
                <c:pt idx="40">
                  <c:v>54</c:v>
                </c:pt>
                <c:pt idx="41">
                  <c:v>440</c:v>
                </c:pt>
                <c:pt idx="42">
                  <c:v>127</c:v>
                </c:pt>
                <c:pt idx="43">
                  <c:v>239</c:v>
                </c:pt>
                <c:pt idx="44">
                  <c:v>426</c:v>
                </c:pt>
                <c:pt idx="45">
                  <c:v>1322</c:v>
                </c:pt>
                <c:pt idx="46">
                  <c:v>289</c:v>
                </c:pt>
                <c:pt idx="47">
                  <c:v>0</c:v>
                </c:pt>
                <c:pt idx="48">
                  <c:v>159</c:v>
                </c:pt>
                <c:pt idx="49">
                  <c:v>1736</c:v>
                </c:pt>
                <c:pt idx="50">
                  <c:v>1000</c:v>
                </c:pt>
                <c:pt idx="51">
                  <c:v>30</c:v>
                </c:pt>
                <c:pt idx="52">
                  <c:v>2500</c:v>
                </c:pt>
                <c:pt idx="53">
                  <c:v>191</c:v>
                </c:pt>
                <c:pt idx="54">
                  <c:v>1599</c:v>
                </c:pt>
                <c:pt idx="55">
                  <c:v>694</c:v>
                </c:pt>
                <c:pt idx="56">
                  <c:v>290</c:v>
                </c:pt>
                <c:pt idx="57">
                  <c:v>500</c:v>
                </c:pt>
                <c:pt idx="58">
                  <c:v>590</c:v>
                </c:pt>
                <c:pt idx="59">
                  <c:v>547</c:v>
                </c:pt>
                <c:pt idx="60">
                  <c:v>30</c:v>
                </c:pt>
                <c:pt idx="61">
                  <c:v>104</c:v>
                </c:pt>
                <c:pt idx="62">
                  <c:v>500</c:v>
                </c:pt>
                <c:pt idx="63">
                  <c:v>50</c:v>
                </c:pt>
                <c:pt idx="64">
                  <c:v>500</c:v>
                </c:pt>
                <c:pt idx="65">
                  <c:v>30</c:v>
                </c:pt>
                <c:pt idx="66">
                  <c:v>125</c:v>
                </c:pt>
                <c:pt idx="67">
                  <c:v>157</c:v>
                </c:pt>
                <c:pt idx="68">
                  <c:v>789</c:v>
                </c:pt>
                <c:pt idx="69">
                  <c:v>90</c:v>
                </c:pt>
                <c:pt idx="70">
                  <c:v>166</c:v>
                </c:pt>
                <c:pt idx="71">
                  <c:v>15</c:v>
                </c:pt>
                <c:pt idx="72">
                  <c:v>424</c:v>
                </c:pt>
                <c:pt idx="73">
                  <c:v>176</c:v>
                </c:pt>
                <c:pt idx="74">
                  <c:v>18</c:v>
                </c:pt>
                <c:pt idx="75">
                  <c:v>396</c:v>
                </c:pt>
                <c:pt idx="76">
                  <c:v>323</c:v>
                </c:pt>
                <c:pt idx="77">
                  <c:v>31</c:v>
                </c:pt>
                <c:pt idx="78">
                  <c:v>213</c:v>
                </c:pt>
                <c:pt idx="79">
                  <c:v>250</c:v>
                </c:pt>
                <c:pt idx="80">
                  <c:v>24</c:v>
                </c:pt>
                <c:pt idx="81">
                  <c:v>206</c:v>
                </c:pt>
                <c:pt idx="82">
                  <c:v>141</c:v>
                </c:pt>
                <c:pt idx="83">
                  <c:v>309</c:v>
                </c:pt>
                <c:pt idx="84">
                  <c:v>218</c:v>
                </c:pt>
                <c:pt idx="85">
                  <c:v>41</c:v>
                </c:pt>
                <c:pt idx="86">
                  <c:v>85</c:v>
                </c:pt>
                <c:pt idx="87">
                  <c:v>113</c:v>
                </c:pt>
                <c:pt idx="88">
                  <c:v>547</c:v>
                </c:pt>
                <c:pt idx="89">
                  <c:v>500</c:v>
                </c:pt>
                <c:pt idx="90">
                  <c:v>1675</c:v>
                </c:pt>
                <c:pt idx="91">
                  <c:v>299</c:v>
                </c:pt>
                <c:pt idx="92">
                  <c:v>299</c:v>
                </c:pt>
                <c:pt idx="93">
                  <c:v>895</c:v>
                </c:pt>
                <c:pt idx="94">
                  <c:v>2975</c:v>
                </c:pt>
                <c:pt idx="95">
                  <c:v>852</c:v>
                </c:pt>
                <c:pt idx="96">
                  <c:v>221</c:v>
                </c:pt>
                <c:pt idx="97">
                  <c:v>91</c:v>
                </c:pt>
                <c:pt idx="98">
                  <c:v>334</c:v>
                </c:pt>
                <c:pt idx="99">
                  <c:v>506</c:v>
                </c:pt>
                <c:pt idx="100">
                  <c:v>307</c:v>
                </c:pt>
                <c:pt idx="101">
                  <c:v>70</c:v>
                </c:pt>
                <c:pt idx="102">
                  <c:v>3000</c:v>
                </c:pt>
                <c:pt idx="103">
                  <c:v>325</c:v>
                </c:pt>
                <c:pt idx="104">
                  <c:v>136</c:v>
                </c:pt>
                <c:pt idx="105">
                  <c:v>255</c:v>
                </c:pt>
                <c:pt idx="106">
                  <c:v>1532</c:v>
                </c:pt>
                <c:pt idx="107">
                  <c:v>103</c:v>
                </c:pt>
                <c:pt idx="108">
                  <c:v>583</c:v>
                </c:pt>
                <c:pt idx="109">
                  <c:v>119</c:v>
                </c:pt>
                <c:pt idx="110">
                  <c:v>958</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1500</c:v>
                </c:pt>
                <c:pt idx="125">
                  <c:v>455</c:v>
                </c:pt>
                <c:pt idx="126">
                  <c:v>520</c:v>
                </c:pt>
                <c:pt idx="127">
                  <c:v>66</c:v>
                </c:pt>
                <c:pt idx="128">
                  <c:v>620</c:v>
                </c:pt>
                <c:pt idx="129">
                  <c:v>32</c:v>
                </c:pt>
                <c:pt idx="130">
                  <c:v>205</c:v>
                </c:pt>
                <c:pt idx="131">
                  <c:v>242</c:v>
                </c:pt>
                <c:pt idx="132">
                  <c:v>52</c:v>
                </c:pt>
                <c:pt idx="133">
                  <c:v>43</c:v>
                </c:pt>
                <c:pt idx="134">
                  <c:v>205</c:v>
                </c:pt>
                <c:pt idx="135">
                  <c:v>205</c:v>
                </c:pt>
                <c:pt idx="136">
                  <c:v>78</c:v>
                </c:pt>
                <c:pt idx="137">
                  <c:v>468</c:v>
                </c:pt>
                <c:pt idx="138">
                  <c:v>158</c:v>
                </c:pt>
                <c:pt idx="139">
                  <c:v>500</c:v>
                </c:pt>
                <c:pt idx="140">
                  <c:v>251</c:v>
                </c:pt>
                <c:pt idx="141">
                  <c:v>474</c:v>
                </c:pt>
                <c:pt idx="142">
                  <c:v>866</c:v>
                </c:pt>
                <c:pt idx="143">
                  <c:v>612</c:v>
                </c:pt>
                <c:pt idx="144">
                  <c:v>351</c:v>
                </c:pt>
                <c:pt idx="145">
                  <c:v>50</c:v>
                </c:pt>
                <c:pt idx="146">
                  <c:v>455</c:v>
                </c:pt>
                <c:pt idx="147">
                  <c:v>439</c:v>
                </c:pt>
                <c:pt idx="148">
                  <c:v>130</c:v>
                </c:pt>
                <c:pt idx="149">
                  <c:v>30</c:v>
                </c:pt>
                <c:pt idx="150">
                  <c:v>16</c:v>
                </c:pt>
                <c:pt idx="151">
                  <c:v>103</c:v>
                </c:pt>
                <c:pt idx="152">
                  <c:v>0</c:v>
                </c:pt>
                <c:pt idx="153">
                  <c:v>0</c:v>
                </c:pt>
                <c:pt idx="154">
                  <c:v>143</c:v>
                </c:pt>
                <c:pt idx="155">
                  <c:v>267</c:v>
                </c:pt>
                <c:pt idx="156">
                  <c:v>30</c:v>
                </c:pt>
                <c:pt idx="157">
                  <c:v>36</c:v>
                </c:pt>
                <c:pt idx="158">
                  <c:v>440</c:v>
                </c:pt>
                <c:pt idx="159">
                  <c:v>50</c:v>
                </c:pt>
                <c:pt idx="160">
                  <c:v>586</c:v>
                </c:pt>
                <c:pt idx="161">
                  <c:v>91</c:v>
                </c:pt>
                <c:pt idx="162">
                  <c:v>29</c:v>
                </c:pt>
                <c:pt idx="163">
                  <c:v>504</c:v>
                </c:pt>
                <c:pt idx="164">
                  <c:v>168</c:v>
                </c:pt>
                <c:pt idx="165">
                  <c:v>80</c:v>
                </c:pt>
                <c:pt idx="166">
                  <c:v>139</c:v>
                </c:pt>
                <c:pt idx="167">
                  <c:v>231</c:v>
                </c:pt>
                <c:pt idx="168">
                  <c:v>50</c:v>
                </c:pt>
                <c:pt idx="169">
                  <c:v>50</c:v>
                </c:pt>
                <c:pt idx="170">
                  <c:v>247</c:v>
                </c:pt>
                <c:pt idx="171">
                  <c:v>247</c:v>
                </c:pt>
                <c:pt idx="172">
                  <c:v>240</c:v>
                </c:pt>
                <c:pt idx="173">
                  <c:v>189</c:v>
                </c:pt>
                <c:pt idx="174">
                  <c:v>59</c:v>
                </c:pt>
                <c:pt idx="175">
                  <c:v>1340</c:v>
                </c:pt>
                <c:pt idx="176">
                  <c:v>267</c:v>
                </c:pt>
                <c:pt idx="177">
                  <c:v>50</c:v>
                </c:pt>
                <c:pt idx="178">
                  <c:v>162</c:v>
                </c:pt>
                <c:pt idx="179">
                  <c:v>132</c:v>
                </c:pt>
                <c:pt idx="180">
                  <c:v>520</c:v>
                </c:pt>
                <c:pt idx="181">
                  <c:v>30</c:v>
                </c:pt>
                <c:pt idx="182">
                  <c:v>520</c:v>
                </c:pt>
                <c:pt idx="183">
                  <c:v>264</c:v>
                </c:pt>
                <c:pt idx="184">
                  <c:v>455</c:v>
                </c:pt>
                <c:pt idx="185">
                  <c:v>308</c:v>
                </c:pt>
                <c:pt idx="186">
                  <c:v>126</c:v>
                </c:pt>
                <c:pt idx="187">
                  <c:v>71</c:v>
                </c:pt>
                <c:pt idx="188">
                  <c:v>50</c:v>
                </c:pt>
                <c:pt idx="189">
                  <c:v>101</c:v>
                </c:pt>
                <c:pt idx="190">
                  <c:v>83</c:v>
                </c:pt>
                <c:pt idx="191">
                  <c:v>0</c:v>
                </c:pt>
                <c:pt idx="192">
                  <c:v>319</c:v>
                </c:pt>
                <c:pt idx="193">
                  <c:v>292</c:v>
                </c:pt>
                <c:pt idx="194">
                  <c:v>77</c:v>
                </c:pt>
                <c:pt idx="195">
                  <c:v>221</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789</c:v>
                </c:pt>
                <c:pt idx="2">
                  <c:v>308</c:v>
                </c:pt>
                <c:pt idx="3">
                  <c:v>72</c:v>
                </c:pt>
                <c:pt idx="4">
                  <c:v>560</c:v>
                </c:pt>
                <c:pt idx="5">
                  <c:v>40</c:v>
                </c:pt>
                <c:pt idx="6">
                  <c:v>200</c:v>
                </c:pt>
                <c:pt idx="7">
                  <c:v>421</c:v>
                </c:pt>
                <c:pt idx="8">
                  <c:v>1887</c:v>
                </c:pt>
                <c:pt idx="9">
                  <c:v>24</c:v>
                </c:pt>
                <c:pt idx="10">
                  <c:v>640</c:v>
                </c:pt>
                <c:pt idx="11">
                  <c:v>442</c:v>
                </c:pt>
                <c:pt idx="12">
                  <c:v>140</c:v>
                </c:pt>
                <c:pt idx="13">
                  <c:v>394</c:v>
                </c:pt>
                <c:pt idx="14">
                  <c:v>410</c:v>
                </c:pt>
                <c:pt idx="15">
                  <c:v>291</c:v>
                </c:pt>
                <c:pt idx="16">
                  <c:v>895</c:v>
                </c:pt>
                <c:pt idx="17">
                  <c:v>132</c:v>
                </c:pt>
                <c:pt idx="18">
                  <c:v>800</c:v>
                </c:pt>
                <c:pt idx="19">
                  <c:v>504</c:v>
                </c:pt>
                <c:pt idx="20">
                  <c:v>640</c:v>
                </c:pt>
                <c:pt idx="21">
                  <c:v>3789</c:v>
                </c:pt>
                <c:pt idx="22">
                  <c:v>140</c:v>
                </c:pt>
                <c:pt idx="23">
                  <c:v>1780</c:v>
                </c:pt>
                <c:pt idx="24">
                  <c:v>860</c:v>
                </c:pt>
                <c:pt idx="25">
                  <c:v>398</c:v>
                </c:pt>
                <c:pt idx="26">
                  <c:v>800</c:v>
                </c:pt>
                <c:pt idx="27">
                  <c:v>80</c:v>
                </c:pt>
                <c:pt idx="28">
                  <c:v>100</c:v>
                </c:pt>
                <c:pt idx="29">
                  <c:v>240</c:v>
                </c:pt>
                <c:pt idx="30">
                  <c:v>180</c:v>
                </c:pt>
                <c:pt idx="31">
                  <c:v>270</c:v>
                </c:pt>
                <c:pt idx="32">
                  <c:v>66</c:v>
                </c:pt>
                <c:pt idx="33">
                  <c:v>0</c:v>
                </c:pt>
                <c:pt idx="34">
                  <c:v>2691</c:v>
                </c:pt>
                <c:pt idx="35">
                  <c:v>586</c:v>
                </c:pt>
                <c:pt idx="36">
                  <c:v>160</c:v>
                </c:pt>
                <c:pt idx="37">
                  <c:v>640</c:v>
                </c:pt>
                <c:pt idx="38">
                  <c:v>884</c:v>
                </c:pt>
                <c:pt idx="39">
                  <c:v>100</c:v>
                </c:pt>
                <c:pt idx="40">
                  <c:v>40</c:v>
                </c:pt>
                <c:pt idx="41">
                  <c:v>420</c:v>
                </c:pt>
                <c:pt idx="42">
                  <c:v>127</c:v>
                </c:pt>
                <c:pt idx="43">
                  <c:v>182</c:v>
                </c:pt>
                <c:pt idx="44">
                  <c:v>126</c:v>
                </c:pt>
                <c:pt idx="45">
                  <c:v>943</c:v>
                </c:pt>
                <c:pt idx="46">
                  <c:v>240</c:v>
                </c:pt>
                <c:pt idx="47">
                  <c:v>0</c:v>
                </c:pt>
                <c:pt idx="48">
                  <c:v>120</c:v>
                </c:pt>
                <c:pt idx="49">
                  <c:v>1736</c:v>
                </c:pt>
                <c:pt idx="50">
                  <c:v>420</c:v>
                </c:pt>
                <c:pt idx="51">
                  <c:v>1776</c:v>
                </c:pt>
                <c:pt idx="52">
                  <c:v>2500</c:v>
                </c:pt>
                <c:pt idx="53">
                  <c:v>191</c:v>
                </c:pt>
                <c:pt idx="54">
                  <c:v>1599</c:v>
                </c:pt>
                <c:pt idx="55">
                  <c:v>694</c:v>
                </c:pt>
                <c:pt idx="56">
                  <c:v>140</c:v>
                </c:pt>
                <c:pt idx="57">
                  <c:v>741</c:v>
                </c:pt>
                <c:pt idx="58">
                  <c:v>563</c:v>
                </c:pt>
                <c:pt idx="59">
                  <c:v>547</c:v>
                </c:pt>
                <c:pt idx="60">
                  <c:v>0</c:v>
                </c:pt>
                <c:pt idx="61">
                  <c:v>80</c:v>
                </c:pt>
                <c:pt idx="62">
                  <c:v>360</c:v>
                </c:pt>
                <c:pt idx="63">
                  <c:v>538</c:v>
                </c:pt>
                <c:pt idx="64">
                  <c:v>2354</c:v>
                </c:pt>
                <c:pt idx="65">
                  <c:v>737</c:v>
                </c:pt>
                <c:pt idx="66">
                  <c:v>125</c:v>
                </c:pt>
                <c:pt idx="67">
                  <c:v>157</c:v>
                </c:pt>
                <c:pt idx="68">
                  <c:v>789</c:v>
                </c:pt>
                <c:pt idx="69">
                  <c:v>80</c:v>
                </c:pt>
                <c:pt idx="70">
                  <c:v>120</c:v>
                </c:pt>
                <c:pt idx="71">
                  <c:v>0</c:v>
                </c:pt>
                <c:pt idx="72">
                  <c:v>424</c:v>
                </c:pt>
                <c:pt idx="73">
                  <c:v>176</c:v>
                </c:pt>
                <c:pt idx="74">
                  <c:v>0</c:v>
                </c:pt>
                <c:pt idx="75">
                  <c:v>396</c:v>
                </c:pt>
                <c:pt idx="76">
                  <c:v>200</c:v>
                </c:pt>
                <c:pt idx="77">
                  <c:v>31</c:v>
                </c:pt>
                <c:pt idx="78">
                  <c:v>213</c:v>
                </c:pt>
                <c:pt idx="79">
                  <c:v>250</c:v>
                </c:pt>
                <c:pt idx="80">
                  <c:v>24</c:v>
                </c:pt>
                <c:pt idx="81">
                  <c:v>200</c:v>
                </c:pt>
                <c:pt idx="82">
                  <c:v>141</c:v>
                </c:pt>
                <c:pt idx="83">
                  <c:v>309</c:v>
                </c:pt>
                <c:pt idx="84">
                  <c:v>218</c:v>
                </c:pt>
                <c:pt idx="85">
                  <c:v>41</c:v>
                </c:pt>
                <c:pt idx="86">
                  <c:v>80</c:v>
                </c:pt>
                <c:pt idx="87">
                  <c:v>100</c:v>
                </c:pt>
                <c:pt idx="88">
                  <c:v>547</c:v>
                </c:pt>
                <c:pt idx="89">
                  <c:v>525</c:v>
                </c:pt>
                <c:pt idx="90">
                  <c:v>1675</c:v>
                </c:pt>
                <c:pt idx="91">
                  <c:v>299</c:v>
                </c:pt>
                <c:pt idx="92">
                  <c:v>263</c:v>
                </c:pt>
                <c:pt idx="93">
                  <c:v>680</c:v>
                </c:pt>
                <c:pt idx="94">
                  <c:v>2975</c:v>
                </c:pt>
                <c:pt idx="95">
                  <c:v>750</c:v>
                </c:pt>
                <c:pt idx="96">
                  <c:v>221</c:v>
                </c:pt>
                <c:pt idx="97">
                  <c:v>91</c:v>
                </c:pt>
                <c:pt idx="98">
                  <c:v>334</c:v>
                </c:pt>
                <c:pt idx="99">
                  <c:v>420</c:v>
                </c:pt>
                <c:pt idx="100">
                  <c:v>280</c:v>
                </c:pt>
                <c:pt idx="101">
                  <c:v>40</c:v>
                </c:pt>
                <c:pt idx="102">
                  <c:v>3003</c:v>
                </c:pt>
                <c:pt idx="103">
                  <c:v>325</c:v>
                </c:pt>
                <c:pt idx="104">
                  <c:v>136</c:v>
                </c:pt>
                <c:pt idx="105">
                  <c:v>255</c:v>
                </c:pt>
                <c:pt idx="106">
                  <c:v>1532</c:v>
                </c:pt>
                <c:pt idx="107">
                  <c:v>103</c:v>
                </c:pt>
                <c:pt idx="108">
                  <c:v>260</c:v>
                </c:pt>
                <c:pt idx="109">
                  <c:v>119</c:v>
                </c:pt>
                <c:pt idx="110">
                  <c:v>958</c:v>
                </c:pt>
                <c:pt idx="111">
                  <c:v>264</c:v>
                </c:pt>
                <c:pt idx="112">
                  <c:v>180</c:v>
                </c:pt>
                <c:pt idx="113">
                  <c:v>340</c:v>
                </c:pt>
                <c:pt idx="114">
                  <c:v>68</c:v>
                </c:pt>
                <c:pt idx="115">
                  <c:v>0</c:v>
                </c:pt>
                <c:pt idx="116">
                  <c:v>220</c:v>
                </c:pt>
                <c:pt idx="117">
                  <c:v>262</c:v>
                </c:pt>
                <c:pt idx="118">
                  <c:v>100</c:v>
                </c:pt>
                <c:pt idx="119">
                  <c:v>219</c:v>
                </c:pt>
                <c:pt idx="120">
                  <c:v>120</c:v>
                </c:pt>
                <c:pt idx="121">
                  <c:v>195</c:v>
                </c:pt>
                <c:pt idx="122">
                  <c:v>180</c:v>
                </c:pt>
                <c:pt idx="123">
                  <c:v>133</c:v>
                </c:pt>
                <c:pt idx="124">
                  <c:v>4920</c:v>
                </c:pt>
                <c:pt idx="125">
                  <c:v>0</c:v>
                </c:pt>
                <c:pt idx="126">
                  <c:v>0</c:v>
                </c:pt>
                <c:pt idx="127">
                  <c:v>66</c:v>
                </c:pt>
                <c:pt idx="128">
                  <c:v>1025</c:v>
                </c:pt>
                <c:pt idx="129">
                  <c:v>0</c:v>
                </c:pt>
                <c:pt idx="130">
                  <c:v>0</c:v>
                </c:pt>
                <c:pt idx="131">
                  <c:v>242</c:v>
                </c:pt>
                <c:pt idx="132">
                  <c:v>52</c:v>
                </c:pt>
                <c:pt idx="133">
                  <c:v>43</c:v>
                </c:pt>
                <c:pt idx="134">
                  <c:v>100</c:v>
                </c:pt>
                <c:pt idx="135">
                  <c:v>300</c:v>
                </c:pt>
                <c:pt idx="136">
                  <c:v>40</c:v>
                </c:pt>
                <c:pt idx="137">
                  <c:v>0</c:v>
                </c:pt>
                <c:pt idx="138">
                  <c:v>158</c:v>
                </c:pt>
                <c:pt idx="139">
                  <c:v>502</c:v>
                </c:pt>
                <c:pt idx="140">
                  <c:v>251</c:v>
                </c:pt>
                <c:pt idx="141">
                  <c:v>260</c:v>
                </c:pt>
                <c:pt idx="142">
                  <c:v>560</c:v>
                </c:pt>
                <c:pt idx="143">
                  <c:v>320</c:v>
                </c:pt>
                <c:pt idx="144">
                  <c:v>160</c:v>
                </c:pt>
                <c:pt idx="145">
                  <c:v>1340</c:v>
                </c:pt>
                <c:pt idx="146">
                  <c:v>0</c:v>
                </c:pt>
                <c:pt idx="147">
                  <c:v>439</c:v>
                </c:pt>
                <c:pt idx="148">
                  <c:v>130</c:v>
                </c:pt>
                <c:pt idx="149">
                  <c:v>0</c:v>
                </c:pt>
                <c:pt idx="150">
                  <c:v>16</c:v>
                </c:pt>
                <c:pt idx="151">
                  <c:v>103</c:v>
                </c:pt>
                <c:pt idx="152">
                  <c:v>0</c:v>
                </c:pt>
                <c:pt idx="153">
                  <c:v>0</c:v>
                </c:pt>
                <c:pt idx="154">
                  <c:v>120</c:v>
                </c:pt>
                <c:pt idx="155">
                  <c:v>144</c:v>
                </c:pt>
                <c:pt idx="156">
                  <c:v>0</c:v>
                </c:pt>
                <c:pt idx="157">
                  <c:v>36</c:v>
                </c:pt>
                <c:pt idx="158">
                  <c:v>280</c:v>
                </c:pt>
                <c:pt idx="159">
                  <c:v>3469</c:v>
                </c:pt>
                <c:pt idx="160">
                  <c:v>265</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9</c:v>
                </c:pt>
                <c:pt idx="176">
                  <c:v>267</c:v>
                </c:pt>
                <c:pt idx="177">
                  <c:v>360</c:v>
                </c:pt>
                <c:pt idx="178">
                  <c:v>0</c:v>
                </c:pt>
                <c:pt idx="179">
                  <c:v>132</c:v>
                </c:pt>
                <c:pt idx="180">
                  <c:v>0</c:v>
                </c:pt>
                <c:pt idx="181">
                  <c:v>0</c:v>
                </c:pt>
                <c:pt idx="182">
                  <c:v>0</c:v>
                </c:pt>
                <c:pt idx="183">
                  <c:v>264</c:v>
                </c:pt>
                <c:pt idx="184">
                  <c:v>0</c:v>
                </c:pt>
                <c:pt idx="185">
                  <c:v>0</c:v>
                </c:pt>
                <c:pt idx="186">
                  <c:v>0</c:v>
                </c:pt>
                <c:pt idx="187">
                  <c:v>0</c:v>
                </c:pt>
                <c:pt idx="188">
                  <c:v>0</c:v>
                </c:pt>
                <c:pt idx="189">
                  <c:v>0</c:v>
                </c:pt>
                <c:pt idx="190">
                  <c:v>83</c:v>
                </c:pt>
                <c:pt idx="191">
                  <c:v>164</c:v>
                </c:pt>
                <c:pt idx="192">
                  <c:v>319</c:v>
                </c:pt>
                <c:pt idx="193">
                  <c:v>125</c:v>
                </c:pt>
                <c:pt idx="194">
                  <c:v>20</c:v>
                </c:pt>
                <c:pt idx="195">
                  <c:v>160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96"/>
                <c:pt idx="0">
                  <c:v>AD-2000 Extension camp</c:v>
                </c:pt>
                <c:pt idx="1">
                  <c:v>AD-2000 Tharthana Compound</c:v>
                </c:pt>
                <c:pt idx="2">
                  <c:v>AG Church, Hmaw Si Sa</c:v>
                </c:pt>
                <c:pt idx="3">
                  <c:v>AG Church, Maw Wan</c:v>
                </c:pt>
                <c:pt idx="4">
                  <c:v>Agritural Compound (KBC)</c:v>
                </c:pt>
                <c:pt idx="5">
                  <c:v>Aung Thar Church</c:v>
                </c:pt>
                <c:pt idx="6">
                  <c:v>Baptist Church, Hmaw Si Sar(Lon Khin)</c:v>
                </c:pt>
                <c:pt idx="7">
                  <c:v>Border Post 8</c:v>
                </c:pt>
                <c:pt idx="8">
                  <c:v>Bum Tsit Pa</c:v>
                </c:pt>
                <c:pt idx="9">
                  <c:v>Chin Church, Seik Mu</c:v>
                </c:pt>
                <c:pt idx="10">
                  <c:v>Chipwi KBC camp</c:v>
                </c:pt>
                <c:pt idx="11">
                  <c:v>Dhama Rakhita, Nyein Chan Tar Yar Ward(Lon Khin)</c:v>
                </c:pt>
                <c:pt idx="12">
                  <c:v>Du Kahtawng Baptist</c:v>
                </c:pt>
                <c:pt idx="13">
                  <c:v>Dum Bung </c:v>
                </c:pt>
                <c:pt idx="14">
                  <c:v>Hka Shi</c:v>
                </c:pt>
                <c:pt idx="15">
                  <c:v>Hkat Cho </c:v>
                </c:pt>
                <c:pt idx="16">
                  <c:v>Hkau Shau (BP 12)</c:v>
                </c:pt>
                <c:pt idx="17">
                  <c:v>Hlaing Naung Baptist</c:v>
                </c:pt>
                <c:pt idx="18">
                  <c:v>Hpai Kawng</c:v>
                </c:pt>
                <c:pt idx="19">
                  <c:v>Hpakant Baptist Church, Nam Ma Hpit</c:v>
                </c:pt>
                <c:pt idx="20">
                  <c:v>Hpare Hkyer - BP6</c:v>
                </c:pt>
                <c:pt idx="21">
                  <c:v>Hpun Lum Yang </c:v>
                </c:pt>
                <c:pt idx="22">
                  <c:v>Htoi San Church</c:v>
                </c:pt>
                <c:pt idx="23">
                  <c:v>IDP Boarding School, A Len Bum</c:v>
                </c:pt>
                <c:pt idx="24">
                  <c:v>Jan Mai Kawng Baptist Church</c:v>
                </c:pt>
                <c:pt idx="25">
                  <c:v>Jan Mai Kawng Catholic Church</c:v>
                </c:pt>
                <c:pt idx="26">
                  <c:v>Je Yang Hka </c:v>
                </c:pt>
                <c:pt idx="27">
                  <c:v>Kachin Su Baptist Church (ECCD)</c:v>
                </c:pt>
                <c:pt idx="28">
                  <c:v>Khar Nan (1) Baptist Church</c:v>
                </c:pt>
                <c:pt idx="29">
                  <c:v>Kutkai downtown (KBC Church)</c:v>
                </c:pt>
                <c:pt idx="30">
                  <c:v>Kutkai downtown (KBC Church-2)</c:v>
                </c:pt>
                <c:pt idx="31">
                  <c:v>Kyu Sot</c:v>
                </c:pt>
                <c:pt idx="32">
                  <c:v>Kyun Taw Baptist Church </c:v>
                </c:pt>
                <c:pt idx="33">
                  <c:v>Laiza Je Yang School</c:v>
                </c:pt>
                <c:pt idx="34">
                  <c:v>Lana Zup Ja</c:v>
                </c:pt>
                <c:pt idx="35">
                  <c:v>Lawng Hkang Shait Yang Camp​ ( Lel Pyin)​ </c:v>
                </c:pt>
                <c:pt idx="36">
                  <c:v>Le Kone Bethlehem Church</c:v>
                </c:pt>
                <c:pt idx="37">
                  <c:v>Le Kone Ziun Baptist Church </c:v>
                </c:pt>
                <c:pt idx="38">
                  <c:v>Lhaovao Baptist Church (LBC)</c:v>
                </c:pt>
                <c:pt idx="39">
                  <c:v>Lisu Baptist Church, Maw Shan Vil,. Seik Mu</c:v>
                </c:pt>
                <c:pt idx="40">
                  <c:v>Lisu Baptist Church, Maw Wan Ward</c:v>
                </c:pt>
                <c:pt idx="41">
                  <c:v>Lisu Boarding-House</c:v>
                </c:pt>
                <c:pt idx="42">
                  <c:v>Lisu Church Namtu</c:v>
                </c:pt>
                <c:pt idx="43">
                  <c:v>Loi Je Baptist Church</c:v>
                </c:pt>
                <c:pt idx="44">
                  <c:v>Loi Je Catholic Church</c:v>
                </c:pt>
                <c:pt idx="45">
                  <c:v>Loi Je Lisu Camp</c:v>
                </c:pt>
                <c:pt idx="46">
                  <c:v>Lung Sut</c:v>
                </c:pt>
                <c:pt idx="47">
                  <c:v>Lwegel High School</c:v>
                </c:pt>
                <c:pt idx="48">
                  <c:v>Mading Baptist Church</c:v>
                </c:pt>
                <c:pt idx="49">
                  <c:v>Maga Yang </c:v>
                </c:pt>
                <c:pt idx="50">
                  <c:v>Maina AG Church</c:v>
                </c:pt>
                <c:pt idx="51">
                  <c:v>Maina Catholic Church (St. Joseph)</c:v>
                </c:pt>
                <c:pt idx="52">
                  <c:v>Maina KBC (Bawng Ring)</c:v>
                </c:pt>
                <c:pt idx="53">
                  <c:v>Maina Lawang Baptist Church</c:v>
                </c:pt>
                <c:pt idx="54">
                  <c:v>Maing Khaung</c:v>
                </c:pt>
                <c:pt idx="55">
                  <c:v>Maing Khaung Catholic Church</c:v>
                </c:pt>
                <c:pt idx="56">
                  <c:v>Maliyang Baptist Church</c:v>
                </c:pt>
                <c:pt idx="57">
                  <c:v>Man Bung Catholic compound</c:v>
                </c:pt>
                <c:pt idx="58">
                  <c:v>Man Bung Edin Baptist Church</c:v>
                </c:pt>
                <c:pt idx="59">
                  <c:v>Man Hkring Baptist Church</c:v>
                </c:pt>
                <c:pt idx="60">
                  <c:v>Man Kaung/Naung Ti Kyar Village</c:v>
                </c:pt>
                <c:pt idx="61">
                  <c:v>Man Loi</c:v>
                </c:pt>
                <c:pt idx="62">
                  <c:v>Man Wing Baptist Church</c:v>
                </c:pt>
                <c:pt idx="63">
                  <c:v>Man Wing Baptist Church Cultural Compound</c:v>
                </c:pt>
                <c:pt idx="64">
                  <c:v>Man Wing Catholic Church</c:v>
                </c:pt>
                <c:pt idx="65">
                  <c:v>Man Wing Catholic Church II</c:v>
                </c:pt>
                <c:pt idx="66">
                  <c:v>Mandung - Jinghpaw</c:v>
                </c:pt>
                <c:pt idx="67">
                  <c:v>Mandung - RC</c:v>
                </c:pt>
                <c:pt idx="68">
                  <c:v>Mansi Baptist Church</c:v>
                </c:pt>
                <c:pt idx="69">
                  <c:v>Maw Hpawng Hka Nan Baptist Church</c:v>
                </c:pt>
                <c:pt idx="70">
                  <c:v>Maw Hpawng Lhaovo Baptist Church</c:v>
                </c:pt>
                <c:pt idx="71">
                  <c:v>Maw Wan, Mu-yin Baptist Church</c:v>
                </c:pt>
                <c:pt idx="72">
                  <c:v>Momauk Baptist Church</c:v>
                </c:pt>
                <c:pt idx="73">
                  <c:v>Mung Hawm </c:v>
                </c:pt>
                <c:pt idx="74">
                  <c:v>Muyin church (Aung Yar pre-school compound)</c:v>
                </c:pt>
                <c:pt idx="75">
                  <c:v>Nam Hkam - Nay Win Ni (Palawng)</c:v>
                </c:pt>
                <c:pt idx="76">
                  <c:v>Nam Hkam (KBC Jaw Wang)</c:v>
                </c:pt>
                <c:pt idx="77">
                  <c:v>Nam Hkam (KBC Jaw Wang) II</c:v>
                </c:pt>
                <c:pt idx="78">
                  <c:v>Nam Hkam Catholic Church ( St. Thomas I)</c:v>
                </c:pt>
                <c:pt idx="79">
                  <c:v>Nam Hpak Ka Mare </c:v>
                </c:pt>
                <c:pt idx="80">
                  <c:v>Nam Ma Phyit, COC</c:v>
                </c:pt>
                <c:pt idx="81">
                  <c:v>Nam Sa Larp</c:v>
                </c:pt>
                <c:pt idx="82">
                  <c:v>Nam Tu Baptist</c:v>
                </c:pt>
                <c:pt idx="83">
                  <c:v>Nan Kway St. John Catholic Church</c:v>
                </c:pt>
                <c:pt idx="84">
                  <c:v>Nant Ma Hpit Catholic Church</c:v>
                </c:pt>
                <c:pt idx="85">
                  <c:v>Nat Gyi Kone Baptist Church </c:v>
                </c:pt>
                <c:pt idx="86">
                  <c:v>Nawng Hee Village</c:v>
                </c:pt>
                <c:pt idx="87">
                  <c:v>Nawng Ing (Indawgyi) Baptist Church </c:v>
                </c:pt>
                <c:pt idx="88">
                  <c:v>Ndup Yang</c:v>
                </c:pt>
                <c:pt idx="89">
                  <c:v>New Pang Ku </c:v>
                </c:pt>
                <c:pt idx="90">
                  <c:v>Nhkawng Pa </c:v>
                </c:pt>
                <c:pt idx="91">
                  <c:v>Njang Dung Baptist Church </c:v>
                </c:pt>
                <c:pt idx="92">
                  <c:v>Nyaung Na Pin </c:v>
                </c:pt>
                <c:pt idx="93">
                  <c:v>Pa Dauk Myaing(Pa La Na)</c:v>
                </c:pt>
                <c:pt idx="94">
                  <c:v>Pa Kahtawng </c:v>
                </c:pt>
                <c:pt idx="95">
                  <c:v>Pajau - Jan Mai</c:v>
                </c:pt>
                <c:pt idx="96">
                  <c:v>Pan Law</c:v>
                </c:pt>
                <c:pt idx="97">
                  <c:v>Pan Ta Pyae</c:v>
                </c:pt>
                <c:pt idx="98">
                  <c:v>Phan Khar Kone</c:v>
                </c:pt>
                <c:pt idx="99">
                  <c:v>Qtr. 2 Lhaovo Baptist Church</c:v>
                </c:pt>
                <c:pt idx="100">
                  <c:v>Qtr. 2 Myoma Baptist Church</c:v>
                </c:pt>
                <c:pt idx="101">
                  <c:v>Rawan Baptist Church, Maw Shan Vil., Seik Mu</c:v>
                </c:pt>
                <c:pt idx="102">
                  <c:v>Robert Church</c:v>
                </c:pt>
                <c:pt idx="103">
                  <c:v>Salang Yang</c:v>
                </c:pt>
                <c:pt idx="104">
                  <c:v>Sar Hmaw - KBC</c:v>
                </c:pt>
                <c:pt idx="105">
                  <c:v>Seng Ja </c:v>
                </c:pt>
                <c:pt idx="106">
                  <c:v>Sha-It Yang</c:v>
                </c:pt>
                <c:pt idx="107">
                  <c:v>Shar Du Zut KBC church </c:v>
                </c:pt>
                <c:pt idx="108">
                  <c:v>Shatapru Sut Ngai Tawng</c:v>
                </c:pt>
                <c:pt idx="109">
                  <c:v>Shatapru Thida Aye Baptist Church</c:v>
                </c:pt>
                <c:pt idx="110">
                  <c:v>Shing Jai</c:v>
                </c:pt>
                <c:pt idx="111">
                  <c:v>Shwe Gu Baptist Church</c:v>
                </c:pt>
                <c:pt idx="112">
                  <c:v>Shwe Gu Catholic Church</c:v>
                </c:pt>
                <c:pt idx="113">
                  <c:v>Shwe Zet Baptist Church</c:v>
                </c:pt>
                <c:pt idx="114">
                  <c:v>St. Patrick Catholic Church </c:v>
                </c:pt>
                <c:pt idx="115">
                  <c:v>Tanai CoC</c:v>
                </c:pt>
                <c:pt idx="116">
                  <c:v>Tat Kone Baptist Church</c:v>
                </c:pt>
                <c:pt idx="117">
                  <c:v>Tat Kone COC Baptist - Tat Kone Htoi San</c:v>
                </c:pt>
                <c:pt idx="118">
                  <c:v>Tat Kone Galile Baptist Church</c:v>
                </c:pt>
                <c:pt idx="119">
                  <c:v>Tat Kone San Pya Baptist Church</c:v>
                </c:pt>
                <c:pt idx="120">
                  <c:v>Thargaya Lisu Baptist Church</c:v>
                </c:pt>
                <c:pt idx="121">
                  <c:v>Tsan Lun - Namjarap</c:v>
                </c:pt>
                <c:pt idx="122">
                  <c:v>Waingmaw AG Church</c:v>
                </c:pt>
                <c:pt idx="123">
                  <c:v>Ward 2 Sai Taung Baptist Church, Seik Mu </c:v>
                </c:pt>
                <c:pt idx="124">
                  <c:v>Woi Chyai </c:v>
                </c:pt>
                <c:pt idx="125">
                  <c:v>Woi Chyai (Mong Lai)</c:v>
                </c:pt>
                <c:pt idx="126">
                  <c:v>Woi Chyai host families</c:v>
                </c:pt>
                <c:pt idx="127">
                  <c:v>Yumar Baptist Church</c:v>
                </c:pt>
                <c:pt idx="128">
                  <c:v>Zup Aung Camp</c:v>
                </c:pt>
                <c:pt idx="129">
                  <c:v>Emmanuel AG Church</c:v>
                </c:pt>
                <c:pt idx="130">
                  <c:v>Sadung</c:v>
                </c:pt>
                <c:pt idx="131">
                  <c:v>Lawa RC Church</c:v>
                </c:pt>
                <c:pt idx="132">
                  <c:v>Karmaing RC Church</c:v>
                </c:pt>
                <c:pt idx="133">
                  <c:v>Ka Bu Dam CoC</c:v>
                </c:pt>
                <c:pt idx="134">
                  <c:v>Pang Hkawn Yang</c:v>
                </c:pt>
                <c:pt idx="135">
                  <c:v>Lone Khin Catholic Church</c:v>
                </c:pt>
                <c:pt idx="136">
                  <c:v>Ma Hawng Baptist Church</c:v>
                </c:pt>
                <c:pt idx="137">
                  <c:v>Tanai KBC Camp</c:v>
                </c:pt>
                <c:pt idx="138">
                  <c:v>Nam Hpak Ka Ta'ang ( Aung Tha Pyay)</c:v>
                </c:pt>
                <c:pt idx="139">
                  <c:v>Mai Yu Lay New (Ta'ang)</c:v>
                </c:pt>
                <c:pt idx="140">
                  <c:v>Mine Yu Lay village ( Old)</c:v>
                </c:pt>
                <c:pt idx="141">
                  <c:v>Namti Labraw Yang KBC Camp</c:v>
                </c:pt>
                <c:pt idx="142">
                  <c:v>Trinity Camp</c:v>
                </c:pt>
                <c:pt idx="143">
                  <c:v>Jaw Masat Camp</c:v>
                </c:pt>
                <c:pt idx="144">
                  <c:v>Waimaw Baptist Zonal Office 2</c:v>
                </c:pt>
                <c:pt idx="145">
                  <c:v>Pa Dauk Myaing(Pa La Na)-II</c:v>
                </c:pt>
                <c:pt idx="146">
                  <c:v>St. Joseph Tanai RC camp </c:v>
                </c:pt>
                <c:pt idx="147">
                  <c:v>Galeng (Palaung) &amp; Kone Khem</c:v>
                </c:pt>
                <c:pt idx="148">
                  <c:v>Hu Hku &amp; Ho Hko</c:v>
                </c:pt>
                <c:pt idx="149">
                  <c:v>Hka Garan Yang </c:v>
                </c:pt>
                <c:pt idx="150">
                  <c:v>Htang Nya </c:v>
                </c:pt>
                <c:pt idx="151">
                  <c:v>Enai (Man Pyein)</c:v>
                </c:pt>
                <c:pt idx="152">
                  <c:v>AD 2000 School</c:v>
                </c:pt>
                <c:pt idx="153">
                  <c:v>Robert -High school</c:v>
                </c:pt>
                <c:pt idx="154">
                  <c:v>Pamati Camp</c:v>
                </c:pt>
                <c:pt idx="155">
                  <c:v>Momauk IDP new extension camp (Kye Nan)</c:v>
                </c:pt>
                <c:pt idx="156">
                  <c:v>Sector 5 Pammati Quarter</c:v>
                </c:pt>
                <c:pt idx="157">
                  <c:v>Namatee Kan Hla AG</c:v>
                </c:pt>
                <c:pt idx="158">
                  <c:v>His Aw (Chyu Fan) </c:v>
                </c:pt>
                <c:pt idx="159">
                  <c:v>Shwe Sin (Ward 3) </c:v>
                </c:pt>
                <c:pt idx="160">
                  <c:v>Bum Ra Yang Camp </c:v>
                </c:pt>
                <c:pt idx="161">
                  <c:v>Mang Nawng Kawng (host)</c:v>
                </c:pt>
                <c:pt idx="162">
                  <c:v>Hat Hlan village (host)</c:v>
                </c:pt>
                <c:pt idx="163">
                  <c:v>Kyaukme Town (host)</c:v>
                </c:pt>
                <c:pt idx="164">
                  <c:v>Nam Hlaing Extension Ward camp</c:v>
                </c:pt>
                <c:pt idx="165">
                  <c:v>Naung Tar Law (Kyet Chan) </c:v>
                </c:pt>
                <c:pt idx="166">
                  <c:v>Waingmaw St.Joseph RC Church</c:v>
                </c:pt>
                <c:pt idx="167">
                  <c:v>Waingmaw LBC church </c:v>
                </c:pt>
                <c:pt idx="168">
                  <c:v>Lisu Zonal camp</c:v>
                </c:pt>
                <c:pt idx="169">
                  <c:v>Phaug Nhae Camp</c:v>
                </c:pt>
                <c:pt idx="170">
                  <c:v>Yuu Ka lait Kone Camp</c:v>
                </c:pt>
                <c:pt idx="171">
                  <c:v>Lhaovo Baptist Convention  Old Office Camp</c:v>
                </c:pt>
                <c:pt idx="172">
                  <c:v>Ding Jang Yang (1)</c:v>
                </c:pt>
                <c:pt idx="173">
                  <c:v>Ding Jang Yang (2)</c:v>
                </c:pt>
                <c:pt idx="174">
                  <c:v>Naung Pataine/lachid </c:v>
                </c:pt>
                <c:pt idx="175">
                  <c:v>Momauk KBC church</c:v>
                </c:pt>
                <c:pt idx="176">
                  <c:v>St.Francis RCC 1</c:v>
                </c:pt>
                <c:pt idx="177">
                  <c:v>St.Francis RCC 2</c:v>
                </c:pt>
                <c:pt idx="178">
                  <c:v>Bang Yang Hka (Mung Ji Pa)-relocated</c:v>
                </c:pt>
                <c:pt idx="179">
                  <c:v>Galeng Zup Awng ward 5 RC</c:v>
                </c:pt>
                <c:pt idx="180">
                  <c:v>Man Wing- IDPs in Host</c:v>
                </c:pt>
                <c:pt idx="181">
                  <c:v>(3 mile) Shwe Pyi Tar (SLCA)</c:v>
                </c:pt>
                <c:pt idx="182">
                  <c:v>Bhamo- IDPs in Host </c:v>
                </c:pt>
                <c:pt idx="183">
                  <c:v>Chipwi Pan Wa  (Host IDP)</c:v>
                </c:pt>
                <c:pt idx="184">
                  <c:v>St.Columban lone Khin camp</c:v>
                </c:pt>
                <c:pt idx="185">
                  <c:v>Mansi- IDPs in Host</c:v>
                </c:pt>
                <c:pt idx="186">
                  <c:v>Hopin -IDPs in Host</c:v>
                </c:pt>
                <c:pt idx="187">
                  <c:v>Moenyin- IDPs in Host</c:v>
                </c:pt>
                <c:pt idx="188">
                  <c:v>Momauk-IDPs in Host</c:v>
                </c:pt>
                <c:pt idx="189">
                  <c:v>Myo Thit -IDP in Host</c:v>
                </c:pt>
                <c:pt idx="190">
                  <c:v>Saint Matthew (Shin ma ti-sitapru) camp</c:v>
                </c:pt>
                <c:pt idx="191">
                  <c:v>Nan Hlaing_new camp </c:v>
                </c:pt>
                <c:pt idx="192">
                  <c:v>Na ru Kawng (Post 6 camp)</c:v>
                </c:pt>
                <c:pt idx="193">
                  <c:v>Mong Wee Shan-relocated</c:v>
                </c:pt>
                <c:pt idx="194">
                  <c:v>Hseng Ja-Relocated</c:v>
                </c:pt>
                <c:pt idx="195">
                  <c:v>Maina Mu-yin  Baptist Church</c:v>
                </c:pt>
              </c:strCache>
            </c:strRef>
          </c:cat>
          <c:val>
            <c:numRef>
              <c:f>'By Camps'!$B$34</c:f>
              <c:numCache>
                <c:formatCode>General</c:formatCode>
                <c:ptCount val="196"/>
                <c:pt idx="0">
                  <c:v>54</c:v>
                </c:pt>
                <c:pt idx="1">
                  <c:v>1226</c:v>
                </c:pt>
                <c:pt idx="2">
                  <c:v>435</c:v>
                </c:pt>
                <c:pt idx="3">
                  <c:v>72</c:v>
                </c:pt>
                <c:pt idx="4">
                  <c:v>605</c:v>
                </c:pt>
                <c:pt idx="5">
                  <c:v>51</c:v>
                </c:pt>
                <c:pt idx="6">
                  <c:v>250</c:v>
                </c:pt>
                <c:pt idx="7">
                  <c:v>0</c:v>
                </c:pt>
                <c:pt idx="8">
                  <c:v>1887</c:v>
                </c:pt>
                <c:pt idx="9">
                  <c:v>24</c:v>
                </c:pt>
                <c:pt idx="10">
                  <c:v>878</c:v>
                </c:pt>
                <c:pt idx="11">
                  <c:v>442</c:v>
                </c:pt>
                <c:pt idx="12">
                  <c:v>197</c:v>
                </c:pt>
                <c:pt idx="13">
                  <c:v>0</c:v>
                </c:pt>
                <c:pt idx="14">
                  <c:v>410</c:v>
                </c:pt>
                <c:pt idx="15">
                  <c:v>291</c:v>
                </c:pt>
                <c:pt idx="16">
                  <c:v>0</c:v>
                </c:pt>
                <c:pt idx="17">
                  <c:v>132</c:v>
                </c:pt>
                <c:pt idx="18">
                  <c:v>934</c:v>
                </c:pt>
                <c:pt idx="19">
                  <c:v>504</c:v>
                </c:pt>
                <c:pt idx="20">
                  <c:v>0</c:v>
                </c:pt>
                <c:pt idx="21">
                  <c:v>1463.1333333333334</c:v>
                </c:pt>
                <c:pt idx="22">
                  <c:v>222</c:v>
                </c:pt>
                <c:pt idx="23">
                  <c:v>177.16296296296298</c:v>
                </c:pt>
                <c:pt idx="24">
                  <c:v>1124</c:v>
                </c:pt>
                <c:pt idx="25">
                  <c:v>398</c:v>
                </c:pt>
                <c:pt idx="26">
                  <c:v>400</c:v>
                </c:pt>
                <c:pt idx="27">
                  <c:v>100</c:v>
                </c:pt>
                <c:pt idx="28">
                  <c:v>106</c:v>
                </c:pt>
                <c:pt idx="29">
                  <c:v>244</c:v>
                </c:pt>
                <c:pt idx="30">
                  <c:v>180</c:v>
                </c:pt>
                <c:pt idx="31">
                  <c:v>270</c:v>
                </c:pt>
                <c:pt idx="32">
                  <c:v>66</c:v>
                </c:pt>
                <c:pt idx="33">
                  <c:v>500</c:v>
                </c:pt>
                <c:pt idx="34">
                  <c:v>1850</c:v>
                </c:pt>
                <c:pt idx="35">
                  <c:v>633</c:v>
                </c:pt>
                <c:pt idx="36">
                  <c:v>680</c:v>
                </c:pt>
                <c:pt idx="37">
                  <c:v>676</c:v>
                </c:pt>
                <c:pt idx="38">
                  <c:v>884</c:v>
                </c:pt>
                <c:pt idx="39">
                  <c:v>100</c:v>
                </c:pt>
                <c:pt idx="40">
                  <c:v>54</c:v>
                </c:pt>
                <c:pt idx="41">
                  <c:v>689</c:v>
                </c:pt>
                <c:pt idx="42">
                  <c:v>127</c:v>
                </c:pt>
                <c:pt idx="43">
                  <c:v>239</c:v>
                </c:pt>
                <c:pt idx="44">
                  <c:v>426</c:v>
                </c:pt>
                <c:pt idx="45">
                  <c:v>1322</c:v>
                </c:pt>
                <c:pt idx="46">
                  <c:v>289</c:v>
                </c:pt>
                <c:pt idx="48">
                  <c:v>159</c:v>
                </c:pt>
                <c:pt idx="49">
                  <c:v>0</c:v>
                </c:pt>
                <c:pt idx="50">
                  <c:v>1000</c:v>
                </c:pt>
                <c:pt idx="51">
                  <c:v>1776</c:v>
                </c:pt>
                <c:pt idx="52">
                  <c:v>2500</c:v>
                </c:pt>
                <c:pt idx="53">
                  <c:v>191</c:v>
                </c:pt>
                <c:pt idx="54">
                  <c:v>1599</c:v>
                </c:pt>
                <c:pt idx="55">
                  <c:v>694</c:v>
                </c:pt>
                <c:pt idx="56">
                  <c:v>290</c:v>
                </c:pt>
                <c:pt idx="57">
                  <c:v>741</c:v>
                </c:pt>
                <c:pt idx="58">
                  <c:v>590</c:v>
                </c:pt>
                <c:pt idx="59">
                  <c:v>547</c:v>
                </c:pt>
                <c:pt idx="60">
                  <c:v>0</c:v>
                </c:pt>
                <c:pt idx="61">
                  <c:v>104</c:v>
                </c:pt>
                <c:pt idx="62">
                  <c:v>500.00000000000006</c:v>
                </c:pt>
                <c:pt idx="63">
                  <c:v>538</c:v>
                </c:pt>
                <c:pt idx="64">
                  <c:v>500</c:v>
                </c:pt>
                <c:pt idx="65">
                  <c:v>737</c:v>
                </c:pt>
                <c:pt idx="66">
                  <c:v>125</c:v>
                </c:pt>
                <c:pt idx="67">
                  <c:v>157</c:v>
                </c:pt>
                <c:pt idx="68">
                  <c:v>789</c:v>
                </c:pt>
                <c:pt idx="69">
                  <c:v>90</c:v>
                </c:pt>
                <c:pt idx="70">
                  <c:v>166</c:v>
                </c:pt>
                <c:pt idx="71">
                  <c:v>15</c:v>
                </c:pt>
                <c:pt idx="72">
                  <c:v>424</c:v>
                </c:pt>
                <c:pt idx="73">
                  <c:v>176</c:v>
                </c:pt>
                <c:pt idx="74">
                  <c:v>0</c:v>
                </c:pt>
                <c:pt idx="75">
                  <c:v>396</c:v>
                </c:pt>
                <c:pt idx="76">
                  <c:v>323</c:v>
                </c:pt>
                <c:pt idx="77">
                  <c:v>31</c:v>
                </c:pt>
                <c:pt idx="78">
                  <c:v>213</c:v>
                </c:pt>
                <c:pt idx="79">
                  <c:v>250</c:v>
                </c:pt>
                <c:pt idx="80">
                  <c:v>24</c:v>
                </c:pt>
                <c:pt idx="81">
                  <c:v>206</c:v>
                </c:pt>
                <c:pt idx="82">
                  <c:v>66.666666666666671</c:v>
                </c:pt>
                <c:pt idx="83">
                  <c:v>309</c:v>
                </c:pt>
                <c:pt idx="84">
                  <c:v>218</c:v>
                </c:pt>
                <c:pt idx="85">
                  <c:v>41</c:v>
                </c:pt>
                <c:pt idx="86">
                  <c:v>85</c:v>
                </c:pt>
                <c:pt idx="87">
                  <c:v>113</c:v>
                </c:pt>
                <c:pt idx="88">
                  <c:v>0</c:v>
                </c:pt>
                <c:pt idx="89">
                  <c:v>533.33333333333337</c:v>
                </c:pt>
                <c:pt idx="90">
                  <c:v>1500</c:v>
                </c:pt>
                <c:pt idx="91">
                  <c:v>299</c:v>
                </c:pt>
                <c:pt idx="92">
                  <c:v>299</c:v>
                </c:pt>
                <c:pt idx="93">
                  <c:v>895</c:v>
                </c:pt>
                <c:pt idx="94">
                  <c:v>250.00000000000003</c:v>
                </c:pt>
                <c:pt idx="95">
                  <c:v>0</c:v>
                </c:pt>
                <c:pt idx="96">
                  <c:v>221</c:v>
                </c:pt>
                <c:pt idx="97">
                  <c:v>91</c:v>
                </c:pt>
                <c:pt idx="98">
                  <c:v>334</c:v>
                </c:pt>
                <c:pt idx="99">
                  <c:v>506</c:v>
                </c:pt>
                <c:pt idx="100">
                  <c:v>307</c:v>
                </c:pt>
                <c:pt idx="101">
                  <c:v>70</c:v>
                </c:pt>
                <c:pt idx="102">
                  <c:v>3860</c:v>
                </c:pt>
                <c:pt idx="103">
                  <c:v>0</c:v>
                </c:pt>
                <c:pt idx="104">
                  <c:v>136</c:v>
                </c:pt>
                <c:pt idx="105">
                  <c:v>255</c:v>
                </c:pt>
                <c:pt idx="106">
                  <c:v>0</c:v>
                </c:pt>
                <c:pt idx="107">
                  <c:v>103</c:v>
                </c:pt>
                <c:pt idx="108">
                  <c:v>583</c:v>
                </c:pt>
                <c:pt idx="109">
                  <c:v>119</c:v>
                </c:pt>
                <c:pt idx="110">
                  <c:v>0</c:v>
                </c:pt>
                <c:pt idx="111">
                  <c:v>300</c:v>
                </c:pt>
                <c:pt idx="112">
                  <c:v>182</c:v>
                </c:pt>
                <c:pt idx="113">
                  <c:v>499</c:v>
                </c:pt>
                <c:pt idx="114">
                  <c:v>68</c:v>
                </c:pt>
                <c:pt idx="115">
                  <c:v>153</c:v>
                </c:pt>
                <c:pt idx="116">
                  <c:v>351</c:v>
                </c:pt>
                <c:pt idx="117">
                  <c:v>262</c:v>
                </c:pt>
                <c:pt idx="118">
                  <c:v>165</c:v>
                </c:pt>
                <c:pt idx="119">
                  <c:v>219</c:v>
                </c:pt>
                <c:pt idx="120">
                  <c:v>192</c:v>
                </c:pt>
                <c:pt idx="121">
                  <c:v>195</c:v>
                </c:pt>
                <c:pt idx="122">
                  <c:v>293</c:v>
                </c:pt>
                <c:pt idx="123">
                  <c:v>133</c:v>
                </c:pt>
                <c:pt idx="124">
                  <c:v>422.42222222222222</c:v>
                </c:pt>
                <c:pt idx="125">
                  <c:v>0</c:v>
                </c:pt>
                <c:pt idx="126">
                  <c:v>0</c:v>
                </c:pt>
                <c:pt idx="127">
                  <c:v>66</c:v>
                </c:pt>
                <c:pt idx="128">
                  <c:v>1101</c:v>
                </c:pt>
                <c:pt idx="129">
                  <c:v>0</c:v>
                </c:pt>
                <c:pt idx="130">
                  <c:v>0</c:v>
                </c:pt>
                <c:pt idx="131">
                  <c:v>242</c:v>
                </c:pt>
                <c:pt idx="132">
                  <c:v>52</c:v>
                </c:pt>
                <c:pt idx="133">
                  <c:v>43</c:v>
                </c:pt>
                <c:pt idx="134">
                  <c:v>1397</c:v>
                </c:pt>
                <c:pt idx="135">
                  <c:v>400</c:v>
                </c:pt>
                <c:pt idx="136">
                  <c:v>78</c:v>
                </c:pt>
                <c:pt idx="137">
                  <c:v>0</c:v>
                </c:pt>
                <c:pt idx="138">
                  <c:v>158</c:v>
                </c:pt>
                <c:pt idx="139">
                  <c:v>502</c:v>
                </c:pt>
                <c:pt idx="140">
                  <c:v>251</c:v>
                </c:pt>
                <c:pt idx="141">
                  <c:v>400</c:v>
                </c:pt>
                <c:pt idx="142">
                  <c:v>866</c:v>
                </c:pt>
                <c:pt idx="143">
                  <c:v>612</c:v>
                </c:pt>
                <c:pt idx="144">
                  <c:v>351</c:v>
                </c:pt>
                <c:pt idx="145">
                  <c:v>1365</c:v>
                </c:pt>
                <c:pt idx="146">
                  <c:v>622</c:v>
                </c:pt>
                <c:pt idx="147">
                  <c:v>439</c:v>
                </c:pt>
                <c:pt idx="148">
                  <c:v>130</c:v>
                </c:pt>
                <c:pt idx="149">
                  <c:v>0</c:v>
                </c:pt>
                <c:pt idx="150">
                  <c:v>16</c:v>
                </c:pt>
                <c:pt idx="151">
                  <c:v>103</c:v>
                </c:pt>
                <c:pt idx="154">
                  <c:v>143</c:v>
                </c:pt>
                <c:pt idx="155">
                  <c:v>267</c:v>
                </c:pt>
                <c:pt idx="156">
                  <c:v>0</c:v>
                </c:pt>
                <c:pt idx="157">
                  <c:v>36</c:v>
                </c:pt>
                <c:pt idx="158">
                  <c:v>1600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267</c:v>
                </c:pt>
                <c:pt idx="177">
                  <c:v>412</c:v>
                </c:pt>
                <c:pt idx="178">
                  <c:v>0</c:v>
                </c:pt>
                <c:pt idx="179">
                  <c:v>132</c:v>
                </c:pt>
                <c:pt idx="180">
                  <c:v>544</c:v>
                </c:pt>
                <c:pt idx="181">
                  <c:v>0</c:v>
                </c:pt>
                <c:pt idx="182">
                  <c:v>0</c:v>
                </c:pt>
                <c:pt idx="183">
                  <c:v>0</c:v>
                </c:pt>
                <c:pt idx="184">
                  <c:v>0</c:v>
                </c:pt>
                <c:pt idx="185">
                  <c:v>0</c:v>
                </c:pt>
                <c:pt idx="186">
                  <c:v>0</c:v>
                </c:pt>
                <c:pt idx="187">
                  <c:v>0</c:v>
                </c:pt>
                <c:pt idx="188">
                  <c:v>0</c:v>
                </c:pt>
                <c:pt idx="189">
                  <c:v>0</c:v>
                </c:pt>
                <c:pt idx="190">
                  <c:v>83</c:v>
                </c:pt>
                <c:pt idx="191">
                  <c:v>189</c:v>
                </c:pt>
                <c:pt idx="192">
                  <c:v>319</c:v>
                </c:pt>
                <c:pt idx="193">
                  <c:v>292</c:v>
                </c:pt>
                <c:pt idx="194">
                  <c:v>0</c:v>
                </c:pt>
                <c:pt idx="195">
                  <c:v>221</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[20220721_Myanmar_WASH_4W_2022_Q2_KachinShan_camp_Consolidate with MIAG_f.xlsx]Tracking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Dashboard'!$L$5:$M$601</c:f>
              <c:multiLvlStrCache>
                <c:ptCount val="391"/>
                <c:lvl>
                  <c:pt idx="0">
                    <c:v>2022_Q1</c:v>
                  </c:pt>
                  <c:pt idx="1">
                    <c:v>2022_Q1</c:v>
                  </c:pt>
                  <c:pt idx="2">
                    <c:v>2022_Q2</c:v>
                  </c:pt>
                  <c:pt idx="3">
                    <c:v>2022_Q1</c:v>
                  </c:pt>
                  <c:pt idx="4">
                    <c:v>2022_Q2</c:v>
                  </c:pt>
                  <c:pt idx="5">
                    <c:v>2022_Q1</c:v>
                  </c:pt>
                  <c:pt idx="6">
                    <c:v>2022_Q2</c:v>
                  </c:pt>
                  <c:pt idx="7">
                    <c:v>2022_Q1</c:v>
                  </c:pt>
                  <c:pt idx="8">
                    <c:v>2022_Q2</c:v>
                  </c:pt>
                  <c:pt idx="9">
                    <c:v>2022_Q1</c:v>
                  </c:pt>
                  <c:pt idx="10">
                    <c:v>2022_Q2</c:v>
                  </c:pt>
                  <c:pt idx="11">
                    <c:v>2022_Q1</c:v>
                  </c:pt>
                  <c:pt idx="12">
                    <c:v>2022_Q2</c:v>
                  </c:pt>
                  <c:pt idx="13">
                    <c:v>2022_Q1</c:v>
                  </c:pt>
                  <c:pt idx="14">
                    <c:v>2022_Q2</c:v>
                  </c:pt>
                  <c:pt idx="15">
                    <c:v>2022_Q1</c:v>
                  </c:pt>
                  <c:pt idx="16">
                    <c:v>2022_Q2</c:v>
                  </c:pt>
                  <c:pt idx="17">
                    <c:v>2022_Q1</c:v>
                  </c:pt>
                  <c:pt idx="18">
                    <c:v>2022_Q2</c:v>
                  </c:pt>
                  <c:pt idx="19">
                    <c:v>2022_Q1</c:v>
                  </c:pt>
                  <c:pt idx="20">
                    <c:v>2022_Q2</c:v>
                  </c:pt>
                  <c:pt idx="21">
                    <c:v>2022_Q1</c:v>
                  </c:pt>
                  <c:pt idx="22">
                    <c:v>2022_Q2</c:v>
                  </c:pt>
                  <c:pt idx="23">
                    <c:v>2022_Q1</c:v>
                  </c:pt>
                  <c:pt idx="24">
                    <c:v>2022_Q2</c:v>
                  </c:pt>
                  <c:pt idx="25">
                    <c:v>2022_Q1</c:v>
                  </c:pt>
                  <c:pt idx="26">
                    <c:v>2022_Q2</c:v>
                  </c:pt>
                  <c:pt idx="27">
                    <c:v>2022_Q1</c:v>
                  </c:pt>
                  <c:pt idx="28">
                    <c:v>2022_Q2</c:v>
                  </c:pt>
                  <c:pt idx="29">
                    <c:v>2022_Q1</c:v>
                  </c:pt>
                  <c:pt idx="30">
                    <c:v>2022_Q2</c:v>
                  </c:pt>
                  <c:pt idx="31">
                    <c:v>2022_Q1</c:v>
                  </c:pt>
                  <c:pt idx="32">
                    <c:v>2022_Q2</c:v>
                  </c:pt>
                  <c:pt idx="33">
                    <c:v>2022_Q1</c:v>
                  </c:pt>
                  <c:pt idx="34">
                    <c:v>2022_Q2</c:v>
                  </c:pt>
                  <c:pt idx="35">
                    <c:v>2022_Q1</c:v>
                  </c:pt>
                  <c:pt idx="36">
                    <c:v>2022_Q2</c:v>
                  </c:pt>
                  <c:pt idx="37">
                    <c:v>2022_Q1</c:v>
                  </c:pt>
                  <c:pt idx="38">
                    <c:v>2022_Q2</c:v>
                  </c:pt>
                  <c:pt idx="39">
                    <c:v>2022_Q1</c:v>
                  </c:pt>
                  <c:pt idx="40">
                    <c:v>2022_Q2</c:v>
                  </c:pt>
                  <c:pt idx="41">
                    <c:v>2022_Q1</c:v>
                  </c:pt>
                  <c:pt idx="42">
                    <c:v>2022_Q2</c:v>
                  </c:pt>
                  <c:pt idx="43">
                    <c:v>2022_Q1</c:v>
                  </c:pt>
                  <c:pt idx="44">
                    <c:v>2022_Q2</c:v>
                  </c:pt>
                  <c:pt idx="45">
                    <c:v>2022_Q1</c:v>
                  </c:pt>
                  <c:pt idx="46">
                    <c:v>2022_Q2</c:v>
                  </c:pt>
                  <c:pt idx="47">
                    <c:v>2022_Q1</c:v>
                  </c:pt>
                  <c:pt idx="48">
                    <c:v>2022_Q2</c:v>
                  </c:pt>
                  <c:pt idx="49">
                    <c:v>2022_Q1</c:v>
                  </c:pt>
                  <c:pt idx="50">
                    <c:v>2022_Q2</c:v>
                  </c:pt>
                  <c:pt idx="51">
                    <c:v>2022_Q1</c:v>
                  </c:pt>
                  <c:pt idx="52">
                    <c:v>2022_Q2</c:v>
                  </c:pt>
                  <c:pt idx="53">
                    <c:v>2022_Q1</c:v>
                  </c:pt>
                  <c:pt idx="54">
                    <c:v>2022_Q2</c:v>
                  </c:pt>
                  <c:pt idx="55">
                    <c:v>2022_Q1</c:v>
                  </c:pt>
                  <c:pt idx="56">
                    <c:v>2022_Q2</c:v>
                  </c:pt>
                  <c:pt idx="57">
                    <c:v>2022_Q1</c:v>
                  </c:pt>
                  <c:pt idx="58">
                    <c:v>2022_Q2</c:v>
                  </c:pt>
                  <c:pt idx="59">
                    <c:v>2022_Q1</c:v>
                  </c:pt>
                  <c:pt idx="60">
                    <c:v>2022_Q2</c:v>
                  </c:pt>
                  <c:pt idx="61">
                    <c:v>2022_Q1</c:v>
                  </c:pt>
                  <c:pt idx="62">
                    <c:v>2022_Q2</c:v>
                  </c:pt>
                  <c:pt idx="63">
                    <c:v>2022_Q1</c:v>
                  </c:pt>
                  <c:pt idx="64">
                    <c:v>2022_Q2</c:v>
                  </c:pt>
                  <c:pt idx="65">
                    <c:v>2022_Q1</c:v>
                  </c:pt>
                  <c:pt idx="66">
                    <c:v>2022_Q2</c:v>
                  </c:pt>
                  <c:pt idx="67">
                    <c:v>2022_Q1</c:v>
                  </c:pt>
                  <c:pt idx="68">
                    <c:v>2022_Q2</c:v>
                  </c:pt>
                  <c:pt idx="69">
                    <c:v>2022_Q1</c:v>
                  </c:pt>
                  <c:pt idx="70">
                    <c:v>2022_Q2</c:v>
                  </c:pt>
                  <c:pt idx="71">
                    <c:v>2022_Q1</c:v>
                  </c:pt>
                  <c:pt idx="72">
                    <c:v>2022_Q2</c:v>
                  </c:pt>
                  <c:pt idx="73">
                    <c:v>2022_Q1</c:v>
                  </c:pt>
                  <c:pt idx="74">
                    <c:v>2022_Q2</c:v>
                  </c:pt>
                  <c:pt idx="75">
                    <c:v>2022_Q1</c:v>
                  </c:pt>
                  <c:pt idx="76">
                    <c:v>2022_Q2</c:v>
                  </c:pt>
                  <c:pt idx="77">
                    <c:v>2022_Q1</c:v>
                  </c:pt>
                  <c:pt idx="78">
                    <c:v>2022_Q2</c:v>
                  </c:pt>
                  <c:pt idx="79">
                    <c:v>2022_Q1</c:v>
                  </c:pt>
                  <c:pt idx="80">
                    <c:v>2022_Q2</c:v>
                  </c:pt>
                  <c:pt idx="81">
                    <c:v>2022_Q1</c:v>
                  </c:pt>
                  <c:pt idx="82">
                    <c:v>2022_Q1</c:v>
                  </c:pt>
                  <c:pt idx="83">
                    <c:v>2022_Q2</c:v>
                  </c:pt>
                  <c:pt idx="84">
                    <c:v>2022_Q1</c:v>
                  </c:pt>
                  <c:pt idx="85">
                    <c:v>2022_Q2</c:v>
                  </c:pt>
                  <c:pt idx="86">
                    <c:v>2022_Q1</c:v>
                  </c:pt>
                  <c:pt idx="87">
                    <c:v>2022_Q2</c:v>
                  </c:pt>
                  <c:pt idx="88">
                    <c:v>2022_Q1</c:v>
                  </c:pt>
                  <c:pt idx="89">
                    <c:v>2022_Q2</c:v>
                  </c:pt>
                  <c:pt idx="90">
                    <c:v>2022_Q1</c:v>
                  </c:pt>
                  <c:pt idx="91">
                    <c:v>2022_Q2</c:v>
                  </c:pt>
                  <c:pt idx="92">
                    <c:v>2022_Q1</c:v>
                  </c:pt>
                  <c:pt idx="93">
                    <c:v>2022_Q2</c:v>
                  </c:pt>
                  <c:pt idx="94">
                    <c:v>2022_Q1</c:v>
                  </c:pt>
                  <c:pt idx="95">
                    <c:v>2022_Q2</c:v>
                  </c:pt>
                  <c:pt idx="96">
                    <c:v>2022_Q1</c:v>
                  </c:pt>
                  <c:pt idx="97">
                    <c:v>2022_Q2</c:v>
                  </c:pt>
                  <c:pt idx="98">
                    <c:v>2022_Q1</c:v>
                  </c:pt>
                  <c:pt idx="99">
                    <c:v>2022_Q2</c:v>
                  </c:pt>
                  <c:pt idx="100">
                    <c:v>2022_Q1</c:v>
                  </c:pt>
                  <c:pt idx="101">
                    <c:v>2022_Q2</c:v>
                  </c:pt>
                  <c:pt idx="102">
                    <c:v>2022_Q1</c:v>
                  </c:pt>
                  <c:pt idx="103">
                    <c:v>2022_Q2</c:v>
                  </c:pt>
                  <c:pt idx="104">
                    <c:v>2022_Q1</c:v>
                  </c:pt>
                  <c:pt idx="105">
                    <c:v>2022_Q2</c:v>
                  </c:pt>
                  <c:pt idx="106">
                    <c:v>2022_Q1</c:v>
                  </c:pt>
                  <c:pt idx="107">
                    <c:v>2022_Q1</c:v>
                  </c:pt>
                  <c:pt idx="108">
                    <c:v>2022_Q2</c:v>
                  </c:pt>
                  <c:pt idx="109">
                    <c:v>2022_Q1</c:v>
                  </c:pt>
                  <c:pt idx="110">
                    <c:v>2022_Q2</c:v>
                  </c:pt>
                  <c:pt idx="111">
                    <c:v>2022_Q1</c:v>
                  </c:pt>
                  <c:pt idx="112">
                    <c:v>2022_Q2</c:v>
                  </c:pt>
                  <c:pt idx="113">
                    <c:v>2022_Q1</c:v>
                  </c:pt>
                  <c:pt idx="114">
                    <c:v>2022_Q2</c:v>
                  </c:pt>
                  <c:pt idx="115">
                    <c:v>2022_Q1</c:v>
                  </c:pt>
                  <c:pt idx="116">
                    <c:v>2022_Q2</c:v>
                  </c:pt>
                  <c:pt idx="117">
                    <c:v>2022_Q1</c:v>
                  </c:pt>
                  <c:pt idx="118">
                    <c:v>2022_Q2</c:v>
                  </c:pt>
                  <c:pt idx="119">
                    <c:v>2022_Q1</c:v>
                  </c:pt>
                  <c:pt idx="120">
                    <c:v>2022_Q2</c:v>
                  </c:pt>
                  <c:pt idx="121">
                    <c:v>2022_Q1</c:v>
                  </c:pt>
                  <c:pt idx="122">
                    <c:v>2022_Q2</c:v>
                  </c:pt>
                  <c:pt idx="123">
                    <c:v>2022_Q1</c:v>
                  </c:pt>
                  <c:pt idx="124">
                    <c:v>2022_Q2</c:v>
                  </c:pt>
                  <c:pt idx="125">
                    <c:v>2022_Q1</c:v>
                  </c:pt>
                  <c:pt idx="126">
                    <c:v>2022_Q2</c:v>
                  </c:pt>
                  <c:pt idx="127">
                    <c:v>2022_Q1</c:v>
                  </c:pt>
                  <c:pt idx="128">
                    <c:v>2022_Q2</c:v>
                  </c:pt>
                  <c:pt idx="129">
                    <c:v>2022_Q1</c:v>
                  </c:pt>
                  <c:pt idx="130">
                    <c:v>2022_Q2</c:v>
                  </c:pt>
                  <c:pt idx="131">
                    <c:v>2022_Q1</c:v>
                  </c:pt>
                  <c:pt idx="132">
                    <c:v>2022_Q2</c:v>
                  </c:pt>
                  <c:pt idx="133">
                    <c:v>2022_Q1</c:v>
                  </c:pt>
                  <c:pt idx="134">
                    <c:v>2022_Q2</c:v>
                  </c:pt>
                  <c:pt idx="135">
                    <c:v>2022_Q1</c:v>
                  </c:pt>
                  <c:pt idx="136">
                    <c:v>2022_Q2</c:v>
                  </c:pt>
                  <c:pt idx="137">
                    <c:v>2022_Q1</c:v>
                  </c:pt>
                  <c:pt idx="138">
                    <c:v>2022_Q2</c:v>
                  </c:pt>
                  <c:pt idx="139">
                    <c:v>2022_Q1</c:v>
                  </c:pt>
                  <c:pt idx="140">
                    <c:v>2022_Q2</c:v>
                  </c:pt>
                  <c:pt idx="141">
                    <c:v>2022_Q1</c:v>
                  </c:pt>
                  <c:pt idx="142">
                    <c:v>2022_Q2</c:v>
                  </c:pt>
                  <c:pt idx="143">
                    <c:v>2022_Q1</c:v>
                  </c:pt>
                  <c:pt idx="144">
                    <c:v>2022_Q2</c:v>
                  </c:pt>
                  <c:pt idx="145">
                    <c:v>2022_Q1</c:v>
                  </c:pt>
                  <c:pt idx="146">
                    <c:v>2022_Q2</c:v>
                  </c:pt>
                  <c:pt idx="147">
                    <c:v>2022_Q1</c:v>
                  </c:pt>
                  <c:pt idx="148">
                    <c:v>2022_Q2</c:v>
                  </c:pt>
                  <c:pt idx="149">
                    <c:v>2022_Q1</c:v>
                  </c:pt>
                  <c:pt idx="150">
                    <c:v>2022_Q2</c:v>
                  </c:pt>
                  <c:pt idx="151">
                    <c:v>2022_Q1</c:v>
                  </c:pt>
                  <c:pt idx="152">
                    <c:v>2022_Q2</c:v>
                  </c:pt>
                  <c:pt idx="153">
                    <c:v>2022_Q1</c:v>
                  </c:pt>
                  <c:pt idx="154">
                    <c:v>2022_Q2</c:v>
                  </c:pt>
                  <c:pt idx="155">
                    <c:v>2022_Q1</c:v>
                  </c:pt>
                  <c:pt idx="156">
                    <c:v>2022_Q2</c:v>
                  </c:pt>
                  <c:pt idx="157">
                    <c:v>2022_Q1</c:v>
                  </c:pt>
                  <c:pt idx="158">
                    <c:v>2022_Q2</c:v>
                  </c:pt>
                  <c:pt idx="159">
                    <c:v>2022_Q1</c:v>
                  </c:pt>
                  <c:pt idx="160">
                    <c:v>2022_Q2</c:v>
                  </c:pt>
                  <c:pt idx="161">
                    <c:v>2022_Q1</c:v>
                  </c:pt>
                  <c:pt idx="162">
                    <c:v>2022_Q2</c:v>
                  </c:pt>
                  <c:pt idx="163">
                    <c:v>2022_Q1</c:v>
                  </c:pt>
                  <c:pt idx="164">
                    <c:v>2022_Q2</c:v>
                  </c:pt>
                  <c:pt idx="165">
                    <c:v>2022_Q1</c:v>
                  </c:pt>
                  <c:pt idx="166">
                    <c:v>2022_Q2</c:v>
                  </c:pt>
                  <c:pt idx="167">
                    <c:v>2022_Q1</c:v>
                  </c:pt>
                  <c:pt idx="168">
                    <c:v>2022_Q2</c:v>
                  </c:pt>
                  <c:pt idx="169">
                    <c:v>2022_Q1</c:v>
                  </c:pt>
                  <c:pt idx="170">
                    <c:v>2022_Q2</c:v>
                  </c:pt>
                  <c:pt idx="171">
                    <c:v>2022_Q1</c:v>
                  </c:pt>
                  <c:pt idx="172">
                    <c:v>2022_Q2</c:v>
                  </c:pt>
                  <c:pt idx="173">
                    <c:v>2022_Q1</c:v>
                  </c:pt>
                  <c:pt idx="174">
                    <c:v>2022_Q2</c:v>
                  </c:pt>
                  <c:pt idx="175">
                    <c:v>2022_Q1</c:v>
                  </c:pt>
                  <c:pt idx="176">
                    <c:v>2022_Q2</c:v>
                  </c:pt>
                  <c:pt idx="177">
                    <c:v>2022_Q1</c:v>
                  </c:pt>
                  <c:pt idx="178">
                    <c:v>2022_Q2</c:v>
                  </c:pt>
                  <c:pt idx="179">
                    <c:v>2022_Q1</c:v>
                  </c:pt>
                  <c:pt idx="180">
                    <c:v>2022_Q2</c:v>
                  </c:pt>
                  <c:pt idx="181">
                    <c:v>2022_Q1</c:v>
                  </c:pt>
                  <c:pt idx="182">
                    <c:v>2022_Q2</c:v>
                  </c:pt>
                  <c:pt idx="183">
                    <c:v>2022_Q1</c:v>
                  </c:pt>
                  <c:pt idx="184">
                    <c:v>2022_Q2</c:v>
                  </c:pt>
                  <c:pt idx="185">
                    <c:v>2022_Q1</c:v>
                  </c:pt>
                  <c:pt idx="186">
                    <c:v>2022_Q2</c:v>
                  </c:pt>
                  <c:pt idx="187">
                    <c:v>2022_Q1</c:v>
                  </c:pt>
                  <c:pt idx="188">
                    <c:v>2022_Q2</c:v>
                  </c:pt>
                  <c:pt idx="189">
                    <c:v>2022_Q1</c:v>
                  </c:pt>
                  <c:pt idx="190">
                    <c:v>2022_Q2</c:v>
                  </c:pt>
                  <c:pt idx="191">
                    <c:v>2022_Q1</c:v>
                  </c:pt>
                  <c:pt idx="192">
                    <c:v>2022_Q2</c:v>
                  </c:pt>
                  <c:pt idx="193">
                    <c:v>2022_Q1</c:v>
                  </c:pt>
                  <c:pt idx="194">
                    <c:v>2022_Q2</c:v>
                  </c:pt>
                  <c:pt idx="195">
                    <c:v>2022_Q1</c:v>
                  </c:pt>
                  <c:pt idx="196">
                    <c:v>2022_Q2</c:v>
                  </c:pt>
                  <c:pt idx="197">
                    <c:v>2022_Q1</c:v>
                  </c:pt>
                  <c:pt idx="198">
                    <c:v>2022_Q2</c:v>
                  </c:pt>
                  <c:pt idx="199">
                    <c:v>2022_Q1</c:v>
                  </c:pt>
                  <c:pt idx="200">
                    <c:v>2022_Q2</c:v>
                  </c:pt>
                  <c:pt idx="201">
                    <c:v>2022_Q1</c:v>
                  </c:pt>
                  <c:pt idx="202">
                    <c:v>2022_Q2</c:v>
                  </c:pt>
                  <c:pt idx="203">
                    <c:v>2022_Q1</c:v>
                  </c:pt>
                  <c:pt idx="204">
                    <c:v>2022_Q2</c:v>
                  </c:pt>
                  <c:pt idx="205">
                    <c:v>2022_Q1</c:v>
                  </c:pt>
                  <c:pt idx="206">
                    <c:v>2022_Q2</c:v>
                  </c:pt>
                  <c:pt idx="207">
                    <c:v>2022_Q1</c:v>
                  </c:pt>
                  <c:pt idx="208">
                    <c:v>2022_Q2</c:v>
                  </c:pt>
                  <c:pt idx="209">
                    <c:v>2022_Q1</c:v>
                  </c:pt>
                  <c:pt idx="210">
                    <c:v>2022_Q2</c:v>
                  </c:pt>
                  <c:pt idx="211">
                    <c:v>2022_Q1</c:v>
                  </c:pt>
                  <c:pt idx="212">
                    <c:v>2022_Q2</c:v>
                  </c:pt>
                  <c:pt idx="213">
                    <c:v>2022_Q1</c:v>
                  </c:pt>
                  <c:pt idx="214">
                    <c:v>2022_Q2</c:v>
                  </c:pt>
                  <c:pt idx="215">
                    <c:v>2022_Q1</c:v>
                  </c:pt>
                  <c:pt idx="216">
                    <c:v>2022_Q2</c:v>
                  </c:pt>
                  <c:pt idx="217">
                    <c:v>2022_Q1</c:v>
                  </c:pt>
                  <c:pt idx="218">
                    <c:v>2022_Q2</c:v>
                  </c:pt>
                  <c:pt idx="219">
                    <c:v>2022_Q1</c:v>
                  </c:pt>
                  <c:pt idx="220">
                    <c:v>2022_Q1</c:v>
                  </c:pt>
                  <c:pt idx="221">
                    <c:v>2022_Q2</c:v>
                  </c:pt>
                  <c:pt idx="222">
                    <c:v>2022_Q1</c:v>
                  </c:pt>
                  <c:pt idx="223">
                    <c:v>2022_Q2</c:v>
                  </c:pt>
                  <c:pt idx="224">
                    <c:v>2022_Q1</c:v>
                  </c:pt>
                  <c:pt idx="225">
                    <c:v>2022_Q2</c:v>
                  </c:pt>
                  <c:pt idx="226">
                    <c:v>2022_Q1</c:v>
                  </c:pt>
                  <c:pt idx="227">
                    <c:v>2022_Q2</c:v>
                  </c:pt>
                  <c:pt idx="228">
                    <c:v>2022_Q1</c:v>
                  </c:pt>
                  <c:pt idx="229">
                    <c:v>2022_Q2</c:v>
                  </c:pt>
                  <c:pt idx="230">
                    <c:v>2022_Q1</c:v>
                  </c:pt>
                  <c:pt idx="231">
                    <c:v>2022_Q2</c:v>
                  </c:pt>
                  <c:pt idx="232">
                    <c:v>2022_Q1</c:v>
                  </c:pt>
                  <c:pt idx="233">
                    <c:v>2022_Q2</c:v>
                  </c:pt>
                  <c:pt idx="234">
                    <c:v>2022_Q1</c:v>
                  </c:pt>
                  <c:pt idx="235">
                    <c:v>2022_Q2</c:v>
                  </c:pt>
                  <c:pt idx="236">
                    <c:v>2022_Q1</c:v>
                  </c:pt>
                  <c:pt idx="237">
                    <c:v>2022_Q2</c:v>
                  </c:pt>
                  <c:pt idx="238">
                    <c:v>2022_Q1</c:v>
                  </c:pt>
                  <c:pt idx="239">
                    <c:v>2022_Q2</c:v>
                  </c:pt>
                  <c:pt idx="240">
                    <c:v>2022_Q1</c:v>
                  </c:pt>
                  <c:pt idx="241">
                    <c:v>2022_Q2</c:v>
                  </c:pt>
                  <c:pt idx="242">
                    <c:v>2022_Q1</c:v>
                  </c:pt>
                  <c:pt idx="243">
                    <c:v>2022_Q2</c:v>
                  </c:pt>
                  <c:pt idx="244">
                    <c:v>2022_Q1</c:v>
                  </c:pt>
                  <c:pt idx="245">
                    <c:v>2022_Q2</c:v>
                  </c:pt>
                  <c:pt idx="246">
                    <c:v>2022_Q1</c:v>
                  </c:pt>
                  <c:pt idx="247">
                    <c:v>2022_Q2</c:v>
                  </c:pt>
                  <c:pt idx="248">
                    <c:v>2022_Q1</c:v>
                  </c:pt>
                  <c:pt idx="249">
                    <c:v>2022_Q2</c:v>
                  </c:pt>
                  <c:pt idx="250">
                    <c:v>2022_Q1</c:v>
                  </c:pt>
                  <c:pt idx="251">
                    <c:v>2022_Q2</c:v>
                  </c:pt>
                  <c:pt idx="252">
                    <c:v>2022_Q1</c:v>
                  </c:pt>
                  <c:pt idx="253">
                    <c:v>2022_Q2</c:v>
                  </c:pt>
                  <c:pt idx="254">
                    <c:v>2022_Q1</c:v>
                  </c:pt>
                  <c:pt idx="255">
                    <c:v>2022_Q2</c:v>
                  </c:pt>
                  <c:pt idx="256">
                    <c:v>2022_Q1</c:v>
                  </c:pt>
                  <c:pt idx="257">
                    <c:v>2022_Q2</c:v>
                  </c:pt>
                  <c:pt idx="258">
                    <c:v>2022_Q1</c:v>
                  </c:pt>
                  <c:pt idx="259">
                    <c:v>2022_Q2</c:v>
                  </c:pt>
                  <c:pt idx="260">
                    <c:v>2022_Q1</c:v>
                  </c:pt>
                  <c:pt idx="261">
                    <c:v>2022_Q2</c:v>
                  </c:pt>
                  <c:pt idx="262">
                    <c:v>2022_Q1</c:v>
                  </c:pt>
                  <c:pt idx="263">
                    <c:v>2022_Q2</c:v>
                  </c:pt>
                  <c:pt idx="264">
                    <c:v>2022_Q1</c:v>
                  </c:pt>
                  <c:pt idx="265">
                    <c:v>2022_Q2</c:v>
                  </c:pt>
                  <c:pt idx="266">
                    <c:v>2022_Q1</c:v>
                  </c:pt>
                  <c:pt idx="267">
                    <c:v>2022_Q2</c:v>
                  </c:pt>
                  <c:pt idx="268">
                    <c:v>2022_Q1</c:v>
                  </c:pt>
                  <c:pt idx="269">
                    <c:v>2022_Q2</c:v>
                  </c:pt>
                  <c:pt idx="270">
                    <c:v>2022_Q1</c:v>
                  </c:pt>
                  <c:pt idx="271">
                    <c:v>2022_Q2</c:v>
                  </c:pt>
                  <c:pt idx="272">
                    <c:v>2022_Q1</c:v>
                  </c:pt>
                  <c:pt idx="273">
                    <c:v>2022_Q2</c:v>
                  </c:pt>
                  <c:pt idx="274">
                    <c:v>2022_Q1</c:v>
                  </c:pt>
                  <c:pt idx="275">
                    <c:v>2022_Q2</c:v>
                  </c:pt>
                  <c:pt idx="276">
                    <c:v>2022_Q1</c:v>
                  </c:pt>
                  <c:pt idx="277">
                    <c:v>2022_Q2</c:v>
                  </c:pt>
                  <c:pt idx="278">
                    <c:v>2022_Q1</c:v>
                  </c:pt>
                  <c:pt idx="279">
                    <c:v>2022_Q2</c:v>
                  </c:pt>
                  <c:pt idx="280">
                    <c:v>2022_Q1</c:v>
                  </c:pt>
                  <c:pt idx="281">
                    <c:v>2022_Q2</c:v>
                  </c:pt>
                  <c:pt idx="282">
                    <c:v>2022_Q1</c:v>
                  </c:pt>
                  <c:pt idx="283">
                    <c:v>2022_Q2</c:v>
                  </c:pt>
                  <c:pt idx="284">
                    <c:v>2022_Q1</c:v>
                  </c:pt>
                  <c:pt idx="285">
                    <c:v>2022_Q2</c:v>
                  </c:pt>
                  <c:pt idx="286">
                    <c:v>2022_Q1</c:v>
                  </c:pt>
                  <c:pt idx="287">
                    <c:v>2022_Q2</c:v>
                  </c:pt>
                  <c:pt idx="288">
                    <c:v>2022_Q1</c:v>
                  </c:pt>
                  <c:pt idx="289">
                    <c:v>2022_Q2</c:v>
                  </c:pt>
                  <c:pt idx="290">
                    <c:v>2022_Q1</c:v>
                  </c:pt>
                  <c:pt idx="291">
                    <c:v>2022_Q2</c:v>
                  </c:pt>
                  <c:pt idx="292">
                    <c:v>2022_Q1</c:v>
                  </c:pt>
                  <c:pt idx="293">
                    <c:v>2022_Q2</c:v>
                  </c:pt>
                  <c:pt idx="294">
                    <c:v>2022_Q1</c:v>
                  </c:pt>
                  <c:pt idx="295">
                    <c:v>2022_Q2</c:v>
                  </c:pt>
                  <c:pt idx="296">
                    <c:v>2022_Q1</c:v>
                  </c:pt>
                  <c:pt idx="297">
                    <c:v>2022_Q2</c:v>
                  </c:pt>
                  <c:pt idx="298">
                    <c:v>2022_Q1</c:v>
                  </c:pt>
                  <c:pt idx="299">
                    <c:v>2022_Q2</c:v>
                  </c:pt>
                  <c:pt idx="300">
                    <c:v>2022_Q2</c:v>
                  </c:pt>
                  <c:pt idx="301">
                    <c:v>2022_Q1</c:v>
                  </c:pt>
                  <c:pt idx="302">
                    <c:v>2022_Q1</c:v>
                  </c:pt>
                  <c:pt idx="303">
                    <c:v>2022_Q2</c:v>
                  </c:pt>
                  <c:pt idx="304">
                    <c:v>2022_Q1</c:v>
                  </c:pt>
                  <c:pt idx="305">
                    <c:v>2022_Q2</c:v>
                  </c:pt>
                  <c:pt idx="306">
                    <c:v>2022_Q1</c:v>
                  </c:pt>
                  <c:pt idx="307">
                    <c:v>2022_Q2</c:v>
                  </c:pt>
                  <c:pt idx="308">
                    <c:v>2022_Q1</c:v>
                  </c:pt>
                  <c:pt idx="309">
                    <c:v>2022_Q2</c:v>
                  </c:pt>
                  <c:pt idx="310">
                    <c:v>2022_Q1</c:v>
                  </c:pt>
                  <c:pt idx="311">
                    <c:v>2022_Q2</c:v>
                  </c:pt>
                  <c:pt idx="312">
                    <c:v>2022_Q1</c:v>
                  </c:pt>
                  <c:pt idx="313">
                    <c:v>2022_Q2</c:v>
                  </c:pt>
                  <c:pt idx="314">
                    <c:v>2022_Q1</c:v>
                  </c:pt>
                  <c:pt idx="315">
                    <c:v>2022_Q2</c:v>
                  </c:pt>
                  <c:pt idx="316">
                    <c:v>2022_Q1</c:v>
                  </c:pt>
                  <c:pt idx="317">
                    <c:v>2022_Q2</c:v>
                  </c:pt>
                  <c:pt idx="318">
                    <c:v>2022_Q1</c:v>
                  </c:pt>
                  <c:pt idx="319">
                    <c:v>2022_Q2</c:v>
                  </c:pt>
                  <c:pt idx="320">
                    <c:v>2022_Q1</c:v>
                  </c:pt>
                  <c:pt idx="321">
                    <c:v>2022_Q1</c:v>
                  </c:pt>
                  <c:pt idx="322">
                    <c:v>2022_Q2</c:v>
                  </c:pt>
                  <c:pt idx="323">
                    <c:v>2022_Q1</c:v>
                  </c:pt>
                  <c:pt idx="324">
                    <c:v>2022_Q2</c:v>
                  </c:pt>
                  <c:pt idx="325">
                    <c:v>2022_Q1</c:v>
                  </c:pt>
                  <c:pt idx="326">
                    <c:v>2022_Q2</c:v>
                  </c:pt>
                  <c:pt idx="327">
                    <c:v>2022_Q1</c:v>
                  </c:pt>
                  <c:pt idx="328">
                    <c:v>2022_Q2</c:v>
                  </c:pt>
                  <c:pt idx="329">
                    <c:v>2022_Q1</c:v>
                  </c:pt>
                  <c:pt idx="330">
                    <c:v>2022_Q1</c:v>
                  </c:pt>
                  <c:pt idx="331">
                    <c:v>2022_Q2</c:v>
                  </c:pt>
                  <c:pt idx="332">
                    <c:v>2022_Q1</c:v>
                  </c:pt>
                  <c:pt idx="333">
                    <c:v>2022_Q1</c:v>
                  </c:pt>
                  <c:pt idx="334">
                    <c:v>2022_Q1</c:v>
                  </c:pt>
                  <c:pt idx="335">
                    <c:v>2022_Q2</c:v>
                  </c:pt>
                  <c:pt idx="336">
                    <c:v>2022_Q1</c:v>
                  </c:pt>
                  <c:pt idx="337">
                    <c:v>2022_Q2</c:v>
                  </c:pt>
                  <c:pt idx="338">
                    <c:v>2022_Q1</c:v>
                  </c:pt>
                  <c:pt idx="339">
                    <c:v>2022_Q2</c:v>
                  </c:pt>
                  <c:pt idx="340">
                    <c:v>2022_Q1</c:v>
                  </c:pt>
                  <c:pt idx="341">
                    <c:v>2022_Q2</c:v>
                  </c:pt>
                  <c:pt idx="342">
                    <c:v>2022_Q2</c:v>
                  </c:pt>
                  <c:pt idx="343">
                    <c:v>2022_Q2</c:v>
                  </c:pt>
                  <c:pt idx="344">
                    <c:v>2022_Q1</c:v>
                  </c:pt>
                  <c:pt idx="345">
                    <c:v>2022_Q2</c:v>
                  </c:pt>
                  <c:pt idx="346">
                    <c:v>2022_Q1</c:v>
                  </c:pt>
                  <c:pt idx="347">
                    <c:v>2022_Q2</c:v>
                  </c:pt>
                  <c:pt idx="348">
                    <c:v>2022_Q1</c:v>
                  </c:pt>
                  <c:pt idx="349">
                    <c:v>2022_Q2</c:v>
                  </c:pt>
                  <c:pt idx="350">
                    <c:v>2022_Q1</c:v>
                  </c:pt>
                  <c:pt idx="351">
                    <c:v>2022_Q2</c:v>
                  </c:pt>
                  <c:pt idx="352">
                    <c:v>2022_Q1</c:v>
                  </c:pt>
                  <c:pt idx="353">
                    <c:v>2022_Q2</c:v>
                  </c:pt>
                  <c:pt idx="354">
                    <c:v>2022_Q1</c:v>
                  </c:pt>
                  <c:pt idx="355">
                    <c:v>2022_Q2</c:v>
                  </c:pt>
                  <c:pt idx="356">
                    <c:v>2022_Q1</c:v>
                  </c:pt>
                  <c:pt idx="357">
                    <c:v>2022_Q2</c:v>
                  </c:pt>
                  <c:pt idx="358">
                    <c:v>2022_Q1</c:v>
                  </c:pt>
                  <c:pt idx="359">
                    <c:v>2022_Q2</c:v>
                  </c:pt>
                  <c:pt idx="360">
                    <c:v>2022_Q1</c:v>
                  </c:pt>
                  <c:pt idx="361">
                    <c:v>2022_Q2</c:v>
                  </c:pt>
                  <c:pt idx="362">
                    <c:v>2022_Q1</c:v>
                  </c:pt>
                  <c:pt idx="363">
                    <c:v>2022_Q2</c:v>
                  </c:pt>
                  <c:pt idx="364">
                    <c:v>2022_Q1</c:v>
                  </c:pt>
                  <c:pt idx="365">
                    <c:v>2022_Q2</c:v>
                  </c:pt>
                  <c:pt idx="366">
                    <c:v>2022_Q1</c:v>
                  </c:pt>
                  <c:pt idx="367">
                    <c:v>2022_Q2</c:v>
                  </c:pt>
                  <c:pt idx="368">
                    <c:v>2022_Q1</c:v>
                  </c:pt>
                  <c:pt idx="369">
                    <c:v>2022_Q2</c:v>
                  </c:pt>
                  <c:pt idx="370">
                    <c:v>2022_Q1</c:v>
                  </c:pt>
                  <c:pt idx="371">
                    <c:v>2022_Q2</c:v>
                  </c:pt>
                  <c:pt idx="372">
                    <c:v>2022_Q1</c:v>
                  </c:pt>
                  <c:pt idx="373">
                    <c:v>2022_Q2</c:v>
                  </c:pt>
                  <c:pt idx="374">
                    <c:v>2022_Q1</c:v>
                  </c:pt>
                  <c:pt idx="375">
                    <c:v>2022_Q2</c:v>
                  </c:pt>
                  <c:pt idx="376">
                    <c:v>2022_Q1</c:v>
                  </c:pt>
                  <c:pt idx="377">
                    <c:v>2022_Q1</c:v>
                  </c:pt>
                  <c:pt idx="378">
                    <c:v>2022_Q2</c:v>
                  </c:pt>
                  <c:pt idx="379">
                    <c:v>2022_Q2</c:v>
                  </c:pt>
                  <c:pt idx="380">
                    <c:v>2022_Q2</c:v>
                  </c:pt>
                  <c:pt idx="381">
                    <c:v>2022_Q2</c:v>
                  </c:pt>
                  <c:pt idx="382">
                    <c:v>2022_Q2</c:v>
                  </c:pt>
                  <c:pt idx="383">
                    <c:v>2022_Q2</c:v>
                  </c:pt>
                  <c:pt idx="384">
                    <c:v>2022_Q2</c:v>
                  </c:pt>
                  <c:pt idx="385">
                    <c:v>2022_Q1</c:v>
                  </c:pt>
                  <c:pt idx="386">
                    <c:v>2022_Q2</c:v>
                  </c:pt>
                  <c:pt idx="387">
                    <c:v>2022_Q1</c:v>
                  </c:pt>
                  <c:pt idx="388">
                    <c:v>2022_Q2</c:v>
                  </c:pt>
                  <c:pt idx="389">
                    <c:v>2022_Q1</c:v>
                  </c:pt>
                  <c:pt idx="390">
                    <c:v>2022_Q2</c:v>
                  </c:pt>
                </c:lvl>
                <c:lvl>
                  <c:pt idx="0">
                    <c:v>AD-2000 Extension camp</c:v>
                  </c:pt>
                  <c:pt idx="1">
                    <c:v>AD-2000 Tharthana Compound</c:v>
                  </c:pt>
                  <c:pt idx="3">
                    <c:v>AG Church, Hmaw Si Sa</c:v>
                  </c:pt>
                  <c:pt idx="5">
                    <c:v>AG Church, Maw Wan</c:v>
                  </c:pt>
                  <c:pt idx="7">
                    <c:v>Agritural Compound (KBC)</c:v>
                  </c:pt>
                  <c:pt idx="9">
                    <c:v>Aung Thar Church</c:v>
                  </c:pt>
                  <c:pt idx="11">
                    <c:v>Baptist Church, Hmaw Si Sar(Lon Khin)</c:v>
                  </c:pt>
                  <c:pt idx="13">
                    <c:v>Border Post 8</c:v>
                  </c:pt>
                  <c:pt idx="15">
                    <c:v>Bum Tsit Pa</c:v>
                  </c:pt>
                  <c:pt idx="17">
                    <c:v>Chin Church, Seik Mu</c:v>
                  </c:pt>
                  <c:pt idx="19">
                    <c:v>Chipwi KBC camp</c:v>
                  </c:pt>
                  <c:pt idx="21">
                    <c:v>Dhama Rakhita, Nyein Chan Tar Yar Ward(Lon Khin)</c:v>
                  </c:pt>
                  <c:pt idx="23">
                    <c:v>Du Kahtawng Baptist</c:v>
                  </c:pt>
                  <c:pt idx="25">
                    <c:v>Dum Bung </c:v>
                  </c:pt>
                  <c:pt idx="27">
                    <c:v>Emmanuel AG Church</c:v>
                  </c:pt>
                  <c:pt idx="29">
                    <c:v>Galeng (Palaung) &amp; Kone Khem</c:v>
                  </c:pt>
                  <c:pt idx="31">
                    <c:v>Hka Shi</c:v>
                  </c:pt>
                  <c:pt idx="33">
                    <c:v>Hkat Cho </c:v>
                  </c:pt>
                  <c:pt idx="35">
                    <c:v>Hkau Shau (BP 12)</c:v>
                  </c:pt>
                  <c:pt idx="37">
                    <c:v>Hlaing Naung Baptist</c:v>
                  </c:pt>
                  <c:pt idx="39">
                    <c:v>Hpai Kawng</c:v>
                  </c:pt>
                  <c:pt idx="41">
                    <c:v>Hpakant Baptist Church, Nam Ma Hpit</c:v>
                  </c:pt>
                  <c:pt idx="43">
                    <c:v>Hpare Hkyer - BP6</c:v>
                  </c:pt>
                  <c:pt idx="45">
                    <c:v>Hpun Lum Yang </c:v>
                  </c:pt>
                  <c:pt idx="47">
                    <c:v>Htoi San Church</c:v>
                  </c:pt>
                  <c:pt idx="49">
                    <c:v>Hu Hku &amp; Ho Hko</c:v>
                  </c:pt>
                  <c:pt idx="51">
                    <c:v>IDP Boarding School, A Len Bum</c:v>
                  </c:pt>
                  <c:pt idx="53">
                    <c:v>Jan Mai Kawng Baptist Church</c:v>
                  </c:pt>
                  <c:pt idx="55">
                    <c:v>Jan Mai Kawng Catholic Church</c:v>
                  </c:pt>
                  <c:pt idx="57">
                    <c:v>Jaw Masat Camp</c:v>
                  </c:pt>
                  <c:pt idx="59">
                    <c:v>Je Yang Hka </c:v>
                  </c:pt>
                  <c:pt idx="61">
                    <c:v>Ka Bu Dam CoC</c:v>
                  </c:pt>
                  <c:pt idx="63">
                    <c:v>Kachin Su Baptist Church (ECCD)</c:v>
                  </c:pt>
                  <c:pt idx="65">
                    <c:v>Karmaing RC Church</c:v>
                  </c:pt>
                  <c:pt idx="67">
                    <c:v>Khar Nan (1) Baptist Church</c:v>
                  </c:pt>
                  <c:pt idx="69">
                    <c:v>Kutkai downtown (KBC Church)</c:v>
                  </c:pt>
                  <c:pt idx="71">
                    <c:v>Kutkai downtown (KBC Church-2)</c:v>
                  </c:pt>
                  <c:pt idx="73">
                    <c:v>Kyu Sot</c:v>
                  </c:pt>
                  <c:pt idx="75">
                    <c:v>Kyun Taw Baptist Church </c:v>
                  </c:pt>
                  <c:pt idx="77">
                    <c:v>Laiza Je Yang School</c:v>
                  </c:pt>
                  <c:pt idx="79">
                    <c:v>Lana Zup Ja</c:v>
                  </c:pt>
                  <c:pt idx="81">
                    <c:v>Lawa RC Church</c:v>
                  </c:pt>
                  <c:pt idx="82">
                    <c:v>Lawng Hkang Shait Yang Camp​ ( Lel Pyin)​ </c:v>
                  </c:pt>
                  <c:pt idx="84">
                    <c:v>Le Kone Bethlehem Church</c:v>
                  </c:pt>
                  <c:pt idx="86">
                    <c:v>Le Kone Ziun Baptist Church </c:v>
                  </c:pt>
                  <c:pt idx="88">
                    <c:v>Lhaovao Baptist Church (LBC)</c:v>
                  </c:pt>
                  <c:pt idx="90">
                    <c:v>Lisu Baptist Church, Maw Shan Vil,. Seik Mu</c:v>
                  </c:pt>
                  <c:pt idx="92">
                    <c:v>Lisu Baptist Church, Maw Wan Ward</c:v>
                  </c:pt>
                  <c:pt idx="94">
                    <c:v>Lisu Boarding-House</c:v>
                  </c:pt>
                  <c:pt idx="96">
                    <c:v>Lisu Church Namtu</c:v>
                  </c:pt>
                  <c:pt idx="98">
                    <c:v>Loi Je Baptist Church</c:v>
                  </c:pt>
                  <c:pt idx="100">
                    <c:v>Loi Je Catholic Church</c:v>
                  </c:pt>
                  <c:pt idx="102">
                    <c:v>Loi Je Lisu Camp</c:v>
                  </c:pt>
                  <c:pt idx="104">
                    <c:v>Lone Khin Catholic Church</c:v>
                  </c:pt>
                  <c:pt idx="106">
                    <c:v>Lung Sut</c:v>
                  </c:pt>
                  <c:pt idx="107">
                    <c:v>Lwegel High School</c:v>
                  </c:pt>
                  <c:pt idx="109">
                    <c:v>Ma Hawng Baptist Church</c:v>
                  </c:pt>
                  <c:pt idx="111">
                    <c:v>Mading Baptist Church</c:v>
                  </c:pt>
                  <c:pt idx="113">
                    <c:v>Maga Yang </c:v>
                  </c:pt>
                  <c:pt idx="115">
                    <c:v>Mai Yu Lay New (Ta'ang)</c:v>
                  </c:pt>
                  <c:pt idx="117">
                    <c:v>Maina AG Church</c:v>
                  </c:pt>
                  <c:pt idx="119">
                    <c:v>Maina Catholic Church (St. Joseph)</c:v>
                  </c:pt>
                  <c:pt idx="121">
                    <c:v>Maina KBC (Bawng Ring)</c:v>
                  </c:pt>
                  <c:pt idx="123">
                    <c:v>Maina Lawang Baptist Church</c:v>
                  </c:pt>
                  <c:pt idx="125">
                    <c:v>Maing Khaung</c:v>
                  </c:pt>
                  <c:pt idx="127">
                    <c:v>Maing Khaung Catholic Church</c:v>
                  </c:pt>
                  <c:pt idx="129">
                    <c:v>Maliyang Baptist Church</c:v>
                  </c:pt>
                  <c:pt idx="131">
                    <c:v>Man Bung Catholic compound</c:v>
                  </c:pt>
                  <c:pt idx="133">
                    <c:v>Man Bung Edin Baptist Church</c:v>
                  </c:pt>
                  <c:pt idx="135">
                    <c:v>Man Hkring Baptist Church</c:v>
                  </c:pt>
                  <c:pt idx="137">
                    <c:v>Man Kaung/Naung Ti Kyar Village</c:v>
                  </c:pt>
                  <c:pt idx="139">
                    <c:v>Man Loi</c:v>
                  </c:pt>
                  <c:pt idx="141">
                    <c:v>Man Wing Baptist Church</c:v>
                  </c:pt>
                  <c:pt idx="143">
                    <c:v>Man Wing Baptist Church Cultural Compound</c:v>
                  </c:pt>
                  <c:pt idx="145">
                    <c:v>Man Wing Catholic Church</c:v>
                  </c:pt>
                  <c:pt idx="147">
                    <c:v>Man Wing Catholic Church II</c:v>
                  </c:pt>
                  <c:pt idx="149">
                    <c:v>Mandung - Jinghpaw</c:v>
                  </c:pt>
                  <c:pt idx="151">
                    <c:v>Mandung - RC</c:v>
                  </c:pt>
                  <c:pt idx="153">
                    <c:v>Mansi Baptist Church</c:v>
                  </c:pt>
                  <c:pt idx="155">
                    <c:v>Maw Hpawng Hka Nan Baptist Church</c:v>
                  </c:pt>
                  <c:pt idx="157">
                    <c:v>Maw Hpawng Lhaovo Baptist Church</c:v>
                  </c:pt>
                  <c:pt idx="159">
                    <c:v>Maw Wan, Mu-yin Baptist Church</c:v>
                  </c:pt>
                  <c:pt idx="161">
                    <c:v>Mine Yu Lay village ( Old)</c:v>
                  </c:pt>
                  <c:pt idx="163">
                    <c:v>Momauk Baptist Church</c:v>
                  </c:pt>
                  <c:pt idx="165">
                    <c:v>Mung Hawm </c:v>
                  </c:pt>
                  <c:pt idx="167">
                    <c:v>Muyin church (Aung Yar pre-school compound)</c:v>
                  </c:pt>
                  <c:pt idx="169">
                    <c:v>Nam Hkam - Nay Win Ni (Palawng)</c:v>
                  </c:pt>
                  <c:pt idx="171">
                    <c:v>Nam Hkam (KBC Jaw Wang)</c:v>
                  </c:pt>
                  <c:pt idx="173">
                    <c:v>Nam Hkam (KBC Jaw Wang) II</c:v>
                  </c:pt>
                  <c:pt idx="175">
                    <c:v>Nam Hkam Catholic Church ( St. Thomas I)</c:v>
                  </c:pt>
                  <c:pt idx="177">
                    <c:v>Nam Hpak Ka Mare </c:v>
                  </c:pt>
                  <c:pt idx="179">
                    <c:v>Nam Hpak Ka Ta'ang ( Aung Tha Pyay)</c:v>
                  </c:pt>
                  <c:pt idx="181">
                    <c:v>Nam Ma Phyit, COC</c:v>
                  </c:pt>
                  <c:pt idx="183">
                    <c:v>Nam Sa Larp</c:v>
                  </c:pt>
                  <c:pt idx="185">
                    <c:v>Nam Tu Baptist</c:v>
                  </c:pt>
                  <c:pt idx="187">
                    <c:v>Namti Labraw Yang KBC Camp</c:v>
                  </c:pt>
                  <c:pt idx="189">
                    <c:v>Nan Kway St. John Catholic Church</c:v>
                  </c:pt>
                  <c:pt idx="191">
                    <c:v>Nant Ma Hpit Catholic Church</c:v>
                  </c:pt>
                  <c:pt idx="193">
                    <c:v>Nat Gyi Kone Baptist Church </c:v>
                  </c:pt>
                  <c:pt idx="195">
                    <c:v>Nawng Hee Village</c:v>
                  </c:pt>
                  <c:pt idx="197">
                    <c:v>Nawng Ing (Indawgyi) Baptist Church </c:v>
                  </c:pt>
                  <c:pt idx="199">
                    <c:v>Ndup Yang</c:v>
                  </c:pt>
                  <c:pt idx="201">
                    <c:v>New Pang Ku </c:v>
                  </c:pt>
                  <c:pt idx="203">
                    <c:v>Nhkawng Pa </c:v>
                  </c:pt>
                  <c:pt idx="205">
                    <c:v>Njang Dung Baptist Church </c:v>
                  </c:pt>
                  <c:pt idx="207">
                    <c:v>Nyaung Na Pin </c:v>
                  </c:pt>
                  <c:pt idx="209">
                    <c:v>Pa Dauk Myaing(Pa La Na)</c:v>
                  </c:pt>
                  <c:pt idx="211">
                    <c:v>Pa Dauk Myaing(Pa La Na)-II</c:v>
                  </c:pt>
                  <c:pt idx="213">
                    <c:v>Pa Kahtawng </c:v>
                  </c:pt>
                  <c:pt idx="215">
                    <c:v>Pajau - Jan Mai</c:v>
                  </c:pt>
                  <c:pt idx="217">
                    <c:v>Pan Law</c:v>
                  </c:pt>
                  <c:pt idx="219">
                    <c:v>Pan Ta Pyae</c:v>
                  </c:pt>
                  <c:pt idx="220">
                    <c:v>Pang Hkawn Yang</c:v>
                  </c:pt>
                  <c:pt idx="222">
                    <c:v>Phan Khar Kone</c:v>
                  </c:pt>
                  <c:pt idx="224">
                    <c:v>Qtr. 2 Lhaovo Baptist Church</c:v>
                  </c:pt>
                  <c:pt idx="226">
                    <c:v>Qtr. 2 Myoma Baptist Church</c:v>
                  </c:pt>
                  <c:pt idx="228">
                    <c:v>Rawan Baptist Church, Maw Shan Vil., Seik Mu</c:v>
                  </c:pt>
                  <c:pt idx="230">
                    <c:v>Robert Church</c:v>
                  </c:pt>
                  <c:pt idx="232">
                    <c:v>Sadung</c:v>
                  </c:pt>
                  <c:pt idx="234">
                    <c:v>Salang Yang</c:v>
                  </c:pt>
                  <c:pt idx="236">
                    <c:v>Sar Hmaw - KBC</c:v>
                  </c:pt>
                  <c:pt idx="238">
                    <c:v>Seng Ja </c:v>
                  </c:pt>
                  <c:pt idx="240">
                    <c:v>Sha-It Yang</c:v>
                  </c:pt>
                  <c:pt idx="242">
                    <c:v>Shar Du Zut KBC church </c:v>
                  </c:pt>
                  <c:pt idx="244">
                    <c:v>Shatapru Sut Ngai Tawng</c:v>
                  </c:pt>
                  <c:pt idx="246">
                    <c:v>Shatapru Thida Aye Baptist Church</c:v>
                  </c:pt>
                  <c:pt idx="248">
                    <c:v>Shing Jai</c:v>
                  </c:pt>
                  <c:pt idx="250">
                    <c:v>Shwe Gu Baptist Church</c:v>
                  </c:pt>
                  <c:pt idx="252">
                    <c:v>Shwe Gu Catholic Church</c:v>
                  </c:pt>
                  <c:pt idx="254">
                    <c:v>Shwe Zet Baptist Church</c:v>
                  </c:pt>
                  <c:pt idx="256">
                    <c:v>St. Joseph Tanai RC camp </c:v>
                  </c:pt>
                  <c:pt idx="258">
                    <c:v>St. Patrick Catholic Church </c:v>
                  </c:pt>
                  <c:pt idx="260">
                    <c:v>Tanai CoC</c:v>
                  </c:pt>
                  <c:pt idx="262">
                    <c:v>Tanai KBC Camp</c:v>
                  </c:pt>
                  <c:pt idx="264">
                    <c:v>Tat Kone Baptist Church</c:v>
                  </c:pt>
                  <c:pt idx="266">
                    <c:v>Tat Kone COC Baptist - Tat Kone Htoi San</c:v>
                  </c:pt>
                  <c:pt idx="268">
                    <c:v>Tat Kone Galile Baptist Church</c:v>
                  </c:pt>
                  <c:pt idx="270">
                    <c:v>Tat Kone San Pya Baptist Church</c:v>
                  </c:pt>
                  <c:pt idx="272">
                    <c:v>Thargaya Lisu Baptist Church</c:v>
                  </c:pt>
                  <c:pt idx="274">
                    <c:v>Trinity Camp</c:v>
                  </c:pt>
                  <c:pt idx="276">
                    <c:v>Tsan Lun - Namjarap</c:v>
                  </c:pt>
                  <c:pt idx="278">
                    <c:v>Waimaw Baptist Zonal Office 2</c:v>
                  </c:pt>
                  <c:pt idx="280">
                    <c:v>Waingmaw AG Church</c:v>
                  </c:pt>
                  <c:pt idx="282">
                    <c:v>Ward 2 Sai Taung Baptist Church, Seik Mu </c:v>
                  </c:pt>
                  <c:pt idx="284">
                    <c:v>Woi Chyai </c:v>
                  </c:pt>
                  <c:pt idx="286">
                    <c:v>Woi Chyai (Mong Lai)</c:v>
                  </c:pt>
                  <c:pt idx="288">
                    <c:v>Woi Chyai host families</c:v>
                  </c:pt>
                  <c:pt idx="290">
                    <c:v>Yumar Baptist Church</c:v>
                  </c:pt>
                  <c:pt idx="292">
                    <c:v>Zup Aung Camp</c:v>
                  </c:pt>
                  <c:pt idx="294">
                    <c:v>Hka Garan Yang </c:v>
                  </c:pt>
                  <c:pt idx="296">
                    <c:v>Htang Nya </c:v>
                  </c:pt>
                  <c:pt idx="298">
                    <c:v>Enai (Man Pyein)</c:v>
                  </c:pt>
                  <c:pt idx="300">
                    <c:v>Lian Bang village</c:v>
                  </c:pt>
                  <c:pt idx="301">
                    <c:v>AD 2000 School</c:v>
                  </c:pt>
                  <c:pt idx="302">
                    <c:v>Robert -High school</c:v>
                  </c:pt>
                  <c:pt idx="304">
                    <c:v>Pamati Camp</c:v>
                  </c:pt>
                  <c:pt idx="306">
                    <c:v>Momauk IDP new extension camp (Kye Nan)</c:v>
                  </c:pt>
                  <c:pt idx="308">
                    <c:v>Sector 5 Pammati Quarter</c:v>
                  </c:pt>
                  <c:pt idx="310">
                    <c:v>Namatee Kan Hla AG</c:v>
                  </c:pt>
                  <c:pt idx="312">
                    <c:v>His Aw (Chyu Fan) </c:v>
                  </c:pt>
                  <c:pt idx="314">
                    <c:v>Shwe Sin (Ward 3) </c:v>
                  </c:pt>
                  <c:pt idx="316">
                    <c:v>Bum Ra Yang Camp </c:v>
                  </c:pt>
                  <c:pt idx="318">
                    <c:v>Mang Nawng Kawng (host)</c:v>
                  </c:pt>
                  <c:pt idx="320">
                    <c:v>Hat Hlan village (host)</c:v>
                  </c:pt>
                  <c:pt idx="321">
                    <c:v>Kyaukme Town (host)</c:v>
                  </c:pt>
                  <c:pt idx="323">
                    <c:v>Nam Hlaing Extension Ward camp</c:v>
                  </c:pt>
                  <c:pt idx="325">
                    <c:v>Naung Tar Law (Kyet Chan) </c:v>
                  </c:pt>
                  <c:pt idx="327">
                    <c:v>Waingmaw St.Joseph RC Church</c:v>
                  </c:pt>
                  <c:pt idx="329">
                    <c:v>Waingmaw LBC church </c:v>
                  </c:pt>
                  <c:pt idx="330">
                    <c:v>Lisu Zonal camp</c:v>
                  </c:pt>
                  <c:pt idx="332">
                    <c:v>Phaug Nhae Camp</c:v>
                  </c:pt>
                  <c:pt idx="333">
                    <c:v>Yuu Ka lait Kone Camp</c:v>
                  </c:pt>
                  <c:pt idx="334">
                    <c:v>Lhaovo Baptist Convention  Old Office Camp</c:v>
                  </c:pt>
                  <c:pt idx="336">
                    <c:v>Ding Jang Yang (1)</c:v>
                  </c:pt>
                  <c:pt idx="338">
                    <c:v>Ding Jang Yang (2)</c:v>
                  </c:pt>
                  <c:pt idx="340">
                    <c:v>Naung Pataine/lachid </c:v>
                  </c:pt>
                  <c:pt idx="342">
                    <c:v>Lin Hao chun </c:v>
                  </c:pt>
                  <c:pt idx="343">
                    <c:v>Pyi Htaung Su</c:v>
                  </c:pt>
                  <c:pt idx="344">
                    <c:v>Momauk KBC church</c:v>
                  </c:pt>
                  <c:pt idx="346">
                    <c:v>St.Francis RCC 1</c:v>
                  </c:pt>
                  <c:pt idx="348">
                    <c:v>St.Francis RCC 2</c:v>
                  </c:pt>
                  <c:pt idx="350">
                    <c:v>Bang Yang Hka (Mung Ji Pa)-relocated</c:v>
                  </c:pt>
                  <c:pt idx="352">
                    <c:v>Galeng Zup Awng ward 5 RC</c:v>
                  </c:pt>
                  <c:pt idx="354">
                    <c:v>Man Wing- IDPs in Host</c:v>
                  </c:pt>
                  <c:pt idx="356">
                    <c:v>(3 mile) Shwe Pyi Tar (SLCA)</c:v>
                  </c:pt>
                  <c:pt idx="358">
                    <c:v>Bhamo- IDPs in Host </c:v>
                  </c:pt>
                  <c:pt idx="360">
                    <c:v>Chipwi Pan Wa  (Host IDP)</c:v>
                  </c:pt>
                  <c:pt idx="362">
                    <c:v>St.Columban lone Khin camp</c:v>
                  </c:pt>
                  <c:pt idx="364">
                    <c:v>Mansi- IDPs in Host</c:v>
                  </c:pt>
                  <c:pt idx="366">
                    <c:v>Hopin -IDPs in Host</c:v>
                  </c:pt>
                  <c:pt idx="368">
                    <c:v>Moenyin- IDPs in Host</c:v>
                  </c:pt>
                  <c:pt idx="370">
                    <c:v>Momauk-IDPs in Host</c:v>
                  </c:pt>
                  <c:pt idx="372">
                    <c:v>Myo Thit -IDP in Host</c:v>
                  </c:pt>
                  <c:pt idx="374">
                    <c:v>Saint Matthew (Shin ma ti-sitapru) camp</c:v>
                  </c:pt>
                  <c:pt idx="376">
                    <c:v>Nan Hlaing_new camp </c:v>
                  </c:pt>
                  <c:pt idx="377">
                    <c:v>Na ru Kawng (Post 6 camp)</c:v>
                  </c:pt>
                  <c:pt idx="379">
                    <c:v>Man Pint community Hall </c:v>
                  </c:pt>
                  <c:pt idx="380">
                    <c:v>Mong Tin High School</c:v>
                  </c:pt>
                  <c:pt idx="381">
                    <c:v>Nar Mun Primary School</c:v>
                  </c:pt>
                  <c:pt idx="382">
                    <c:v>SLCA Building Compound (Kyaukme town)</c:v>
                  </c:pt>
                  <c:pt idx="383">
                    <c:v>SLCA Building Compound (Moungnawt town)</c:v>
                  </c:pt>
                  <c:pt idx="384">
                    <c:v>Theravada Monastery </c:v>
                  </c:pt>
                  <c:pt idx="385">
                    <c:v>Mong Wee Shan-relocated</c:v>
                  </c:pt>
                  <c:pt idx="387">
                    <c:v>Hseng Ja-Relocated</c:v>
                  </c:pt>
                  <c:pt idx="389">
                    <c:v>Maina Mu-yin  Baptist Church</c:v>
                  </c:pt>
                </c:lvl>
              </c:multiLvlStrCache>
            </c:multiLvlStrRef>
          </c:cat>
          <c:val>
            <c:numRef>
              <c:f>'Tracking Dashboard'!$N$5:$N$601</c:f>
              <c:numCache>
                <c:formatCode>General</c:formatCode>
                <c:ptCount val="391"/>
                <c:pt idx="0">
                  <c:v>0</c:v>
                </c:pt>
                <c:pt idx="1">
                  <c:v>1226</c:v>
                </c:pt>
                <c:pt idx="2">
                  <c:v>1278</c:v>
                </c:pt>
                <c:pt idx="3">
                  <c:v>435</c:v>
                </c:pt>
                <c:pt idx="4">
                  <c:v>440</c:v>
                </c:pt>
                <c:pt idx="5">
                  <c:v>72</c:v>
                </c:pt>
                <c:pt idx="6">
                  <c:v>72</c:v>
                </c:pt>
                <c:pt idx="7">
                  <c:v>500</c:v>
                </c:pt>
                <c:pt idx="8">
                  <c:v>0</c:v>
                </c:pt>
                <c:pt idx="9">
                  <c:v>51</c:v>
                </c:pt>
                <c:pt idx="10">
                  <c:v>0</c:v>
                </c:pt>
                <c:pt idx="11">
                  <c:v>250</c:v>
                </c:pt>
                <c:pt idx="12">
                  <c:v>250</c:v>
                </c:pt>
                <c:pt idx="13">
                  <c:v>421</c:v>
                </c:pt>
                <c:pt idx="14">
                  <c:v>420</c:v>
                </c:pt>
                <c:pt idx="15">
                  <c:v>1887</c:v>
                </c:pt>
                <c:pt idx="16">
                  <c:v>1900</c:v>
                </c:pt>
                <c:pt idx="17">
                  <c:v>24</c:v>
                </c:pt>
                <c:pt idx="18">
                  <c:v>24</c:v>
                </c:pt>
                <c:pt idx="19">
                  <c:v>500</c:v>
                </c:pt>
                <c:pt idx="20">
                  <c:v>500</c:v>
                </c:pt>
                <c:pt idx="21">
                  <c:v>442</c:v>
                </c:pt>
                <c:pt idx="22">
                  <c:v>443</c:v>
                </c:pt>
                <c:pt idx="23">
                  <c:v>197</c:v>
                </c:pt>
                <c:pt idx="24">
                  <c:v>193</c:v>
                </c:pt>
                <c:pt idx="25">
                  <c:v>394</c:v>
                </c:pt>
                <c:pt idx="26">
                  <c:v>406</c:v>
                </c:pt>
                <c:pt idx="27">
                  <c:v>32</c:v>
                </c:pt>
                <c:pt idx="28">
                  <c:v>0</c:v>
                </c:pt>
                <c:pt idx="29">
                  <c:v>439</c:v>
                </c:pt>
                <c:pt idx="30">
                  <c:v>439</c:v>
                </c:pt>
                <c:pt idx="31">
                  <c:v>205</c:v>
                </c:pt>
                <c:pt idx="32">
                  <c:v>381</c:v>
                </c:pt>
                <c:pt idx="33">
                  <c:v>291</c:v>
                </c:pt>
                <c:pt idx="34">
                  <c:v>293</c:v>
                </c:pt>
                <c:pt idx="35">
                  <c:v>895</c:v>
                </c:pt>
                <c:pt idx="36">
                  <c:v>966</c:v>
                </c:pt>
                <c:pt idx="37">
                  <c:v>132</c:v>
                </c:pt>
                <c:pt idx="38">
                  <c:v>0</c:v>
                </c:pt>
                <c:pt idx="39">
                  <c:v>934</c:v>
                </c:pt>
                <c:pt idx="40">
                  <c:v>806</c:v>
                </c:pt>
                <c:pt idx="41">
                  <c:v>504</c:v>
                </c:pt>
                <c:pt idx="42">
                  <c:v>504</c:v>
                </c:pt>
                <c:pt idx="43">
                  <c:v>837</c:v>
                </c:pt>
                <c:pt idx="44">
                  <c:v>936</c:v>
                </c:pt>
                <c:pt idx="45">
                  <c:v>500</c:v>
                </c:pt>
                <c:pt idx="46">
                  <c:v>500</c:v>
                </c:pt>
                <c:pt idx="47">
                  <c:v>222</c:v>
                </c:pt>
                <c:pt idx="48">
                  <c:v>0</c:v>
                </c:pt>
                <c:pt idx="49">
                  <c:v>130</c:v>
                </c:pt>
                <c:pt idx="50">
                  <c:v>130</c:v>
                </c:pt>
                <c:pt idx="51">
                  <c:v>440</c:v>
                </c:pt>
                <c:pt idx="52">
                  <c:v>0</c:v>
                </c:pt>
                <c:pt idx="53">
                  <c:v>1124</c:v>
                </c:pt>
                <c:pt idx="54">
                  <c:v>500</c:v>
                </c:pt>
                <c:pt idx="55">
                  <c:v>398</c:v>
                </c:pt>
                <c:pt idx="56">
                  <c:v>388</c:v>
                </c:pt>
                <c:pt idx="57">
                  <c:v>612</c:v>
                </c:pt>
                <c:pt idx="58">
                  <c:v>500</c:v>
                </c:pt>
                <c:pt idx="59">
                  <c:v>4500</c:v>
                </c:pt>
                <c:pt idx="60">
                  <c:v>8486</c:v>
                </c:pt>
                <c:pt idx="61">
                  <c:v>43</c:v>
                </c:pt>
                <c:pt idx="62">
                  <c:v>61</c:v>
                </c:pt>
                <c:pt idx="63">
                  <c:v>100</c:v>
                </c:pt>
                <c:pt idx="64">
                  <c:v>0</c:v>
                </c:pt>
                <c:pt idx="65">
                  <c:v>52</c:v>
                </c:pt>
                <c:pt idx="66">
                  <c:v>52</c:v>
                </c:pt>
                <c:pt idx="67">
                  <c:v>106</c:v>
                </c:pt>
                <c:pt idx="68">
                  <c:v>0</c:v>
                </c:pt>
                <c:pt idx="69">
                  <c:v>244</c:v>
                </c:pt>
                <c:pt idx="70">
                  <c:v>244</c:v>
                </c:pt>
                <c:pt idx="71">
                  <c:v>180</c:v>
                </c:pt>
                <c:pt idx="72">
                  <c:v>180</c:v>
                </c:pt>
                <c:pt idx="73">
                  <c:v>270</c:v>
                </c:pt>
                <c:pt idx="74">
                  <c:v>270</c:v>
                </c:pt>
                <c:pt idx="75">
                  <c:v>66</c:v>
                </c:pt>
                <c:pt idx="76">
                  <c:v>0</c:v>
                </c:pt>
                <c:pt idx="77">
                  <c:v>440</c:v>
                </c:pt>
                <c:pt idx="78">
                  <c:v>0</c:v>
                </c:pt>
                <c:pt idx="79">
                  <c:v>2691</c:v>
                </c:pt>
                <c:pt idx="80">
                  <c:v>2503</c:v>
                </c:pt>
                <c:pt idx="81">
                  <c:v>242</c:v>
                </c:pt>
                <c:pt idx="82">
                  <c:v>500</c:v>
                </c:pt>
                <c:pt idx="83">
                  <c:v>633</c:v>
                </c:pt>
                <c:pt idx="84">
                  <c:v>680</c:v>
                </c:pt>
                <c:pt idx="85">
                  <c:v>0</c:v>
                </c:pt>
                <c:pt idx="86">
                  <c:v>676</c:v>
                </c:pt>
                <c:pt idx="87">
                  <c:v>0</c:v>
                </c:pt>
                <c:pt idx="88">
                  <c:v>500</c:v>
                </c:pt>
                <c:pt idx="89">
                  <c:v>884</c:v>
                </c:pt>
                <c:pt idx="90">
                  <c:v>100</c:v>
                </c:pt>
                <c:pt idx="91">
                  <c:v>103</c:v>
                </c:pt>
                <c:pt idx="92">
                  <c:v>54</c:v>
                </c:pt>
                <c:pt idx="93">
                  <c:v>54</c:v>
                </c:pt>
                <c:pt idx="94">
                  <c:v>440</c:v>
                </c:pt>
                <c:pt idx="95">
                  <c:v>0</c:v>
                </c:pt>
                <c:pt idx="96">
                  <c:v>127</c:v>
                </c:pt>
                <c:pt idx="97">
                  <c:v>127</c:v>
                </c:pt>
                <c:pt idx="98">
                  <c:v>239</c:v>
                </c:pt>
                <c:pt idx="99">
                  <c:v>239</c:v>
                </c:pt>
                <c:pt idx="100">
                  <c:v>426</c:v>
                </c:pt>
                <c:pt idx="101">
                  <c:v>426</c:v>
                </c:pt>
                <c:pt idx="102">
                  <c:v>1322</c:v>
                </c:pt>
                <c:pt idx="103">
                  <c:v>1322</c:v>
                </c:pt>
                <c:pt idx="104">
                  <c:v>205</c:v>
                </c:pt>
                <c:pt idx="105">
                  <c:v>467</c:v>
                </c:pt>
                <c:pt idx="106">
                  <c:v>289</c:v>
                </c:pt>
                <c:pt idx="107">
                  <c:v>0</c:v>
                </c:pt>
                <c:pt idx="108">
                  <c:v>0</c:v>
                </c:pt>
                <c:pt idx="109">
                  <c:v>78</c:v>
                </c:pt>
                <c:pt idx="110">
                  <c:v>0</c:v>
                </c:pt>
                <c:pt idx="111">
                  <c:v>159</c:v>
                </c:pt>
                <c:pt idx="112">
                  <c:v>238</c:v>
                </c:pt>
                <c:pt idx="113">
                  <c:v>1736</c:v>
                </c:pt>
                <c:pt idx="114">
                  <c:v>1469</c:v>
                </c:pt>
                <c:pt idx="115">
                  <c:v>500</c:v>
                </c:pt>
                <c:pt idx="116">
                  <c:v>500</c:v>
                </c:pt>
                <c:pt idx="117">
                  <c:v>1000</c:v>
                </c:pt>
                <c:pt idx="118">
                  <c:v>1780</c:v>
                </c:pt>
                <c:pt idx="119">
                  <c:v>30</c:v>
                </c:pt>
                <c:pt idx="120">
                  <c:v>1494</c:v>
                </c:pt>
                <c:pt idx="121">
                  <c:v>2500</c:v>
                </c:pt>
                <c:pt idx="122">
                  <c:v>2920</c:v>
                </c:pt>
                <c:pt idx="123">
                  <c:v>191</c:v>
                </c:pt>
                <c:pt idx="124">
                  <c:v>283</c:v>
                </c:pt>
                <c:pt idx="125">
                  <c:v>1599</c:v>
                </c:pt>
                <c:pt idx="126">
                  <c:v>1759</c:v>
                </c:pt>
                <c:pt idx="127">
                  <c:v>694</c:v>
                </c:pt>
                <c:pt idx="128">
                  <c:v>694</c:v>
                </c:pt>
                <c:pt idx="129">
                  <c:v>290</c:v>
                </c:pt>
                <c:pt idx="130">
                  <c:v>0</c:v>
                </c:pt>
                <c:pt idx="131">
                  <c:v>500</c:v>
                </c:pt>
                <c:pt idx="132">
                  <c:v>0</c:v>
                </c:pt>
                <c:pt idx="133">
                  <c:v>590</c:v>
                </c:pt>
                <c:pt idx="134">
                  <c:v>586</c:v>
                </c:pt>
                <c:pt idx="135">
                  <c:v>547</c:v>
                </c:pt>
                <c:pt idx="136">
                  <c:v>0</c:v>
                </c:pt>
                <c:pt idx="137">
                  <c:v>30</c:v>
                </c:pt>
                <c:pt idx="138">
                  <c:v>0</c:v>
                </c:pt>
                <c:pt idx="139">
                  <c:v>104</c:v>
                </c:pt>
                <c:pt idx="140">
                  <c:v>0</c:v>
                </c:pt>
                <c:pt idx="141">
                  <c:v>500</c:v>
                </c:pt>
                <c:pt idx="142">
                  <c:v>655</c:v>
                </c:pt>
                <c:pt idx="143">
                  <c:v>50</c:v>
                </c:pt>
                <c:pt idx="144">
                  <c:v>538</c:v>
                </c:pt>
                <c:pt idx="145">
                  <c:v>500</c:v>
                </c:pt>
                <c:pt idx="146">
                  <c:v>2354</c:v>
                </c:pt>
                <c:pt idx="147">
                  <c:v>30</c:v>
                </c:pt>
                <c:pt idx="148">
                  <c:v>737</c:v>
                </c:pt>
                <c:pt idx="149">
                  <c:v>125</c:v>
                </c:pt>
                <c:pt idx="150">
                  <c:v>125</c:v>
                </c:pt>
                <c:pt idx="151">
                  <c:v>157</c:v>
                </c:pt>
                <c:pt idx="152">
                  <c:v>157</c:v>
                </c:pt>
                <c:pt idx="153">
                  <c:v>789</c:v>
                </c:pt>
                <c:pt idx="154">
                  <c:v>0</c:v>
                </c:pt>
                <c:pt idx="155">
                  <c:v>90</c:v>
                </c:pt>
                <c:pt idx="156">
                  <c:v>84</c:v>
                </c:pt>
                <c:pt idx="157">
                  <c:v>166</c:v>
                </c:pt>
                <c:pt idx="158">
                  <c:v>174</c:v>
                </c:pt>
                <c:pt idx="159">
                  <c:v>15</c:v>
                </c:pt>
                <c:pt idx="160">
                  <c:v>0</c:v>
                </c:pt>
                <c:pt idx="161">
                  <c:v>251</c:v>
                </c:pt>
                <c:pt idx="162">
                  <c:v>251</c:v>
                </c:pt>
                <c:pt idx="163">
                  <c:v>424</c:v>
                </c:pt>
                <c:pt idx="164">
                  <c:v>0</c:v>
                </c:pt>
                <c:pt idx="165">
                  <c:v>176</c:v>
                </c:pt>
                <c:pt idx="166">
                  <c:v>176</c:v>
                </c:pt>
                <c:pt idx="167">
                  <c:v>18</c:v>
                </c:pt>
                <c:pt idx="168">
                  <c:v>0</c:v>
                </c:pt>
                <c:pt idx="169">
                  <c:v>396</c:v>
                </c:pt>
                <c:pt idx="170">
                  <c:v>396</c:v>
                </c:pt>
                <c:pt idx="171">
                  <c:v>323</c:v>
                </c:pt>
                <c:pt idx="172">
                  <c:v>0</c:v>
                </c:pt>
                <c:pt idx="173">
                  <c:v>31</c:v>
                </c:pt>
                <c:pt idx="174">
                  <c:v>31</c:v>
                </c:pt>
                <c:pt idx="175">
                  <c:v>213</c:v>
                </c:pt>
                <c:pt idx="176">
                  <c:v>213</c:v>
                </c:pt>
                <c:pt idx="177">
                  <c:v>250</c:v>
                </c:pt>
                <c:pt idx="178">
                  <c:v>250</c:v>
                </c:pt>
                <c:pt idx="179">
                  <c:v>158</c:v>
                </c:pt>
                <c:pt idx="180">
                  <c:v>158</c:v>
                </c:pt>
                <c:pt idx="181">
                  <c:v>24</c:v>
                </c:pt>
                <c:pt idx="182">
                  <c:v>24</c:v>
                </c:pt>
                <c:pt idx="183">
                  <c:v>206</c:v>
                </c:pt>
                <c:pt idx="184">
                  <c:v>206</c:v>
                </c:pt>
                <c:pt idx="185">
                  <c:v>141</c:v>
                </c:pt>
                <c:pt idx="186">
                  <c:v>141</c:v>
                </c:pt>
                <c:pt idx="187">
                  <c:v>474</c:v>
                </c:pt>
                <c:pt idx="188">
                  <c:v>611</c:v>
                </c:pt>
                <c:pt idx="189">
                  <c:v>309</c:v>
                </c:pt>
                <c:pt idx="190">
                  <c:v>291</c:v>
                </c:pt>
                <c:pt idx="191">
                  <c:v>218</c:v>
                </c:pt>
                <c:pt idx="192">
                  <c:v>218</c:v>
                </c:pt>
                <c:pt idx="193">
                  <c:v>41</c:v>
                </c:pt>
                <c:pt idx="194">
                  <c:v>0</c:v>
                </c:pt>
                <c:pt idx="195">
                  <c:v>85</c:v>
                </c:pt>
                <c:pt idx="196">
                  <c:v>85</c:v>
                </c:pt>
                <c:pt idx="197">
                  <c:v>113</c:v>
                </c:pt>
                <c:pt idx="198">
                  <c:v>0</c:v>
                </c:pt>
                <c:pt idx="199">
                  <c:v>547</c:v>
                </c:pt>
                <c:pt idx="200">
                  <c:v>323</c:v>
                </c:pt>
                <c:pt idx="201">
                  <c:v>500</c:v>
                </c:pt>
                <c:pt idx="202">
                  <c:v>500</c:v>
                </c:pt>
                <c:pt idx="203">
                  <c:v>1675</c:v>
                </c:pt>
                <c:pt idx="204">
                  <c:v>1570</c:v>
                </c:pt>
                <c:pt idx="205">
                  <c:v>299</c:v>
                </c:pt>
                <c:pt idx="206">
                  <c:v>0</c:v>
                </c:pt>
                <c:pt idx="207">
                  <c:v>299</c:v>
                </c:pt>
                <c:pt idx="208">
                  <c:v>299</c:v>
                </c:pt>
                <c:pt idx="209">
                  <c:v>895</c:v>
                </c:pt>
                <c:pt idx="210">
                  <c:v>924</c:v>
                </c:pt>
                <c:pt idx="211">
                  <c:v>50</c:v>
                </c:pt>
                <c:pt idx="212">
                  <c:v>1187</c:v>
                </c:pt>
                <c:pt idx="213">
                  <c:v>2975</c:v>
                </c:pt>
                <c:pt idx="214">
                  <c:v>3000</c:v>
                </c:pt>
                <c:pt idx="215">
                  <c:v>852</c:v>
                </c:pt>
                <c:pt idx="216">
                  <c:v>966</c:v>
                </c:pt>
                <c:pt idx="217">
                  <c:v>221</c:v>
                </c:pt>
                <c:pt idx="218">
                  <c:v>221</c:v>
                </c:pt>
                <c:pt idx="219">
                  <c:v>91</c:v>
                </c:pt>
                <c:pt idx="220">
                  <c:v>205</c:v>
                </c:pt>
                <c:pt idx="221">
                  <c:v>0</c:v>
                </c:pt>
                <c:pt idx="222">
                  <c:v>334</c:v>
                </c:pt>
                <c:pt idx="223">
                  <c:v>0</c:v>
                </c:pt>
                <c:pt idx="224">
                  <c:v>506</c:v>
                </c:pt>
                <c:pt idx="225">
                  <c:v>400</c:v>
                </c:pt>
                <c:pt idx="226">
                  <c:v>307</c:v>
                </c:pt>
                <c:pt idx="227">
                  <c:v>396</c:v>
                </c:pt>
                <c:pt idx="228">
                  <c:v>70</c:v>
                </c:pt>
                <c:pt idx="229">
                  <c:v>70</c:v>
                </c:pt>
                <c:pt idx="230">
                  <c:v>3000</c:v>
                </c:pt>
                <c:pt idx="231">
                  <c:v>3030</c:v>
                </c:pt>
                <c:pt idx="232">
                  <c:v>205</c:v>
                </c:pt>
                <c:pt idx="233">
                  <c:v>0</c:v>
                </c:pt>
                <c:pt idx="234">
                  <c:v>325</c:v>
                </c:pt>
                <c:pt idx="235">
                  <c:v>0</c:v>
                </c:pt>
                <c:pt idx="236">
                  <c:v>136</c:v>
                </c:pt>
                <c:pt idx="237">
                  <c:v>0</c:v>
                </c:pt>
                <c:pt idx="238">
                  <c:v>255</c:v>
                </c:pt>
                <c:pt idx="239">
                  <c:v>255</c:v>
                </c:pt>
                <c:pt idx="240">
                  <c:v>1532</c:v>
                </c:pt>
                <c:pt idx="241">
                  <c:v>1881</c:v>
                </c:pt>
                <c:pt idx="242">
                  <c:v>103</c:v>
                </c:pt>
                <c:pt idx="243">
                  <c:v>0</c:v>
                </c:pt>
                <c:pt idx="244">
                  <c:v>583</c:v>
                </c:pt>
                <c:pt idx="245">
                  <c:v>500</c:v>
                </c:pt>
                <c:pt idx="246">
                  <c:v>119</c:v>
                </c:pt>
                <c:pt idx="247">
                  <c:v>0</c:v>
                </c:pt>
                <c:pt idx="248">
                  <c:v>958</c:v>
                </c:pt>
                <c:pt idx="249">
                  <c:v>1176</c:v>
                </c:pt>
                <c:pt idx="250">
                  <c:v>300</c:v>
                </c:pt>
                <c:pt idx="251">
                  <c:v>300</c:v>
                </c:pt>
                <c:pt idx="252">
                  <c:v>182</c:v>
                </c:pt>
                <c:pt idx="253">
                  <c:v>0</c:v>
                </c:pt>
                <c:pt idx="254">
                  <c:v>499</c:v>
                </c:pt>
                <c:pt idx="255">
                  <c:v>0</c:v>
                </c:pt>
                <c:pt idx="256">
                  <c:v>455</c:v>
                </c:pt>
                <c:pt idx="257">
                  <c:v>624</c:v>
                </c:pt>
                <c:pt idx="258">
                  <c:v>68</c:v>
                </c:pt>
                <c:pt idx="259">
                  <c:v>68</c:v>
                </c:pt>
                <c:pt idx="260">
                  <c:v>153</c:v>
                </c:pt>
                <c:pt idx="261">
                  <c:v>169</c:v>
                </c:pt>
                <c:pt idx="262">
                  <c:v>468</c:v>
                </c:pt>
                <c:pt idx="263">
                  <c:v>0</c:v>
                </c:pt>
                <c:pt idx="264">
                  <c:v>351</c:v>
                </c:pt>
                <c:pt idx="265">
                  <c:v>500</c:v>
                </c:pt>
                <c:pt idx="266">
                  <c:v>262</c:v>
                </c:pt>
                <c:pt idx="267">
                  <c:v>0</c:v>
                </c:pt>
                <c:pt idx="268">
                  <c:v>165</c:v>
                </c:pt>
                <c:pt idx="269">
                  <c:v>0</c:v>
                </c:pt>
                <c:pt idx="270">
                  <c:v>219</c:v>
                </c:pt>
                <c:pt idx="271">
                  <c:v>0</c:v>
                </c:pt>
                <c:pt idx="272">
                  <c:v>192</c:v>
                </c:pt>
                <c:pt idx="273">
                  <c:v>192</c:v>
                </c:pt>
                <c:pt idx="274">
                  <c:v>866</c:v>
                </c:pt>
                <c:pt idx="275">
                  <c:v>500</c:v>
                </c:pt>
                <c:pt idx="276">
                  <c:v>195</c:v>
                </c:pt>
                <c:pt idx="277">
                  <c:v>195</c:v>
                </c:pt>
                <c:pt idx="278">
                  <c:v>351</c:v>
                </c:pt>
                <c:pt idx="279">
                  <c:v>387</c:v>
                </c:pt>
                <c:pt idx="280">
                  <c:v>293</c:v>
                </c:pt>
                <c:pt idx="281">
                  <c:v>193</c:v>
                </c:pt>
                <c:pt idx="282">
                  <c:v>133</c:v>
                </c:pt>
                <c:pt idx="283">
                  <c:v>133</c:v>
                </c:pt>
                <c:pt idx="284">
                  <c:v>1500</c:v>
                </c:pt>
                <c:pt idx="285">
                  <c:v>1500</c:v>
                </c:pt>
                <c:pt idx="286">
                  <c:v>455</c:v>
                </c:pt>
                <c:pt idx="287">
                  <c:v>0</c:v>
                </c:pt>
                <c:pt idx="288">
                  <c:v>520</c:v>
                </c:pt>
                <c:pt idx="289">
                  <c:v>0</c:v>
                </c:pt>
                <c:pt idx="290">
                  <c:v>66</c:v>
                </c:pt>
                <c:pt idx="291">
                  <c:v>66</c:v>
                </c:pt>
                <c:pt idx="292">
                  <c:v>620</c:v>
                </c:pt>
                <c:pt idx="293">
                  <c:v>500</c:v>
                </c:pt>
                <c:pt idx="294">
                  <c:v>30</c:v>
                </c:pt>
                <c:pt idx="295">
                  <c:v>0</c:v>
                </c:pt>
                <c:pt idx="296">
                  <c:v>16</c:v>
                </c:pt>
                <c:pt idx="297">
                  <c:v>16</c:v>
                </c:pt>
                <c:pt idx="298">
                  <c:v>103</c:v>
                </c:pt>
                <c:pt idx="299">
                  <c:v>0</c:v>
                </c:pt>
                <c:pt idx="300">
                  <c:v>0</c:v>
                </c:pt>
                <c:pt idx="301">
                  <c:v>0</c:v>
                </c:pt>
                <c:pt idx="302">
                  <c:v>0</c:v>
                </c:pt>
                <c:pt idx="303">
                  <c:v>0</c:v>
                </c:pt>
                <c:pt idx="304">
                  <c:v>143</c:v>
                </c:pt>
                <c:pt idx="305">
                  <c:v>134</c:v>
                </c:pt>
                <c:pt idx="306">
                  <c:v>267</c:v>
                </c:pt>
                <c:pt idx="307">
                  <c:v>203</c:v>
                </c:pt>
                <c:pt idx="308">
                  <c:v>30</c:v>
                </c:pt>
                <c:pt idx="309">
                  <c:v>0</c:v>
                </c:pt>
                <c:pt idx="310">
                  <c:v>36</c:v>
                </c:pt>
                <c:pt idx="311">
                  <c:v>0</c:v>
                </c:pt>
                <c:pt idx="312">
                  <c:v>440</c:v>
                </c:pt>
                <c:pt idx="313">
                  <c:v>0</c:v>
                </c:pt>
                <c:pt idx="314">
                  <c:v>50</c:v>
                </c:pt>
                <c:pt idx="315">
                  <c:v>0</c:v>
                </c:pt>
                <c:pt idx="316">
                  <c:v>586</c:v>
                </c:pt>
                <c:pt idx="317">
                  <c:v>591</c:v>
                </c:pt>
                <c:pt idx="318">
                  <c:v>91</c:v>
                </c:pt>
                <c:pt idx="319">
                  <c:v>0</c:v>
                </c:pt>
                <c:pt idx="320">
                  <c:v>29</c:v>
                </c:pt>
                <c:pt idx="321">
                  <c:v>504</c:v>
                </c:pt>
                <c:pt idx="322">
                  <c:v>0</c:v>
                </c:pt>
                <c:pt idx="323">
                  <c:v>168</c:v>
                </c:pt>
                <c:pt idx="324">
                  <c:v>168</c:v>
                </c:pt>
                <c:pt idx="325">
                  <c:v>80</c:v>
                </c:pt>
                <c:pt idx="326">
                  <c:v>0</c:v>
                </c:pt>
                <c:pt idx="327">
                  <c:v>139</c:v>
                </c:pt>
                <c:pt idx="328">
                  <c:v>0</c:v>
                </c:pt>
                <c:pt idx="329">
                  <c:v>231</c:v>
                </c:pt>
                <c:pt idx="330">
                  <c:v>50</c:v>
                </c:pt>
                <c:pt idx="331">
                  <c:v>0</c:v>
                </c:pt>
                <c:pt idx="332">
                  <c:v>50</c:v>
                </c:pt>
                <c:pt idx="333">
                  <c:v>247</c:v>
                </c:pt>
                <c:pt idx="334">
                  <c:v>247</c:v>
                </c:pt>
                <c:pt idx="335">
                  <c:v>0</c:v>
                </c:pt>
                <c:pt idx="336">
                  <c:v>240</c:v>
                </c:pt>
                <c:pt idx="337">
                  <c:v>0</c:v>
                </c:pt>
                <c:pt idx="338">
                  <c:v>189</c:v>
                </c:pt>
                <c:pt idx="339">
                  <c:v>0</c:v>
                </c:pt>
                <c:pt idx="340">
                  <c:v>59</c:v>
                </c:pt>
                <c:pt idx="341">
                  <c:v>0</c:v>
                </c:pt>
                <c:pt idx="342">
                  <c:v>0</c:v>
                </c:pt>
                <c:pt idx="343">
                  <c:v>0</c:v>
                </c:pt>
                <c:pt idx="344">
                  <c:v>1340</c:v>
                </c:pt>
                <c:pt idx="345">
                  <c:v>1340</c:v>
                </c:pt>
                <c:pt idx="346">
                  <c:v>267</c:v>
                </c:pt>
                <c:pt idx="347">
                  <c:v>270</c:v>
                </c:pt>
                <c:pt idx="348">
                  <c:v>50</c:v>
                </c:pt>
                <c:pt idx="349">
                  <c:v>424</c:v>
                </c:pt>
                <c:pt idx="350">
                  <c:v>162</c:v>
                </c:pt>
                <c:pt idx="351">
                  <c:v>0</c:v>
                </c:pt>
                <c:pt idx="352">
                  <c:v>132</c:v>
                </c:pt>
                <c:pt idx="353">
                  <c:v>132</c:v>
                </c:pt>
                <c:pt idx="354">
                  <c:v>520</c:v>
                </c:pt>
                <c:pt idx="355">
                  <c:v>0</c:v>
                </c:pt>
                <c:pt idx="356">
                  <c:v>30</c:v>
                </c:pt>
                <c:pt idx="357">
                  <c:v>0</c:v>
                </c:pt>
                <c:pt idx="358">
                  <c:v>520</c:v>
                </c:pt>
                <c:pt idx="359">
                  <c:v>0</c:v>
                </c:pt>
                <c:pt idx="360">
                  <c:v>264</c:v>
                </c:pt>
                <c:pt idx="361">
                  <c:v>0</c:v>
                </c:pt>
                <c:pt idx="362">
                  <c:v>455</c:v>
                </c:pt>
                <c:pt idx="363">
                  <c:v>0</c:v>
                </c:pt>
                <c:pt idx="364">
                  <c:v>308</c:v>
                </c:pt>
                <c:pt idx="365">
                  <c:v>0</c:v>
                </c:pt>
                <c:pt idx="366">
                  <c:v>126</c:v>
                </c:pt>
                <c:pt idx="367">
                  <c:v>0</c:v>
                </c:pt>
                <c:pt idx="368">
                  <c:v>71</c:v>
                </c:pt>
                <c:pt idx="369">
                  <c:v>0</c:v>
                </c:pt>
                <c:pt idx="370">
                  <c:v>50</c:v>
                </c:pt>
                <c:pt idx="371">
                  <c:v>0</c:v>
                </c:pt>
                <c:pt idx="372">
                  <c:v>101</c:v>
                </c:pt>
                <c:pt idx="373">
                  <c:v>0</c:v>
                </c:pt>
                <c:pt idx="374">
                  <c:v>83</c:v>
                </c:pt>
                <c:pt idx="375">
                  <c:v>85</c:v>
                </c:pt>
                <c:pt idx="376">
                  <c:v>0</c:v>
                </c:pt>
                <c:pt idx="377">
                  <c:v>319</c:v>
                </c:pt>
                <c:pt idx="378">
                  <c:v>344</c:v>
                </c:pt>
                <c:pt idx="379">
                  <c:v>0</c:v>
                </c:pt>
                <c:pt idx="380">
                  <c:v>0</c:v>
                </c:pt>
                <c:pt idx="381">
                  <c:v>0</c:v>
                </c:pt>
                <c:pt idx="382">
                  <c:v>0</c:v>
                </c:pt>
                <c:pt idx="383">
                  <c:v>0</c:v>
                </c:pt>
                <c:pt idx="384">
                  <c:v>0</c:v>
                </c:pt>
                <c:pt idx="385">
                  <c:v>292</c:v>
                </c:pt>
                <c:pt idx="386">
                  <c:v>292</c:v>
                </c:pt>
                <c:pt idx="387">
                  <c:v>77</c:v>
                </c:pt>
                <c:pt idx="388">
                  <c:v>0</c:v>
                </c:pt>
                <c:pt idx="389">
                  <c:v>221</c:v>
                </c:pt>
                <c:pt idx="390">
                  <c:v>221</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Dashboard'!$L$5:$M$601</c:f>
              <c:multiLvlStrCache>
                <c:ptCount val="391"/>
                <c:lvl>
                  <c:pt idx="0">
                    <c:v>2022_Q1</c:v>
                  </c:pt>
                  <c:pt idx="1">
                    <c:v>2022_Q1</c:v>
                  </c:pt>
                  <c:pt idx="2">
                    <c:v>2022_Q2</c:v>
                  </c:pt>
                  <c:pt idx="3">
                    <c:v>2022_Q1</c:v>
                  </c:pt>
                  <c:pt idx="4">
                    <c:v>2022_Q2</c:v>
                  </c:pt>
                  <c:pt idx="5">
                    <c:v>2022_Q1</c:v>
                  </c:pt>
                  <c:pt idx="6">
                    <c:v>2022_Q2</c:v>
                  </c:pt>
                  <c:pt idx="7">
                    <c:v>2022_Q1</c:v>
                  </c:pt>
                  <c:pt idx="8">
                    <c:v>2022_Q2</c:v>
                  </c:pt>
                  <c:pt idx="9">
                    <c:v>2022_Q1</c:v>
                  </c:pt>
                  <c:pt idx="10">
                    <c:v>2022_Q2</c:v>
                  </c:pt>
                  <c:pt idx="11">
                    <c:v>2022_Q1</c:v>
                  </c:pt>
                  <c:pt idx="12">
                    <c:v>2022_Q2</c:v>
                  </c:pt>
                  <c:pt idx="13">
                    <c:v>2022_Q1</c:v>
                  </c:pt>
                  <c:pt idx="14">
                    <c:v>2022_Q2</c:v>
                  </c:pt>
                  <c:pt idx="15">
                    <c:v>2022_Q1</c:v>
                  </c:pt>
                  <c:pt idx="16">
                    <c:v>2022_Q2</c:v>
                  </c:pt>
                  <c:pt idx="17">
                    <c:v>2022_Q1</c:v>
                  </c:pt>
                  <c:pt idx="18">
                    <c:v>2022_Q2</c:v>
                  </c:pt>
                  <c:pt idx="19">
                    <c:v>2022_Q1</c:v>
                  </c:pt>
                  <c:pt idx="20">
                    <c:v>2022_Q2</c:v>
                  </c:pt>
                  <c:pt idx="21">
                    <c:v>2022_Q1</c:v>
                  </c:pt>
                  <c:pt idx="22">
                    <c:v>2022_Q2</c:v>
                  </c:pt>
                  <c:pt idx="23">
                    <c:v>2022_Q1</c:v>
                  </c:pt>
                  <c:pt idx="24">
                    <c:v>2022_Q2</c:v>
                  </c:pt>
                  <c:pt idx="25">
                    <c:v>2022_Q1</c:v>
                  </c:pt>
                  <c:pt idx="26">
                    <c:v>2022_Q2</c:v>
                  </c:pt>
                  <c:pt idx="27">
                    <c:v>2022_Q1</c:v>
                  </c:pt>
                  <c:pt idx="28">
                    <c:v>2022_Q2</c:v>
                  </c:pt>
                  <c:pt idx="29">
                    <c:v>2022_Q1</c:v>
                  </c:pt>
                  <c:pt idx="30">
                    <c:v>2022_Q2</c:v>
                  </c:pt>
                  <c:pt idx="31">
                    <c:v>2022_Q1</c:v>
                  </c:pt>
                  <c:pt idx="32">
                    <c:v>2022_Q2</c:v>
                  </c:pt>
                  <c:pt idx="33">
                    <c:v>2022_Q1</c:v>
                  </c:pt>
                  <c:pt idx="34">
                    <c:v>2022_Q2</c:v>
                  </c:pt>
                  <c:pt idx="35">
                    <c:v>2022_Q1</c:v>
                  </c:pt>
                  <c:pt idx="36">
                    <c:v>2022_Q2</c:v>
                  </c:pt>
                  <c:pt idx="37">
                    <c:v>2022_Q1</c:v>
                  </c:pt>
                  <c:pt idx="38">
                    <c:v>2022_Q2</c:v>
                  </c:pt>
                  <c:pt idx="39">
                    <c:v>2022_Q1</c:v>
                  </c:pt>
                  <c:pt idx="40">
                    <c:v>2022_Q2</c:v>
                  </c:pt>
                  <c:pt idx="41">
                    <c:v>2022_Q1</c:v>
                  </c:pt>
                  <c:pt idx="42">
                    <c:v>2022_Q2</c:v>
                  </c:pt>
                  <c:pt idx="43">
                    <c:v>2022_Q1</c:v>
                  </c:pt>
                  <c:pt idx="44">
                    <c:v>2022_Q2</c:v>
                  </c:pt>
                  <c:pt idx="45">
                    <c:v>2022_Q1</c:v>
                  </c:pt>
                  <c:pt idx="46">
                    <c:v>2022_Q2</c:v>
                  </c:pt>
                  <c:pt idx="47">
                    <c:v>2022_Q1</c:v>
                  </c:pt>
                  <c:pt idx="48">
                    <c:v>2022_Q2</c:v>
                  </c:pt>
                  <c:pt idx="49">
                    <c:v>2022_Q1</c:v>
                  </c:pt>
                  <c:pt idx="50">
                    <c:v>2022_Q2</c:v>
                  </c:pt>
                  <c:pt idx="51">
                    <c:v>2022_Q1</c:v>
                  </c:pt>
                  <c:pt idx="52">
                    <c:v>2022_Q2</c:v>
                  </c:pt>
                  <c:pt idx="53">
                    <c:v>2022_Q1</c:v>
                  </c:pt>
                  <c:pt idx="54">
                    <c:v>2022_Q2</c:v>
                  </c:pt>
                  <c:pt idx="55">
                    <c:v>2022_Q1</c:v>
                  </c:pt>
                  <c:pt idx="56">
                    <c:v>2022_Q2</c:v>
                  </c:pt>
                  <c:pt idx="57">
                    <c:v>2022_Q1</c:v>
                  </c:pt>
                  <c:pt idx="58">
                    <c:v>2022_Q2</c:v>
                  </c:pt>
                  <c:pt idx="59">
                    <c:v>2022_Q1</c:v>
                  </c:pt>
                  <c:pt idx="60">
                    <c:v>2022_Q2</c:v>
                  </c:pt>
                  <c:pt idx="61">
                    <c:v>2022_Q1</c:v>
                  </c:pt>
                  <c:pt idx="62">
                    <c:v>2022_Q2</c:v>
                  </c:pt>
                  <c:pt idx="63">
                    <c:v>2022_Q1</c:v>
                  </c:pt>
                  <c:pt idx="64">
                    <c:v>2022_Q2</c:v>
                  </c:pt>
                  <c:pt idx="65">
                    <c:v>2022_Q1</c:v>
                  </c:pt>
                  <c:pt idx="66">
                    <c:v>2022_Q2</c:v>
                  </c:pt>
                  <c:pt idx="67">
                    <c:v>2022_Q1</c:v>
                  </c:pt>
                  <c:pt idx="68">
                    <c:v>2022_Q2</c:v>
                  </c:pt>
                  <c:pt idx="69">
                    <c:v>2022_Q1</c:v>
                  </c:pt>
                  <c:pt idx="70">
                    <c:v>2022_Q2</c:v>
                  </c:pt>
                  <c:pt idx="71">
                    <c:v>2022_Q1</c:v>
                  </c:pt>
                  <c:pt idx="72">
                    <c:v>2022_Q2</c:v>
                  </c:pt>
                  <c:pt idx="73">
                    <c:v>2022_Q1</c:v>
                  </c:pt>
                  <c:pt idx="74">
                    <c:v>2022_Q2</c:v>
                  </c:pt>
                  <c:pt idx="75">
                    <c:v>2022_Q1</c:v>
                  </c:pt>
                  <c:pt idx="76">
                    <c:v>2022_Q2</c:v>
                  </c:pt>
                  <c:pt idx="77">
                    <c:v>2022_Q1</c:v>
                  </c:pt>
                  <c:pt idx="78">
                    <c:v>2022_Q2</c:v>
                  </c:pt>
                  <c:pt idx="79">
                    <c:v>2022_Q1</c:v>
                  </c:pt>
                  <c:pt idx="80">
                    <c:v>2022_Q2</c:v>
                  </c:pt>
                  <c:pt idx="81">
                    <c:v>2022_Q1</c:v>
                  </c:pt>
                  <c:pt idx="82">
                    <c:v>2022_Q1</c:v>
                  </c:pt>
                  <c:pt idx="83">
                    <c:v>2022_Q2</c:v>
                  </c:pt>
                  <c:pt idx="84">
                    <c:v>2022_Q1</c:v>
                  </c:pt>
                  <c:pt idx="85">
                    <c:v>2022_Q2</c:v>
                  </c:pt>
                  <c:pt idx="86">
                    <c:v>2022_Q1</c:v>
                  </c:pt>
                  <c:pt idx="87">
                    <c:v>2022_Q2</c:v>
                  </c:pt>
                  <c:pt idx="88">
                    <c:v>2022_Q1</c:v>
                  </c:pt>
                  <c:pt idx="89">
                    <c:v>2022_Q2</c:v>
                  </c:pt>
                  <c:pt idx="90">
                    <c:v>2022_Q1</c:v>
                  </c:pt>
                  <c:pt idx="91">
                    <c:v>2022_Q2</c:v>
                  </c:pt>
                  <c:pt idx="92">
                    <c:v>2022_Q1</c:v>
                  </c:pt>
                  <c:pt idx="93">
                    <c:v>2022_Q2</c:v>
                  </c:pt>
                  <c:pt idx="94">
                    <c:v>2022_Q1</c:v>
                  </c:pt>
                  <c:pt idx="95">
                    <c:v>2022_Q2</c:v>
                  </c:pt>
                  <c:pt idx="96">
                    <c:v>2022_Q1</c:v>
                  </c:pt>
                  <c:pt idx="97">
                    <c:v>2022_Q2</c:v>
                  </c:pt>
                  <c:pt idx="98">
                    <c:v>2022_Q1</c:v>
                  </c:pt>
                  <c:pt idx="99">
                    <c:v>2022_Q2</c:v>
                  </c:pt>
                  <c:pt idx="100">
                    <c:v>2022_Q1</c:v>
                  </c:pt>
                  <c:pt idx="101">
                    <c:v>2022_Q2</c:v>
                  </c:pt>
                  <c:pt idx="102">
                    <c:v>2022_Q1</c:v>
                  </c:pt>
                  <c:pt idx="103">
                    <c:v>2022_Q2</c:v>
                  </c:pt>
                  <c:pt idx="104">
                    <c:v>2022_Q1</c:v>
                  </c:pt>
                  <c:pt idx="105">
                    <c:v>2022_Q2</c:v>
                  </c:pt>
                  <c:pt idx="106">
                    <c:v>2022_Q1</c:v>
                  </c:pt>
                  <c:pt idx="107">
                    <c:v>2022_Q1</c:v>
                  </c:pt>
                  <c:pt idx="108">
                    <c:v>2022_Q2</c:v>
                  </c:pt>
                  <c:pt idx="109">
                    <c:v>2022_Q1</c:v>
                  </c:pt>
                  <c:pt idx="110">
                    <c:v>2022_Q2</c:v>
                  </c:pt>
                  <c:pt idx="111">
                    <c:v>2022_Q1</c:v>
                  </c:pt>
                  <c:pt idx="112">
                    <c:v>2022_Q2</c:v>
                  </c:pt>
                  <c:pt idx="113">
                    <c:v>2022_Q1</c:v>
                  </c:pt>
                  <c:pt idx="114">
                    <c:v>2022_Q2</c:v>
                  </c:pt>
                  <c:pt idx="115">
                    <c:v>2022_Q1</c:v>
                  </c:pt>
                  <c:pt idx="116">
                    <c:v>2022_Q2</c:v>
                  </c:pt>
                  <c:pt idx="117">
                    <c:v>2022_Q1</c:v>
                  </c:pt>
                  <c:pt idx="118">
                    <c:v>2022_Q2</c:v>
                  </c:pt>
                  <c:pt idx="119">
                    <c:v>2022_Q1</c:v>
                  </c:pt>
                  <c:pt idx="120">
                    <c:v>2022_Q2</c:v>
                  </c:pt>
                  <c:pt idx="121">
                    <c:v>2022_Q1</c:v>
                  </c:pt>
                  <c:pt idx="122">
                    <c:v>2022_Q2</c:v>
                  </c:pt>
                  <c:pt idx="123">
                    <c:v>2022_Q1</c:v>
                  </c:pt>
                  <c:pt idx="124">
                    <c:v>2022_Q2</c:v>
                  </c:pt>
                  <c:pt idx="125">
                    <c:v>2022_Q1</c:v>
                  </c:pt>
                  <c:pt idx="126">
                    <c:v>2022_Q2</c:v>
                  </c:pt>
                  <c:pt idx="127">
                    <c:v>2022_Q1</c:v>
                  </c:pt>
                  <c:pt idx="128">
                    <c:v>2022_Q2</c:v>
                  </c:pt>
                  <c:pt idx="129">
                    <c:v>2022_Q1</c:v>
                  </c:pt>
                  <c:pt idx="130">
                    <c:v>2022_Q2</c:v>
                  </c:pt>
                  <c:pt idx="131">
                    <c:v>2022_Q1</c:v>
                  </c:pt>
                  <c:pt idx="132">
                    <c:v>2022_Q2</c:v>
                  </c:pt>
                  <c:pt idx="133">
                    <c:v>2022_Q1</c:v>
                  </c:pt>
                  <c:pt idx="134">
                    <c:v>2022_Q2</c:v>
                  </c:pt>
                  <c:pt idx="135">
                    <c:v>2022_Q1</c:v>
                  </c:pt>
                  <c:pt idx="136">
                    <c:v>2022_Q2</c:v>
                  </c:pt>
                  <c:pt idx="137">
                    <c:v>2022_Q1</c:v>
                  </c:pt>
                  <c:pt idx="138">
                    <c:v>2022_Q2</c:v>
                  </c:pt>
                  <c:pt idx="139">
                    <c:v>2022_Q1</c:v>
                  </c:pt>
                  <c:pt idx="140">
                    <c:v>2022_Q2</c:v>
                  </c:pt>
                  <c:pt idx="141">
                    <c:v>2022_Q1</c:v>
                  </c:pt>
                  <c:pt idx="142">
                    <c:v>2022_Q2</c:v>
                  </c:pt>
                  <c:pt idx="143">
                    <c:v>2022_Q1</c:v>
                  </c:pt>
                  <c:pt idx="144">
                    <c:v>2022_Q2</c:v>
                  </c:pt>
                  <c:pt idx="145">
                    <c:v>2022_Q1</c:v>
                  </c:pt>
                  <c:pt idx="146">
                    <c:v>2022_Q2</c:v>
                  </c:pt>
                  <c:pt idx="147">
                    <c:v>2022_Q1</c:v>
                  </c:pt>
                  <c:pt idx="148">
                    <c:v>2022_Q2</c:v>
                  </c:pt>
                  <c:pt idx="149">
                    <c:v>2022_Q1</c:v>
                  </c:pt>
                  <c:pt idx="150">
                    <c:v>2022_Q2</c:v>
                  </c:pt>
                  <c:pt idx="151">
                    <c:v>2022_Q1</c:v>
                  </c:pt>
                  <c:pt idx="152">
                    <c:v>2022_Q2</c:v>
                  </c:pt>
                  <c:pt idx="153">
                    <c:v>2022_Q1</c:v>
                  </c:pt>
                  <c:pt idx="154">
                    <c:v>2022_Q2</c:v>
                  </c:pt>
                  <c:pt idx="155">
                    <c:v>2022_Q1</c:v>
                  </c:pt>
                  <c:pt idx="156">
                    <c:v>2022_Q2</c:v>
                  </c:pt>
                  <c:pt idx="157">
                    <c:v>2022_Q1</c:v>
                  </c:pt>
                  <c:pt idx="158">
                    <c:v>2022_Q2</c:v>
                  </c:pt>
                  <c:pt idx="159">
                    <c:v>2022_Q1</c:v>
                  </c:pt>
                  <c:pt idx="160">
                    <c:v>2022_Q2</c:v>
                  </c:pt>
                  <c:pt idx="161">
                    <c:v>2022_Q1</c:v>
                  </c:pt>
                  <c:pt idx="162">
                    <c:v>2022_Q2</c:v>
                  </c:pt>
                  <c:pt idx="163">
                    <c:v>2022_Q1</c:v>
                  </c:pt>
                  <c:pt idx="164">
                    <c:v>2022_Q2</c:v>
                  </c:pt>
                  <c:pt idx="165">
                    <c:v>2022_Q1</c:v>
                  </c:pt>
                  <c:pt idx="166">
                    <c:v>2022_Q2</c:v>
                  </c:pt>
                  <c:pt idx="167">
                    <c:v>2022_Q1</c:v>
                  </c:pt>
                  <c:pt idx="168">
                    <c:v>2022_Q2</c:v>
                  </c:pt>
                  <c:pt idx="169">
                    <c:v>2022_Q1</c:v>
                  </c:pt>
                  <c:pt idx="170">
                    <c:v>2022_Q2</c:v>
                  </c:pt>
                  <c:pt idx="171">
                    <c:v>2022_Q1</c:v>
                  </c:pt>
                  <c:pt idx="172">
                    <c:v>2022_Q2</c:v>
                  </c:pt>
                  <c:pt idx="173">
                    <c:v>2022_Q1</c:v>
                  </c:pt>
                  <c:pt idx="174">
                    <c:v>2022_Q2</c:v>
                  </c:pt>
                  <c:pt idx="175">
                    <c:v>2022_Q1</c:v>
                  </c:pt>
                  <c:pt idx="176">
                    <c:v>2022_Q2</c:v>
                  </c:pt>
                  <c:pt idx="177">
                    <c:v>2022_Q1</c:v>
                  </c:pt>
                  <c:pt idx="178">
                    <c:v>2022_Q2</c:v>
                  </c:pt>
                  <c:pt idx="179">
                    <c:v>2022_Q1</c:v>
                  </c:pt>
                  <c:pt idx="180">
                    <c:v>2022_Q2</c:v>
                  </c:pt>
                  <c:pt idx="181">
                    <c:v>2022_Q1</c:v>
                  </c:pt>
                  <c:pt idx="182">
                    <c:v>2022_Q2</c:v>
                  </c:pt>
                  <c:pt idx="183">
                    <c:v>2022_Q1</c:v>
                  </c:pt>
                  <c:pt idx="184">
                    <c:v>2022_Q2</c:v>
                  </c:pt>
                  <c:pt idx="185">
                    <c:v>2022_Q1</c:v>
                  </c:pt>
                  <c:pt idx="186">
                    <c:v>2022_Q2</c:v>
                  </c:pt>
                  <c:pt idx="187">
                    <c:v>2022_Q1</c:v>
                  </c:pt>
                  <c:pt idx="188">
                    <c:v>2022_Q2</c:v>
                  </c:pt>
                  <c:pt idx="189">
                    <c:v>2022_Q1</c:v>
                  </c:pt>
                  <c:pt idx="190">
                    <c:v>2022_Q2</c:v>
                  </c:pt>
                  <c:pt idx="191">
                    <c:v>2022_Q1</c:v>
                  </c:pt>
                  <c:pt idx="192">
                    <c:v>2022_Q2</c:v>
                  </c:pt>
                  <c:pt idx="193">
                    <c:v>2022_Q1</c:v>
                  </c:pt>
                  <c:pt idx="194">
                    <c:v>2022_Q2</c:v>
                  </c:pt>
                  <c:pt idx="195">
                    <c:v>2022_Q1</c:v>
                  </c:pt>
                  <c:pt idx="196">
                    <c:v>2022_Q2</c:v>
                  </c:pt>
                  <c:pt idx="197">
                    <c:v>2022_Q1</c:v>
                  </c:pt>
                  <c:pt idx="198">
                    <c:v>2022_Q2</c:v>
                  </c:pt>
                  <c:pt idx="199">
                    <c:v>2022_Q1</c:v>
                  </c:pt>
                  <c:pt idx="200">
                    <c:v>2022_Q2</c:v>
                  </c:pt>
                  <c:pt idx="201">
                    <c:v>2022_Q1</c:v>
                  </c:pt>
                  <c:pt idx="202">
                    <c:v>2022_Q2</c:v>
                  </c:pt>
                  <c:pt idx="203">
                    <c:v>2022_Q1</c:v>
                  </c:pt>
                  <c:pt idx="204">
                    <c:v>2022_Q2</c:v>
                  </c:pt>
                  <c:pt idx="205">
                    <c:v>2022_Q1</c:v>
                  </c:pt>
                  <c:pt idx="206">
                    <c:v>2022_Q2</c:v>
                  </c:pt>
                  <c:pt idx="207">
                    <c:v>2022_Q1</c:v>
                  </c:pt>
                  <c:pt idx="208">
                    <c:v>2022_Q2</c:v>
                  </c:pt>
                  <c:pt idx="209">
                    <c:v>2022_Q1</c:v>
                  </c:pt>
                  <c:pt idx="210">
                    <c:v>2022_Q2</c:v>
                  </c:pt>
                  <c:pt idx="211">
                    <c:v>2022_Q1</c:v>
                  </c:pt>
                  <c:pt idx="212">
                    <c:v>2022_Q2</c:v>
                  </c:pt>
                  <c:pt idx="213">
                    <c:v>2022_Q1</c:v>
                  </c:pt>
                  <c:pt idx="214">
                    <c:v>2022_Q2</c:v>
                  </c:pt>
                  <c:pt idx="215">
                    <c:v>2022_Q1</c:v>
                  </c:pt>
                  <c:pt idx="216">
                    <c:v>2022_Q2</c:v>
                  </c:pt>
                  <c:pt idx="217">
                    <c:v>2022_Q1</c:v>
                  </c:pt>
                  <c:pt idx="218">
                    <c:v>2022_Q2</c:v>
                  </c:pt>
                  <c:pt idx="219">
                    <c:v>2022_Q1</c:v>
                  </c:pt>
                  <c:pt idx="220">
                    <c:v>2022_Q1</c:v>
                  </c:pt>
                  <c:pt idx="221">
                    <c:v>2022_Q2</c:v>
                  </c:pt>
                  <c:pt idx="222">
                    <c:v>2022_Q1</c:v>
                  </c:pt>
                  <c:pt idx="223">
                    <c:v>2022_Q2</c:v>
                  </c:pt>
                  <c:pt idx="224">
                    <c:v>2022_Q1</c:v>
                  </c:pt>
                  <c:pt idx="225">
                    <c:v>2022_Q2</c:v>
                  </c:pt>
                  <c:pt idx="226">
                    <c:v>2022_Q1</c:v>
                  </c:pt>
                  <c:pt idx="227">
                    <c:v>2022_Q2</c:v>
                  </c:pt>
                  <c:pt idx="228">
                    <c:v>2022_Q1</c:v>
                  </c:pt>
                  <c:pt idx="229">
                    <c:v>2022_Q2</c:v>
                  </c:pt>
                  <c:pt idx="230">
                    <c:v>2022_Q1</c:v>
                  </c:pt>
                  <c:pt idx="231">
                    <c:v>2022_Q2</c:v>
                  </c:pt>
                  <c:pt idx="232">
                    <c:v>2022_Q1</c:v>
                  </c:pt>
                  <c:pt idx="233">
                    <c:v>2022_Q2</c:v>
                  </c:pt>
                  <c:pt idx="234">
                    <c:v>2022_Q1</c:v>
                  </c:pt>
                  <c:pt idx="235">
                    <c:v>2022_Q2</c:v>
                  </c:pt>
                  <c:pt idx="236">
                    <c:v>2022_Q1</c:v>
                  </c:pt>
                  <c:pt idx="237">
                    <c:v>2022_Q2</c:v>
                  </c:pt>
                  <c:pt idx="238">
                    <c:v>2022_Q1</c:v>
                  </c:pt>
                  <c:pt idx="239">
                    <c:v>2022_Q2</c:v>
                  </c:pt>
                  <c:pt idx="240">
                    <c:v>2022_Q1</c:v>
                  </c:pt>
                  <c:pt idx="241">
                    <c:v>2022_Q2</c:v>
                  </c:pt>
                  <c:pt idx="242">
                    <c:v>2022_Q1</c:v>
                  </c:pt>
                  <c:pt idx="243">
                    <c:v>2022_Q2</c:v>
                  </c:pt>
                  <c:pt idx="244">
                    <c:v>2022_Q1</c:v>
                  </c:pt>
                  <c:pt idx="245">
                    <c:v>2022_Q2</c:v>
                  </c:pt>
                  <c:pt idx="246">
                    <c:v>2022_Q1</c:v>
                  </c:pt>
                  <c:pt idx="247">
                    <c:v>2022_Q2</c:v>
                  </c:pt>
                  <c:pt idx="248">
                    <c:v>2022_Q1</c:v>
                  </c:pt>
                  <c:pt idx="249">
                    <c:v>2022_Q2</c:v>
                  </c:pt>
                  <c:pt idx="250">
                    <c:v>2022_Q1</c:v>
                  </c:pt>
                  <c:pt idx="251">
                    <c:v>2022_Q2</c:v>
                  </c:pt>
                  <c:pt idx="252">
                    <c:v>2022_Q1</c:v>
                  </c:pt>
                  <c:pt idx="253">
                    <c:v>2022_Q2</c:v>
                  </c:pt>
                  <c:pt idx="254">
                    <c:v>2022_Q1</c:v>
                  </c:pt>
                  <c:pt idx="255">
                    <c:v>2022_Q2</c:v>
                  </c:pt>
                  <c:pt idx="256">
                    <c:v>2022_Q1</c:v>
                  </c:pt>
                  <c:pt idx="257">
                    <c:v>2022_Q2</c:v>
                  </c:pt>
                  <c:pt idx="258">
                    <c:v>2022_Q1</c:v>
                  </c:pt>
                  <c:pt idx="259">
                    <c:v>2022_Q2</c:v>
                  </c:pt>
                  <c:pt idx="260">
                    <c:v>2022_Q1</c:v>
                  </c:pt>
                  <c:pt idx="261">
                    <c:v>2022_Q2</c:v>
                  </c:pt>
                  <c:pt idx="262">
                    <c:v>2022_Q1</c:v>
                  </c:pt>
                  <c:pt idx="263">
                    <c:v>2022_Q2</c:v>
                  </c:pt>
                  <c:pt idx="264">
                    <c:v>2022_Q1</c:v>
                  </c:pt>
                  <c:pt idx="265">
                    <c:v>2022_Q2</c:v>
                  </c:pt>
                  <c:pt idx="266">
                    <c:v>2022_Q1</c:v>
                  </c:pt>
                  <c:pt idx="267">
                    <c:v>2022_Q2</c:v>
                  </c:pt>
                  <c:pt idx="268">
                    <c:v>2022_Q1</c:v>
                  </c:pt>
                  <c:pt idx="269">
                    <c:v>2022_Q2</c:v>
                  </c:pt>
                  <c:pt idx="270">
                    <c:v>2022_Q1</c:v>
                  </c:pt>
                  <c:pt idx="271">
                    <c:v>2022_Q2</c:v>
                  </c:pt>
                  <c:pt idx="272">
                    <c:v>2022_Q1</c:v>
                  </c:pt>
                  <c:pt idx="273">
                    <c:v>2022_Q2</c:v>
                  </c:pt>
                  <c:pt idx="274">
                    <c:v>2022_Q1</c:v>
                  </c:pt>
                  <c:pt idx="275">
                    <c:v>2022_Q2</c:v>
                  </c:pt>
                  <c:pt idx="276">
                    <c:v>2022_Q1</c:v>
                  </c:pt>
                  <c:pt idx="277">
                    <c:v>2022_Q2</c:v>
                  </c:pt>
                  <c:pt idx="278">
                    <c:v>2022_Q1</c:v>
                  </c:pt>
                  <c:pt idx="279">
                    <c:v>2022_Q2</c:v>
                  </c:pt>
                  <c:pt idx="280">
                    <c:v>2022_Q1</c:v>
                  </c:pt>
                  <c:pt idx="281">
                    <c:v>2022_Q2</c:v>
                  </c:pt>
                  <c:pt idx="282">
                    <c:v>2022_Q1</c:v>
                  </c:pt>
                  <c:pt idx="283">
                    <c:v>2022_Q2</c:v>
                  </c:pt>
                  <c:pt idx="284">
                    <c:v>2022_Q1</c:v>
                  </c:pt>
                  <c:pt idx="285">
                    <c:v>2022_Q2</c:v>
                  </c:pt>
                  <c:pt idx="286">
                    <c:v>2022_Q1</c:v>
                  </c:pt>
                  <c:pt idx="287">
                    <c:v>2022_Q2</c:v>
                  </c:pt>
                  <c:pt idx="288">
                    <c:v>2022_Q1</c:v>
                  </c:pt>
                  <c:pt idx="289">
                    <c:v>2022_Q2</c:v>
                  </c:pt>
                  <c:pt idx="290">
                    <c:v>2022_Q1</c:v>
                  </c:pt>
                  <c:pt idx="291">
                    <c:v>2022_Q2</c:v>
                  </c:pt>
                  <c:pt idx="292">
                    <c:v>2022_Q1</c:v>
                  </c:pt>
                  <c:pt idx="293">
                    <c:v>2022_Q2</c:v>
                  </c:pt>
                  <c:pt idx="294">
                    <c:v>2022_Q1</c:v>
                  </c:pt>
                  <c:pt idx="295">
                    <c:v>2022_Q2</c:v>
                  </c:pt>
                  <c:pt idx="296">
                    <c:v>2022_Q1</c:v>
                  </c:pt>
                  <c:pt idx="297">
                    <c:v>2022_Q2</c:v>
                  </c:pt>
                  <c:pt idx="298">
                    <c:v>2022_Q1</c:v>
                  </c:pt>
                  <c:pt idx="299">
                    <c:v>2022_Q2</c:v>
                  </c:pt>
                  <c:pt idx="300">
                    <c:v>2022_Q2</c:v>
                  </c:pt>
                  <c:pt idx="301">
                    <c:v>2022_Q1</c:v>
                  </c:pt>
                  <c:pt idx="302">
                    <c:v>2022_Q1</c:v>
                  </c:pt>
                  <c:pt idx="303">
                    <c:v>2022_Q2</c:v>
                  </c:pt>
                  <c:pt idx="304">
                    <c:v>2022_Q1</c:v>
                  </c:pt>
                  <c:pt idx="305">
                    <c:v>2022_Q2</c:v>
                  </c:pt>
                  <c:pt idx="306">
                    <c:v>2022_Q1</c:v>
                  </c:pt>
                  <c:pt idx="307">
                    <c:v>2022_Q2</c:v>
                  </c:pt>
                  <c:pt idx="308">
                    <c:v>2022_Q1</c:v>
                  </c:pt>
                  <c:pt idx="309">
                    <c:v>2022_Q2</c:v>
                  </c:pt>
                  <c:pt idx="310">
                    <c:v>2022_Q1</c:v>
                  </c:pt>
                  <c:pt idx="311">
                    <c:v>2022_Q2</c:v>
                  </c:pt>
                  <c:pt idx="312">
                    <c:v>2022_Q1</c:v>
                  </c:pt>
                  <c:pt idx="313">
                    <c:v>2022_Q2</c:v>
                  </c:pt>
                  <c:pt idx="314">
                    <c:v>2022_Q1</c:v>
                  </c:pt>
                  <c:pt idx="315">
                    <c:v>2022_Q2</c:v>
                  </c:pt>
                  <c:pt idx="316">
                    <c:v>2022_Q1</c:v>
                  </c:pt>
                  <c:pt idx="317">
                    <c:v>2022_Q2</c:v>
                  </c:pt>
                  <c:pt idx="318">
                    <c:v>2022_Q1</c:v>
                  </c:pt>
                  <c:pt idx="319">
                    <c:v>2022_Q2</c:v>
                  </c:pt>
                  <c:pt idx="320">
                    <c:v>2022_Q1</c:v>
                  </c:pt>
                  <c:pt idx="321">
                    <c:v>2022_Q1</c:v>
                  </c:pt>
                  <c:pt idx="322">
                    <c:v>2022_Q2</c:v>
                  </c:pt>
                  <c:pt idx="323">
                    <c:v>2022_Q1</c:v>
                  </c:pt>
                  <c:pt idx="324">
                    <c:v>2022_Q2</c:v>
                  </c:pt>
                  <c:pt idx="325">
                    <c:v>2022_Q1</c:v>
                  </c:pt>
                  <c:pt idx="326">
                    <c:v>2022_Q2</c:v>
                  </c:pt>
                  <c:pt idx="327">
                    <c:v>2022_Q1</c:v>
                  </c:pt>
                  <c:pt idx="328">
                    <c:v>2022_Q2</c:v>
                  </c:pt>
                  <c:pt idx="329">
                    <c:v>2022_Q1</c:v>
                  </c:pt>
                  <c:pt idx="330">
                    <c:v>2022_Q1</c:v>
                  </c:pt>
                  <c:pt idx="331">
                    <c:v>2022_Q2</c:v>
                  </c:pt>
                  <c:pt idx="332">
                    <c:v>2022_Q1</c:v>
                  </c:pt>
                  <c:pt idx="333">
                    <c:v>2022_Q1</c:v>
                  </c:pt>
                  <c:pt idx="334">
                    <c:v>2022_Q1</c:v>
                  </c:pt>
                  <c:pt idx="335">
                    <c:v>2022_Q2</c:v>
                  </c:pt>
                  <c:pt idx="336">
                    <c:v>2022_Q1</c:v>
                  </c:pt>
                  <c:pt idx="337">
                    <c:v>2022_Q2</c:v>
                  </c:pt>
                  <c:pt idx="338">
                    <c:v>2022_Q1</c:v>
                  </c:pt>
                  <c:pt idx="339">
                    <c:v>2022_Q2</c:v>
                  </c:pt>
                  <c:pt idx="340">
                    <c:v>2022_Q1</c:v>
                  </c:pt>
                  <c:pt idx="341">
                    <c:v>2022_Q2</c:v>
                  </c:pt>
                  <c:pt idx="342">
                    <c:v>2022_Q2</c:v>
                  </c:pt>
                  <c:pt idx="343">
                    <c:v>2022_Q2</c:v>
                  </c:pt>
                  <c:pt idx="344">
                    <c:v>2022_Q1</c:v>
                  </c:pt>
                  <c:pt idx="345">
                    <c:v>2022_Q2</c:v>
                  </c:pt>
                  <c:pt idx="346">
                    <c:v>2022_Q1</c:v>
                  </c:pt>
                  <c:pt idx="347">
                    <c:v>2022_Q2</c:v>
                  </c:pt>
                  <c:pt idx="348">
                    <c:v>2022_Q1</c:v>
                  </c:pt>
                  <c:pt idx="349">
                    <c:v>2022_Q2</c:v>
                  </c:pt>
                  <c:pt idx="350">
                    <c:v>2022_Q1</c:v>
                  </c:pt>
                  <c:pt idx="351">
                    <c:v>2022_Q2</c:v>
                  </c:pt>
                  <c:pt idx="352">
                    <c:v>2022_Q1</c:v>
                  </c:pt>
                  <c:pt idx="353">
                    <c:v>2022_Q2</c:v>
                  </c:pt>
                  <c:pt idx="354">
                    <c:v>2022_Q1</c:v>
                  </c:pt>
                  <c:pt idx="355">
                    <c:v>2022_Q2</c:v>
                  </c:pt>
                  <c:pt idx="356">
                    <c:v>2022_Q1</c:v>
                  </c:pt>
                  <c:pt idx="357">
                    <c:v>2022_Q2</c:v>
                  </c:pt>
                  <c:pt idx="358">
                    <c:v>2022_Q1</c:v>
                  </c:pt>
                  <c:pt idx="359">
                    <c:v>2022_Q2</c:v>
                  </c:pt>
                  <c:pt idx="360">
                    <c:v>2022_Q1</c:v>
                  </c:pt>
                  <c:pt idx="361">
                    <c:v>2022_Q2</c:v>
                  </c:pt>
                  <c:pt idx="362">
                    <c:v>2022_Q1</c:v>
                  </c:pt>
                  <c:pt idx="363">
                    <c:v>2022_Q2</c:v>
                  </c:pt>
                  <c:pt idx="364">
                    <c:v>2022_Q1</c:v>
                  </c:pt>
                  <c:pt idx="365">
                    <c:v>2022_Q2</c:v>
                  </c:pt>
                  <c:pt idx="366">
                    <c:v>2022_Q1</c:v>
                  </c:pt>
                  <c:pt idx="367">
                    <c:v>2022_Q2</c:v>
                  </c:pt>
                  <c:pt idx="368">
                    <c:v>2022_Q1</c:v>
                  </c:pt>
                  <c:pt idx="369">
                    <c:v>2022_Q2</c:v>
                  </c:pt>
                  <c:pt idx="370">
                    <c:v>2022_Q1</c:v>
                  </c:pt>
                  <c:pt idx="371">
                    <c:v>2022_Q2</c:v>
                  </c:pt>
                  <c:pt idx="372">
                    <c:v>2022_Q1</c:v>
                  </c:pt>
                  <c:pt idx="373">
                    <c:v>2022_Q2</c:v>
                  </c:pt>
                  <c:pt idx="374">
                    <c:v>2022_Q1</c:v>
                  </c:pt>
                  <c:pt idx="375">
                    <c:v>2022_Q2</c:v>
                  </c:pt>
                  <c:pt idx="376">
                    <c:v>2022_Q1</c:v>
                  </c:pt>
                  <c:pt idx="377">
                    <c:v>2022_Q1</c:v>
                  </c:pt>
                  <c:pt idx="378">
                    <c:v>2022_Q2</c:v>
                  </c:pt>
                  <c:pt idx="379">
                    <c:v>2022_Q2</c:v>
                  </c:pt>
                  <c:pt idx="380">
                    <c:v>2022_Q2</c:v>
                  </c:pt>
                  <c:pt idx="381">
                    <c:v>2022_Q2</c:v>
                  </c:pt>
                  <c:pt idx="382">
                    <c:v>2022_Q2</c:v>
                  </c:pt>
                  <c:pt idx="383">
                    <c:v>2022_Q2</c:v>
                  </c:pt>
                  <c:pt idx="384">
                    <c:v>2022_Q2</c:v>
                  </c:pt>
                  <c:pt idx="385">
                    <c:v>2022_Q1</c:v>
                  </c:pt>
                  <c:pt idx="386">
                    <c:v>2022_Q2</c:v>
                  </c:pt>
                  <c:pt idx="387">
                    <c:v>2022_Q1</c:v>
                  </c:pt>
                  <c:pt idx="388">
                    <c:v>2022_Q2</c:v>
                  </c:pt>
                  <c:pt idx="389">
                    <c:v>2022_Q1</c:v>
                  </c:pt>
                  <c:pt idx="390">
                    <c:v>2022_Q2</c:v>
                  </c:pt>
                </c:lvl>
                <c:lvl>
                  <c:pt idx="0">
                    <c:v>AD-2000 Extension camp</c:v>
                  </c:pt>
                  <c:pt idx="1">
                    <c:v>AD-2000 Tharthana Compound</c:v>
                  </c:pt>
                  <c:pt idx="3">
                    <c:v>AG Church, Hmaw Si Sa</c:v>
                  </c:pt>
                  <c:pt idx="5">
                    <c:v>AG Church, Maw Wan</c:v>
                  </c:pt>
                  <c:pt idx="7">
                    <c:v>Agritural Compound (KBC)</c:v>
                  </c:pt>
                  <c:pt idx="9">
                    <c:v>Aung Thar Church</c:v>
                  </c:pt>
                  <c:pt idx="11">
                    <c:v>Baptist Church, Hmaw Si Sar(Lon Khin)</c:v>
                  </c:pt>
                  <c:pt idx="13">
                    <c:v>Border Post 8</c:v>
                  </c:pt>
                  <c:pt idx="15">
                    <c:v>Bum Tsit Pa</c:v>
                  </c:pt>
                  <c:pt idx="17">
                    <c:v>Chin Church, Seik Mu</c:v>
                  </c:pt>
                  <c:pt idx="19">
                    <c:v>Chipwi KBC camp</c:v>
                  </c:pt>
                  <c:pt idx="21">
                    <c:v>Dhama Rakhita, Nyein Chan Tar Yar Ward(Lon Khin)</c:v>
                  </c:pt>
                  <c:pt idx="23">
                    <c:v>Du Kahtawng Baptist</c:v>
                  </c:pt>
                  <c:pt idx="25">
                    <c:v>Dum Bung </c:v>
                  </c:pt>
                  <c:pt idx="27">
                    <c:v>Emmanuel AG Church</c:v>
                  </c:pt>
                  <c:pt idx="29">
                    <c:v>Galeng (Palaung) &amp; Kone Khem</c:v>
                  </c:pt>
                  <c:pt idx="31">
                    <c:v>Hka Shi</c:v>
                  </c:pt>
                  <c:pt idx="33">
                    <c:v>Hkat Cho </c:v>
                  </c:pt>
                  <c:pt idx="35">
                    <c:v>Hkau Shau (BP 12)</c:v>
                  </c:pt>
                  <c:pt idx="37">
                    <c:v>Hlaing Naung Baptist</c:v>
                  </c:pt>
                  <c:pt idx="39">
                    <c:v>Hpai Kawng</c:v>
                  </c:pt>
                  <c:pt idx="41">
                    <c:v>Hpakant Baptist Church, Nam Ma Hpit</c:v>
                  </c:pt>
                  <c:pt idx="43">
                    <c:v>Hpare Hkyer - BP6</c:v>
                  </c:pt>
                  <c:pt idx="45">
                    <c:v>Hpun Lum Yang </c:v>
                  </c:pt>
                  <c:pt idx="47">
                    <c:v>Htoi San Church</c:v>
                  </c:pt>
                  <c:pt idx="49">
                    <c:v>Hu Hku &amp; Ho Hko</c:v>
                  </c:pt>
                  <c:pt idx="51">
                    <c:v>IDP Boarding School, A Len Bum</c:v>
                  </c:pt>
                  <c:pt idx="53">
                    <c:v>Jan Mai Kawng Baptist Church</c:v>
                  </c:pt>
                  <c:pt idx="55">
                    <c:v>Jan Mai Kawng Catholic Church</c:v>
                  </c:pt>
                  <c:pt idx="57">
                    <c:v>Jaw Masat Camp</c:v>
                  </c:pt>
                  <c:pt idx="59">
                    <c:v>Je Yang Hka </c:v>
                  </c:pt>
                  <c:pt idx="61">
                    <c:v>Ka Bu Dam CoC</c:v>
                  </c:pt>
                  <c:pt idx="63">
                    <c:v>Kachin Su Baptist Church (ECCD)</c:v>
                  </c:pt>
                  <c:pt idx="65">
                    <c:v>Karmaing RC Church</c:v>
                  </c:pt>
                  <c:pt idx="67">
                    <c:v>Khar Nan (1) Baptist Church</c:v>
                  </c:pt>
                  <c:pt idx="69">
                    <c:v>Kutkai downtown (KBC Church)</c:v>
                  </c:pt>
                  <c:pt idx="71">
                    <c:v>Kutkai downtown (KBC Church-2)</c:v>
                  </c:pt>
                  <c:pt idx="73">
                    <c:v>Kyu Sot</c:v>
                  </c:pt>
                  <c:pt idx="75">
                    <c:v>Kyun Taw Baptist Church </c:v>
                  </c:pt>
                  <c:pt idx="77">
                    <c:v>Laiza Je Yang School</c:v>
                  </c:pt>
                  <c:pt idx="79">
                    <c:v>Lana Zup Ja</c:v>
                  </c:pt>
                  <c:pt idx="81">
                    <c:v>Lawa RC Church</c:v>
                  </c:pt>
                  <c:pt idx="82">
                    <c:v>Lawng Hkang Shait Yang Camp​ ( Lel Pyin)​ </c:v>
                  </c:pt>
                  <c:pt idx="84">
                    <c:v>Le Kone Bethlehem Church</c:v>
                  </c:pt>
                  <c:pt idx="86">
                    <c:v>Le Kone Ziun Baptist Church </c:v>
                  </c:pt>
                  <c:pt idx="88">
                    <c:v>Lhaovao Baptist Church (LBC)</c:v>
                  </c:pt>
                  <c:pt idx="90">
                    <c:v>Lisu Baptist Church, Maw Shan Vil,. Seik Mu</c:v>
                  </c:pt>
                  <c:pt idx="92">
                    <c:v>Lisu Baptist Church, Maw Wan Ward</c:v>
                  </c:pt>
                  <c:pt idx="94">
                    <c:v>Lisu Boarding-House</c:v>
                  </c:pt>
                  <c:pt idx="96">
                    <c:v>Lisu Church Namtu</c:v>
                  </c:pt>
                  <c:pt idx="98">
                    <c:v>Loi Je Baptist Church</c:v>
                  </c:pt>
                  <c:pt idx="100">
                    <c:v>Loi Je Catholic Church</c:v>
                  </c:pt>
                  <c:pt idx="102">
                    <c:v>Loi Je Lisu Camp</c:v>
                  </c:pt>
                  <c:pt idx="104">
                    <c:v>Lone Khin Catholic Church</c:v>
                  </c:pt>
                  <c:pt idx="106">
                    <c:v>Lung Sut</c:v>
                  </c:pt>
                  <c:pt idx="107">
                    <c:v>Lwegel High School</c:v>
                  </c:pt>
                  <c:pt idx="109">
                    <c:v>Ma Hawng Baptist Church</c:v>
                  </c:pt>
                  <c:pt idx="111">
                    <c:v>Mading Baptist Church</c:v>
                  </c:pt>
                  <c:pt idx="113">
                    <c:v>Maga Yang </c:v>
                  </c:pt>
                  <c:pt idx="115">
                    <c:v>Mai Yu Lay New (Ta'ang)</c:v>
                  </c:pt>
                  <c:pt idx="117">
                    <c:v>Maina AG Church</c:v>
                  </c:pt>
                  <c:pt idx="119">
                    <c:v>Maina Catholic Church (St. Joseph)</c:v>
                  </c:pt>
                  <c:pt idx="121">
                    <c:v>Maina KBC (Bawng Ring)</c:v>
                  </c:pt>
                  <c:pt idx="123">
                    <c:v>Maina Lawang Baptist Church</c:v>
                  </c:pt>
                  <c:pt idx="125">
                    <c:v>Maing Khaung</c:v>
                  </c:pt>
                  <c:pt idx="127">
                    <c:v>Maing Khaung Catholic Church</c:v>
                  </c:pt>
                  <c:pt idx="129">
                    <c:v>Maliyang Baptist Church</c:v>
                  </c:pt>
                  <c:pt idx="131">
                    <c:v>Man Bung Catholic compound</c:v>
                  </c:pt>
                  <c:pt idx="133">
                    <c:v>Man Bung Edin Baptist Church</c:v>
                  </c:pt>
                  <c:pt idx="135">
                    <c:v>Man Hkring Baptist Church</c:v>
                  </c:pt>
                  <c:pt idx="137">
                    <c:v>Man Kaung/Naung Ti Kyar Village</c:v>
                  </c:pt>
                  <c:pt idx="139">
                    <c:v>Man Loi</c:v>
                  </c:pt>
                  <c:pt idx="141">
                    <c:v>Man Wing Baptist Church</c:v>
                  </c:pt>
                  <c:pt idx="143">
                    <c:v>Man Wing Baptist Church Cultural Compound</c:v>
                  </c:pt>
                  <c:pt idx="145">
                    <c:v>Man Wing Catholic Church</c:v>
                  </c:pt>
                  <c:pt idx="147">
                    <c:v>Man Wing Catholic Church II</c:v>
                  </c:pt>
                  <c:pt idx="149">
                    <c:v>Mandung - Jinghpaw</c:v>
                  </c:pt>
                  <c:pt idx="151">
                    <c:v>Mandung - RC</c:v>
                  </c:pt>
                  <c:pt idx="153">
                    <c:v>Mansi Baptist Church</c:v>
                  </c:pt>
                  <c:pt idx="155">
                    <c:v>Maw Hpawng Hka Nan Baptist Church</c:v>
                  </c:pt>
                  <c:pt idx="157">
                    <c:v>Maw Hpawng Lhaovo Baptist Church</c:v>
                  </c:pt>
                  <c:pt idx="159">
                    <c:v>Maw Wan, Mu-yin Baptist Church</c:v>
                  </c:pt>
                  <c:pt idx="161">
                    <c:v>Mine Yu Lay village ( Old)</c:v>
                  </c:pt>
                  <c:pt idx="163">
                    <c:v>Momauk Baptist Church</c:v>
                  </c:pt>
                  <c:pt idx="165">
                    <c:v>Mung Hawm </c:v>
                  </c:pt>
                  <c:pt idx="167">
                    <c:v>Muyin church (Aung Yar pre-school compound)</c:v>
                  </c:pt>
                  <c:pt idx="169">
                    <c:v>Nam Hkam - Nay Win Ni (Palawng)</c:v>
                  </c:pt>
                  <c:pt idx="171">
                    <c:v>Nam Hkam (KBC Jaw Wang)</c:v>
                  </c:pt>
                  <c:pt idx="173">
                    <c:v>Nam Hkam (KBC Jaw Wang) II</c:v>
                  </c:pt>
                  <c:pt idx="175">
                    <c:v>Nam Hkam Catholic Church ( St. Thomas I)</c:v>
                  </c:pt>
                  <c:pt idx="177">
                    <c:v>Nam Hpak Ka Mare </c:v>
                  </c:pt>
                  <c:pt idx="179">
                    <c:v>Nam Hpak Ka Ta'ang ( Aung Tha Pyay)</c:v>
                  </c:pt>
                  <c:pt idx="181">
                    <c:v>Nam Ma Phyit, COC</c:v>
                  </c:pt>
                  <c:pt idx="183">
                    <c:v>Nam Sa Larp</c:v>
                  </c:pt>
                  <c:pt idx="185">
                    <c:v>Nam Tu Baptist</c:v>
                  </c:pt>
                  <c:pt idx="187">
                    <c:v>Namti Labraw Yang KBC Camp</c:v>
                  </c:pt>
                  <c:pt idx="189">
                    <c:v>Nan Kway St. John Catholic Church</c:v>
                  </c:pt>
                  <c:pt idx="191">
                    <c:v>Nant Ma Hpit Catholic Church</c:v>
                  </c:pt>
                  <c:pt idx="193">
                    <c:v>Nat Gyi Kone Baptist Church </c:v>
                  </c:pt>
                  <c:pt idx="195">
                    <c:v>Nawng Hee Village</c:v>
                  </c:pt>
                  <c:pt idx="197">
                    <c:v>Nawng Ing (Indawgyi) Baptist Church </c:v>
                  </c:pt>
                  <c:pt idx="199">
                    <c:v>Ndup Yang</c:v>
                  </c:pt>
                  <c:pt idx="201">
                    <c:v>New Pang Ku </c:v>
                  </c:pt>
                  <c:pt idx="203">
                    <c:v>Nhkawng Pa </c:v>
                  </c:pt>
                  <c:pt idx="205">
                    <c:v>Njang Dung Baptist Church </c:v>
                  </c:pt>
                  <c:pt idx="207">
                    <c:v>Nyaung Na Pin </c:v>
                  </c:pt>
                  <c:pt idx="209">
                    <c:v>Pa Dauk Myaing(Pa La Na)</c:v>
                  </c:pt>
                  <c:pt idx="211">
                    <c:v>Pa Dauk Myaing(Pa La Na)-II</c:v>
                  </c:pt>
                  <c:pt idx="213">
                    <c:v>Pa Kahtawng </c:v>
                  </c:pt>
                  <c:pt idx="215">
                    <c:v>Pajau - Jan Mai</c:v>
                  </c:pt>
                  <c:pt idx="217">
                    <c:v>Pan Law</c:v>
                  </c:pt>
                  <c:pt idx="219">
                    <c:v>Pan Ta Pyae</c:v>
                  </c:pt>
                  <c:pt idx="220">
                    <c:v>Pang Hkawn Yang</c:v>
                  </c:pt>
                  <c:pt idx="222">
                    <c:v>Phan Khar Kone</c:v>
                  </c:pt>
                  <c:pt idx="224">
                    <c:v>Qtr. 2 Lhaovo Baptist Church</c:v>
                  </c:pt>
                  <c:pt idx="226">
                    <c:v>Qtr. 2 Myoma Baptist Church</c:v>
                  </c:pt>
                  <c:pt idx="228">
                    <c:v>Rawan Baptist Church, Maw Shan Vil., Seik Mu</c:v>
                  </c:pt>
                  <c:pt idx="230">
                    <c:v>Robert Church</c:v>
                  </c:pt>
                  <c:pt idx="232">
                    <c:v>Sadung</c:v>
                  </c:pt>
                  <c:pt idx="234">
                    <c:v>Salang Yang</c:v>
                  </c:pt>
                  <c:pt idx="236">
                    <c:v>Sar Hmaw - KBC</c:v>
                  </c:pt>
                  <c:pt idx="238">
                    <c:v>Seng Ja </c:v>
                  </c:pt>
                  <c:pt idx="240">
                    <c:v>Sha-It Yang</c:v>
                  </c:pt>
                  <c:pt idx="242">
                    <c:v>Shar Du Zut KBC church </c:v>
                  </c:pt>
                  <c:pt idx="244">
                    <c:v>Shatapru Sut Ngai Tawng</c:v>
                  </c:pt>
                  <c:pt idx="246">
                    <c:v>Shatapru Thida Aye Baptist Church</c:v>
                  </c:pt>
                  <c:pt idx="248">
                    <c:v>Shing Jai</c:v>
                  </c:pt>
                  <c:pt idx="250">
                    <c:v>Shwe Gu Baptist Church</c:v>
                  </c:pt>
                  <c:pt idx="252">
                    <c:v>Shwe Gu Catholic Church</c:v>
                  </c:pt>
                  <c:pt idx="254">
                    <c:v>Shwe Zet Baptist Church</c:v>
                  </c:pt>
                  <c:pt idx="256">
                    <c:v>St. Joseph Tanai RC camp </c:v>
                  </c:pt>
                  <c:pt idx="258">
                    <c:v>St. Patrick Catholic Church </c:v>
                  </c:pt>
                  <c:pt idx="260">
                    <c:v>Tanai CoC</c:v>
                  </c:pt>
                  <c:pt idx="262">
                    <c:v>Tanai KBC Camp</c:v>
                  </c:pt>
                  <c:pt idx="264">
                    <c:v>Tat Kone Baptist Church</c:v>
                  </c:pt>
                  <c:pt idx="266">
                    <c:v>Tat Kone COC Baptist - Tat Kone Htoi San</c:v>
                  </c:pt>
                  <c:pt idx="268">
                    <c:v>Tat Kone Galile Baptist Church</c:v>
                  </c:pt>
                  <c:pt idx="270">
                    <c:v>Tat Kone San Pya Baptist Church</c:v>
                  </c:pt>
                  <c:pt idx="272">
                    <c:v>Thargaya Lisu Baptist Church</c:v>
                  </c:pt>
                  <c:pt idx="274">
                    <c:v>Trinity Camp</c:v>
                  </c:pt>
                  <c:pt idx="276">
                    <c:v>Tsan Lun - Namjarap</c:v>
                  </c:pt>
                  <c:pt idx="278">
                    <c:v>Waimaw Baptist Zonal Office 2</c:v>
                  </c:pt>
                  <c:pt idx="280">
                    <c:v>Waingmaw AG Church</c:v>
                  </c:pt>
                  <c:pt idx="282">
                    <c:v>Ward 2 Sai Taung Baptist Church, Seik Mu </c:v>
                  </c:pt>
                  <c:pt idx="284">
                    <c:v>Woi Chyai </c:v>
                  </c:pt>
                  <c:pt idx="286">
                    <c:v>Woi Chyai (Mong Lai)</c:v>
                  </c:pt>
                  <c:pt idx="288">
                    <c:v>Woi Chyai host families</c:v>
                  </c:pt>
                  <c:pt idx="290">
                    <c:v>Yumar Baptist Church</c:v>
                  </c:pt>
                  <c:pt idx="292">
                    <c:v>Zup Aung Camp</c:v>
                  </c:pt>
                  <c:pt idx="294">
                    <c:v>Hka Garan Yang </c:v>
                  </c:pt>
                  <c:pt idx="296">
                    <c:v>Htang Nya </c:v>
                  </c:pt>
                  <c:pt idx="298">
                    <c:v>Enai (Man Pyein)</c:v>
                  </c:pt>
                  <c:pt idx="300">
                    <c:v>Lian Bang village</c:v>
                  </c:pt>
                  <c:pt idx="301">
                    <c:v>AD 2000 School</c:v>
                  </c:pt>
                  <c:pt idx="302">
                    <c:v>Robert -High school</c:v>
                  </c:pt>
                  <c:pt idx="304">
                    <c:v>Pamati Camp</c:v>
                  </c:pt>
                  <c:pt idx="306">
                    <c:v>Momauk IDP new extension camp (Kye Nan)</c:v>
                  </c:pt>
                  <c:pt idx="308">
                    <c:v>Sector 5 Pammati Quarter</c:v>
                  </c:pt>
                  <c:pt idx="310">
                    <c:v>Namatee Kan Hla AG</c:v>
                  </c:pt>
                  <c:pt idx="312">
                    <c:v>His Aw (Chyu Fan) </c:v>
                  </c:pt>
                  <c:pt idx="314">
                    <c:v>Shwe Sin (Ward 3) </c:v>
                  </c:pt>
                  <c:pt idx="316">
                    <c:v>Bum Ra Yang Camp </c:v>
                  </c:pt>
                  <c:pt idx="318">
                    <c:v>Mang Nawng Kawng (host)</c:v>
                  </c:pt>
                  <c:pt idx="320">
                    <c:v>Hat Hlan village (host)</c:v>
                  </c:pt>
                  <c:pt idx="321">
                    <c:v>Kyaukme Town (host)</c:v>
                  </c:pt>
                  <c:pt idx="323">
                    <c:v>Nam Hlaing Extension Ward camp</c:v>
                  </c:pt>
                  <c:pt idx="325">
                    <c:v>Naung Tar Law (Kyet Chan) </c:v>
                  </c:pt>
                  <c:pt idx="327">
                    <c:v>Waingmaw St.Joseph RC Church</c:v>
                  </c:pt>
                  <c:pt idx="329">
                    <c:v>Waingmaw LBC church </c:v>
                  </c:pt>
                  <c:pt idx="330">
                    <c:v>Lisu Zonal camp</c:v>
                  </c:pt>
                  <c:pt idx="332">
                    <c:v>Phaug Nhae Camp</c:v>
                  </c:pt>
                  <c:pt idx="333">
                    <c:v>Yuu Ka lait Kone Camp</c:v>
                  </c:pt>
                  <c:pt idx="334">
                    <c:v>Lhaovo Baptist Convention  Old Office Camp</c:v>
                  </c:pt>
                  <c:pt idx="336">
                    <c:v>Ding Jang Yang (1)</c:v>
                  </c:pt>
                  <c:pt idx="338">
                    <c:v>Ding Jang Yang (2)</c:v>
                  </c:pt>
                  <c:pt idx="340">
                    <c:v>Naung Pataine/lachid </c:v>
                  </c:pt>
                  <c:pt idx="342">
                    <c:v>Lin Hao chun </c:v>
                  </c:pt>
                  <c:pt idx="343">
                    <c:v>Pyi Htaung Su</c:v>
                  </c:pt>
                  <c:pt idx="344">
                    <c:v>Momauk KBC church</c:v>
                  </c:pt>
                  <c:pt idx="346">
                    <c:v>St.Francis RCC 1</c:v>
                  </c:pt>
                  <c:pt idx="348">
                    <c:v>St.Francis RCC 2</c:v>
                  </c:pt>
                  <c:pt idx="350">
                    <c:v>Bang Yang Hka (Mung Ji Pa)-relocated</c:v>
                  </c:pt>
                  <c:pt idx="352">
                    <c:v>Galeng Zup Awng ward 5 RC</c:v>
                  </c:pt>
                  <c:pt idx="354">
                    <c:v>Man Wing- IDPs in Host</c:v>
                  </c:pt>
                  <c:pt idx="356">
                    <c:v>(3 mile) Shwe Pyi Tar (SLCA)</c:v>
                  </c:pt>
                  <c:pt idx="358">
                    <c:v>Bhamo- IDPs in Host </c:v>
                  </c:pt>
                  <c:pt idx="360">
                    <c:v>Chipwi Pan Wa  (Host IDP)</c:v>
                  </c:pt>
                  <c:pt idx="362">
                    <c:v>St.Columban lone Khin camp</c:v>
                  </c:pt>
                  <c:pt idx="364">
                    <c:v>Mansi- IDPs in Host</c:v>
                  </c:pt>
                  <c:pt idx="366">
                    <c:v>Hopin -IDPs in Host</c:v>
                  </c:pt>
                  <c:pt idx="368">
                    <c:v>Moenyin- IDPs in Host</c:v>
                  </c:pt>
                  <c:pt idx="370">
                    <c:v>Momauk-IDPs in Host</c:v>
                  </c:pt>
                  <c:pt idx="372">
                    <c:v>Myo Thit -IDP in Host</c:v>
                  </c:pt>
                  <c:pt idx="374">
                    <c:v>Saint Matthew (Shin ma ti-sitapru) camp</c:v>
                  </c:pt>
                  <c:pt idx="376">
                    <c:v>Nan Hlaing_new camp </c:v>
                  </c:pt>
                  <c:pt idx="377">
                    <c:v>Na ru Kawng (Post 6 camp)</c:v>
                  </c:pt>
                  <c:pt idx="379">
                    <c:v>Man Pint community Hall </c:v>
                  </c:pt>
                  <c:pt idx="380">
                    <c:v>Mong Tin High School</c:v>
                  </c:pt>
                  <c:pt idx="381">
                    <c:v>Nar Mun Primary School</c:v>
                  </c:pt>
                  <c:pt idx="382">
                    <c:v>SLCA Building Compound (Kyaukme town)</c:v>
                  </c:pt>
                  <c:pt idx="383">
                    <c:v>SLCA Building Compound (Moungnawt town)</c:v>
                  </c:pt>
                  <c:pt idx="384">
                    <c:v>Theravada Monastery </c:v>
                  </c:pt>
                  <c:pt idx="385">
                    <c:v>Mong Wee Shan-relocated</c:v>
                  </c:pt>
                  <c:pt idx="387">
                    <c:v>Hseng Ja-Relocated</c:v>
                  </c:pt>
                  <c:pt idx="389">
                    <c:v>Maina Mu-yin  Baptist Church</c:v>
                  </c:pt>
                </c:lvl>
              </c:multiLvlStrCache>
            </c:multiLvlStrRef>
          </c:cat>
          <c:val>
            <c:numRef>
              <c:f>'Tracking Dashboard'!$O$5:$O$601</c:f>
              <c:numCache>
                <c:formatCode>General</c:formatCode>
                <c:ptCount val="391"/>
                <c:pt idx="0">
                  <c:v>54</c:v>
                </c:pt>
                <c:pt idx="1">
                  <c:v>789</c:v>
                </c:pt>
                <c:pt idx="2">
                  <c:v>1049</c:v>
                </c:pt>
                <c:pt idx="3">
                  <c:v>308</c:v>
                </c:pt>
                <c:pt idx="4">
                  <c:v>220</c:v>
                </c:pt>
                <c:pt idx="5">
                  <c:v>72</c:v>
                </c:pt>
                <c:pt idx="6">
                  <c:v>72</c:v>
                </c:pt>
                <c:pt idx="7">
                  <c:v>560</c:v>
                </c:pt>
                <c:pt idx="8">
                  <c:v>32</c:v>
                </c:pt>
                <c:pt idx="9">
                  <c:v>40</c:v>
                </c:pt>
                <c:pt idx="10">
                  <c:v>40</c:v>
                </c:pt>
                <c:pt idx="11">
                  <c:v>200</c:v>
                </c:pt>
                <c:pt idx="12">
                  <c:v>200</c:v>
                </c:pt>
                <c:pt idx="13">
                  <c:v>421</c:v>
                </c:pt>
                <c:pt idx="14">
                  <c:v>420</c:v>
                </c:pt>
                <c:pt idx="15">
                  <c:v>1887</c:v>
                </c:pt>
                <c:pt idx="16">
                  <c:v>1900</c:v>
                </c:pt>
                <c:pt idx="17">
                  <c:v>24</c:v>
                </c:pt>
                <c:pt idx="18">
                  <c:v>24</c:v>
                </c:pt>
                <c:pt idx="19">
                  <c:v>640</c:v>
                </c:pt>
                <c:pt idx="20">
                  <c:v>220</c:v>
                </c:pt>
                <c:pt idx="21">
                  <c:v>442</c:v>
                </c:pt>
                <c:pt idx="22">
                  <c:v>443</c:v>
                </c:pt>
                <c:pt idx="23">
                  <c:v>140</c:v>
                </c:pt>
                <c:pt idx="24">
                  <c:v>100</c:v>
                </c:pt>
                <c:pt idx="25">
                  <c:v>394</c:v>
                </c:pt>
                <c:pt idx="26">
                  <c:v>400</c:v>
                </c:pt>
                <c:pt idx="27">
                  <c:v>0</c:v>
                </c:pt>
                <c:pt idx="28">
                  <c:v>0</c:v>
                </c:pt>
                <c:pt idx="29">
                  <c:v>439</c:v>
                </c:pt>
                <c:pt idx="30">
                  <c:v>439</c:v>
                </c:pt>
                <c:pt idx="31">
                  <c:v>410</c:v>
                </c:pt>
                <c:pt idx="32">
                  <c:v>160</c:v>
                </c:pt>
                <c:pt idx="33">
                  <c:v>291</c:v>
                </c:pt>
                <c:pt idx="34">
                  <c:v>0</c:v>
                </c:pt>
                <c:pt idx="35">
                  <c:v>895</c:v>
                </c:pt>
                <c:pt idx="36">
                  <c:v>966</c:v>
                </c:pt>
                <c:pt idx="37">
                  <c:v>132</c:v>
                </c:pt>
                <c:pt idx="38">
                  <c:v>0</c:v>
                </c:pt>
                <c:pt idx="39">
                  <c:v>800</c:v>
                </c:pt>
                <c:pt idx="40">
                  <c:v>120</c:v>
                </c:pt>
                <c:pt idx="41">
                  <c:v>504</c:v>
                </c:pt>
                <c:pt idx="42">
                  <c:v>363</c:v>
                </c:pt>
                <c:pt idx="43">
                  <c:v>640</c:v>
                </c:pt>
                <c:pt idx="44">
                  <c:v>640</c:v>
                </c:pt>
                <c:pt idx="45">
                  <c:v>3789</c:v>
                </c:pt>
                <c:pt idx="46">
                  <c:v>3789</c:v>
                </c:pt>
                <c:pt idx="47">
                  <c:v>140</c:v>
                </c:pt>
                <c:pt idx="48">
                  <c:v>140</c:v>
                </c:pt>
                <c:pt idx="49">
                  <c:v>130</c:v>
                </c:pt>
                <c:pt idx="50">
                  <c:v>130</c:v>
                </c:pt>
                <c:pt idx="51">
                  <c:v>1780</c:v>
                </c:pt>
                <c:pt idx="52">
                  <c:v>1780</c:v>
                </c:pt>
                <c:pt idx="53">
                  <c:v>860</c:v>
                </c:pt>
                <c:pt idx="54">
                  <c:v>900</c:v>
                </c:pt>
                <c:pt idx="55">
                  <c:v>398</c:v>
                </c:pt>
                <c:pt idx="56">
                  <c:v>388</c:v>
                </c:pt>
                <c:pt idx="57">
                  <c:v>320</c:v>
                </c:pt>
                <c:pt idx="58">
                  <c:v>300</c:v>
                </c:pt>
                <c:pt idx="59">
                  <c:v>800</c:v>
                </c:pt>
                <c:pt idx="60">
                  <c:v>8486</c:v>
                </c:pt>
                <c:pt idx="61">
                  <c:v>43</c:v>
                </c:pt>
                <c:pt idx="62">
                  <c:v>60</c:v>
                </c:pt>
                <c:pt idx="63">
                  <c:v>80</c:v>
                </c:pt>
                <c:pt idx="64">
                  <c:v>120</c:v>
                </c:pt>
                <c:pt idx="65">
                  <c:v>52</c:v>
                </c:pt>
                <c:pt idx="66">
                  <c:v>52</c:v>
                </c:pt>
                <c:pt idx="67">
                  <c:v>100</c:v>
                </c:pt>
                <c:pt idx="68">
                  <c:v>100</c:v>
                </c:pt>
                <c:pt idx="69">
                  <c:v>240</c:v>
                </c:pt>
                <c:pt idx="70">
                  <c:v>240</c:v>
                </c:pt>
                <c:pt idx="71">
                  <c:v>180</c:v>
                </c:pt>
                <c:pt idx="72">
                  <c:v>180</c:v>
                </c:pt>
                <c:pt idx="73">
                  <c:v>270</c:v>
                </c:pt>
                <c:pt idx="74">
                  <c:v>270</c:v>
                </c:pt>
                <c:pt idx="75">
                  <c:v>66</c:v>
                </c:pt>
                <c:pt idx="76">
                  <c:v>0</c:v>
                </c:pt>
                <c:pt idx="77">
                  <c:v>0</c:v>
                </c:pt>
                <c:pt idx="78">
                  <c:v>0</c:v>
                </c:pt>
                <c:pt idx="79">
                  <c:v>2691</c:v>
                </c:pt>
                <c:pt idx="80">
                  <c:v>2503</c:v>
                </c:pt>
                <c:pt idx="81">
                  <c:v>242</c:v>
                </c:pt>
                <c:pt idx="82">
                  <c:v>586</c:v>
                </c:pt>
                <c:pt idx="83">
                  <c:v>607</c:v>
                </c:pt>
                <c:pt idx="84">
                  <c:v>160</c:v>
                </c:pt>
                <c:pt idx="85">
                  <c:v>160</c:v>
                </c:pt>
                <c:pt idx="86">
                  <c:v>640</c:v>
                </c:pt>
                <c:pt idx="87">
                  <c:v>640</c:v>
                </c:pt>
                <c:pt idx="88">
                  <c:v>884</c:v>
                </c:pt>
                <c:pt idx="89">
                  <c:v>884</c:v>
                </c:pt>
                <c:pt idx="90">
                  <c:v>100</c:v>
                </c:pt>
                <c:pt idx="91">
                  <c:v>103</c:v>
                </c:pt>
                <c:pt idx="92">
                  <c:v>40</c:v>
                </c:pt>
                <c:pt idx="93">
                  <c:v>54</c:v>
                </c:pt>
                <c:pt idx="94">
                  <c:v>420</c:v>
                </c:pt>
                <c:pt idx="95">
                  <c:v>460</c:v>
                </c:pt>
                <c:pt idx="96">
                  <c:v>127</c:v>
                </c:pt>
                <c:pt idx="97">
                  <c:v>127</c:v>
                </c:pt>
                <c:pt idx="98">
                  <c:v>182</c:v>
                </c:pt>
                <c:pt idx="99">
                  <c:v>182</c:v>
                </c:pt>
                <c:pt idx="100">
                  <c:v>126</c:v>
                </c:pt>
                <c:pt idx="101">
                  <c:v>126</c:v>
                </c:pt>
                <c:pt idx="102">
                  <c:v>943</c:v>
                </c:pt>
                <c:pt idx="103">
                  <c:v>943</c:v>
                </c:pt>
                <c:pt idx="104">
                  <c:v>300</c:v>
                </c:pt>
                <c:pt idx="105">
                  <c:v>300</c:v>
                </c:pt>
                <c:pt idx="106">
                  <c:v>240</c:v>
                </c:pt>
                <c:pt idx="107">
                  <c:v>0</c:v>
                </c:pt>
                <c:pt idx="108">
                  <c:v>0</c:v>
                </c:pt>
                <c:pt idx="109">
                  <c:v>40</c:v>
                </c:pt>
                <c:pt idx="110">
                  <c:v>60</c:v>
                </c:pt>
                <c:pt idx="111">
                  <c:v>120</c:v>
                </c:pt>
                <c:pt idx="112">
                  <c:v>120</c:v>
                </c:pt>
                <c:pt idx="113">
                  <c:v>1736</c:v>
                </c:pt>
                <c:pt idx="114">
                  <c:v>1469</c:v>
                </c:pt>
                <c:pt idx="115">
                  <c:v>502</c:v>
                </c:pt>
                <c:pt idx="116">
                  <c:v>502</c:v>
                </c:pt>
                <c:pt idx="117">
                  <c:v>420</c:v>
                </c:pt>
                <c:pt idx="118">
                  <c:v>480</c:v>
                </c:pt>
                <c:pt idx="119">
                  <c:v>1776</c:v>
                </c:pt>
                <c:pt idx="120">
                  <c:v>1494</c:v>
                </c:pt>
                <c:pt idx="121">
                  <c:v>2500</c:v>
                </c:pt>
                <c:pt idx="122">
                  <c:v>2600</c:v>
                </c:pt>
                <c:pt idx="123">
                  <c:v>191</c:v>
                </c:pt>
                <c:pt idx="124">
                  <c:v>200</c:v>
                </c:pt>
                <c:pt idx="125">
                  <c:v>1599</c:v>
                </c:pt>
                <c:pt idx="126">
                  <c:v>1759</c:v>
                </c:pt>
                <c:pt idx="127">
                  <c:v>694</c:v>
                </c:pt>
                <c:pt idx="128">
                  <c:v>694</c:v>
                </c:pt>
                <c:pt idx="129">
                  <c:v>140</c:v>
                </c:pt>
                <c:pt idx="130">
                  <c:v>140</c:v>
                </c:pt>
                <c:pt idx="131">
                  <c:v>741</c:v>
                </c:pt>
                <c:pt idx="132">
                  <c:v>741</c:v>
                </c:pt>
                <c:pt idx="133">
                  <c:v>563</c:v>
                </c:pt>
                <c:pt idx="134">
                  <c:v>563</c:v>
                </c:pt>
                <c:pt idx="135">
                  <c:v>547</c:v>
                </c:pt>
                <c:pt idx="136">
                  <c:v>622</c:v>
                </c:pt>
                <c:pt idx="137">
                  <c:v>0</c:v>
                </c:pt>
                <c:pt idx="138">
                  <c:v>0</c:v>
                </c:pt>
                <c:pt idx="139">
                  <c:v>80</c:v>
                </c:pt>
                <c:pt idx="140">
                  <c:v>80</c:v>
                </c:pt>
                <c:pt idx="141">
                  <c:v>360</c:v>
                </c:pt>
                <c:pt idx="142">
                  <c:v>360</c:v>
                </c:pt>
                <c:pt idx="143">
                  <c:v>538</c:v>
                </c:pt>
                <c:pt idx="144">
                  <c:v>538</c:v>
                </c:pt>
                <c:pt idx="145">
                  <c:v>2354</c:v>
                </c:pt>
                <c:pt idx="146">
                  <c:v>740</c:v>
                </c:pt>
                <c:pt idx="147">
                  <c:v>737</c:v>
                </c:pt>
                <c:pt idx="148">
                  <c:v>737</c:v>
                </c:pt>
                <c:pt idx="149">
                  <c:v>125</c:v>
                </c:pt>
                <c:pt idx="150">
                  <c:v>125</c:v>
                </c:pt>
                <c:pt idx="151">
                  <c:v>157</c:v>
                </c:pt>
                <c:pt idx="152">
                  <c:v>157</c:v>
                </c:pt>
                <c:pt idx="153">
                  <c:v>789</c:v>
                </c:pt>
                <c:pt idx="154">
                  <c:v>789</c:v>
                </c:pt>
                <c:pt idx="155">
                  <c:v>80</c:v>
                </c:pt>
                <c:pt idx="156">
                  <c:v>84</c:v>
                </c:pt>
                <c:pt idx="157">
                  <c:v>120</c:v>
                </c:pt>
                <c:pt idx="158">
                  <c:v>120</c:v>
                </c:pt>
                <c:pt idx="159">
                  <c:v>0</c:v>
                </c:pt>
                <c:pt idx="160">
                  <c:v>0</c:v>
                </c:pt>
                <c:pt idx="161">
                  <c:v>251</c:v>
                </c:pt>
                <c:pt idx="162">
                  <c:v>251</c:v>
                </c:pt>
                <c:pt idx="163">
                  <c:v>424</c:v>
                </c:pt>
                <c:pt idx="164">
                  <c:v>120</c:v>
                </c:pt>
                <c:pt idx="165">
                  <c:v>176</c:v>
                </c:pt>
                <c:pt idx="166">
                  <c:v>176</c:v>
                </c:pt>
                <c:pt idx="167">
                  <c:v>0</c:v>
                </c:pt>
                <c:pt idx="168">
                  <c:v>0</c:v>
                </c:pt>
                <c:pt idx="169">
                  <c:v>396</c:v>
                </c:pt>
                <c:pt idx="170">
                  <c:v>396</c:v>
                </c:pt>
                <c:pt idx="171">
                  <c:v>200</c:v>
                </c:pt>
                <c:pt idx="172">
                  <c:v>200</c:v>
                </c:pt>
                <c:pt idx="173">
                  <c:v>31</c:v>
                </c:pt>
                <c:pt idx="174">
                  <c:v>31</c:v>
                </c:pt>
                <c:pt idx="175">
                  <c:v>213</c:v>
                </c:pt>
                <c:pt idx="176">
                  <c:v>213</c:v>
                </c:pt>
                <c:pt idx="177">
                  <c:v>250</c:v>
                </c:pt>
                <c:pt idx="178">
                  <c:v>250</c:v>
                </c:pt>
                <c:pt idx="179">
                  <c:v>158</c:v>
                </c:pt>
                <c:pt idx="180">
                  <c:v>158</c:v>
                </c:pt>
                <c:pt idx="181">
                  <c:v>24</c:v>
                </c:pt>
                <c:pt idx="182">
                  <c:v>24</c:v>
                </c:pt>
                <c:pt idx="183">
                  <c:v>200</c:v>
                </c:pt>
                <c:pt idx="184">
                  <c:v>206</c:v>
                </c:pt>
                <c:pt idx="185">
                  <c:v>141</c:v>
                </c:pt>
                <c:pt idx="186">
                  <c:v>141</c:v>
                </c:pt>
                <c:pt idx="187">
                  <c:v>260</c:v>
                </c:pt>
                <c:pt idx="188">
                  <c:v>360</c:v>
                </c:pt>
                <c:pt idx="189">
                  <c:v>309</c:v>
                </c:pt>
                <c:pt idx="190">
                  <c:v>291</c:v>
                </c:pt>
                <c:pt idx="191">
                  <c:v>218</c:v>
                </c:pt>
                <c:pt idx="192">
                  <c:v>218</c:v>
                </c:pt>
                <c:pt idx="193">
                  <c:v>41</c:v>
                </c:pt>
                <c:pt idx="194">
                  <c:v>48</c:v>
                </c:pt>
                <c:pt idx="195">
                  <c:v>80</c:v>
                </c:pt>
                <c:pt idx="196">
                  <c:v>80</c:v>
                </c:pt>
                <c:pt idx="197">
                  <c:v>100</c:v>
                </c:pt>
                <c:pt idx="198">
                  <c:v>0</c:v>
                </c:pt>
                <c:pt idx="199">
                  <c:v>547</c:v>
                </c:pt>
                <c:pt idx="200">
                  <c:v>323</c:v>
                </c:pt>
                <c:pt idx="201">
                  <c:v>525</c:v>
                </c:pt>
                <c:pt idx="202">
                  <c:v>525</c:v>
                </c:pt>
                <c:pt idx="203">
                  <c:v>1675</c:v>
                </c:pt>
                <c:pt idx="204">
                  <c:v>1570</c:v>
                </c:pt>
                <c:pt idx="205">
                  <c:v>299</c:v>
                </c:pt>
                <c:pt idx="206">
                  <c:v>300</c:v>
                </c:pt>
                <c:pt idx="207">
                  <c:v>263</c:v>
                </c:pt>
                <c:pt idx="208">
                  <c:v>263</c:v>
                </c:pt>
                <c:pt idx="209">
                  <c:v>680</c:v>
                </c:pt>
                <c:pt idx="210">
                  <c:v>680</c:v>
                </c:pt>
                <c:pt idx="211">
                  <c:v>1340</c:v>
                </c:pt>
                <c:pt idx="212">
                  <c:v>1187</c:v>
                </c:pt>
                <c:pt idx="213">
                  <c:v>2975</c:v>
                </c:pt>
                <c:pt idx="214">
                  <c:v>3120</c:v>
                </c:pt>
                <c:pt idx="215">
                  <c:v>750</c:v>
                </c:pt>
                <c:pt idx="216">
                  <c:v>850</c:v>
                </c:pt>
                <c:pt idx="217">
                  <c:v>221</c:v>
                </c:pt>
                <c:pt idx="218">
                  <c:v>221</c:v>
                </c:pt>
                <c:pt idx="219">
                  <c:v>91</c:v>
                </c:pt>
                <c:pt idx="220">
                  <c:v>100</c:v>
                </c:pt>
                <c:pt idx="221">
                  <c:v>100</c:v>
                </c:pt>
                <c:pt idx="222">
                  <c:v>334</c:v>
                </c:pt>
                <c:pt idx="223">
                  <c:v>334</c:v>
                </c:pt>
                <c:pt idx="224">
                  <c:v>420</c:v>
                </c:pt>
                <c:pt idx="225">
                  <c:v>300</c:v>
                </c:pt>
                <c:pt idx="226">
                  <c:v>280</c:v>
                </c:pt>
                <c:pt idx="227">
                  <c:v>280</c:v>
                </c:pt>
                <c:pt idx="228">
                  <c:v>40</c:v>
                </c:pt>
                <c:pt idx="229">
                  <c:v>40</c:v>
                </c:pt>
                <c:pt idx="230">
                  <c:v>3003</c:v>
                </c:pt>
                <c:pt idx="231">
                  <c:v>2983</c:v>
                </c:pt>
                <c:pt idx="232">
                  <c:v>0</c:v>
                </c:pt>
                <c:pt idx="233">
                  <c:v>0</c:v>
                </c:pt>
                <c:pt idx="234">
                  <c:v>325</c:v>
                </c:pt>
                <c:pt idx="235">
                  <c:v>353</c:v>
                </c:pt>
                <c:pt idx="236">
                  <c:v>136</c:v>
                </c:pt>
                <c:pt idx="237">
                  <c:v>136</c:v>
                </c:pt>
                <c:pt idx="238">
                  <c:v>255</c:v>
                </c:pt>
                <c:pt idx="239">
                  <c:v>255</c:v>
                </c:pt>
                <c:pt idx="240">
                  <c:v>1532</c:v>
                </c:pt>
                <c:pt idx="241">
                  <c:v>1881</c:v>
                </c:pt>
                <c:pt idx="242">
                  <c:v>103</c:v>
                </c:pt>
                <c:pt idx="243">
                  <c:v>100</c:v>
                </c:pt>
                <c:pt idx="244">
                  <c:v>260</c:v>
                </c:pt>
                <c:pt idx="245">
                  <c:v>260</c:v>
                </c:pt>
                <c:pt idx="246">
                  <c:v>119</c:v>
                </c:pt>
                <c:pt idx="247">
                  <c:v>120</c:v>
                </c:pt>
                <c:pt idx="248">
                  <c:v>958</c:v>
                </c:pt>
                <c:pt idx="249">
                  <c:v>1176</c:v>
                </c:pt>
                <c:pt idx="250">
                  <c:v>264</c:v>
                </c:pt>
                <c:pt idx="251">
                  <c:v>244</c:v>
                </c:pt>
                <c:pt idx="252">
                  <c:v>180</c:v>
                </c:pt>
                <c:pt idx="253">
                  <c:v>180</c:v>
                </c:pt>
                <c:pt idx="254">
                  <c:v>340</c:v>
                </c:pt>
                <c:pt idx="255">
                  <c:v>340</c:v>
                </c:pt>
                <c:pt idx="256">
                  <c:v>0</c:v>
                </c:pt>
                <c:pt idx="257">
                  <c:v>0</c:v>
                </c:pt>
                <c:pt idx="258">
                  <c:v>68</c:v>
                </c:pt>
                <c:pt idx="259">
                  <c:v>68</c:v>
                </c:pt>
                <c:pt idx="260">
                  <c:v>0</c:v>
                </c:pt>
                <c:pt idx="261">
                  <c:v>0</c:v>
                </c:pt>
                <c:pt idx="262">
                  <c:v>0</c:v>
                </c:pt>
                <c:pt idx="263">
                  <c:v>483</c:v>
                </c:pt>
                <c:pt idx="264">
                  <c:v>220</c:v>
                </c:pt>
                <c:pt idx="265">
                  <c:v>220</c:v>
                </c:pt>
                <c:pt idx="266">
                  <c:v>262</c:v>
                </c:pt>
                <c:pt idx="267">
                  <c:v>262</c:v>
                </c:pt>
                <c:pt idx="268">
                  <c:v>100</c:v>
                </c:pt>
                <c:pt idx="269">
                  <c:v>100</c:v>
                </c:pt>
                <c:pt idx="270">
                  <c:v>219</c:v>
                </c:pt>
                <c:pt idx="271">
                  <c:v>239</c:v>
                </c:pt>
                <c:pt idx="272">
                  <c:v>120</c:v>
                </c:pt>
                <c:pt idx="273">
                  <c:v>120</c:v>
                </c:pt>
                <c:pt idx="274">
                  <c:v>560</c:v>
                </c:pt>
                <c:pt idx="275">
                  <c:v>560</c:v>
                </c:pt>
                <c:pt idx="276">
                  <c:v>195</c:v>
                </c:pt>
                <c:pt idx="277">
                  <c:v>195</c:v>
                </c:pt>
                <c:pt idx="278">
                  <c:v>160</c:v>
                </c:pt>
                <c:pt idx="279">
                  <c:v>160</c:v>
                </c:pt>
                <c:pt idx="280">
                  <c:v>180</c:v>
                </c:pt>
                <c:pt idx="281">
                  <c:v>180</c:v>
                </c:pt>
                <c:pt idx="282">
                  <c:v>133</c:v>
                </c:pt>
                <c:pt idx="283">
                  <c:v>133</c:v>
                </c:pt>
                <c:pt idx="284">
                  <c:v>4920</c:v>
                </c:pt>
                <c:pt idx="285">
                  <c:v>4920</c:v>
                </c:pt>
                <c:pt idx="286">
                  <c:v>0</c:v>
                </c:pt>
                <c:pt idx="287">
                  <c:v>0</c:v>
                </c:pt>
                <c:pt idx="288">
                  <c:v>0</c:v>
                </c:pt>
                <c:pt idx="289">
                  <c:v>0</c:v>
                </c:pt>
                <c:pt idx="290">
                  <c:v>66</c:v>
                </c:pt>
                <c:pt idx="291">
                  <c:v>66</c:v>
                </c:pt>
                <c:pt idx="292">
                  <c:v>1025</c:v>
                </c:pt>
                <c:pt idx="293">
                  <c:v>1025</c:v>
                </c:pt>
                <c:pt idx="294">
                  <c:v>0</c:v>
                </c:pt>
                <c:pt idx="295">
                  <c:v>0</c:v>
                </c:pt>
                <c:pt idx="296">
                  <c:v>16</c:v>
                </c:pt>
                <c:pt idx="297">
                  <c:v>16</c:v>
                </c:pt>
                <c:pt idx="298">
                  <c:v>103</c:v>
                </c:pt>
                <c:pt idx="299">
                  <c:v>103</c:v>
                </c:pt>
                <c:pt idx="300">
                  <c:v>3135</c:v>
                </c:pt>
                <c:pt idx="301">
                  <c:v>0</c:v>
                </c:pt>
                <c:pt idx="302">
                  <c:v>0</c:v>
                </c:pt>
                <c:pt idx="303">
                  <c:v>0</c:v>
                </c:pt>
                <c:pt idx="304">
                  <c:v>120</c:v>
                </c:pt>
                <c:pt idx="305">
                  <c:v>100</c:v>
                </c:pt>
                <c:pt idx="306">
                  <c:v>144</c:v>
                </c:pt>
                <c:pt idx="307">
                  <c:v>144</c:v>
                </c:pt>
                <c:pt idx="308">
                  <c:v>0</c:v>
                </c:pt>
                <c:pt idx="309">
                  <c:v>0</c:v>
                </c:pt>
                <c:pt idx="310">
                  <c:v>36</c:v>
                </c:pt>
                <c:pt idx="311">
                  <c:v>28</c:v>
                </c:pt>
                <c:pt idx="312">
                  <c:v>280</c:v>
                </c:pt>
                <c:pt idx="313">
                  <c:v>280</c:v>
                </c:pt>
                <c:pt idx="314">
                  <c:v>3469</c:v>
                </c:pt>
                <c:pt idx="315">
                  <c:v>0</c:v>
                </c:pt>
                <c:pt idx="316">
                  <c:v>265</c:v>
                </c:pt>
                <c:pt idx="317">
                  <c:v>591</c:v>
                </c:pt>
                <c:pt idx="318">
                  <c:v>0</c:v>
                </c:pt>
                <c:pt idx="319">
                  <c:v>0</c:v>
                </c:pt>
                <c:pt idx="320">
                  <c:v>0</c:v>
                </c:pt>
                <c:pt idx="321">
                  <c:v>0</c:v>
                </c:pt>
                <c:pt idx="322">
                  <c:v>0</c:v>
                </c:pt>
                <c:pt idx="323">
                  <c:v>0</c:v>
                </c:pt>
                <c:pt idx="324">
                  <c:v>147</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9</c:v>
                </c:pt>
                <c:pt idx="345">
                  <c:v>380</c:v>
                </c:pt>
                <c:pt idx="346">
                  <c:v>267</c:v>
                </c:pt>
                <c:pt idx="347">
                  <c:v>270</c:v>
                </c:pt>
                <c:pt idx="348">
                  <c:v>360</c:v>
                </c:pt>
                <c:pt idx="349">
                  <c:v>260</c:v>
                </c:pt>
                <c:pt idx="350">
                  <c:v>0</c:v>
                </c:pt>
                <c:pt idx="351">
                  <c:v>0</c:v>
                </c:pt>
                <c:pt idx="352">
                  <c:v>132</c:v>
                </c:pt>
                <c:pt idx="353">
                  <c:v>132</c:v>
                </c:pt>
                <c:pt idx="354">
                  <c:v>0</c:v>
                </c:pt>
                <c:pt idx="355">
                  <c:v>0</c:v>
                </c:pt>
                <c:pt idx="356">
                  <c:v>0</c:v>
                </c:pt>
                <c:pt idx="357">
                  <c:v>0</c:v>
                </c:pt>
                <c:pt idx="358">
                  <c:v>0</c:v>
                </c:pt>
                <c:pt idx="359">
                  <c:v>0</c:v>
                </c:pt>
                <c:pt idx="360">
                  <c:v>264</c:v>
                </c:pt>
                <c:pt idx="361">
                  <c:v>264</c:v>
                </c:pt>
                <c:pt idx="362">
                  <c:v>0</c:v>
                </c:pt>
                <c:pt idx="363">
                  <c:v>0</c:v>
                </c:pt>
                <c:pt idx="364">
                  <c:v>0</c:v>
                </c:pt>
                <c:pt idx="365">
                  <c:v>0</c:v>
                </c:pt>
                <c:pt idx="366">
                  <c:v>0</c:v>
                </c:pt>
                <c:pt idx="367">
                  <c:v>0</c:v>
                </c:pt>
                <c:pt idx="368">
                  <c:v>0</c:v>
                </c:pt>
                <c:pt idx="369">
                  <c:v>0</c:v>
                </c:pt>
                <c:pt idx="370">
                  <c:v>0</c:v>
                </c:pt>
                <c:pt idx="371">
                  <c:v>0</c:v>
                </c:pt>
                <c:pt idx="372">
                  <c:v>0</c:v>
                </c:pt>
                <c:pt idx="373">
                  <c:v>0</c:v>
                </c:pt>
                <c:pt idx="374">
                  <c:v>83</c:v>
                </c:pt>
                <c:pt idx="375">
                  <c:v>85</c:v>
                </c:pt>
                <c:pt idx="376">
                  <c:v>164</c:v>
                </c:pt>
                <c:pt idx="377">
                  <c:v>319</c:v>
                </c:pt>
                <c:pt idx="378">
                  <c:v>344</c:v>
                </c:pt>
                <c:pt idx="379">
                  <c:v>40</c:v>
                </c:pt>
                <c:pt idx="380">
                  <c:v>28</c:v>
                </c:pt>
                <c:pt idx="381">
                  <c:v>31</c:v>
                </c:pt>
                <c:pt idx="382">
                  <c:v>179</c:v>
                </c:pt>
                <c:pt idx="383">
                  <c:v>26</c:v>
                </c:pt>
                <c:pt idx="384">
                  <c:v>0</c:v>
                </c:pt>
                <c:pt idx="385">
                  <c:v>125</c:v>
                </c:pt>
                <c:pt idx="386">
                  <c:v>275</c:v>
                </c:pt>
                <c:pt idx="387">
                  <c:v>20</c:v>
                </c:pt>
                <c:pt idx="388">
                  <c:v>20</c:v>
                </c:pt>
                <c:pt idx="389">
                  <c:v>160</c:v>
                </c:pt>
                <c:pt idx="390">
                  <c:v>160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Dashboard'!$L$5:$M$601</c:f>
              <c:multiLvlStrCache>
                <c:ptCount val="391"/>
                <c:lvl>
                  <c:pt idx="0">
                    <c:v>2022_Q1</c:v>
                  </c:pt>
                  <c:pt idx="1">
                    <c:v>2022_Q1</c:v>
                  </c:pt>
                  <c:pt idx="2">
                    <c:v>2022_Q2</c:v>
                  </c:pt>
                  <c:pt idx="3">
                    <c:v>2022_Q1</c:v>
                  </c:pt>
                  <c:pt idx="4">
                    <c:v>2022_Q2</c:v>
                  </c:pt>
                  <c:pt idx="5">
                    <c:v>2022_Q1</c:v>
                  </c:pt>
                  <c:pt idx="6">
                    <c:v>2022_Q2</c:v>
                  </c:pt>
                  <c:pt idx="7">
                    <c:v>2022_Q1</c:v>
                  </c:pt>
                  <c:pt idx="8">
                    <c:v>2022_Q2</c:v>
                  </c:pt>
                  <c:pt idx="9">
                    <c:v>2022_Q1</c:v>
                  </c:pt>
                  <c:pt idx="10">
                    <c:v>2022_Q2</c:v>
                  </c:pt>
                  <c:pt idx="11">
                    <c:v>2022_Q1</c:v>
                  </c:pt>
                  <c:pt idx="12">
                    <c:v>2022_Q2</c:v>
                  </c:pt>
                  <c:pt idx="13">
                    <c:v>2022_Q1</c:v>
                  </c:pt>
                  <c:pt idx="14">
                    <c:v>2022_Q2</c:v>
                  </c:pt>
                  <c:pt idx="15">
                    <c:v>2022_Q1</c:v>
                  </c:pt>
                  <c:pt idx="16">
                    <c:v>2022_Q2</c:v>
                  </c:pt>
                  <c:pt idx="17">
                    <c:v>2022_Q1</c:v>
                  </c:pt>
                  <c:pt idx="18">
                    <c:v>2022_Q2</c:v>
                  </c:pt>
                  <c:pt idx="19">
                    <c:v>2022_Q1</c:v>
                  </c:pt>
                  <c:pt idx="20">
                    <c:v>2022_Q2</c:v>
                  </c:pt>
                  <c:pt idx="21">
                    <c:v>2022_Q1</c:v>
                  </c:pt>
                  <c:pt idx="22">
                    <c:v>2022_Q2</c:v>
                  </c:pt>
                  <c:pt idx="23">
                    <c:v>2022_Q1</c:v>
                  </c:pt>
                  <c:pt idx="24">
                    <c:v>2022_Q2</c:v>
                  </c:pt>
                  <c:pt idx="25">
                    <c:v>2022_Q1</c:v>
                  </c:pt>
                  <c:pt idx="26">
                    <c:v>2022_Q2</c:v>
                  </c:pt>
                  <c:pt idx="27">
                    <c:v>2022_Q1</c:v>
                  </c:pt>
                  <c:pt idx="28">
                    <c:v>2022_Q2</c:v>
                  </c:pt>
                  <c:pt idx="29">
                    <c:v>2022_Q1</c:v>
                  </c:pt>
                  <c:pt idx="30">
                    <c:v>2022_Q2</c:v>
                  </c:pt>
                  <c:pt idx="31">
                    <c:v>2022_Q1</c:v>
                  </c:pt>
                  <c:pt idx="32">
                    <c:v>2022_Q2</c:v>
                  </c:pt>
                  <c:pt idx="33">
                    <c:v>2022_Q1</c:v>
                  </c:pt>
                  <c:pt idx="34">
                    <c:v>2022_Q2</c:v>
                  </c:pt>
                  <c:pt idx="35">
                    <c:v>2022_Q1</c:v>
                  </c:pt>
                  <c:pt idx="36">
                    <c:v>2022_Q2</c:v>
                  </c:pt>
                  <c:pt idx="37">
                    <c:v>2022_Q1</c:v>
                  </c:pt>
                  <c:pt idx="38">
                    <c:v>2022_Q2</c:v>
                  </c:pt>
                  <c:pt idx="39">
                    <c:v>2022_Q1</c:v>
                  </c:pt>
                  <c:pt idx="40">
                    <c:v>2022_Q2</c:v>
                  </c:pt>
                  <c:pt idx="41">
                    <c:v>2022_Q1</c:v>
                  </c:pt>
                  <c:pt idx="42">
                    <c:v>2022_Q2</c:v>
                  </c:pt>
                  <c:pt idx="43">
                    <c:v>2022_Q1</c:v>
                  </c:pt>
                  <c:pt idx="44">
                    <c:v>2022_Q2</c:v>
                  </c:pt>
                  <c:pt idx="45">
                    <c:v>2022_Q1</c:v>
                  </c:pt>
                  <c:pt idx="46">
                    <c:v>2022_Q2</c:v>
                  </c:pt>
                  <c:pt idx="47">
                    <c:v>2022_Q1</c:v>
                  </c:pt>
                  <c:pt idx="48">
                    <c:v>2022_Q2</c:v>
                  </c:pt>
                  <c:pt idx="49">
                    <c:v>2022_Q1</c:v>
                  </c:pt>
                  <c:pt idx="50">
                    <c:v>2022_Q2</c:v>
                  </c:pt>
                  <c:pt idx="51">
                    <c:v>2022_Q1</c:v>
                  </c:pt>
                  <c:pt idx="52">
                    <c:v>2022_Q2</c:v>
                  </c:pt>
                  <c:pt idx="53">
                    <c:v>2022_Q1</c:v>
                  </c:pt>
                  <c:pt idx="54">
                    <c:v>2022_Q2</c:v>
                  </c:pt>
                  <c:pt idx="55">
                    <c:v>2022_Q1</c:v>
                  </c:pt>
                  <c:pt idx="56">
                    <c:v>2022_Q2</c:v>
                  </c:pt>
                  <c:pt idx="57">
                    <c:v>2022_Q1</c:v>
                  </c:pt>
                  <c:pt idx="58">
                    <c:v>2022_Q2</c:v>
                  </c:pt>
                  <c:pt idx="59">
                    <c:v>2022_Q1</c:v>
                  </c:pt>
                  <c:pt idx="60">
                    <c:v>2022_Q2</c:v>
                  </c:pt>
                  <c:pt idx="61">
                    <c:v>2022_Q1</c:v>
                  </c:pt>
                  <c:pt idx="62">
                    <c:v>2022_Q2</c:v>
                  </c:pt>
                  <c:pt idx="63">
                    <c:v>2022_Q1</c:v>
                  </c:pt>
                  <c:pt idx="64">
                    <c:v>2022_Q2</c:v>
                  </c:pt>
                  <c:pt idx="65">
                    <c:v>2022_Q1</c:v>
                  </c:pt>
                  <c:pt idx="66">
                    <c:v>2022_Q2</c:v>
                  </c:pt>
                  <c:pt idx="67">
                    <c:v>2022_Q1</c:v>
                  </c:pt>
                  <c:pt idx="68">
                    <c:v>2022_Q2</c:v>
                  </c:pt>
                  <c:pt idx="69">
                    <c:v>2022_Q1</c:v>
                  </c:pt>
                  <c:pt idx="70">
                    <c:v>2022_Q2</c:v>
                  </c:pt>
                  <c:pt idx="71">
                    <c:v>2022_Q1</c:v>
                  </c:pt>
                  <c:pt idx="72">
                    <c:v>2022_Q2</c:v>
                  </c:pt>
                  <c:pt idx="73">
                    <c:v>2022_Q1</c:v>
                  </c:pt>
                  <c:pt idx="74">
                    <c:v>2022_Q2</c:v>
                  </c:pt>
                  <c:pt idx="75">
                    <c:v>2022_Q1</c:v>
                  </c:pt>
                  <c:pt idx="76">
                    <c:v>2022_Q2</c:v>
                  </c:pt>
                  <c:pt idx="77">
                    <c:v>2022_Q1</c:v>
                  </c:pt>
                  <c:pt idx="78">
                    <c:v>2022_Q2</c:v>
                  </c:pt>
                  <c:pt idx="79">
                    <c:v>2022_Q1</c:v>
                  </c:pt>
                  <c:pt idx="80">
                    <c:v>2022_Q2</c:v>
                  </c:pt>
                  <c:pt idx="81">
                    <c:v>2022_Q1</c:v>
                  </c:pt>
                  <c:pt idx="82">
                    <c:v>2022_Q1</c:v>
                  </c:pt>
                  <c:pt idx="83">
                    <c:v>2022_Q2</c:v>
                  </c:pt>
                  <c:pt idx="84">
                    <c:v>2022_Q1</c:v>
                  </c:pt>
                  <c:pt idx="85">
                    <c:v>2022_Q2</c:v>
                  </c:pt>
                  <c:pt idx="86">
                    <c:v>2022_Q1</c:v>
                  </c:pt>
                  <c:pt idx="87">
                    <c:v>2022_Q2</c:v>
                  </c:pt>
                  <c:pt idx="88">
                    <c:v>2022_Q1</c:v>
                  </c:pt>
                  <c:pt idx="89">
                    <c:v>2022_Q2</c:v>
                  </c:pt>
                  <c:pt idx="90">
                    <c:v>2022_Q1</c:v>
                  </c:pt>
                  <c:pt idx="91">
                    <c:v>2022_Q2</c:v>
                  </c:pt>
                  <c:pt idx="92">
                    <c:v>2022_Q1</c:v>
                  </c:pt>
                  <c:pt idx="93">
                    <c:v>2022_Q2</c:v>
                  </c:pt>
                  <c:pt idx="94">
                    <c:v>2022_Q1</c:v>
                  </c:pt>
                  <c:pt idx="95">
                    <c:v>2022_Q2</c:v>
                  </c:pt>
                  <c:pt idx="96">
                    <c:v>2022_Q1</c:v>
                  </c:pt>
                  <c:pt idx="97">
                    <c:v>2022_Q2</c:v>
                  </c:pt>
                  <c:pt idx="98">
                    <c:v>2022_Q1</c:v>
                  </c:pt>
                  <c:pt idx="99">
                    <c:v>2022_Q2</c:v>
                  </c:pt>
                  <c:pt idx="100">
                    <c:v>2022_Q1</c:v>
                  </c:pt>
                  <c:pt idx="101">
                    <c:v>2022_Q2</c:v>
                  </c:pt>
                  <c:pt idx="102">
                    <c:v>2022_Q1</c:v>
                  </c:pt>
                  <c:pt idx="103">
                    <c:v>2022_Q2</c:v>
                  </c:pt>
                  <c:pt idx="104">
                    <c:v>2022_Q1</c:v>
                  </c:pt>
                  <c:pt idx="105">
                    <c:v>2022_Q2</c:v>
                  </c:pt>
                  <c:pt idx="106">
                    <c:v>2022_Q1</c:v>
                  </c:pt>
                  <c:pt idx="107">
                    <c:v>2022_Q1</c:v>
                  </c:pt>
                  <c:pt idx="108">
                    <c:v>2022_Q2</c:v>
                  </c:pt>
                  <c:pt idx="109">
                    <c:v>2022_Q1</c:v>
                  </c:pt>
                  <c:pt idx="110">
                    <c:v>2022_Q2</c:v>
                  </c:pt>
                  <c:pt idx="111">
                    <c:v>2022_Q1</c:v>
                  </c:pt>
                  <c:pt idx="112">
                    <c:v>2022_Q2</c:v>
                  </c:pt>
                  <c:pt idx="113">
                    <c:v>2022_Q1</c:v>
                  </c:pt>
                  <c:pt idx="114">
                    <c:v>2022_Q2</c:v>
                  </c:pt>
                  <c:pt idx="115">
                    <c:v>2022_Q1</c:v>
                  </c:pt>
                  <c:pt idx="116">
                    <c:v>2022_Q2</c:v>
                  </c:pt>
                  <c:pt idx="117">
                    <c:v>2022_Q1</c:v>
                  </c:pt>
                  <c:pt idx="118">
                    <c:v>2022_Q2</c:v>
                  </c:pt>
                  <c:pt idx="119">
                    <c:v>2022_Q1</c:v>
                  </c:pt>
                  <c:pt idx="120">
                    <c:v>2022_Q2</c:v>
                  </c:pt>
                  <c:pt idx="121">
                    <c:v>2022_Q1</c:v>
                  </c:pt>
                  <c:pt idx="122">
                    <c:v>2022_Q2</c:v>
                  </c:pt>
                  <c:pt idx="123">
                    <c:v>2022_Q1</c:v>
                  </c:pt>
                  <c:pt idx="124">
                    <c:v>2022_Q2</c:v>
                  </c:pt>
                  <c:pt idx="125">
                    <c:v>2022_Q1</c:v>
                  </c:pt>
                  <c:pt idx="126">
                    <c:v>2022_Q2</c:v>
                  </c:pt>
                  <c:pt idx="127">
                    <c:v>2022_Q1</c:v>
                  </c:pt>
                  <c:pt idx="128">
                    <c:v>2022_Q2</c:v>
                  </c:pt>
                  <c:pt idx="129">
                    <c:v>2022_Q1</c:v>
                  </c:pt>
                  <c:pt idx="130">
                    <c:v>2022_Q2</c:v>
                  </c:pt>
                  <c:pt idx="131">
                    <c:v>2022_Q1</c:v>
                  </c:pt>
                  <c:pt idx="132">
                    <c:v>2022_Q2</c:v>
                  </c:pt>
                  <c:pt idx="133">
                    <c:v>2022_Q1</c:v>
                  </c:pt>
                  <c:pt idx="134">
                    <c:v>2022_Q2</c:v>
                  </c:pt>
                  <c:pt idx="135">
                    <c:v>2022_Q1</c:v>
                  </c:pt>
                  <c:pt idx="136">
                    <c:v>2022_Q2</c:v>
                  </c:pt>
                  <c:pt idx="137">
                    <c:v>2022_Q1</c:v>
                  </c:pt>
                  <c:pt idx="138">
                    <c:v>2022_Q2</c:v>
                  </c:pt>
                  <c:pt idx="139">
                    <c:v>2022_Q1</c:v>
                  </c:pt>
                  <c:pt idx="140">
                    <c:v>2022_Q2</c:v>
                  </c:pt>
                  <c:pt idx="141">
                    <c:v>2022_Q1</c:v>
                  </c:pt>
                  <c:pt idx="142">
                    <c:v>2022_Q2</c:v>
                  </c:pt>
                  <c:pt idx="143">
                    <c:v>2022_Q1</c:v>
                  </c:pt>
                  <c:pt idx="144">
                    <c:v>2022_Q2</c:v>
                  </c:pt>
                  <c:pt idx="145">
                    <c:v>2022_Q1</c:v>
                  </c:pt>
                  <c:pt idx="146">
                    <c:v>2022_Q2</c:v>
                  </c:pt>
                  <c:pt idx="147">
                    <c:v>2022_Q1</c:v>
                  </c:pt>
                  <c:pt idx="148">
                    <c:v>2022_Q2</c:v>
                  </c:pt>
                  <c:pt idx="149">
                    <c:v>2022_Q1</c:v>
                  </c:pt>
                  <c:pt idx="150">
                    <c:v>2022_Q2</c:v>
                  </c:pt>
                  <c:pt idx="151">
                    <c:v>2022_Q1</c:v>
                  </c:pt>
                  <c:pt idx="152">
                    <c:v>2022_Q2</c:v>
                  </c:pt>
                  <c:pt idx="153">
                    <c:v>2022_Q1</c:v>
                  </c:pt>
                  <c:pt idx="154">
                    <c:v>2022_Q2</c:v>
                  </c:pt>
                  <c:pt idx="155">
                    <c:v>2022_Q1</c:v>
                  </c:pt>
                  <c:pt idx="156">
                    <c:v>2022_Q2</c:v>
                  </c:pt>
                  <c:pt idx="157">
                    <c:v>2022_Q1</c:v>
                  </c:pt>
                  <c:pt idx="158">
                    <c:v>2022_Q2</c:v>
                  </c:pt>
                  <c:pt idx="159">
                    <c:v>2022_Q1</c:v>
                  </c:pt>
                  <c:pt idx="160">
                    <c:v>2022_Q2</c:v>
                  </c:pt>
                  <c:pt idx="161">
                    <c:v>2022_Q1</c:v>
                  </c:pt>
                  <c:pt idx="162">
                    <c:v>2022_Q2</c:v>
                  </c:pt>
                  <c:pt idx="163">
                    <c:v>2022_Q1</c:v>
                  </c:pt>
                  <c:pt idx="164">
                    <c:v>2022_Q2</c:v>
                  </c:pt>
                  <c:pt idx="165">
                    <c:v>2022_Q1</c:v>
                  </c:pt>
                  <c:pt idx="166">
                    <c:v>2022_Q2</c:v>
                  </c:pt>
                  <c:pt idx="167">
                    <c:v>2022_Q1</c:v>
                  </c:pt>
                  <c:pt idx="168">
                    <c:v>2022_Q2</c:v>
                  </c:pt>
                  <c:pt idx="169">
                    <c:v>2022_Q1</c:v>
                  </c:pt>
                  <c:pt idx="170">
                    <c:v>2022_Q2</c:v>
                  </c:pt>
                  <c:pt idx="171">
                    <c:v>2022_Q1</c:v>
                  </c:pt>
                  <c:pt idx="172">
                    <c:v>2022_Q2</c:v>
                  </c:pt>
                  <c:pt idx="173">
                    <c:v>2022_Q1</c:v>
                  </c:pt>
                  <c:pt idx="174">
                    <c:v>2022_Q2</c:v>
                  </c:pt>
                  <c:pt idx="175">
                    <c:v>2022_Q1</c:v>
                  </c:pt>
                  <c:pt idx="176">
                    <c:v>2022_Q2</c:v>
                  </c:pt>
                  <c:pt idx="177">
                    <c:v>2022_Q1</c:v>
                  </c:pt>
                  <c:pt idx="178">
                    <c:v>2022_Q2</c:v>
                  </c:pt>
                  <c:pt idx="179">
                    <c:v>2022_Q1</c:v>
                  </c:pt>
                  <c:pt idx="180">
                    <c:v>2022_Q2</c:v>
                  </c:pt>
                  <c:pt idx="181">
                    <c:v>2022_Q1</c:v>
                  </c:pt>
                  <c:pt idx="182">
                    <c:v>2022_Q2</c:v>
                  </c:pt>
                  <c:pt idx="183">
                    <c:v>2022_Q1</c:v>
                  </c:pt>
                  <c:pt idx="184">
                    <c:v>2022_Q2</c:v>
                  </c:pt>
                  <c:pt idx="185">
                    <c:v>2022_Q1</c:v>
                  </c:pt>
                  <c:pt idx="186">
                    <c:v>2022_Q2</c:v>
                  </c:pt>
                  <c:pt idx="187">
                    <c:v>2022_Q1</c:v>
                  </c:pt>
                  <c:pt idx="188">
                    <c:v>2022_Q2</c:v>
                  </c:pt>
                  <c:pt idx="189">
                    <c:v>2022_Q1</c:v>
                  </c:pt>
                  <c:pt idx="190">
                    <c:v>2022_Q2</c:v>
                  </c:pt>
                  <c:pt idx="191">
                    <c:v>2022_Q1</c:v>
                  </c:pt>
                  <c:pt idx="192">
                    <c:v>2022_Q2</c:v>
                  </c:pt>
                  <c:pt idx="193">
                    <c:v>2022_Q1</c:v>
                  </c:pt>
                  <c:pt idx="194">
                    <c:v>2022_Q2</c:v>
                  </c:pt>
                  <c:pt idx="195">
                    <c:v>2022_Q1</c:v>
                  </c:pt>
                  <c:pt idx="196">
                    <c:v>2022_Q2</c:v>
                  </c:pt>
                  <c:pt idx="197">
                    <c:v>2022_Q1</c:v>
                  </c:pt>
                  <c:pt idx="198">
                    <c:v>2022_Q2</c:v>
                  </c:pt>
                  <c:pt idx="199">
                    <c:v>2022_Q1</c:v>
                  </c:pt>
                  <c:pt idx="200">
                    <c:v>2022_Q2</c:v>
                  </c:pt>
                  <c:pt idx="201">
                    <c:v>2022_Q1</c:v>
                  </c:pt>
                  <c:pt idx="202">
                    <c:v>2022_Q2</c:v>
                  </c:pt>
                  <c:pt idx="203">
                    <c:v>2022_Q1</c:v>
                  </c:pt>
                  <c:pt idx="204">
                    <c:v>2022_Q2</c:v>
                  </c:pt>
                  <c:pt idx="205">
                    <c:v>2022_Q1</c:v>
                  </c:pt>
                  <c:pt idx="206">
                    <c:v>2022_Q2</c:v>
                  </c:pt>
                  <c:pt idx="207">
                    <c:v>2022_Q1</c:v>
                  </c:pt>
                  <c:pt idx="208">
                    <c:v>2022_Q2</c:v>
                  </c:pt>
                  <c:pt idx="209">
                    <c:v>2022_Q1</c:v>
                  </c:pt>
                  <c:pt idx="210">
                    <c:v>2022_Q2</c:v>
                  </c:pt>
                  <c:pt idx="211">
                    <c:v>2022_Q1</c:v>
                  </c:pt>
                  <c:pt idx="212">
                    <c:v>2022_Q2</c:v>
                  </c:pt>
                  <c:pt idx="213">
                    <c:v>2022_Q1</c:v>
                  </c:pt>
                  <c:pt idx="214">
                    <c:v>2022_Q2</c:v>
                  </c:pt>
                  <c:pt idx="215">
                    <c:v>2022_Q1</c:v>
                  </c:pt>
                  <c:pt idx="216">
                    <c:v>2022_Q2</c:v>
                  </c:pt>
                  <c:pt idx="217">
                    <c:v>2022_Q1</c:v>
                  </c:pt>
                  <c:pt idx="218">
                    <c:v>2022_Q2</c:v>
                  </c:pt>
                  <c:pt idx="219">
                    <c:v>2022_Q1</c:v>
                  </c:pt>
                  <c:pt idx="220">
                    <c:v>2022_Q1</c:v>
                  </c:pt>
                  <c:pt idx="221">
                    <c:v>2022_Q2</c:v>
                  </c:pt>
                  <c:pt idx="222">
                    <c:v>2022_Q1</c:v>
                  </c:pt>
                  <c:pt idx="223">
                    <c:v>2022_Q2</c:v>
                  </c:pt>
                  <c:pt idx="224">
                    <c:v>2022_Q1</c:v>
                  </c:pt>
                  <c:pt idx="225">
                    <c:v>2022_Q2</c:v>
                  </c:pt>
                  <c:pt idx="226">
                    <c:v>2022_Q1</c:v>
                  </c:pt>
                  <c:pt idx="227">
                    <c:v>2022_Q2</c:v>
                  </c:pt>
                  <c:pt idx="228">
                    <c:v>2022_Q1</c:v>
                  </c:pt>
                  <c:pt idx="229">
                    <c:v>2022_Q2</c:v>
                  </c:pt>
                  <c:pt idx="230">
                    <c:v>2022_Q1</c:v>
                  </c:pt>
                  <c:pt idx="231">
                    <c:v>2022_Q2</c:v>
                  </c:pt>
                  <c:pt idx="232">
                    <c:v>2022_Q1</c:v>
                  </c:pt>
                  <c:pt idx="233">
                    <c:v>2022_Q2</c:v>
                  </c:pt>
                  <c:pt idx="234">
                    <c:v>2022_Q1</c:v>
                  </c:pt>
                  <c:pt idx="235">
                    <c:v>2022_Q2</c:v>
                  </c:pt>
                  <c:pt idx="236">
                    <c:v>2022_Q1</c:v>
                  </c:pt>
                  <c:pt idx="237">
                    <c:v>2022_Q2</c:v>
                  </c:pt>
                  <c:pt idx="238">
                    <c:v>2022_Q1</c:v>
                  </c:pt>
                  <c:pt idx="239">
                    <c:v>2022_Q2</c:v>
                  </c:pt>
                  <c:pt idx="240">
                    <c:v>2022_Q1</c:v>
                  </c:pt>
                  <c:pt idx="241">
                    <c:v>2022_Q2</c:v>
                  </c:pt>
                  <c:pt idx="242">
                    <c:v>2022_Q1</c:v>
                  </c:pt>
                  <c:pt idx="243">
                    <c:v>2022_Q2</c:v>
                  </c:pt>
                  <c:pt idx="244">
                    <c:v>2022_Q1</c:v>
                  </c:pt>
                  <c:pt idx="245">
                    <c:v>2022_Q2</c:v>
                  </c:pt>
                  <c:pt idx="246">
                    <c:v>2022_Q1</c:v>
                  </c:pt>
                  <c:pt idx="247">
                    <c:v>2022_Q2</c:v>
                  </c:pt>
                  <c:pt idx="248">
                    <c:v>2022_Q1</c:v>
                  </c:pt>
                  <c:pt idx="249">
                    <c:v>2022_Q2</c:v>
                  </c:pt>
                  <c:pt idx="250">
                    <c:v>2022_Q1</c:v>
                  </c:pt>
                  <c:pt idx="251">
                    <c:v>2022_Q2</c:v>
                  </c:pt>
                  <c:pt idx="252">
                    <c:v>2022_Q1</c:v>
                  </c:pt>
                  <c:pt idx="253">
                    <c:v>2022_Q2</c:v>
                  </c:pt>
                  <c:pt idx="254">
                    <c:v>2022_Q1</c:v>
                  </c:pt>
                  <c:pt idx="255">
                    <c:v>2022_Q2</c:v>
                  </c:pt>
                  <c:pt idx="256">
                    <c:v>2022_Q1</c:v>
                  </c:pt>
                  <c:pt idx="257">
                    <c:v>2022_Q2</c:v>
                  </c:pt>
                  <c:pt idx="258">
                    <c:v>2022_Q1</c:v>
                  </c:pt>
                  <c:pt idx="259">
                    <c:v>2022_Q2</c:v>
                  </c:pt>
                  <c:pt idx="260">
                    <c:v>2022_Q1</c:v>
                  </c:pt>
                  <c:pt idx="261">
                    <c:v>2022_Q2</c:v>
                  </c:pt>
                  <c:pt idx="262">
                    <c:v>2022_Q1</c:v>
                  </c:pt>
                  <c:pt idx="263">
                    <c:v>2022_Q2</c:v>
                  </c:pt>
                  <c:pt idx="264">
                    <c:v>2022_Q1</c:v>
                  </c:pt>
                  <c:pt idx="265">
                    <c:v>2022_Q2</c:v>
                  </c:pt>
                  <c:pt idx="266">
                    <c:v>2022_Q1</c:v>
                  </c:pt>
                  <c:pt idx="267">
                    <c:v>2022_Q2</c:v>
                  </c:pt>
                  <c:pt idx="268">
                    <c:v>2022_Q1</c:v>
                  </c:pt>
                  <c:pt idx="269">
                    <c:v>2022_Q2</c:v>
                  </c:pt>
                  <c:pt idx="270">
                    <c:v>2022_Q1</c:v>
                  </c:pt>
                  <c:pt idx="271">
                    <c:v>2022_Q2</c:v>
                  </c:pt>
                  <c:pt idx="272">
                    <c:v>2022_Q1</c:v>
                  </c:pt>
                  <c:pt idx="273">
                    <c:v>2022_Q2</c:v>
                  </c:pt>
                  <c:pt idx="274">
                    <c:v>2022_Q1</c:v>
                  </c:pt>
                  <c:pt idx="275">
                    <c:v>2022_Q2</c:v>
                  </c:pt>
                  <c:pt idx="276">
                    <c:v>2022_Q1</c:v>
                  </c:pt>
                  <c:pt idx="277">
                    <c:v>2022_Q2</c:v>
                  </c:pt>
                  <c:pt idx="278">
                    <c:v>2022_Q1</c:v>
                  </c:pt>
                  <c:pt idx="279">
                    <c:v>2022_Q2</c:v>
                  </c:pt>
                  <c:pt idx="280">
                    <c:v>2022_Q1</c:v>
                  </c:pt>
                  <c:pt idx="281">
                    <c:v>2022_Q2</c:v>
                  </c:pt>
                  <c:pt idx="282">
                    <c:v>2022_Q1</c:v>
                  </c:pt>
                  <c:pt idx="283">
                    <c:v>2022_Q2</c:v>
                  </c:pt>
                  <c:pt idx="284">
                    <c:v>2022_Q1</c:v>
                  </c:pt>
                  <c:pt idx="285">
                    <c:v>2022_Q2</c:v>
                  </c:pt>
                  <c:pt idx="286">
                    <c:v>2022_Q1</c:v>
                  </c:pt>
                  <c:pt idx="287">
                    <c:v>2022_Q2</c:v>
                  </c:pt>
                  <c:pt idx="288">
                    <c:v>2022_Q1</c:v>
                  </c:pt>
                  <c:pt idx="289">
                    <c:v>2022_Q2</c:v>
                  </c:pt>
                  <c:pt idx="290">
                    <c:v>2022_Q1</c:v>
                  </c:pt>
                  <c:pt idx="291">
                    <c:v>2022_Q2</c:v>
                  </c:pt>
                  <c:pt idx="292">
                    <c:v>2022_Q1</c:v>
                  </c:pt>
                  <c:pt idx="293">
                    <c:v>2022_Q2</c:v>
                  </c:pt>
                  <c:pt idx="294">
                    <c:v>2022_Q1</c:v>
                  </c:pt>
                  <c:pt idx="295">
                    <c:v>2022_Q2</c:v>
                  </c:pt>
                  <c:pt idx="296">
                    <c:v>2022_Q1</c:v>
                  </c:pt>
                  <c:pt idx="297">
                    <c:v>2022_Q2</c:v>
                  </c:pt>
                  <c:pt idx="298">
                    <c:v>2022_Q1</c:v>
                  </c:pt>
                  <c:pt idx="299">
                    <c:v>2022_Q2</c:v>
                  </c:pt>
                  <c:pt idx="300">
                    <c:v>2022_Q2</c:v>
                  </c:pt>
                  <c:pt idx="301">
                    <c:v>2022_Q1</c:v>
                  </c:pt>
                  <c:pt idx="302">
                    <c:v>2022_Q1</c:v>
                  </c:pt>
                  <c:pt idx="303">
                    <c:v>2022_Q2</c:v>
                  </c:pt>
                  <c:pt idx="304">
                    <c:v>2022_Q1</c:v>
                  </c:pt>
                  <c:pt idx="305">
                    <c:v>2022_Q2</c:v>
                  </c:pt>
                  <c:pt idx="306">
                    <c:v>2022_Q1</c:v>
                  </c:pt>
                  <c:pt idx="307">
                    <c:v>2022_Q2</c:v>
                  </c:pt>
                  <c:pt idx="308">
                    <c:v>2022_Q1</c:v>
                  </c:pt>
                  <c:pt idx="309">
                    <c:v>2022_Q2</c:v>
                  </c:pt>
                  <c:pt idx="310">
                    <c:v>2022_Q1</c:v>
                  </c:pt>
                  <c:pt idx="311">
                    <c:v>2022_Q2</c:v>
                  </c:pt>
                  <c:pt idx="312">
                    <c:v>2022_Q1</c:v>
                  </c:pt>
                  <c:pt idx="313">
                    <c:v>2022_Q2</c:v>
                  </c:pt>
                  <c:pt idx="314">
                    <c:v>2022_Q1</c:v>
                  </c:pt>
                  <c:pt idx="315">
                    <c:v>2022_Q2</c:v>
                  </c:pt>
                  <c:pt idx="316">
                    <c:v>2022_Q1</c:v>
                  </c:pt>
                  <c:pt idx="317">
                    <c:v>2022_Q2</c:v>
                  </c:pt>
                  <c:pt idx="318">
                    <c:v>2022_Q1</c:v>
                  </c:pt>
                  <c:pt idx="319">
                    <c:v>2022_Q2</c:v>
                  </c:pt>
                  <c:pt idx="320">
                    <c:v>2022_Q1</c:v>
                  </c:pt>
                  <c:pt idx="321">
                    <c:v>2022_Q1</c:v>
                  </c:pt>
                  <c:pt idx="322">
                    <c:v>2022_Q2</c:v>
                  </c:pt>
                  <c:pt idx="323">
                    <c:v>2022_Q1</c:v>
                  </c:pt>
                  <c:pt idx="324">
                    <c:v>2022_Q2</c:v>
                  </c:pt>
                  <c:pt idx="325">
                    <c:v>2022_Q1</c:v>
                  </c:pt>
                  <c:pt idx="326">
                    <c:v>2022_Q2</c:v>
                  </c:pt>
                  <c:pt idx="327">
                    <c:v>2022_Q1</c:v>
                  </c:pt>
                  <c:pt idx="328">
                    <c:v>2022_Q2</c:v>
                  </c:pt>
                  <c:pt idx="329">
                    <c:v>2022_Q1</c:v>
                  </c:pt>
                  <c:pt idx="330">
                    <c:v>2022_Q1</c:v>
                  </c:pt>
                  <c:pt idx="331">
                    <c:v>2022_Q2</c:v>
                  </c:pt>
                  <c:pt idx="332">
                    <c:v>2022_Q1</c:v>
                  </c:pt>
                  <c:pt idx="333">
                    <c:v>2022_Q1</c:v>
                  </c:pt>
                  <c:pt idx="334">
                    <c:v>2022_Q1</c:v>
                  </c:pt>
                  <c:pt idx="335">
                    <c:v>2022_Q2</c:v>
                  </c:pt>
                  <c:pt idx="336">
                    <c:v>2022_Q1</c:v>
                  </c:pt>
                  <c:pt idx="337">
                    <c:v>2022_Q2</c:v>
                  </c:pt>
                  <c:pt idx="338">
                    <c:v>2022_Q1</c:v>
                  </c:pt>
                  <c:pt idx="339">
                    <c:v>2022_Q2</c:v>
                  </c:pt>
                  <c:pt idx="340">
                    <c:v>2022_Q1</c:v>
                  </c:pt>
                  <c:pt idx="341">
                    <c:v>2022_Q2</c:v>
                  </c:pt>
                  <c:pt idx="342">
                    <c:v>2022_Q2</c:v>
                  </c:pt>
                  <c:pt idx="343">
                    <c:v>2022_Q2</c:v>
                  </c:pt>
                  <c:pt idx="344">
                    <c:v>2022_Q1</c:v>
                  </c:pt>
                  <c:pt idx="345">
                    <c:v>2022_Q2</c:v>
                  </c:pt>
                  <c:pt idx="346">
                    <c:v>2022_Q1</c:v>
                  </c:pt>
                  <c:pt idx="347">
                    <c:v>2022_Q2</c:v>
                  </c:pt>
                  <c:pt idx="348">
                    <c:v>2022_Q1</c:v>
                  </c:pt>
                  <c:pt idx="349">
                    <c:v>2022_Q2</c:v>
                  </c:pt>
                  <c:pt idx="350">
                    <c:v>2022_Q1</c:v>
                  </c:pt>
                  <c:pt idx="351">
                    <c:v>2022_Q2</c:v>
                  </c:pt>
                  <c:pt idx="352">
                    <c:v>2022_Q1</c:v>
                  </c:pt>
                  <c:pt idx="353">
                    <c:v>2022_Q2</c:v>
                  </c:pt>
                  <c:pt idx="354">
                    <c:v>2022_Q1</c:v>
                  </c:pt>
                  <c:pt idx="355">
                    <c:v>2022_Q2</c:v>
                  </c:pt>
                  <c:pt idx="356">
                    <c:v>2022_Q1</c:v>
                  </c:pt>
                  <c:pt idx="357">
                    <c:v>2022_Q2</c:v>
                  </c:pt>
                  <c:pt idx="358">
                    <c:v>2022_Q1</c:v>
                  </c:pt>
                  <c:pt idx="359">
                    <c:v>2022_Q2</c:v>
                  </c:pt>
                  <c:pt idx="360">
                    <c:v>2022_Q1</c:v>
                  </c:pt>
                  <c:pt idx="361">
                    <c:v>2022_Q2</c:v>
                  </c:pt>
                  <c:pt idx="362">
                    <c:v>2022_Q1</c:v>
                  </c:pt>
                  <c:pt idx="363">
                    <c:v>2022_Q2</c:v>
                  </c:pt>
                  <c:pt idx="364">
                    <c:v>2022_Q1</c:v>
                  </c:pt>
                  <c:pt idx="365">
                    <c:v>2022_Q2</c:v>
                  </c:pt>
                  <c:pt idx="366">
                    <c:v>2022_Q1</c:v>
                  </c:pt>
                  <c:pt idx="367">
                    <c:v>2022_Q2</c:v>
                  </c:pt>
                  <c:pt idx="368">
                    <c:v>2022_Q1</c:v>
                  </c:pt>
                  <c:pt idx="369">
                    <c:v>2022_Q2</c:v>
                  </c:pt>
                  <c:pt idx="370">
                    <c:v>2022_Q1</c:v>
                  </c:pt>
                  <c:pt idx="371">
                    <c:v>2022_Q2</c:v>
                  </c:pt>
                  <c:pt idx="372">
                    <c:v>2022_Q1</c:v>
                  </c:pt>
                  <c:pt idx="373">
                    <c:v>2022_Q2</c:v>
                  </c:pt>
                  <c:pt idx="374">
                    <c:v>2022_Q1</c:v>
                  </c:pt>
                  <c:pt idx="375">
                    <c:v>2022_Q2</c:v>
                  </c:pt>
                  <c:pt idx="376">
                    <c:v>2022_Q1</c:v>
                  </c:pt>
                  <c:pt idx="377">
                    <c:v>2022_Q1</c:v>
                  </c:pt>
                  <c:pt idx="378">
                    <c:v>2022_Q2</c:v>
                  </c:pt>
                  <c:pt idx="379">
                    <c:v>2022_Q2</c:v>
                  </c:pt>
                  <c:pt idx="380">
                    <c:v>2022_Q2</c:v>
                  </c:pt>
                  <c:pt idx="381">
                    <c:v>2022_Q2</c:v>
                  </c:pt>
                  <c:pt idx="382">
                    <c:v>2022_Q2</c:v>
                  </c:pt>
                  <c:pt idx="383">
                    <c:v>2022_Q2</c:v>
                  </c:pt>
                  <c:pt idx="384">
                    <c:v>2022_Q2</c:v>
                  </c:pt>
                  <c:pt idx="385">
                    <c:v>2022_Q1</c:v>
                  </c:pt>
                  <c:pt idx="386">
                    <c:v>2022_Q2</c:v>
                  </c:pt>
                  <c:pt idx="387">
                    <c:v>2022_Q1</c:v>
                  </c:pt>
                  <c:pt idx="388">
                    <c:v>2022_Q2</c:v>
                  </c:pt>
                  <c:pt idx="389">
                    <c:v>2022_Q1</c:v>
                  </c:pt>
                  <c:pt idx="390">
                    <c:v>2022_Q2</c:v>
                  </c:pt>
                </c:lvl>
                <c:lvl>
                  <c:pt idx="0">
                    <c:v>AD-2000 Extension camp</c:v>
                  </c:pt>
                  <c:pt idx="1">
                    <c:v>AD-2000 Tharthana Compound</c:v>
                  </c:pt>
                  <c:pt idx="3">
                    <c:v>AG Church, Hmaw Si Sa</c:v>
                  </c:pt>
                  <c:pt idx="5">
                    <c:v>AG Church, Maw Wan</c:v>
                  </c:pt>
                  <c:pt idx="7">
                    <c:v>Agritural Compound (KBC)</c:v>
                  </c:pt>
                  <c:pt idx="9">
                    <c:v>Aung Thar Church</c:v>
                  </c:pt>
                  <c:pt idx="11">
                    <c:v>Baptist Church, Hmaw Si Sar(Lon Khin)</c:v>
                  </c:pt>
                  <c:pt idx="13">
                    <c:v>Border Post 8</c:v>
                  </c:pt>
                  <c:pt idx="15">
                    <c:v>Bum Tsit Pa</c:v>
                  </c:pt>
                  <c:pt idx="17">
                    <c:v>Chin Church, Seik Mu</c:v>
                  </c:pt>
                  <c:pt idx="19">
                    <c:v>Chipwi KBC camp</c:v>
                  </c:pt>
                  <c:pt idx="21">
                    <c:v>Dhama Rakhita, Nyein Chan Tar Yar Ward(Lon Khin)</c:v>
                  </c:pt>
                  <c:pt idx="23">
                    <c:v>Du Kahtawng Baptist</c:v>
                  </c:pt>
                  <c:pt idx="25">
                    <c:v>Dum Bung </c:v>
                  </c:pt>
                  <c:pt idx="27">
                    <c:v>Emmanuel AG Church</c:v>
                  </c:pt>
                  <c:pt idx="29">
                    <c:v>Galeng (Palaung) &amp; Kone Khem</c:v>
                  </c:pt>
                  <c:pt idx="31">
                    <c:v>Hka Shi</c:v>
                  </c:pt>
                  <c:pt idx="33">
                    <c:v>Hkat Cho </c:v>
                  </c:pt>
                  <c:pt idx="35">
                    <c:v>Hkau Shau (BP 12)</c:v>
                  </c:pt>
                  <c:pt idx="37">
                    <c:v>Hlaing Naung Baptist</c:v>
                  </c:pt>
                  <c:pt idx="39">
                    <c:v>Hpai Kawng</c:v>
                  </c:pt>
                  <c:pt idx="41">
                    <c:v>Hpakant Baptist Church, Nam Ma Hpit</c:v>
                  </c:pt>
                  <c:pt idx="43">
                    <c:v>Hpare Hkyer - BP6</c:v>
                  </c:pt>
                  <c:pt idx="45">
                    <c:v>Hpun Lum Yang </c:v>
                  </c:pt>
                  <c:pt idx="47">
                    <c:v>Htoi San Church</c:v>
                  </c:pt>
                  <c:pt idx="49">
                    <c:v>Hu Hku &amp; Ho Hko</c:v>
                  </c:pt>
                  <c:pt idx="51">
                    <c:v>IDP Boarding School, A Len Bum</c:v>
                  </c:pt>
                  <c:pt idx="53">
                    <c:v>Jan Mai Kawng Baptist Church</c:v>
                  </c:pt>
                  <c:pt idx="55">
                    <c:v>Jan Mai Kawng Catholic Church</c:v>
                  </c:pt>
                  <c:pt idx="57">
                    <c:v>Jaw Masat Camp</c:v>
                  </c:pt>
                  <c:pt idx="59">
                    <c:v>Je Yang Hka </c:v>
                  </c:pt>
                  <c:pt idx="61">
                    <c:v>Ka Bu Dam CoC</c:v>
                  </c:pt>
                  <c:pt idx="63">
                    <c:v>Kachin Su Baptist Church (ECCD)</c:v>
                  </c:pt>
                  <c:pt idx="65">
                    <c:v>Karmaing RC Church</c:v>
                  </c:pt>
                  <c:pt idx="67">
                    <c:v>Khar Nan (1) Baptist Church</c:v>
                  </c:pt>
                  <c:pt idx="69">
                    <c:v>Kutkai downtown (KBC Church)</c:v>
                  </c:pt>
                  <c:pt idx="71">
                    <c:v>Kutkai downtown (KBC Church-2)</c:v>
                  </c:pt>
                  <c:pt idx="73">
                    <c:v>Kyu Sot</c:v>
                  </c:pt>
                  <c:pt idx="75">
                    <c:v>Kyun Taw Baptist Church </c:v>
                  </c:pt>
                  <c:pt idx="77">
                    <c:v>Laiza Je Yang School</c:v>
                  </c:pt>
                  <c:pt idx="79">
                    <c:v>Lana Zup Ja</c:v>
                  </c:pt>
                  <c:pt idx="81">
                    <c:v>Lawa RC Church</c:v>
                  </c:pt>
                  <c:pt idx="82">
                    <c:v>Lawng Hkang Shait Yang Camp​ ( Lel Pyin)​ </c:v>
                  </c:pt>
                  <c:pt idx="84">
                    <c:v>Le Kone Bethlehem Church</c:v>
                  </c:pt>
                  <c:pt idx="86">
                    <c:v>Le Kone Ziun Baptist Church </c:v>
                  </c:pt>
                  <c:pt idx="88">
                    <c:v>Lhaovao Baptist Church (LBC)</c:v>
                  </c:pt>
                  <c:pt idx="90">
                    <c:v>Lisu Baptist Church, Maw Shan Vil,. Seik Mu</c:v>
                  </c:pt>
                  <c:pt idx="92">
                    <c:v>Lisu Baptist Church, Maw Wan Ward</c:v>
                  </c:pt>
                  <c:pt idx="94">
                    <c:v>Lisu Boarding-House</c:v>
                  </c:pt>
                  <c:pt idx="96">
                    <c:v>Lisu Church Namtu</c:v>
                  </c:pt>
                  <c:pt idx="98">
                    <c:v>Loi Je Baptist Church</c:v>
                  </c:pt>
                  <c:pt idx="100">
                    <c:v>Loi Je Catholic Church</c:v>
                  </c:pt>
                  <c:pt idx="102">
                    <c:v>Loi Je Lisu Camp</c:v>
                  </c:pt>
                  <c:pt idx="104">
                    <c:v>Lone Khin Catholic Church</c:v>
                  </c:pt>
                  <c:pt idx="106">
                    <c:v>Lung Sut</c:v>
                  </c:pt>
                  <c:pt idx="107">
                    <c:v>Lwegel High School</c:v>
                  </c:pt>
                  <c:pt idx="109">
                    <c:v>Ma Hawng Baptist Church</c:v>
                  </c:pt>
                  <c:pt idx="111">
                    <c:v>Mading Baptist Church</c:v>
                  </c:pt>
                  <c:pt idx="113">
                    <c:v>Maga Yang </c:v>
                  </c:pt>
                  <c:pt idx="115">
                    <c:v>Mai Yu Lay New (Ta'ang)</c:v>
                  </c:pt>
                  <c:pt idx="117">
                    <c:v>Maina AG Church</c:v>
                  </c:pt>
                  <c:pt idx="119">
                    <c:v>Maina Catholic Church (St. Joseph)</c:v>
                  </c:pt>
                  <c:pt idx="121">
                    <c:v>Maina KBC (Bawng Ring)</c:v>
                  </c:pt>
                  <c:pt idx="123">
                    <c:v>Maina Lawang Baptist Church</c:v>
                  </c:pt>
                  <c:pt idx="125">
                    <c:v>Maing Khaung</c:v>
                  </c:pt>
                  <c:pt idx="127">
                    <c:v>Maing Khaung Catholic Church</c:v>
                  </c:pt>
                  <c:pt idx="129">
                    <c:v>Maliyang Baptist Church</c:v>
                  </c:pt>
                  <c:pt idx="131">
                    <c:v>Man Bung Catholic compound</c:v>
                  </c:pt>
                  <c:pt idx="133">
                    <c:v>Man Bung Edin Baptist Church</c:v>
                  </c:pt>
                  <c:pt idx="135">
                    <c:v>Man Hkring Baptist Church</c:v>
                  </c:pt>
                  <c:pt idx="137">
                    <c:v>Man Kaung/Naung Ti Kyar Village</c:v>
                  </c:pt>
                  <c:pt idx="139">
                    <c:v>Man Loi</c:v>
                  </c:pt>
                  <c:pt idx="141">
                    <c:v>Man Wing Baptist Church</c:v>
                  </c:pt>
                  <c:pt idx="143">
                    <c:v>Man Wing Baptist Church Cultural Compound</c:v>
                  </c:pt>
                  <c:pt idx="145">
                    <c:v>Man Wing Catholic Church</c:v>
                  </c:pt>
                  <c:pt idx="147">
                    <c:v>Man Wing Catholic Church II</c:v>
                  </c:pt>
                  <c:pt idx="149">
                    <c:v>Mandung - Jinghpaw</c:v>
                  </c:pt>
                  <c:pt idx="151">
                    <c:v>Mandung - RC</c:v>
                  </c:pt>
                  <c:pt idx="153">
                    <c:v>Mansi Baptist Church</c:v>
                  </c:pt>
                  <c:pt idx="155">
                    <c:v>Maw Hpawng Hka Nan Baptist Church</c:v>
                  </c:pt>
                  <c:pt idx="157">
                    <c:v>Maw Hpawng Lhaovo Baptist Church</c:v>
                  </c:pt>
                  <c:pt idx="159">
                    <c:v>Maw Wan, Mu-yin Baptist Church</c:v>
                  </c:pt>
                  <c:pt idx="161">
                    <c:v>Mine Yu Lay village ( Old)</c:v>
                  </c:pt>
                  <c:pt idx="163">
                    <c:v>Momauk Baptist Church</c:v>
                  </c:pt>
                  <c:pt idx="165">
                    <c:v>Mung Hawm </c:v>
                  </c:pt>
                  <c:pt idx="167">
                    <c:v>Muyin church (Aung Yar pre-school compound)</c:v>
                  </c:pt>
                  <c:pt idx="169">
                    <c:v>Nam Hkam - Nay Win Ni (Palawng)</c:v>
                  </c:pt>
                  <c:pt idx="171">
                    <c:v>Nam Hkam (KBC Jaw Wang)</c:v>
                  </c:pt>
                  <c:pt idx="173">
                    <c:v>Nam Hkam (KBC Jaw Wang) II</c:v>
                  </c:pt>
                  <c:pt idx="175">
                    <c:v>Nam Hkam Catholic Church ( St. Thomas I)</c:v>
                  </c:pt>
                  <c:pt idx="177">
                    <c:v>Nam Hpak Ka Mare </c:v>
                  </c:pt>
                  <c:pt idx="179">
                    <c:v>Nam Hpak Ka Ta'ang ( Aung Tha Pyay)</c:v>
                  </c:pt>
                  <c:pt idx="181">
                    <c:v>Nam Ma Phyit, COC</c:v>
                  </c:pt>
                  <c:pt idx="183">
                    <c:v>Nam Sa Larp</c:v>
                  </c:pt>
                  <c:pt idx="185">
                    <c:v>Nam Tu Baptist</c:v>
                  </c:pt>
                  <c:pt idx="187">
                    <c:v>Namti Labraw Yang KBC Camp</c:v>
                  </c:pt>
                  <c:pt idx="189">
                    <c:v>Nan Kway St. John Catholic Church</c:v>
                  </c:pt>
                  <c:pt idx="191">
                    <c:v>Nant Ma Hpit Catholic Church</c:v>
                  </c:pt>
                  <c:pt idx="193">
                    <c:v>Nat Gyi Kone Baptist Church </c:v>
                  </c:pt>
                  <c:pt idx="195">
                    <c:v>Nawng Hee Village</c:v>
                  </c:pt>
                  <c:pt idx="197">
                    <c:v>Nawng Ing (Indawgyi) Baptist Church </c:v>
                  </c:pt>
                  <c:pt idx="199">
                    <c:v>Ndup Yang</c:v>
                  </c:pt>
                  <c:pt idx="201">
                    <c:v>New Pang Ku </c:v>
                  </c:pt>
                  <c:pt idx="203">
                    <c:v>Nhkawng Pa </c:v>
                  </c:pt>
                  <c:pt idx="205">
                    <c:v>Njang Dung Baptist Church </c:v>
                  </c:pt>
                  <c:pt idx="207">
                    <c:v>Nyaung Na Pin </c:v>
                  </c:pt>
                  <c:pt idx="209">
                    <c:v>Pa Dauk Myaing(Pa La Na)</c:v>
                  </c:pt>
                  <c:pt idx="211">
                    <c:v>Pa Dauk Myaing(Pa La Na)-II</c:v>
                  </c:pt>
                  <c:pt idx="213">
                    <c:v>Pa Kahtawng </c:v>
                  </c:pt>
                  <c:pt idx="215">
                    <c:v>Pajau - Jan Mai</c:v>
                  </c:pt>
                  <c:pt idx="217">
                    <c:v>Pan Law</c:v>
                  </c:pt>
                  <c:pt idx="219">
                    <c:v>Pan Ta Pyae</c:v>
                  </c:pt>
                  <c:pt idx="220">
                    <c:v>Pang Hkawn Yang</c:v>
                  </c:pt>
                  <c:pt idx="222">
                    <c:v>Phan Khar Kone</c:v>
                  </c:pt>
                  <c:pt idx="224">
                    <c:v>Qtr. 2 Lhaovo Baptist Church</c:v>
                  </c:pt>
                  <c:pt idx="226">
                    <c:v>Qtr. 2 Myoma Baptist Church</c:v>
                  </c:pt>
                  <c:pt idx="228">
                    <c:v>Rawan Baptist Church, Maw Shan Vil., Seik Mu</c:v>
                  </c:pt>
                  <c:pt idx="230">
                    <c:v>Robert Church</c:v>
                  </c:pt>
                  <c:pt idx="232">
                    <c:v>Sadung</c:v>
                  </c:pt>
                  <c:pt idx="234">
                    <c:v>Salang Yang</c:v>
                  </c:pt>
                  <c:pt idx="236">
                    <c:v>Sar Hmaw - KBC</c:v>
                  </c:pt>
                  <c:pt idx="238">
                    <c:v>Seng Ja </c:v>
                  </c:pt>
                  <c:pt idx="240">
                    <c:v>Sha-It Yang</c:v>
                  </c:pt>
                  <c:pt idx="242">
                    <c:v>Shar Du Zut KBC church </c:v>
                  </c:pt>
                  <c:pt idx="244">
                    <c:v>Shatapru Sut Ngai Tawng</c:v>
                  </c:pt>
                  <c:pt idx="246">
                    <c:v>Shatapru Thida Aye Baptist Church</c:v>
                  </c:pt>
                  <c:pt idx="248">
                    <c:v>Shing Jai</c:v>
                  </c:pt>
                  <c:pt idx="250">
                    <c:v>Shwe Gu Baptist Church</c:v>
                  </c:pt>
                  <c:pt idx="252">
                    <c:v>Shwe Gu Catholic Church</c:v>
                  </c:pt>
                  <c:pt idx="254">
                    <c:v>Shwe Zet Baptist Church</c:v>
                  </c:pt>
                  <c:pt idx="256">
                    <c:v>St. Joseph Tanai RC camp </c:v>
                  </c:pt>
                  <c:pt idx="258">
                    <c:v>St. Patrick Catholic Church </c:v>
                  </c:pt>
                  <c:pt idx="260">
                    <c:v>Tanai CoC</c:v>
                  </c:pt>
                  <c:pt idx="262">
                    <c:v>Tanai KBC Camp</c:v>
                  </c:pt>
                  <c:pt idx="264">
                    <c:v>Tat Kone Baptist Church</c:v>
                  </c:pt>
                  <c:pt idx="266">
                    <c:v>Tat Kone COC Baptist - Tat Kone Htoi San</c:v>
                  </c:pt>
                  <c:pt idx="268">
                    <c:v>Tat Kone Galile Baptist Church</c:v>
                  </c:pt>
                  <c:pt idx="270">
                    <c:v>Tat Kone San Pya Baptist Church</c:v>
                  </c:pt>
                  <c:pt idx="272">
                    <c:v>Thargaya Lisu Baptist Church</c:v>
                  </c:pt>
                  <c:pt idx="274">
                    <c:v>Trinity Camp</c:v>
                  </c:pt>
                  <c:pt idx="276">
                    <c:v>Tsan Lun - Namjarap</c:v>
                  </c:pt>
                  <c:pt idx="278">
                    <c:v>Waimaw Baptist Zonal Office 2</c:v>
                  </c:pt>
                  <c:pt idx="280">
                    <c:v>Waingmaw AG Church</c:v>
                  </c:pt>
                  <c:pt idx="282">
                    <c:v>Ward 2 Sai Taung Baptist Church, Seik Mu </c:v>
                  </c:pt>
                  <c:pt idx="284">
                    <c:v>Woi Chyai </c:v>
                  </c:pt>
                  <c:pt idx="286">
                    <c:v>Woi Chyai (Mong Lai)</c:v>
                  </c:pt>
                  <c:pt idx="288">
                    <c:v>Woi Chyai host families</c:v>
                  </c:pt>
                  <c:pt idx="290">
                    <c:v>Yumar Baptist Church</c:v>
                  </c:pt>
                  <c:pt idx="292">
                    <c:v>Zup Aung Camp</c:v>
                  </c:pt>
                  <c:pt idx="294">
                    <c:v>Hka Garan Yang </c:v>
                  </c:pt>
                  <c:pt idx="296">
                    <c:v>Htang Nya </c:v>
                  </c:pt>
                  <c:pt idx="298">
                    <c:v>Enai (Man Pyein)</c:v>
                  </c:pt>
                  <c:pt idx="300">
                    <c:v>Lian Bang village</c:v>
                  </c:pt>
                  <c:pt idx="301">
                    <c:v>AD 2000 School</c:v>
                  </c:pt>
                  <c:pt idx="302">
                    <c:v>Robert -High school</c:v>
                  </c:pt>
                  <c:pt idx="304">
                    <c:v>Pamati Camp</c:v>
                  </c:pt>
                  <c:pt idx="306">
                    <c:v>Momauk IDP new extension camp (Kye Nan)</c:v>
                  </c:pt>
                  <c:pt idx="308">
                    <c:v>Sector 5 Pammati Quarter</c:v>
                  </c:pt>
                  <c:pt idx="310">
                    <c:v>Namatee Kan Hla AG</c:v>
                  </c:pt>
                  <c:pt idx="312">
                    <c:v>His Aw (Chyu Fan) </c:v>
                  </c:pt>
                  <c:pt idx="314">
                    <c:v>Shwe Sin (Ward 3) </c:v>
                  </c:pt>
                  <c:pt idx="316">
                    <c:v>Bum Ra Yang Camp </c:v>
                  </c:pt>
                  <c:pt idx="318">
                    <c:v>Mang Nawng Kawng (host)</c:v>
                  </c:pt>
                  <c:pt idx="320">
                    <c:v>Hat Hlan village (host)</c:v>
                  </c:pt>
                  <c:pt idx="321">
                    <c:v>Kyaukme Town (host)</c:v>
                  </c:pt>
                  <c:pt idx="323">
                    <c:v>Nam Hlaing Extension Ward camp</c:v>
                  </c:pt>
                  <c:pt idx="325">
                    <c:v>Naung Tar Law (Kyet Chan) </c:v>
                  </c:pt>
                  <c:pt idx="327">
                    <c:v>Waingmaw St.Joseph RC Church</c:v>
                  </c:pt>
                  <c:pt idx="329">
                    <c:v>Waingmaw LBC church </c:v>
                  </c:pt>
                  <c:pt idx="330">
                    <c:v>Lisu Zonal camp</c:v>
                  </c:pt>
                  <c:pt idx="332">
                    <c:v>Phaug Nhae Camp</c:v>
                  </c:pt>
                  <c:pt idx="333">
                    <c:v>Yuu Ka lait Kone Camp</c:v>
                  </c:pt>
                  <c:pt idx="334">
                    <c:v>Lhaovo Baptist Convention  Old Office Camp</c:v>
                  </c:pt>
                  <c:pt idx="336">
                    <c:v>Ding Jang Yang (1)</c:v>
                  </c:pt>
                  <c:pt idx="338">
                    <c:v>Ding Jang Yang (2)</c:v>
                  </c:pt>
                  <c:pt idx="340">
                    <c:v>Naung Pataine/lachid </c:v>
                  </c:pt>
                  <c:pt idx="342">
                    <c:v>Lin Hao chun </c:v>
                  </c:pt>
                  <c:pt idx="343">
                    <c:v>Pyi Htaung Su</c:v>
                  </c:pt>
                  <c:pt idx="344">
                    <c:v>Momauk KBC church</c:v>
                  </c:pt>
                  <c:pt idx="346">
                    <c:v>St.Francis RCC 1</c:v>
                  </c:pt>
                  <c:pt idx="348">
                    <c:v>St.Francis RCC 2</c:v>
                  </c:pt>
                  <c:pt idx="350">
                    <c:v>Bang Yang Hka (Mung Ji Pa)-relocated</c:v>
                  </c:pt>
                  <c:pt idx="352">
                    <c:v>Galeng Zup Awng ward 5 RC</c:v>
                  </c:pt>
                  <c:pt idx="354">
                    <c:v>Man Wing- IDPs in Host</c:v>
                  </c:pt>
                  <c:pt idx="356">
                    <c:v>(3 mile) Shwe Pyi Tar (SLCA)</c:v>
                  </c:pt>
                  <c:pt idx="358">
                    <c:v>Bhamo- IDPs in Host </c:v>
                  </c:pt>
                  <c:pt idx="360">
                    <c:v>Chipwi Pan Wa  (Host IDP)</c:v>
                  </c:pt>
                  <c:pt idx="362">
                    <c:v>St.Columban lone Khin camp</c:v>
                  </c:pt>
                  <c:pt idx="364">
                    <c:v>Mansi- IDPs in Host</c:v>
                  </c:pt>
                  <c:pt idx="366">
                    <c:v>Hopin -IDPs in Host</c:v>
                  </c:pt>
                  <c:pt idx="368">
                    <c:v>Moenyin- IDPs in Host</c:v>
                  </c:pt>
                  <c:pt idx="370">
                    <c:v>Momauk-IDPs in Host</c:v>
                  </c:pt>
                  <c:pt idx="372">
                    <c:v>Myo Thit -IDP in Host</c:v>
                  </c:pt>
                  <c:pt idx="374">
                    <c:v>Saint Matthew (Shin ma ti-sitapru) camp</c:v>
                  </c:pt>
                  <c:pt idx="376">
                    <c:v>Nan Hlaing_new camp </c:v>
                  </c:pt>
                  <c:pt idx="377">
                    <c:v>Na ru Kawng (Post 6 camp)</c:v>
                  </c:pt>
                  <c:pt idx="379">
                    <c:v>Man Pint community Hall </c:v>
                  </c:pt>
                  <c:pt idx="380">
                    <c:v>Mong Tin High School</c:v>
                  </c:pt>
                  <c:pt idx="381">
                    <c:v>Nar Mun Primary School</c:v>
                  </c:pt>
                  <c:pt idx="382">
                    <c:v>SLCA Building Compound (Kyaukme town)</c:v>
                  </c:pt>
                  <c:pt idx="383">
                    <c:v>SLCA Building Compound (Moungnawt town)</c:v>
                  </c:pt>
                  <c:pt idx="384">
                    <c:v>Theravada Monastery </c:v>
                  </c:pt>
                  <c:pt idx="385">
                    <c:v>Mong Wee Shan-relocated</c:v>
                  </c:pt>
                  <c:pt idx="387">
                    <c:v>Hseng Ja-Relocated</c:v>
                  </c:pt>
                  <c:pt idx="389">
                    <c:v>Maina Mu-yin  Baptist Church</c:v>
                  </c:pt>
                </c:lvl>
              </c:multiLvlStrCache>
            </c:multiLvlStrRef>
          </c:cat>
          <c:val>
            <c:numRef>
              <c:f>'Tracking Dashboard'!$P$5:$P$601</c:f>
              <c:numCache>
                <c:formatCode>General</c:formatCode>
                <c:ptCount val="391"/>
                <c:pt idx="0">
                  <c:v>54</c:v>
                </c:pt>
                <c:pt idx="1">
                  <c:v>1226</c:v>
                </c:pt>
                <c:pt idx="2">
                  <c:v>1278</c:v>
                </c:pt>
                <c:pt idx="3">
                  <c:v>435</c:v>
                </c:pt>
                <c:pt idx="4">
                  <c:v>440</c:v>
                </c:pt>
                <c:pt idx="5">
                  <c:v>72</c:v>
                </c:pt>
                <c:pt idx="6">
                  <c:v>72</c:v>
                </c:pt>
                <c:pt idx="7">
                  <c:v>605</c:v>
                </c:pt>
                <c:pt idx="8">
                  <c:v>32</c:v>
                </c:pt>
                <c:pt idx="9">
                  <c:v>51</c:v>
                </c:pt>
                <c:pt idx="10">
                  <c:v>222</c:v>
                </c:pt>
                <c:pt idx="11">
                  <c:v>250</c:v>
                </c:pt>
                <c:pt idx="12">
                  <c:v>250</c:v>
                </c:pt>
                <c:pt idx="13">
                  <c:v>0</c:v>
                </c:pt>
                <c:pt idx="14">
                  <c:v>420</c:v>
                </c:pt>
                <c:pt idx="15">
                  <c:v>1887</c:v>
                </c:pt>
                <c:pt idx="16">
                  <c:v>1900</c:v>
                </c:pt>
                <c:pt idx="17">
                  <c:v>24</c:v>
                </c:pt>
                <c:pt idx="18">
                  <c:v>24</c:v>
                </c:pt>
                <c:pt idx="19">
                  <c:v>878</c:v>
                </c:pt>
                <c:pt idx="20">
                  <c:v>706</c:v>
                </c:pt>
                <c:pt idx="21">
                  <c:v>442</c:v>
                </c:pt>
                <c:pt idx="22">
                  <c:v>443</c:v>
                </c:pt>
                <c:pt idx="23">
                  <c:v>197</c:v>
                </c:pt>
                <c:pt idx="24">
                  <c:v>193</c:v>
                </c:pt>
                <c:pt idx="25">
                  <c:v>0</c:v>
                </c:pt>
                <c:pt idx="26">
                  <c:v>406</c:v>
                </c:pt>
                <c:pt idx="27">
                  <c:v>0</c:v>
                </c:pt>
                <c:pt idx="28">
                  <c:v>0</c:v>
                </c:pt>
                <c:pt idx="29">
                  <c:v>439</c:v>
                </c:pt>
                <c:pt idx="30">
                  <c:v>439</c:v>
                </c:pt>
                <c:pt idx="31">
                  <c:v>410</c:v>
                </c:pt>
                <c:pt idx="32">
                  <c:v>381</c:v>
                </c:pt>
                <c:pt idx="33">
                  <c:v>291</c:v>
                </c:pt>
                <c:pt idx="34">
                  <c:v>250</c:v>
                </c:pt>
                <c:pt idx="35">
                  <c:v>0</c:v>
                </c:pt>
                <c:pt idx="36">
                  <c:v>933.33333333333337</c:v>
                </c:pt>
                <c:pt idx="37">
                  <c:v>132</c:v>
                </c:pt>
                <c:pt idx="38">
                  <c:v>133</c:v>
                </c:pt>
                <c:pt idx="39">
                  <c:v>934</c:v>
                </c:pt>
                <c:pt idx="40">
                  <c:v>806</c:v>
                </c:pt>
                <c:pt idx="41">
                  <c:v>504</c:v>
                </c:pt>
                <c:pt idx="42">
                  <c:v>316.66666666666669</c:v>
                </c:pt>
                <c:pt idx="43">
                  <c:v>0</c:v>
                </c:pt>
                <c:pt idx="44">
                  <c:v>0</c:v>
                </c:pt>
                <c:pt idx="45">
                  <c:v>1463.1333333333334</c:v>
                </c:pt>
                <c:pt idx="46">
                  <c:v>1266.6666666666667</c:v>
                </c:pt>
                <c:pt idx="47">
                  <c:v>222</c:v>
                </c:pt>
                <c:pt idx="48">
                  <c:v>222</c:v>
                </c:pt>
                <c:pt idx="49">
                  <c:v>130</c:v>
                </c:pt>
                <c:pt idx="50">
                  <c:v>130</c:v>
                </c:pt>
                <c:pt idx="51">
                  <c:v>177.16296296296298</c:v>
                </c:pt>
                <c:pt idx="52">
                  <c:v>66.666666666666671</c:v>
                </c:pt>
                <c:pt idx="53">
                  <c:v>1124</c:v>
                </c:pt>
                <c:pt idx="54">
                  <c:v>1184</c:v>
                </c:pt>
                <c:pt idx="55">
                  <c:v>398</c:v>
                </c:pt>
                <c:pt idx="56">
                  <c:v>388</c:v>
                </c:pt>
                <c:pt idx="57">
                  <c:v>612</c:v>
                </c:pt>
                <c:pt idx="58">
                  <c:v>658</c:v>
                </c:pt>
                <c:pt idx="59">
                  <c:v>400</c:v>
                </c:pt>
                <c:pt idx="60">
                  <c:v>2150</c:v>
                </c:pt>
                <c:pt idx="61">
                  <c:v>43</c:v>
                </c:pt>
                <c:pt idx="62">
                  <c:v>61</c:v>
                </c:pt>
                <c:pt idx="63">
                  <c:v>100</c:v>
                </c:pt>
                <c:pt idx="64">
                  <c:v>400</c:v>
                </c:pt>
                <c:pt idx="65">
                  <c:v>52</c:v>
                </c:pt>
                <c:pt idx="66">
                  <c:v>52</c:v>
                </c:pt>
                <c:pt idx="67">
                  <c:v>106</c:v>
                </c:pt>
                <c:pt idx="68">
                  <c:v>263</c:v>
                </c:pt>
                <c:pt idx="69">
                  <c:v>244</c:v>
                </c:pt>
                <c:pt idx="70">
                  <c:v>244</c:v>
                </c:pt>
                <c:pt idx="71">
                  <c:v>180</c:v>
                </c:pt>
                <c:pt idx="72">
                  <c:v>180</c:v>
                </c:pt>
                <c:pt idx="73">
                  <c:v>270</c:v>
                </c:pt>
                <c:pt idx="74">
                  <c:v>270</c:v>
                </c:pt>
                <c:pt idx="75">
                  <c:v>66</c:v>
                </c:pt>
                <c:pt idx="76">
                  <c:v>76</c:v>
                </c:pt>
                <c:pt idx="77">
                  <c:v>500</c:v>
                </c:pt>
                <c:pt idx="78">
                  <c:v>500</c:v>
                </c:pt>
                <c:pt idx="79">
                  <c:v>1850</c:v>
                </c:pt>
                <c:pt idx="80">
                  <c:v>1850</c:v>
                </c:pt>
                <c:pt idx="81">
                  <c:v>242</c:v>
                </c:pt>
                <c:pt idx="82">
                  <c:v>633</c:v>
                </c:pt>
                <c:pt idx="83">
                  <c:v>633</c:v>
                </c:pt>
                <c:pt idx="84">
                  <c:v>680</c:v>
                </c:pt>
                <c:pt idx="85">
                  <c:v>718</c:v>
                </c:pt>
                <c:pt idx="86">
                  <c:v>676</c:v>
                </c:pt>
                <c:pt idx="87">
                  <c:v>697</c:v>
                </c:pt>
                <c:pt idx="88">
                  <c:v>884</c:v>
                </c:pt>
                <c:pt idx="89">
                  <c:v>600</c:v>
                </c:pt>
                <c:pt idx="90">
                  <c:v>100</c:v>
                </c:pt>
                <c:pt idx="91">
                  <c:v>0</c:v>
                </c:pt>
                <c:pt idx="92">
                  <c:v>54</c:v>
                </c:pt>
                <c:pt idx="93">
                  <c:v>54</c:v>
                </c:pt>
                <c:pt idx="94">
                  <c:v>689</c:v>
                </c:pt>
                <c:pt idx="95">
                  <c:v>689</c:v>
                </c:pt>
                <c:pt idx="96">
                  <c:v>127</c:v>
                </c:pt>
                <c:pt idx="97">
                  <c:v>127</c:v>
                </c:pt>
                <c:pt idx="98">
                  <c:v>239</c:v>
                </c:pt>
                <c:pt idx="99">
                  <c:v>239</c:v>
                </c:pt>
                <c:pt idx="100">
                  <c:v>426</c:v>
                </c:pt>
                <c:pt idx="101">
                  <c:v>426</c:v>
                </c:pt>
                <c:pt idx="102">
                  <c:v>1322</c:v>
                </c:pt>
                <c:pt idx="103">
                  <c:v>1322</c:v>
                </c:pt>
                <c:pt idx="104">
                  <c:v>400</c:v>
                </c:pt>
                <c:pt idx="105">
                  <c:v>0</c:v>
                </c:pt>
                <c:pt idx="106">
                  <c:v>289</c:v>
                </c:pt>
                <c:pt idx="108">
                  <c:v>0</c:v>
                </c:pt>
                <c:pt idx="109">
                  <c:v>78</c:v>
                </c:pt>
                <c:pt idx="110">
                  <c:v>73</c:v>
                </c:pt>
                <c:pt idx="111">
                  <c:v>159</c:v>
                </c:pt>
                <c:pt idx="112">
                  <c:v>238</c:v>
                </c:pt>
                <c:pt idx="113">
                  <c:v>0</c:v>
                </c:pt>
                <c:pt idx="114">
                  <c:v>400</c:v>
                </c:pt>
                <c:pt idx="115">
                  <c:v>502</c:v>
                </c:pt>
                <c:pt idx="116">
                  <c:v>502</c:v>
                </c:pt>
                <c:pt idx="117">
                  <c:v>1000</c:v>
                </c:pt>
                <c:pt idx="118">
                  <c:v>1200</c:v>
                </c:pt>
                <c:pt idx="119">
                  <c:v>1776</c:v>
                </c:pt>
                <c:pt idx="120">
                  <c:v>1494</c:v>
                </c:pt>
                <c:pt idx="121">
                  <c:v>2500</c:v>
                </c:pt>
                <c:pt idx="122">
                  <c:v>2920</c:v>
                </c:pt>
                <c:pt idx="123">
                  <c:v>191</c:v>
                </c:pt>
                <c:pt idx="124">
                  <c:v>283</c:v>
                </c:pt>
                <c:pt idx="125">
                  <c:v>1599</c:v>
                </c:pt>
                <c:pt idx="126">
                  <c:v>400</c:v>
                </c:pt>
                <c:pt idx="127">
                  <c:v>694</c:v>
                </c:pt>
                <c:pt idx="128">
                  <c:v>694</c:v>
                </c:pt>
                <c:pt idx="129">
                  <c:v>290</c:v>
                </c:pt>
                <c:pt idx="130">
                  <c:v>327</c:v>
                </c:pt>
                <c:pt idx="131">
                  <c:v>741</c:v>
                </c:pt>
                <c:pt idx="132">
                  <c:v>741</c:v>
                </c:pt>
                <c:pt idx="133">
                  <c:v>590</c:v>
                </c:pt>
                <c:pt idx="134">
                  <c:v>586</c:v>
                </c:pt>
                <c:pt idx="135">
                  <c:v>547</c:v>
                </c:pt>
                <c:pt idx="136">
                  <c:v>622</c:v>
                </c:pt>
                <c:pt idx="137">
                  <c:v>0</c:v>
                </c:pt>
                <c:pt idx="138">
                  <c:v>0</c:v>
                </c:pt>
                <c:pt idx="139">
                  <c:v>104</c:v>
                </c:pt>
                <c:pt idx="140">
                  <c:v>104</c:v>
                </c:pt>
                <c:pt idx="141">
                  <c:v>500.00000000000006</c:v>
                </c:pt>
                <c:pt idx="142">
                  <c:v>655</c:v>
                </c:pt>
                <c:pt idx="143">
                  <c:v>538</c:v>
                </c:pt>
                <c:pt idx="144">
                  <c:v>538</c:v>
                </c:pt>
                <c:pt idx="145">
                  <c:v>500</c:v>
                </c:pt>
                <c:pt idx="146">
                  <c:v>966.66666666666663</c:v>
                </c:pt>
                <c:pt idx="147">
                  <c:v>737</c:v>
                </c:pt>
                <c:pt idx="148">
                  <c:v>566.66666666666663</c:v>
                </c:pt>
                <c:pt idx="149">
                  <c:v>125</c:v>
                </c:pt>
                <c:pt idx="150">
                  <c:v>125</c:v>
                </c:pt>
                <c:pt idx="151">
                  <c:v>157</c:v>
                </c:pt>
                <c:pt idx="152">
                  <c:v>157</c:v>
                </c:pt>
                <c:pt idx="153">
                  <c:v>789</c:v>
                </c:pt>
                <c:pt idx="154">
                  <c:v>789</c:v>
                </c:pt>
                <c:pt idx="155">
                  <c:v>90</c:v>
                </c:pt>
                <c:pt idx="156">
                  <c:v>84</c:v>
                </c:pt>
                <c:pt idx="157">
                  <c:v>166</c:v>
                </c:pt>
                <c:pt idx="158">
                  <c:v>174</c:v>
                </c:pt>
                <c:pt idx="159">
                  <c:v>15</c:v>
                </c:pt>
                <c:pt idx="160">
                  <c:v>15</c:v>
                </c:pt>
                <c:pt idx="161">
                  <c:v>251</c:v>
                </c:pt>
                <c:pt idx="162">
                  <c:v>251</c:v>
                </c:pt>
                <c:pt idx="163">
                  <c:v>424</c:v>
                </c:pt>
                <c:pt idx="164">
                  <c:v>424</c:v>
                </c:pt>
                <c:pt idx="165">
                  <c:v>176</c:v>
                </c:pt>
                <c:pt idx="166">
                  <c:v>176</c:v>
                </c:pt>
                <c:pt idx="167">
                  <c:v>0</c:v>
                </c:pt>
                <c:pt idx="168">
                  <c:v>18</c:v>
                </c:pt>
                <c:pt idx="169">
                  <c:v>396</c:v>
                </c:pt>
                <c:pt idx="170">
                  <c:v>396</c:v>
                </c:pt>
                <c:pt idx="171">
                  <c:v>323</c:v>
                </c:pt>
                <c:pt idx="172">
                  <c:v>323</c:v>
                </c:pt>
                <c:pt idx="173">
                  <c:v>31</c:v>
                </c:pt>
                <c:pt idx="174">
                  <c:v>31</c:v>
                </c:pt>
                <c:pt idx="175">
                  <c:v>213</c:v>
                </c:pt>
                <c:pt idx="176">
                  <c:v>213</c:v>
                </c:pt>
                <c:pt idx="177">
                  <c:v>250</c:v>
                </c:pt>
                <c:pt idx="178">
                  <c:v>250</c:v>
                </c:pt>
                <c:pt idx="179">
                  <c:v>158</c:v>
                </c:pt>
                <c:pt idx="180">
                  <c:v>158</c:v>
                </c:pt>
                <c:pt idx="181">
                  <c:v>24</c:v>
                </c:pt>
                <c:pt idx="182">
                  <c:v>24</c:v>
                </c:pt>
                <c:pt idx="183">
                  <c:v>206</c:v>
                </c:pt>
                <c:pt idx="184">
                  <c:v>206</c:v>
                </c:pt>
                <c:pt idx="185">
                  <c:v>66.666666666666671</c:v>
                </c:pt>
                <c:pt idx="186">
                  <c:v>141</c:v>
                </c:pt>
                <c:pt idx="187">
                  <c:v>400</c:v>
                </c:pt>
                <c:pt idx="188">
                  <c:v>611</c:v>
                </c:pt>
                <c:pt idx="189">
                  <c:v>309</c:v>
                </c:pt>
                <c:pt idx="190">
                  <c:v>291</c:v>
                </c:pt>
                <c:pt idx="191">
                  <c:v>218</c:v>
                </c:pt>
                <c:pt idx="192">
                  <c:v>218</c:v>
                </c:pt>
                <c:pt idx="193">
                  <c:v>41</c:v>
                </c:pt>
                <c:pt idx="194">
                  <c:v>48</c:v>
                </c:pt>
                <c:pt idx="195">
                  <c:v>85</c:v>
                </c:pt>
                <c:pt idx="196">
                  <c:v>85</c:v>
                </c:pt>
                <c:pt idx="197">
                  <c:v>113</c:v>
                </c:pt>
                <c:pt idx="198">
                  <c:v>130</c:v>
                </c:pt>
                <c:pt idx="199">
                  <c:v>0</c:v>
                </c:pt>
                <c:pt idx="200">
                  <c:v>323</c:v>
                </c:pt>
                <c:pt idx="201">
                  <c:v>533.33333333333337</c:v>
                </c:pt>
                <c:pt idx="202">
                  <c:v>533.33333333333337</c:v>
                </c:pt>
                <c:pt idx="203">
                  <c:v>1500</c:v>
                </c:pt>
                <c:pt idx="204">
                  <c:v>1500</c:v>
                </c:pt>
                <c:pt idx="205">
                  <c:v>299</c:v>
                </c:pt>
                <c:pt idx="206">
                  <c:v>323</c:v>
                </c:pt>
                <c:pt idx="207">
                  <c:v>299</c:v>
                </c:pt>
                <c:pt idx="208">
                  <c:v>299</c:v>
                </c:pt>
                <c:pt idx="209">
                  <c:v>895</c:v>
                </c:pt>
                <c:pt idx="210">
                  <c:v>924</c:v>
                </c:pt>
                <c:pt idx="211">
                  <c:v>1365</c:v>
                </c:pt>
                <c:pt idx="212">
                  <c:v>1187</c:v>
                </c:pt>
                <c:pt idx="213">
                  <c:v>250.00000000000003</c:v>
                </c:pt>
                <c:pt idx="214">
                  <c:v>250</c:v>
                </c:pt>
                <c:pt idx="215">
                  <c:v>0</c:v>
                </c:pt>
                <c:pt idx="216">
                  <c:v>933.33333333333337</c:v>
                </c:pt>
                <c:pt idx="217">
                  <c:v>221</c:v>
                </c:pt>
                <c:pt idx="218">
                  <c:v>221</c:v>
                </c:pt>
                <c:pt idx="219">
                  <c:v>91</c:v>
                </c:pt>
                <c:pt idx="220">
                  <c:v>1397</c:v>
                </c:pt>
                <c:pt idx="221">
                  <c:v>1397</c:v>
                </c:pt>
                <c:pt idx="222">
                  <c:v>334</c:v>
                </c:pt>
                <c:pt idx="223">
                  <c:v>334</c:v>
                </c:pt>
                <c:pt idx="224">
                  <c:v>506</c:v>
                </c:pt>
                <c:pt idx="225">
                  <c:v>463</c:v>
                </c:pt>
                <c:pt idx="226">
                  <c:v>307</c:v>
                </c:pt>
                <c:pt idx="227">
                  <c:v>396</c:v>
                </c:pt>
                <c:pt idx="228">
                  <c:v>70</c:v>
                </c:pt>
                <c:pt idx="229">
                  <c:v>70</c:v>
                </c:pt>
                <c:pt idx="230">
                  <c:v>3860</c:v>
                </c:pt>
                <c:pt idx="231">
                  <c:v>3860</c:v>
                </c:pt>
                <c:pt idx="232">
                  <c:v>0</c:v>
                </c:pt>
                <c:pt idx="233">
                  <c:v>0</c:v>
                </c:pt>
                <c:pt idx="234">
                  <c:v>0</c:v>
                </c:pt>
                <c:pt idx="235">
                  <c:v>353</c:v>
                </c:pt>
                <c:pt idx="236">
                  <c:v>136</c:v>
                </c:pt>
                <c:pt idx="237">
                  <c:v>136</c:v>
                </c:pt>
                <c:pt idx="238">
                  <c:v>255</c:v>
                </c:pt>
                <c:pt idx="239">
                  <c:v>255</c:v>
                </c:pt>
                <c:pt idx="240">
                  <c:v>0</c:v>
                </c:pt>
                <c:pt idx="241">
                  <c:v>1881</c:v>
                </c:pt>
                <c:pt idx="242">
                  <c:v>103</c:v>
                </c:pt>
                <c:pt idx="243">
                  <c:v>103</c:v>
                </c:pt>
                <c:pt idx="244">
                  <c:v>583</c:v>
                </c:pt>
                <c:pt idx="245">
                  <c:v>563</c:v>
                </c:pt>
                <c:pt idx="246">
                  <c:v>119</c:v>
                </c:pt>
                <c:pt idx="247">
                  <c:v>120</c:v>
                </c:pt>
                <c:pt idx="248">
                  <c:v>0</c:v>
                </c:pt>
                <c:pt idx="249">
                  <c:v>0</c:v>
                </c:pt>
                <c:pt idx="250">
                  <c:v>300</c:v>
                </c:pt>
                <c:pt idx="251">
                  <c:v>300</c:v>
                </c:pt>
                <c:pt idx="252">
                  <c:v>182</c:v>
                </c:pt>
                <c:pt idx="253">
                  <c:v>182</c:v>
                </c:pt>
                <c:pt idx="254">
                  <c:v>499</c:v>
                </c:pt>
                <c:pt idx="255">
                  <c:v>629</c:v>
                </c:pt>
                <c:pt idx="256">
                  <c:v>622</c:v>
                </c:pt>
                <c:pt idx="257">
                  <c:v>500</c:v>
                </c:pt>
                <c:pt idx="258">
                  <c:v>68</c:v>
                </c:pt>
                <c:pt idx="259">
                  <c:v>68</c:v>
                </c:pt>
                <c:pt idx="260">
                  <c:v>153</c:v>
                </c:pt>
                <c:pt idx="261">
                  <c:v>169</c:v>
                </c:pt>
                <c:pt idx="262">
                  <c:v>0</c:v>
                </c:pt>
                <c:pt idx="263">
                  <c:v>483</c:v>
                </c:pt>
                <c:pt idx="264">
                  <c:v>351</c:v>
                </c:pt>
                <c:pt idx="265">
                  <c:v>531</c:v>
                </c:pt>
                <c:pt idx="266">
                  <c:v>262</c:v>
                </c:pt>
                <c:pt idx="267">
                  <c:v>262</c:v>
                </c:pt>
                <c:pt idx="268">
                  <c:v>165</c:v>
                </c:pt>
                <c:pt idx="269">
                  <c:v>197</c:v>
                </c:pt>
                <c:pt idx="270">
                  <c:v>219</c:v>
                </c:pt>
                <c:pt idx="271">
                  <c:v>239</c:v>
                </c:pt>
                <c:pt idx="272">
                  <c:v>192</c:v>
                </c:pt>
                <c:pt idx="273">
                  <c:v>192</c:v>
                </c:pt>
                <c:pt idx="274">
                  <c:v>866</c:v>
                </c:pt>
                <c:pt idx="275">
                  <c:v>975</c:v>
                </c:pt>
                <c:pt idx="276">
                  <c:v>195</c:v>
                </c:pt>
                <c:pt idx="277">
                  <c:v>195</c:v>
                </c:pt>
                <c:pt idx="278">
                  <c:v>351</c:v>
                </c:pt>
                <c:pt idx="279">
                  <c:v>387</c:v>
                </c:pt>
                <c:pt idx="280">
                  <c:v>293</c:v>
                </c:pt>
                <c:pt idx="281">
                  <c:v>193</c:v>
                </c:pt>
                <c:pt idx="282">
                  <c:v>133</c:v>
                </c:pt>
                <c:pt idx="283">
                  <c:v>133</c:v>
                </c:pt>
                <c:pt idx="284">
                  <c:v>422.42222222222222</c:v>
                </c:pt>
                <c:pt idx="285">
                  <c:v>66.666666666666671</c:v>
                </c:pt>
                <c:pt idx="286">
                  <c:v>0</c:v>
                </c:pt>
                <c:pt idx="287">
                  <c:v>0</c:v>
                </c:pt>
                <c:pt idx="288">
                  <c:v>0</c:v>
                </c:pt>
                <c:pt idx="289">
                  <c:v>0</c:v>
                </c:pt>
                <c:pt idx="290">
                  <c:v>66</c:v>
                </c:pt>
                <c:pt idx="291">
                  <c:v>66</c:v>
                </c:pt>
                <c:pt idx="292">
                  <c:v>1101</c:v>
                </c:pt>
                <c:pt idx="293">
                  <c:v>1101</c:v>
                </c:pt>
                <c:pt idx="294">
                  <c:v>0</c:v>
                </c:pt>
                <c:pt idx="295">
                  <c:v>0</c:v>
                </c:pt>
                <c:pt idx="296">
                  <c:v>16</c:v>
                </c:pt>
                <c:pt idx="297">
                  <c:v>16</c:v>
                </c:pt>
                <c:pt idx="298">
                  <c:v>103</c:v>
                </c:pt>
                <c:pt idx="299">
                  <c:v>103</c:v>
                </c:pt>
                <c:pt idx="300">
                  <c:v>0</c:v>
                </c:pt>
                <c:pt idx="303">
                  <c:v>0</c:v>
                </c:pt>
                <c:pt idx="304">
                  <c:v>143</c:v>
                </c:pt>
                <c:pt idx="305">
                  <c:v>134</c:v>
                </c:pt>
                <c:pt idx="306">
                  <c:v>267</c:v>
                </c:pt>
                <c:pt idx="307">
                  <c:v>203</c:v>
                </c:pt>
                <c:pt idx="308">
                  <c:v>0</c:v>
                </c:pt>
                <c:pt idx="309">
                  <c:v>0</c:v>
                </c:pt>
                <c:pt idx="310">
                  <c:v>36</c:v>
                </c:pt>
                <c:pt idx="311">
                  <c:v>28</c:v>
                </c:pt>
                <c:pt idx="312">
                  <c:v>1600</c:v>
                </c:pt>
                <c:pt idx="313">
                  <c:v>1600</c:v>
                </c:pt>
                <c:pt idx="314">
                  <c:v>0</c:v>
                </c:pt>
                <c:pt idx="315">
                  <c:v>0</c:v>
                </c:pt>
                <c:pt idx="316">
                  <c:v>0</c:v>
                </c:pt>
                <c:pt idx="317">
                  <c:v>591</c:v>
                </c:pt>
                <c:pt idx="318">
                  <c:v>0</c:v>
                </c:pt>
                <c:pt idx="319">
                  <c:v>0</c:v>
                </c:pt>
                <c:pt idx="320">
                  <c:v>0</c:v>
                </c:pt>
                <c:pt idx="321">
                  <c:v>0</c:v>
                </c:pt>
                <c:pt idx="322">
                  <c:v>0</c:v>
                </c:pt>
                <c:pt idx="323">
                  <c:v>0</c:v>
                </c:pt>
                <c:pt idx="324">
                  <c:v>168</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1200</c:v>
                </c:pt>
                <c:pt idx="346">
                  <c:v>267</c:v>
                </c:pt>
                <c:pt idx="347">
                  <c:v>270</c:v>
                </c:pt>
                <c:pt idx="348">
                  <c:v>412</c:v>
                </c:pt>
                <c:pt idx="349">
                  <c:v>424</c:v>
                </c:pt>
                <c:pt idx="350">
                  <c:v>0</c:v>
                </c:pt>
                <c:pt idx="351">
                  <c:v>0</c:v>
                </c:pt>
                <c:pt idx="352">
                  <c:v>132</c:v>
                </c:pt>
                <c:pt idx="353">
                  <c:v>132</c:v>
                </c:pt>
                <c:pt idx="354">
                  <c:v>544</c:v>
                </c:pt>
                <c:pt idx="355">
                  <c:v>544</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83</c:v>
                </c:pt>
                <c:pt idx="375">
                  <c:v>85</c:v>
                </c:pt>
                <c:pt idx="376">
                  <c:v>189</c:v>
                </c:pt>
                <c:pt idx="377">
                  <c:v>319</c:v>
                </c:pt>
                <c:pt idx="378">
                  <c:v>344</c:v>
                </c:pt>
                <c:pt idx="379">
                  <c:v>0</c:v>
                </c:pt>
                <c:pt idx="380">
                  <c:v>0</c:v>
                </c:pt>
                <c:pt idx="381">
                  <c:v>0</c:v>
                </c:pt>
                <c:pt idx="382">
                  <c:v>179</c:v>
                </c:pt>
                <c:pt idx="383">
                  <c:v>26</c:v>
                </c:pt>
                <c:pt idx="384">
                  <c:v>0</c:v>
                </c:pt>
                <c:pt idx="385">
                  <c:v>292</c:v>
                </c:pt>
                <c:pt idx="386">
                  <c:v>292</c:v>
                </c:pt>
                <c:pt idx="387">
                  <c:v>0</c:v>
                </c:pt>
                <c:pt idx="388">
                  <c:v>77</c:v>
                </c:pt>
                <c:pt idx="389">
                  <c:v>221</c:v>
                </c:pt>
                <c:pt idx="390">
                  <c:v>221</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9">
  <a:schemeClr val="accent6"/>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5">
  <a:schemeClr val="accent2"/>
</cs:colorStyle>
</file>

<file path=xl/charts/colors62.xml><?xml version="1.0" encoding="utf-8"?>
<cs:colorStyle xmlns:cs="http://schemas.microsoft.com/office/drawing/2012/chartStyle" xmlns:a="http://schemas.openxmlformats.org/drawingml/2006/main" meth="withinLinear" id="15">
  <a:schemeClr val="accent2"/>
</cs:colorStyle>
</file>

<file path=xl/charts/colors63.xml><?xml version="1.0" encoding="utf-8"?>
<cs:colorStyle xmlns:cs="http://schemas.microsoft.com/office/drawing/2012/chartStyle" xmlns:a="http://schemas.openxmlformats.org/drawingml/2006/main" meth="withinLinear" id="15">
  <a:schemeClr val="accent2"/>
</cs:colorStyle>
</file>

<file path=xl/charts/colors64.xml><?xml version="1.0" encoding="utf-8"?>
<cs:colorStyle xmlns:cs="http://schemas.microsoft.com/office/drawing/2012/chartStyle" xmlns:a="http://schemas.openxmlformats.org/drawingml/2006/main" meth="withinLinear" id="15">
  <a:schemeClr val="accent2"/>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4">
  <a:schemeClr val="accent1"/>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withinLinear" id="14">
  <a:schemeClr val="accent1"/>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5">
  <a:schemeClr val="accent2"/>
</cs:colorStyle>
</file>

<file path=xl/charts/colors83.xml><?xml version="1.0" encoding="utf-8"?>
<cs:colorStyle xmlns:cs="http://schemas.microsoft.com/office/drawing/2012/chartStyle" xmlns:a="http://schemas.openxmlformats.org/drawingml/2006/main" meth="withinLinear" id="15">
  <a:schemeClr val="accent2"/>
</cs:colorStyle>
</file>

<file path=xl/charts/colors84.xml><?xml version="1.0" encoding="utf-8"?>
<cs:colorStyle xmlns:cs="http://schemas.microsoft.com/office/drawing/2012/chartStyle" xmlns:a="http://schemas.openxmlformats.org/drawingml/2006/main" meth="withinLinear" id="15">
  <a:schemeClr val="accent2"/>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withinLinear" id="19">
  <a:schemeClr val="accent6"/>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4">
  <a:schemeClr val="accent1"/>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4.xml"/><Relationship Id="rId18" Type="http://schemas.openxmlformats.org/officeDocument/2006/relationships/chart" Target="../charts/chart89.xml"/><Relationship Id="rId3" Type="http://schemas.openxmlformats.org/officeDocument/2006/relationships/chart" Target="../charts/chart76.xml"/><Relationship Id="rId21" Type="http://schemas.openxmlformats.org/officeDocument/2006/relationships/chart" Target="../charts/chart92.xml"/><Relationship Id="rId7" Type="http://schemas.openxmlformats.org/officeDocument/2006/relationships/chart" Target="../charts/chart79.xml"/><Relationship Id="rId12" Type="http://schemas.openxmlformats.org/officeDocument/2006/relationships/chart" Target="../charts/chart83.xml"/><Relationship Id="rId17" Type="http://schemas.openxmlformats.org/officeDocument/2006/relationships/chart" Target="../charts/chart88.xml"/><Relationship Id="rId2" Type="http://schemas.openxmlformats.org/officeDocument/2006/relationships/chart" Target="../charts/chart75.xml"/><Relationship Id="rId16" Type="http://schemas.openxmlformats.org/officeDocument/2006/relationships/chart" Target="../charts/chart87.xml"/><Relationship Id="rId20" Type="http://schemas.openxmlformats.org/officeDocument/2006/relationships/chart" Target="../charts/chart91.xml"/><Relationship Id="rId1" Type="http://schemas.openxmlformats.org/officeDocument/2006/relationships/chart" Target="../charts/chart74.xml"/><Relationship Id="rId6" Type="http://schemas.openxmlformats.org/officeDocument/2006/relationships/chart" Target="../charts/chart78.xml"/><Relationship Id="rId11" Type="http://schemas.openxmlformats.org/officeDocument/2006/relationships/hyperlink" Target="#'AAP-community Feedback'!A2"/><Relationship Id="rId5" Type="http://schemas.openxmlformats.org/officeDocument/2006/relationships/chart" Target="../charts/chart77.xml"/><Relationship Id="rId15" Type="http://schemas.openxmlformats.org/officeDocument/2006/relationships/chart" Target="../charts/chart86.xml"/><Relationship Id="rId23"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0" Type="http://schemas.openxmlformats.org/officeDocument/2006/relationships/chart" Target="../charts/chart82.xml"/><Relationship Id="rId19" Type="http://schemas.openxmlformats.org/officeDocument/2006/relationships/chart" Target="../charts/chart90.xml"/><Relationship Id="rId4" Type="http://schemas.openxmlformats.org/officeDocument/2006/relationships/hyperlink" Target="#Analysis!A329"/><Relationship Id="rId9" Type="http://schemas.openxmlformats.org/officeDocument/2006/relationships/chart" Target="../charts/chart81.xml"/><Relationship Id="rId14" Type="http://schemas.openxmlformats.org/officeDocument/2006/relationships/chart" Target="../charts/chart85.xml"/><Relationship Id="rId22" Type="http://schemas.openxmlformats.org/officeDocument/2006/relationships/chart" Target="../charts/chart9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9" Type="http://schemas.openxmlformats.org/officeDocument/2006/relationships/chart" Target="../charts/chart48.xml"/><Relationship Id="rId21" Type="http://schemas.openxmlformats.org/officeDocument/2006/relationships/chart" Target="../charts/chart30.xml"/><Relationship Id="rId34" Type="http://schemas.openxmlformats.org/officeDocument/2006/relationships/chart" Target="../charts/chart43.xml"/><Relationship Id="rId42" Type="http://schemas.openxmlformats.org/officeDocument/2006/relationships/chart" Target="../charts/chart51.xml"/><Relationship Id="rId7" Type="http://schemas.openxmlformats.org/officeDocument/2006/relationships/chart" Target="../charts/chart1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41" Type="http://schemas.openxmlformats.org/officeDocument/2006/relationships/chart" Target="../charts/chart50.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10" Type="http://schemas.openxmlformats.org/officeDocument/2006/relationships/chart" Target="../charts/chart19.xml"/><Relationship Id="rId19" Type="http://schemas.openxmlformats.org/officeDocument/2006/relationships/chart" Target="../charts/chart28.xml"/><Relationship Id="rId31" Type="http://schemas.openxmlformats.org/officeDocument/2006/relationships/chart" Target="../charts/chart40.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8" Type="http://schemas.openxmlformats.org/officeDocument/2006/relationships/chart" Target="../charts/chart17.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0.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2" Type="http://schemas.openxmlformats.org/officeDocument/2006/relationships/hyperlink" Target="#Analysis!A329"/><Relationship Id="rId16" Type="http://schemas.openxmlformats.org/officeDocument/2006/relationships/chart" Target="../charts/chart66.xml"/><Relationship Id="rId20" Type="http://schemas.openxmlformats.org/officeDocument/2006/relationships/chart" Target="../charts/chart69.xml"/><Relationship Id="rId1" Type="http://schemas.openxmlformats.org/officeDocument/2006/relationships/chart" Target="../charts/chart52.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3.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2.xml"/><Relationship Id="rId10" Type="http://schemas.openxmlformats.org/officeDocument/2006/relationships/chart" Target="../charts/chart60.xml"/><Relationship Id="rId19" Type="http://schemas.openxmlformats.org/officeDocument/2006/relationships/hyperlink" Target="#'AAP-community Feedback'!A2"/><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0.87364</cdr:x>
      <cdr:y>0.60776</cdr:y>
    </cdr:from>
    <cdr:to>
      <cdr:x>1</cdr:x>
      <cdr:y>0.69446</cdr:y>
    </cdr:to>
    <cdr:sp macro="" textlink="">
      <cdr:nvSpPr>
        <cdr:cNvPr id="2"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6321877" y="3325583"/>
          <a:ext cx="914401" cy="4744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effectLst/>
              <a:latin typeface="+mn-lt"/>
              <a:ea typeface="+mn-ea"/>
              <a:cs typeface="+mn-cs"/>
            </a:rPr>
            <a:t>+13,820</a:t>
          </a:r>
          <a:endParaRPr lang="en-US" sz="1600" b="1">
            <a:solidFill>
              <a:srgbClr val="0070C0"/>
            </a:solidFill>
            <a:effectLst/>
          </a:endParaRPr>
        </a:p>
      </cdr:txBody>
    </cdr:sp>
  </cdr:relSizeAnchor>
  <cdr:relSizeAnchor xmlns:cdr="http://schemas.openxmlformats.org/drawingml/2006/chartDrawing">
    <cdr:from>
      <cdr:x>0.88943</cdr:x>
      <cdr:y>0.73806</cdr:y>
    </cdr:from>
    <cdr:to>
      <cdr:x>1</cdr:x>
      <cdr:y>0.83057</cdr:y>
    </cdr:to>
    <cdr:sp macro="" textlink="">
      <cdr:nvSpPr>
        <cdr:cNvPr id="4" name="TextBox 18">
          <a:extLst xmlns:a="http://schemas.openxmlformats.org/drawingml/2006/main">
            <a:ext uri="{FF2B5EF4-FFF2-40B4-BE49-F238E27FC236}">
              <a16:creationId xmlns:a16="http://schemas.microsoft.com/office/drawing/2014/main" id="{9262FA78-6EB8-4355-9941-EDB2A9E7C248}"/>
            </a:ext>
          </a:extLst>
        </cdr:cNvPr>
        <cdr:cNvSpPr txBox="1"/>
      </cdr:nvSpPr>
      <cdr:spPr>
        <a:xfrm xmlns:a="http://schemas.openxmlformats.org/drawingml/2006/main">
          <a:off x="6436176" y="4038600"/>
          <a:ext cx="800101" cy="5061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+797</a:t>
          </a: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18522</xdr:colOff>
      <xdr:row>13</xdr:row>
      <xdr:rowOff>132291</xdr:rowOff>
    </xdr:from>
    <xdr:to>
      <xdr:col>19</xdr:col>
      <xdr:colOff>431271</xdr:colOff>
      <xdr:row>30</xdr:row>
      <xdr:rowOff>140228</xdr:rowOff>
    </xdr:to>
    <xdr:graphicFrame macro="">
      <xdr:nvGraphicFramePr>
        <xdr:cNvPr id="37" name="Chart 36">
          <a:extLst>
            <a:ext uri="{FF2B5EF4-FFF2-40B4-BE49-F238E27FC236}">
              <a16:creationId xmlns:a16="http://schemas.microsoft.com/office/drawing/2014/main" id="{FCF7F68B-AFB3-495C-8C74-398E2D32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55562</xdr:colOff>
      <xdr:row>47</xdr:row>
      <xdr:rowOff>134936</xdr:rowOff>
    </xdr:from>
    <xdr:to>
      <xdr:col>13</xdr:col>
      <xdr:colOff>238125</xdr:colOff>
      <xdr:row>70</xdr:row>
      <xdr:rowOff>7937</xdr:rowOff>
    </xdr:to>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64941</xdr:colOff>
      <xdr:row>92</xdr:row>
      <xdr:rowOff>52917</xdr:rowOff>
    </xdr:from>
    <xdr:to>
      <xdr:col>8</xdr:col>
      <xdr:colOff>24724</xdr:colOff>
      <xdr:row>104</xdr:row>
      <xdr:rowOff>91568</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64941" y="19993566"/>
          <a:ext cx="7371965" cy="2413716"/>
          <a:chOff x="9960462" y="4190884"/>
          <a:chExt cx="5675772"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2" y="4190884"/>
          <a:ext cx="5675772"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8</xdr:col>
      <xdr:colOff>75512</xdr:colOff>
      <xdr:row>31</xdr:row>
      <xdr:rowOff>63502</xdr:rowOff>
    </xdr:from>
    <xdr:to>
      <xdr:col>19</xdr:col>
      <xdr:colOff>440264</xdr:colOff>
      <xdr:row>33</xdr:row>
      <xdr:rowOff>160868</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367429" y="6360585"/>
          <a:ext cx="9318252"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76095</xdr:colOff>
      <xdr:row>44</xdr:row>
      <xdr:rowOff>29228</xdr:rowOff>
    </xdr:from>
    <xdr:to>
      <xdr:col>19</xdr:col>
      <xdr:colOff>441613</xdr:colOff>
      <xdr:row>46</xdr:row>
      <xdr:rowOff>137178</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7368012" y="9310811"/>
          <a:ext cx="9319018"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9</xdr:col>
      <xdr:colOff>3019</xdr:colOff>
      <xdr:row>70</xdr:row>
      <xdr:rowOff>52688</xdr:rowOff>
    </xdr:from>
    <xdr:to>
      <xdr:col>19</xdr:col>
      <xdr:colOff>471439</xdr:colOff>
      <xdr:row>72</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94192</xdr:colOff>
      <xdr:row>90</xdr:row>
      <xdr:rowOff>128988</xdr:rowOff>
    </xdr:from>
    <xdr:to>
      <xdr:col>19</xdr:col>
      <xdr:colOff>419100</xdr:colOff>
      <xdr:row>104</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2253</xdr:colOff>
      <xdr:row>34</xdr:row>
      <xdr:rowOff>17675</xdr:rowOff>
    </xdr:from>
    <xdr:to>
      <xdr:col>19</xdr:col>
      <xdr:colOff>442575</xdr:colOff>
      <xdr:row>43</xdr:row>
      <xdr:rowOff>116553</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503500" y="7083493"/>
          <a:ext cx="9317127" cy="2454151"/>
          <a:chOff x="7589349" y="7572058"/>
          <a:chExt cx="9372348" cy="2831359"/>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69112" y="7588250"/>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869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926971"/>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21</xdr:col>
      <xdr:colOff>118534</xdr:colOff>
      <xdr:row>9</xdr:row>
      <xdr:rowOff>158751</xdr:rowOff>
    </xdr:from>
    <xdr:to>
      <xdr:col>23</xdr:col>
      <xdr:colOff>443915</xdr:colOff>
      <xdr:row>13</xdr:row>
      <xdr:rowOff>125294</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485784" y="2021418"/>
          <a:ext cx="1553048" cy="728543"/>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403121</xdr:colOff>
      <xdr:row>58</xdr:row>
      <xdr:rowOff>166683</xdr:rowOff>
    </xdr:from>
    <xdr:to>
      <xdr:col>19</xdr:col>
      <xdr:colOff>428625</xdr:colOff>
      <xdr:row>69</xdr:row>
      <xdr:rowOff>198436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423485</xdr:colOff>
      <xdr:row>47</xdr:row>
      <xdr:rowOff>124226</xdr:rowOff>
    </xdr:from>
    <xdr:to>
      <xdr:col>19</xdr:col>
      <xdr:colOff>431753</xdr:colOff>
      <xdr:row>58</xdr:row>
      <xdr:rowOff>134936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280229</xdr:colOff>
      <xdr:row>58</xdr:row>
      <xdr:rowOff>159521</xdr:rowOff>
    </xdr:from>
    <xdr:to>
      <xdr:col>15</xdr:col>
      <xdr:colOff>324679</xdr:colOff>
      <xdr:row>70</xdr:row>
      <xdr:rowOff>7938</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571500</xdr:colOff>
      <xdr:row>50</xdr:row>
      <xdr:rowOff>15876</xdr:rowOff>
    </xdr:from>
    <xdr:to>
      <xdr:col>13</xdr:col>
      <xdr:colOff>134938</xdr:colOff>
      <xdr:row>57</xdr:row>
      <xdr:rowOff>55563</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73</xdr:row>
      <xdr:rowOff>0</xdr:rowOff>
    </xdr:from>
    <xdr:to>
      <xdr:col>14</xdr:col>
      <xdr:colOff>1630795</xdr:colOff>
      <xdr:row>89</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279498</xdr:colOff>
      <xdr:row>47</xdr:row>
      <xdr:rowOff>127770</xdr:rowOff>
    </xdr:from>
    <xdr:to>
      <xdr:col>15</xdr:col>
      <xdr:colOff>323948</xdr:colOff>
      <xdr:row>58</xdr:row>
      <xdr:rowOff>135073</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1674091</xdr:colOff>
      <xdr:row>73</xdr:row>
      <xdr:rowOff>0</xdr:rowOff>
    </xdr:from>
    <xdr:to>
      <xdr:col>19</xdr:col>
      <xdr:colOff>440170</xdr:colOff>
      <xdr:row>89</xdr:row>
      <xdr:rowOff>122671</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74565</xdr:colOff>
      <xdr:row>1</xdr:row>
      <xdr:rowOff>81782</xdr:rowOff>
    </xdr:from>
    <xdr:to>
      <xdr:col>7</xdr:col>
      <xdr:colOff>793750</xdr:colOff>
      <xdr:row>27</xdr:row>
      <xdr:rowOff>127000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9246</xdr:colOff>
      <xdr:row>71</xdr:row>
      <xdr:rowOff>128895</xdr:rowOff>
    </xdr:from>
    <xdr:to>
      <xdr:col>7</xdr:col>
      <xdr:colOff>951081</xdr:colOff>
      <xdr:row>75</xdr:row>
      <xdr:rowOff>124662</xdr:rowOff>
    </xdr:to>
    <xdr:sp macro="" textlink="">
      <xdr:nvSpPr>
        <xdr:cNvPr id="56" name="Rectangle 55">
          <a:extLst>
            <a:ext uri="{FF2B5EF4-FFF2-40B4-BE49-F238E27FC236}">
              <a16:creationId xmlns:a16="http://schemas.microsoft.com/office/drawing/2014/main" id="{D118F28A-7AC4-4CD1-AD1F-8D6FBEAD0952}"/>
            </a:ext>
          </a:extLst>
        </xdr:cNvPr>
        <xdr:cNvSpPr/>
      </xdr:nvSpPr>
      <xdr:spPr>
        <a:xfrm>
          <a:off x="91714" y="15302921"/>
          <a:ext cx="7308328" cy="787455"/>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TEAR Australia, USAID, SIDA, MHF, LIFT, GAC, S'Korea, UNOPS, Irish Aid, ECHO, UNICEF</a:t>
          </a:r>
        </a:p>
      </xdr:txBody>
    </xdr:sp>
    <xdr:clientData/>
  </xdr:twoCellAnchor>
  <xdr:twoCellAnchor>
    <xdr:from>
      <xdr:col>0</xdr:col>
      <xdr:colOff>80700</xdr:colOff>
      <xdr:row>48</xdr:row>
      <xdr:rowOff>127790</xdr:rowOff>
    </xdr:from>
    <xdr:to>
      <xdr:col>7</xdr:col>
      <xdr:colOff>946939</xdr:colOff>
      <xdr:row>58</xdr:row>
      <xdr:rowOff>384436</xdr:rowOff>
    </xdr:to>
    <xdr:graphicFrame macro="">
      <xdr:nvGraphicFramePr>
        <xdr:cNvPr id="33" name="Chart 32">
          <a:extLst>
            <a:ext uri="{FF2B5EF4-FFF2-40B4-BE49-F238E27FC236}">
              <a16:creationId xmlns:a16="http://schemas.microsoft.com/office/drawing/2014/main" id="{A3A03141-5B44-4FC1-8404-E8FE05EED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80700</xdr:colOff>
      <xdr:row>58</xdr:row>
      <xdr:rowOff>464238</xdr:rowOff>
    </xdr:from>
    <xdr:to>
      <xdr:col>7</xdr:col>
      <xdr:colOff>946939</xdr:colOff>
      <xdr:row>71</xdr:row>
      <xdr:rowOff>31750</xdr:rowOff>
    </xdr:to>
    <xdr:graphicFrame macro="">
      <xdr:nvGraphicFramePr>
        <xdr:cNvPr id="34" name="Chart 33">
          <a:extLst>
            <a:ext uri="{FF2B5EF4-FFF2-40B4-BE49-F238E27FC236}">
              <a16:creationId xmlns:a16="http://schemas.microsoft.com/office/drawing/2014/main" id="{B39AAF2E-3B25-480C-A7B6-7E5578151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xdr:colOff>
      <xdr:row>76</xdr:row>
      <xdr:rowOff>10582</xdr:rowOff>
    </xdr:from>
    <xdr:to>
      <xdr:col>7</xdr:col>
      <xdr:colOff>944033</xdr:colOff>
      <xdr:row>91</xdr:row>
      <xdr:rowOff>126999</xdr:rowOff>
    </xdr:to>
    <xdr:graphicFrame macro="">
      <xdr:nvGraphicFramePr>
        <xdr:cNvPr id="43" name="Chart 42">
          <a:extLst>
            <a:ext uri="{FF2B5EF4-FFF2-40B4-BE49-F238E27FC236}">
              <a16:creationId xmlns:a16="http://schemas.microsoft.com/office/drawing/2014/main" id="{187EB598-3875-4D40-94F3-D93C193B0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5706</xdr:colOff>
      <xdr:row>3</xdr:row>
      <xdr:rowOff>147171</xdr:rowOff>
    </xdr:from>
    <xdr:to>
      <xdr:col>17</xdr:col>
      <xdr:colOff>719936</xdr:colOff>
      <xdr:row>12</xdr:row>
      <xdr:rowOff>94765</xdr:rowOff>
    </xdr:to>
    <xdr:sp macro="" textlink="">
      <xdr:nvSpPr>
        <xdr:cNvPr id="48" name="TextBox 47">
          <a:hlinkClick xmlns:r="http://schemas.openxmlformats.org/officeDocument/2006/relationships" r:id="rId23"/>
          <a:extLst>
            <a:ext uri="{FF2B5EF4-FFF2-40B4-BE49-F238E27FC236}">
              <a16:creationId xmlns:a16="http://schemas.microsoft.com/office/drawing/2014/main" id="{F03A6A31-AEB9-4679-B945-6A6311301344}"/>
            </a:ext>
          </a:extLst>
        </xdr:cNvPr>
        <xdr:cNvSpPr txBox="1"/>
      </xdr:nvSpPr>
      <xdr:spPr>
        <a:xfrm>
          <a:off x="8870966" y="955353"/>
          <a:ext cx="6882801" cy="170415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done in Q2.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0.89398</cdr:x>
      <cdr:y>0.59336</cdr:y>
    </cdr:from>
    <cdr:to>
      <cdr:x>1</cdr:x>
      <cdr:y>0.67528</cdr:y>
    </cdr:to>
    <cdr:sp macro="" textlink="">
      <cdr:nvSpPr>
        <cdr:cNvPr id="2" name="TextBox 13">
          <a:extLst xmlns:a="http://schemas.openxmlformats.org/drawingml/2006/main">
            <a:ext uri="{FF2B5EF4-FFF2-40B4-BE49-F238E27FC236}">
              <a16:creationId xmlns:a16="http://schemas.microsoft.com/office/drawing/2014/main" id="{D66EC6AB-9147-48CF-A0DE-0F6AAB79F708}"/>
            </a:ext>
          </a:extLst>
        </cdr:cNvPr>
        <cdr:cNvSpPr txBox="1"/>
      </cdr:nvSpPr>
      <cdr:spPr>
        <a:xfrm xmlns:a="http://schemas.openxmlformats.org/drawingml/2006/main">
          <a:off x="6408179" y="2703463"/>
          <a:ext cx="759967" cy="3732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solidFill>
                <a:srgbClr val="0070C0"/>
              </a:solidFill>
            </a:rPr>
            <a:t>+1,451</a:t>
          </a: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302582</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2796309" y="138380"/>
              <a:ext cx="1836947" cy="14411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156630</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118108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682624</xdr:colOff>
      <xdr:row>167</xdr:row>
      <xdr:rowOff>27729</xdr:rowOff>
    </xdr:from>
    <xdr:to>
      <xdr:col>14</xdr:col>
      <xdr:colOff>196735</xdr:colOff>
      <xdr:row>176</xdr:row>
      <xdr:rowOff>156482</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1094013</xdr:colOff>
      <xdr:row>187</xdr:row>
      <xdr:rowOff>191407</xdr:rowOff>
    </xdr:from>
    <xdr:to>
      <xdr:col>15</xdr:col>
      <xdr:colOff>241526</xdr:colOff>
      <xdr:row>195</xdr:row>
      <xdr:rowOff>98198</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192770</xdr:colOff>
      <xdr:row>203</xdr:row>
      <xdr:rowOff>72572</xdr:rowOff>
    </xdr:from>
    <xdr:to>
      <xdr:col>16</xdr:col>
      <xdr:colOff>509136</xdr:colOff>
      <xdr:row>210</xdr:row>
      <xdr:rowOff>464457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350507</xdr:colOff>
      <xdr:row>169</xdr:row>
      <xdr:rowOff>183891</xdr:rowOff>
    </xdr:from>
    <xdr:to>
      <xdr:col>24</xdr:col>
      <xdr:colOff>350838</xdr:colOff>
      <xdr:row>177</xdr:row>
      <xdr:rowOff>58058</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170089</xdr:colOff>
      <xdr:row>169</xdr:row>
      <xdr:rowOff>159504</xdr:rowOff>
    </xdr:from>
    <xdr:to>
      <xdr:col>38</xdr:col>
      <xdr:colOff>1129730</xdr:colOff>
      <xdr:row>178</xdr:row>
      <xdr:rowOff>36626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167</xdr:row>
      <xdr:rowOff>0</xdr:rowOff>
    </xdr:from>
    <xdr:to>
      <xdr:col>19</xdr:col>
      <xdr:colOff>973871</xdr:colOff>
      <xdr:row>168</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14</xdr:col>
      <xdr:colOff>64860</xdr:colOff>
      <xdr:row>192</xdr:row>
      <xdr:rowOff>432707</xdr:rowOff>
    </xdr:from>
    <xdr:to>
      <xdr:col>16</xdr:col>
      <xdr:colOff>32656</xdr:colOff>
      <xdr:row>192</xdr:row>
      <xdr:rowOff>772432</xdr:rowOff>
    </xdr:to>
    <xdr:sp macro="" textlink="">
      <xdr:nvSpPr>
        <xdr:cNvPr id="11" name="TextBox 10">
          <a:extLst>
            <a:ext uri="{FF2B5EF4-FFF2-40B4-BE49-F238E27FC236}">
              <a16:creationId xmlns:a16="http://schemas.microsoft.com/office/drawing/2014/main" id="{DCAD5D1B-75B5-443F-B94E-52CA18CEBC55}"/>
            </a:ext>
          </a:extLst>
        </xdr:cNvPr>
        <xdr:cNvSpPr txBox="1"/>
      </xdr:nvSpPr>
      <xdr:spPr>
        <a:xfrm>
          <a:off x="16817974" y="17501507"/>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+13,820</a:t>
          </a:r>
        </a:p>
      </xdr:txBody>
    </xdr:sp>
    <xdr:clientData/>
  </xdr:twoCellAnchor>
  <xdr:twoCellAnchor>
    <xdr:from>
      <xdr:col>16</xdr:col>
      <xdr:colOff>441098</xdr:colOff>
      <xdr:row>208</xdr:row>
      <xdr:rowOff>824367</xdr:rowOff>
    </xdr:from>
    <xdr:to>
      <xdr:col>17</xdr:col>
      <xdr:colOff>1054100</xdr:colOff>
      <xdr:row>208</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15</xdr:col>
      <xdr:colOff>625929</xdr:colOff>
      <xdr:row>176</xdr:row>
      <xdr:rowOff>108857</xdr:rowOff>
    </xdr:from>
    <xdr:to>
      <xdr:col>16</xdr:col>
      <xdr:colOff>584996</xdr:colOff>
      <xdr:row>176</xdr:row>
      <xdr:rowOff>490427</xdr:rowOff>
    </xdr:to>
    <xdr:sp macro="" textlink="">
      <xdr:nvSpPr>
        <xdr:cNvPr id="10" name="TextBox 3">
          <a:extLst>
            <a:ext uri="{FF2B5EF4-FFF2-40B4-BE49-F238E27FC236}">
              <a16:creationId xmlns:a16="http://schemas.microsoft.com/office/drawing/2014/main" id="{A8521328-57E5-4932-B427-43E1B1335749}"/>
            </a:ext>
          </a:extLst>
        </xdr:cNvPr>
        <xdr:cNvSpPr txBox="1"/>
      </xdr:nvSpPr>
      <xdr:spPr>
        <a:xfrm>
          <a:off x="17761858" y="34816143"/>
          <a:ext cx="938781" cy="381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+15,648</a:t>
          </a:r>
        </a:p>
      </xdr:txBody>
    </xdr:sp>
    <xdr:clientData/>
  </xdr:twoCellAnchor>
  <xdr:twoCellAnchor>
    <xdr:from>
      <xdr:col>38</xdr:col>
      <xdr:colOff>134258</xdr:colOff>
      <xdr:row>174</xdr:row>
      <xdr:rowOff>611414</xdr:rowOff>
    </xdr:from>
    <xdr:to>
      <xdr:col>38</xdr:col>
      <xdr:colOff>990601</xdr:colOff>
      <xdr:row>175</xdr:row>
      <xdr:rowOff>95125</xdr:rowOff>
    </xdr:to>
    <xdr:sp macro="" textlink="">
      <xdr:nvSpPr>
        <xdr:cNvPr id="13" name="TextBox 3">
          <a:extLst>
            <a:ext uri="{FF2B5EF4-FFF2-40B4-BE49-F238E27FC236}">
              <a16:creationId xmlns:a16="http://schemas.microsoft.com/office/drawing/2014/main" id="{E8DA60FE-C19D-4342-ADE0-B99512F2E700}"/>
            </a:ext>
          </a:extLst>
        </xdr:cNvPr>
        <xdr:cNvSpPr txBox="1"/>
      </xdr:nvSpPr>
      <xdr:spPr>
        <a:xfrm>
          <a:off x="43111058" y="37123914"/>
          <a:ext cx="856343" cy="410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+1,200</a:t>
          </a:r>
        </a:p>
      </xdr:txBody>
    </xdr:sp>
    <xdr:clientData/>
  </xdr:twoCellAnchor>
  <xdr:twoCellAnchor>
    <xdr:from>
      <xdr:col>7</xdr:col>
      <xdr:colOff>50801</xdr:colOff>
      <xdr:row>218</xdr:row>
      <xdr:rowOff>77107</xdr:rowOff>
    </xdr:from>
    <xdr:to>
      <xdr:col>14</xdr:col>
      <xdr:colOff>789214</xdr:colOff>
      <xdr:row>225</xdr:row>
      <xdr:rowOff>97971</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290284</xdr:colOff>
      <xdr:row>217</xdr:row>
      <xdr:rowOff>193221</xdr:rowOff>
    </xdr:from>
    <xdr:to>
      <xdr:col>27</xdr:col>
      <xdr:colOff>482600</xdr:colOff>
      <xdr:row>224</xdr:row>
      <xdr:rowOff>990600</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299130</xdr:colOff>
      <xdr:row>224</xdr:row>
      <xdr:rowOff>1148217</xdr:rowOff>
    </xdr:from>
    <xdr:to>
      <xdr:col>14</xdr:col>
      <xdr:colOff>430212</xdr:colOff>
      <xdr:row>224</xdr:row>
      <xdr:rowOff>1487942</xdr:rowOff>
    </xdr:to>
    <xdr:sp macro="" textlink="">
      <xdr:nvSpPr>
        <xdr:cNvPr id="16" name="TextBox 15">
          <a:extLst>
            <a:ext uri="{FF2B5EF4-FFF2-40B4-BE49-F238E27FC236}">
              <a16:creationId xmlns:a16="http://schemas.microsoft.com/office/drawing/2014/main" id="{A05C3F32-E272-4882-BD21-26E06EFBDBEA}"/>
            </a:ext>
          </a:extLst>
        </xdr:cNvPr>
        <xdr:cNvSpPr txBox="1"/>
      </xdr:nvSpPr>
      <xdr:spPr>
        <a:xfrm>
          <a:off x="15506473" y="40053760"/>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14</xdr:col>
      <xdr:colOff>76200</xdr:colOff>
      <xdr:row>193</xdr:row>
      <xdr:rowOff>588736</xdr:rowOff>
    </xdr:from>
    <xdr:to>
      <xdr:col>16</xdr:col>
      <xdr:colOff>43996</xdr:colOff>
      <xdr:row>194</xdr:row>
      <xdr:rowOff>408214</xdr:rowOff>
    </xdr:to>
    <xdr:sp macro="" textlink="">
      <xdr:nvSpPr>
        <xdr:cNvPr id="19" name="TextBox 18">
          <a:extLst>
            <a:ext uri="{FF2B5EF4-FFF2-40B4-BE49-F238E27FC236}">
              <a16:creationId xmlns:a16="http://schemas.microsoft.com/office/drawing/2014/main" id="{9262FA78-6EB8-4355-9941-EDB2A9E7C248}"/>
            </a:ext>
          </a:extLst>
        </xdr:cNvPr>
        <xdr:cNvSpPr txBox="1"/>
      </xdr:nvSpPr>
      <xdr:spPr>
        <a:xfrm>
          <a:off x="17457057" y="18640879"/>
          <a:ext cx="1682296" cy="409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+797</a:t>
          </a:r>
        </a:p>
      </xdr:txBody>
    </xdr:sp>
    <xdr:clientData/>
  </xdr:twoCellAnchor>
  <xdr:twoCellAnchor>
    <xdr:from>
      <xdr:col>6</xdr:col>
      <xdr:colOff>1022350</xdr:colOff>
      <xdr:row>228</xdr:row>
      <xdr:rowOff>196850</xdr:rowOff>
    </xdr:from>
    <xdr:to>
      <xdr:col>14</xdr:col>
      <xdr:colOff>419100</xdr:colOff>
      <xdr:row>235</xdr:row>
      <xdr:rowOff>584200</xdr:rowOff>
    </xdr:to>
    <xdr:graphicFrame macro="">
      <xdr:nvGraphicFramePr>
        <xdr:cNvPr id="5" name="Chart 4">
          <a:extLst>
            <a:ext uri="{FF2B5EF4-FFF2-40B4-BE49-F238E27FC236}">
              <a16:creationId xmlns:a16="http://schemas.microsoft.com/office/drawing/2014/main" id="{0B822AF1-D158-46C6-BE73-2B6AF7702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323850</xdr:colOff>
      <xdr:row>228</xdr:row>
      <xdr:rowOff>120650</xdr:rowOff>
    </xdr:from>
    <xdr:to>
      <xdr:col>27</xdr:col>
      <xdr:colOff>584200</xdr:colOff>
      <xdr:row>236</xdr:row>
      <xdr:rowOff>0</xdr:rowOff>
    </xdr:to>
    <xdr:graphicFrame macro="">
      <xdr:nvGraphicFramePr>
        <xdr:cNvPr id="6" name="Chart 5">
          <a:extLst>
            <a:ext uri="{FF2B5EF4-FFF2-40B4-BE49-F238E27FC236}">
              <a16:creationId xmlns:a16="http://schemas.microsoft.com/office/drawing/2014/main" id="{53FA9BAE-2F3A-4DE7-97BF-8CC74AAC4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0.90271</cdr:x>
      <cdr:y>0.64784</cdr:y>
    </cdr:from>
    <cdr:to>
      <cdr:x>1</cdr:x>
      <cdr:y>0.71706</cdr:y>
    </cdr:to>
    <cdr:sp macro="" textlink="">
      <cdr:nvSpPr>
        <cdr:cNvPr id="2" name="TextBox 3">
          <a:extLst xmlns:a="http://schemas.openxmlformats.org/drawingml/2006/main">
            <a:ext uri="{FF2B5EF4-FFF2-40B4-BE49-F238E27FC236}">
              <a16:creationId xmlns:a16="http://schemas.microsoft.com/office/drawing/2014/main" id="{E8DA60FE-C19D-4342-ADE0-B99512F2E700}"/>
            </a:ext>
          </a:extLst>
        </cdr:cNvPr>
        <cdr:cNvSpPr txBox="1"/>
      </cdr:nvSpPr>
      <cdr:spPr>
        <a:xfrm xmlns:a="http://schemas.openxmlformats.org/drawingml/2006/main">
          <a:off x="6875690" y="3828143"/>
          <a:ext cx="741021" cy="4089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+1,200</a:t>
          </a:r>
        </a:p>
      </cdr:txBody>
    </cdr:sp>
  </cdr:relSizeAnchor>
</c:userShapes>
</file>

<file path=xl/drawings/drawing5.xml><?xml version="1.0" encoding="utf-8"?>
<c:userShapes xmlns:c="http://schemas.openxmlformats.org/drawingml/2006/chart">
  <cdr:relSizeAnchor xmlns:cdr="http://schemas.openxmlformats.org/drawingml/2006/chartDrawing">
    <cdr:from>
      <cdr:x>0.88775</cdr:x>
      <cdr:y>0.62475</cdr:y>
    </cdr:from>
    <cdr:to>
      <cdr:x>1</cdr:x>
      <cdr:y>0.67493</cdr:y>
    </cdr:to>
    <cdr:sp macro="" textlink="">
      <cdr:nvSpPr>
        <cdr:cNvPr id="2" name="TextBox 10">
          <a:extLst xmlns:a="http://schemas.openxmlformats.org/drawingml/2006/main">
            <a:ext uri="{FF2B5EF4-FFF2-40B4-BE49-F238E27FC236}">
              <a16:creationId xmlns:a16="http://schemas.microsoft.com/office/drawing/2014/main" id="{DCAD5D1B-75B5-443F-B94E-52CA18CEBC55}"/>
            </a:ext>
          </a:extLst>
        </cdr:cNvPr>
        <cdr:cNvSpPr txBox="1"/>
      </cdr:nvSpPr>
      <cdr:spPr>
        <a:xfrm xmlns:a="http://schemas.openxmlformats.org/drawingml/2006/main">
          <a:off x="7143757" y="2849558"/>
          <a:ext cx="903280" cy="2288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+1,451</a:t>
          </a:r>
        </a:p>
      </cdr:txBody>
    </cdr:sp>
  </cdr:relSizeAnchor>
</c:userShapes>
</file>

<file path=xl/drawings/drawing6.xml><?xml version="1.0" encoding="utf-8"?>
<c:userShapes xmlns:c="http://schemas.openxmlformats.org/drawingml/2006/chart">
  <cdr:relSizeAnchor xmlns:cdr="http://schemas.openxmlformats.org/drawingml/2006/chartDrawing">
    <cdr:from>
      <cdr:x>0.87755</cdr:x>
      <cdr:y>0.07779</cdr:y>
    </cdr:from>
    <cdr:to>
      <cdr:x>0.99412</cdr:x>
      <cdr:y>0.11902</cdr:y>
    </cdr:to>
    <cdr:sp macro="" textlink="">
      <cdr:nvSpPr>
        <cdr:cNvPr id="2" name="TextBox 10">
          <a:extLst xmlns:a="http://schemas.openxmlformats.org/drawingml/2006/main">
            <a:ext uri="{FF2B5EF4-FFF2-40B4-BE49-F238E27FC236}">
              <a16:creationId xmlns:a16="http://schemas.microsoft.com/office/drawing/2014/main" id="{D83E882C-8E08-4D2B-9D59-839ECAC6C190}"/>
            </a:ext>
          </a:extLst>
        </cdr:cNvPr>
        <cdr:cNvSpPr txBox="1"/>
      </cdr:nvSpPr>
      <cdr:spPr>
        <a:xfrm xmlns:a="http://schemas.openxmlformats.org/drawingml/2006/main">
          <a:off x="6799943" y="431800"/>
          <a:ext cx="903280" cy="2288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+8,932</a:t>
          </a:r>
        </a:p>
      </cdr:txBody>
    </cdr:sp>
  </cdr:relSizeAnchor>
</c:userShapes>
</file>

<file path=xl/drawings/drawing7.xml><?xml version="1.0" encoding="utf-8"?>
<c:userShapes xmlns:c="http://schemas.openxmlformats.org/drawingml/2006/chart">
  <cdr:relSizeAnchor xmlns:cdr="http://schemas.openxmlformats.org/drawingml/2006/chartDrawing">
    <cdr:from>
      <cdr:x>0.91005</cdr:x>
      <cdr:y>0.36182</cdr:y>
    </cdr:from>
    <cdr:to>
      <cdr:x>1</cdr:x>
      <cdr:y>0.40509</cdr:y>
    </cdr:to>
    <cdr:sp macro="" textlink="">
      <cdr:nvSpPr>
        <cdr:cNvPr id="2" name="TextBox 10">
          <a:extLst xmlns:a="http://schemas.openxmlformats.org/drawingml/2006/main">
            <a:ext uri="{FF2B5EF4-FFF2-40B4-BE49-F238E27FC236}">
              <a16:creationId xmlns:a16="http://schemas.microsoft.com/office/drawing/2014/main" id="{D83E882C-8E08-4D2B-9D59-839ECAC6C190}"/>
            </a:ext>
          </a:extLst>
        </cdr:cNvPr>
        <cdr:cNvSpPr txBox="1"/>
      </cdr:nvSpPr>
      <cdr:spPr>
        <a:xfrm xmlns:a="http://schemas.openxmlformats.org/drawingml/2006/main">
          <a:off x="6241145" y="1509486"/>
          <a:ext cx="616856" cy="1805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+175</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1199655</xdr:colOff>
      <xdr:row>214</xdr:row>
      <xdr:rowOff>163459</xdr:rowOff>
    </xdr:from>
    <xdr:to>
      <xdr:col>9</xdr:col>
      <xdr:colOff>412112</xdr:colOff>
      <xdr:row>229</xdr:row>
      <xdr:rowOff>116975</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120773</xdr:colOff>
      <xdr:row>148</xdr:row>
      <xdr:rowOff>122094</xdr:rowOff>
    </xdr:from>
    <xdr:to>
      <xdr:col>10</xdr:col>
      <xdr:colOff>618671</xdr:colOff>
      <xdr:row>162</xdr:row>
      <xdr:rowOff>141143</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292787</xdr:colOff>
      <xdr:row>148</xdr:row>
      <xdr:rowOff>133963</xdr:rowOff>
    </xdr:from>
    <xdr:to>
      <xdr:col>15</xdr:col>
      <xdr:colOff>749987</xdr:colOff>
      <xdr:row>162</xdr:row>
      <xdr:rowOff>86338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114300</xdr:colOff>
      <xdr:row>165</xdr:row>
      <xdr:rowOff>76200</xdr:rowOff>
    </xdr:from>
    <xdr:to>
      <xdr:col>10</xdr:col>
      <xdr:colOff>581026</xdr:colOff>
      <xdr:row>177</xdr:row>
      <xdr:rowOff>95250</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165</xdr:row>
      <xdr:rowOff>38100</xdr:rowOff>
    </xdr:from>
    <xdr:to>
      <xdr:col>15</xdr:col>
      <xdr:colOff>552450</xdr:colOff>
      <xdr:row>177</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296335</xdr:colOff>
      <xdr:row>29</xdr:row>
      <xdr:rowOff>184149</xdr:rowOff>
    </xdr:from>
    <xdr:to>
      <xdr:col>7</xdr:col>
      <xdr:colOff>810685</xdr:colOff>
      <xdr:row>42</xdr:row>
      <xdr:rowOff>165099</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52889</xdr:colOff>
      <xdr:row>30</xdr:row>
      <xdr:rowOff>13035</xdr:rowOff>
    </xdr:from>
    <xdr:to>
      <xdr:col>16</xdr:col>
      <xdr:colOff>281489</xdr:colOff>
      <xdr:row>42</xdr:row>
      <xdr:rowOff>165936</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552607</xdr:colOff>
      <xdr:row>215</xdr:row>
      <xdr:rowOff>60268</xdr:rowOff>
    </xdr:from>
    <xdr:to>
      <xdr:col>4</xdr:col>
      <xdr:colOff>1042260</xdr:colOff>
      <xdr:row>228</xdr:row>
      <xdr:rowOff>1</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316</xdr:row>
      <xdr:rowOff>142875</xdr:rowOff>
    </xdr:from>
    <xdr:to>
      <xdr:col>15</xdr:col>
      <xdr:colOff>255558</xdr:colOff>
      <xdr:row>327</xdr:row>
      <xdr:rowOff>22892</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224072</xdr:colOff>
      <xdr:row>120</xdr:row>
      <xdr:rowOff>130169</xdr:rowOff>
    </xdr:from>
    <xdr:to>
      <xdr:col>8</xdr:col>
      <xdr:colOff>1352016</xdr:colOff>
      <xdr:row>135</xdr:row>
      <xdr:rowOff>283186</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4435125" y="24443985"/>
          <a:ext cx="4684478" cy="3842701"/>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11</xdr:col>
      <xdr:colOff>371679</xdr:colOff>
      <xdr:row>127</xdr:row>
      <xdr:rowOff>170205</xdr:rowOff>
    </xdr:from>
    <xdr:to>
      <xdr:col>20</xdr:col>
      <xdr:colOff>436377</xdr:colOff>
      <xdr:row>143</xdr:row>
      <xdr:rowOff>154390</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1530968" y="25887705"/>
          <a:ext cx="7193409" cy="3984685"/>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378</xdr:row>
      <xdr:rowOff>121443</xdr:rowOff>
    </xdr:from>
    <xdr:to>
      <xdr:col>6</xdr:col>
      <xdr:colOff>766762</xdr:colOff>
      <xdr:row>393</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99786</xdr:colOff>
      <xdr:row>378</xdr:row>
      <xdr:rowOff>117475</xdr:rowOff>
    </xdr:from>
    <xdr:to>
      <xdr:col>12</xdr:col>
      <xdr:colOff>566511</xdr:colOff>
      <xdr:row>393</xdr:row>
      <xdr:rowOff>146504</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305034</xdr:colOff>
      <xdr:row>289</xdr:row>
      <xdr:rowOff>4664</xdr:rowOff>
    </xdr:from>
    <xdr:to>
      <xdr:col>5</xdr:col>
      <xdr:colOff>409552</xdr:colOff>
      <xdr:row>308</xdr:row>
      <xdr:rowOff>96696</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661506</xdr:colOff>
      <xdr:row>288</xdr:row>
      <xdr:rowOff>152516</xdr:rowOff>
    </xdr:from>
    <xdr:to>
      <xdr:col>10</xdr:col>
      <xdr:colOff>555268</xdr:colOff>
      <xdr:row>308</xdr:row>
      <xdr:rowOff>39183</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407533</xdr:colOff>
      <xdr:row>73</xdr:row>
      <xdr:rowOff>186417</xdr:rowOff>
    </xdr:from>
    <xdr:to>
      <xdr:col>8</xdr:col>
      <xdr:colOff>1614237</xdr:colOff>
      <xdr:row>91</xdr:row>
      <xdr:rowOff>180975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516110</xdr:colOff>
      <xdr:row>94</xdr:row>
      <xdr:rowOff>160046</xdr:rowOff>
    </xdr:from>
    <xdr:to>
      <xdr:col>8</xdr:col>
      <xdr:colOff>680509</xdr:colOff>
      <xdr:row>110</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182</xdr:row>
      <xdr:rowOff>132066</xdr:rowOff>
    </xdr:from>
    <xdr:to>
      <xdr:col>8</xdr:col>
      <xdr:colOff>1587501</xdr:colOff>
      <xdr:row>199</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181</xdr:row>
      <xdr:rowOff>164377</xdr:rowOff>
    </xdr:from>
    <xdr:to>
      <xdr:col>18</xdr:col>
      <xdr:colOff>700130</xdr:colOff>
      <xdr:row>197</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260</xdr:row>
      <xdr:rowOff>195657</xdr:rowOff>
    </xdr:from>
    <xdr:to>
      <xdr:col>9</xdr:col>
      <xdr:colOff>640772</xdr:colOff>
      <xdr:row>278</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259</xdr:row>
      <xdr:rowOff>164523</xdr:rowOff>
    </xdr:from>
    <xdr:to>
      <xdr:col>19</xdr:col>
      <xdr:colOff>122102</xdr:colOff>
      <xdr:row>278</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316</xdr:row>
      <xdr:rowOff>160627</xdr:rowOff>
    </xdr:from>
    <xdr:to>
      <xdr:col>17</xdr:col>
      <xdr:colOff>513884</xdr:colOff>
      <xdr:row>336</xdr:row>
      <xdr:rowOff>9702</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935615</xdr:colOff>
      <xdr:row>327</xdr:row>
      <xdr:rowOff>117115</xdr:rowOff>
    </xdr:from>
    <xdr:to>
      <xdr:col>15</xdr:col>
      <xdr:colOff>257137</xdr:colOff>
      <xdr:row>338</xdr:row>
      <xdr:rowOff>132518</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3924251" y="68887615"/>
              <a:ext cx="1824470" cy="131921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61</xdr:row>
      <xdr:rowOff>79548</xdr:rowOff>
    </xdr:from>
    <xdr:to>
      <xdr:col>3</xdr:col>
      <xdr:colOff>437727</xdr:colOff>
      <xdr:row>73</xdr:row>
      <xdr:rowOff>48613</xdr:rowOff>
    </xdr:to>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482661</xdr:colOff>
      <xdr:row>61</xdr:row>
      <xdr:rowOff>97383</xdr:rowOff>
    </xdr:from>
    <xdr:to>
      <xdr:col>6</xdr:col>
      <xdr:colOff>521369</xdr:colOff>
      <xdr:row>73</xdr:row>
      <xdr:rowOff>60157</xdr:rowOff>
    </xdr:to>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596281</xdr:colOff>
      <xdr:row>66</xdr:row>
      <xdr:rowOff>140435</xdr:rowOff>
    </xdr:from>
    <xdr:to>
      <xdr:col>13</xdr:col>
      <xdr:colOff>665079</xdr:colOff>
      <xdr:row>78</xdr:row>
      <xdr:rowOff>124596</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39710</xdr:colOff>
      <xdr:row>61</xdr:row>
      <xdr:rowOff>46311</xdr:rowOff>
    </xdr:from>
    <xdr:to>
      <xdr:col>19</xdr:col>
      <xdr:colOff>472062</xdr:colOff>
      <xdr:row>74</xdr:row>
      <xdr:rowOff>134330</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xdr:col>
      <xdr:colOff>7832</xdr:colOff>
      <xdr:row>64</xdr:row>
      <xdr:rowOff>492</xdr:rowOff>
    </xdr:from>
    <xdr:to>
      <xdr:col>22</xdr:col>
      <xdr:colOff>776112</xdr:colOff>
      <xdr:row>76</xdr:row>
      <xdr:rowOff>7056</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27</xdr:col>
      <xdr:colOff>790931</xdr:colOff>
      <xdr:row>54</xdr:row>
      <xdr:rowOff>54916</xdr:rowOff>
    </xdr:from>
    <xdr:to>
      <xdr:col>33</xdr:col>
      <xdr:colOff>645304</xdr:colOff>
      <xdr:row>68</xdr:row>
      <xdr:rowOff>52756</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38434</xdr:colOff>
      <xdr:row>242</xdr:row>
      <xdr:rowOff>4011</xdr:rowOff>
    </xdr:from>
    <xdr:to>
      <xdr:col>9</xdr:col>
      <xdr:colOff>347258</xdr:colOff>
      <xdr:row>257</xdr:row>
      <xdr:rowOff>12476</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1070293</xdr:colOff>
      <xdr:row>241</xdr:row>
      <xdr:rowOff>193040</xdr:rowOff>
    </xdr:from>
    <xdr:to>
      <xdr:col>15</xdr:col>
      <xdr:colOff>169333</xdr:colOff>
      <xdr:row>257</xdr:row>
      <xdr:rowOff>50799</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110490</xdr:colOff>
      <xdr:row>113</xdr:row>
      <xdr:rowOff>125730</xdr:rowOff>
    </xdr:from>
    <xdr:to>
      <xdr:col>22</xdr:col>
      <xdr:colOff>407670</xdr:colOff>
      <xdr:row>126</xdr:row>
      <xdr:rowOff>156210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26</xdr:col>
      <xdr:colOff>224790</xdr:colOff>
      <xdr:row>113</xdr:row>
      <xdr:rowOff>163830</xdr:rowOff>
    </xdr:from>
    <xdr:to>
      <xdr:col>31</xdr:col>
      <xdr:colOff>1139190</xdr:colOff>
      <xdr:row>126</xdr:row>
      <xdr:rowOff>194310</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1105760</xdr:colOff>
      <xdr:row>215</xdr:row>
      <xdr:rowOff>8355</xdr:rowOff>
    </xdr:from>
    <xdr:to>
      <xdr:col>14</xdr:col>
      <xdr:colOff>593225</xdr:colOff>
      <xdr:row>225</xdr:row>
      <xdr:rowOff>133684</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385535</xdr:colOff>
      <xdr:row>119</xdr:row>
      <xdr:rowOff>20863</xdr:rowOff>
    </xdr:from>
    <xdr:to>
      <xdr:col>44</xdr:col>
      <xdr:colOff>99786</xdr:colOff>
      <xdr:row>132</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349250</xdr:colOff>
      <xdr:row>133</xdr:row>
      <xdr:rowOff>329293</xdr:rowOff>
    </xdr:from>
    <xdr:to>
      <xdr:col>43</xdr:col>
      <xdr:colOff>358321</xdr:colOff>
      <xdr:row>147</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355934</xdr:colOff>
      <xdr:row>398</xdr:row>
      <xdr:rowOff>109790</xdr:rowOff>
    </xdr:from>
    <xdr:to>
      <xdr:col>12</xdr:col>
      <xdr:colOff>726908</xdr:colOff>
      <xdr:row>413</xdr:row>
      <xdr:rowOff>92412</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1353953</xdr:colOff>
      <xdr:row>44</xdr:row>
      <xdr:rowOff>32083</xdr:rowOff>
    </xdr:from>
    <xdr:to>
      <xdr:col>11</xdr:col>
      <xdr:colOff>711868</xdr:colOff>
      <xdr:row>58</xdr:row>
      <xdr:rowOff>78205</xdr:rowOff>
    </xdr:to>
    <xdr:graphicFrame macro="">
      <xdr:nvGraphicFramePr>
        <xdr:cNvPr id="8" name="Chart 7">
          <a:extLst>
            <a:ext uri="{FF2B5EF4-FFF2-40B4-BE49-F238E27FC236}">
              <a16:creationId xmlns:a16="http://schemas.microsoft.com/office/drawing/2014/main" id="{9E16E750-2B58-40E1-BDD6-8E1A60A668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8</xdr:col>
      <xdr:colOff>260685</xdr:colOff>
      <xdr:row>412</xdr:row>
      <xdr:rowOff>2005</xdr:rowOff>
    </xdr:from>
    <xdr:to>
      <xdr:col>13</xdr:col>
      <xdr:colOff>70185</xdr:colOff>
      <xdr:row>426</xdr:row>
      <xdr:rowOff>178468</xdr:rowOff>
    </xdr:to>
    <xdr:graphicFrame macro="">
      <xdr:nvGraphicFramePr>
        <xdr:cNvPr id="32" name="Chart 31">
          <a:extLst>
            <a:ext uri="{FF2B5EF4-FFF2-40B4-BE49-F238E27FC236}">
              <a16:creationId xmlns:a16="http://schemas.microsoft.com/office/drawing/2014/main" id="{24710C20-E08A-407F-B39D-D123BFA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55869</xdr:colOff>
      <xdr:row>93</xdr:row>
      <xdr:rowOff>7055</xdr:rowOff>
    </xdr:from>
    <xdr:to>
      <xdr:col>8</xdr:col>
      <xdr:colOff>9639</xdr:colOff>
      <xdr:row>108</xdr:row>
      <xdr:rowOff>133350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42955" y="21310398"/>
          <a:ext cx="7258084" cy="3065438"/>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55</xdr:row>
      <xdr:rowOff>21440</xdr:rowOff>
    </xdr:from>
    <xdr:to>
      <xdr:col>19</xdr:col>
      <xdr:colOff>341150</xdr:colOff>
      <xdr:row>56</xdr:row>
      <xdr:rowOff>4951</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6450485" y="10679915"/>
          <a:ext cx="9235440" cy="4597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81038</xdr:colOff>
      <xdr:row>82</xdr:row>
      <xdr:rowOff>42815</xdr:rowOff>
    </xdr:from>
    <xdr:to>
      <xdr:col>19</xdr:col>
      <xdr:colOff>362978</xdr:colOff>
      <xdr:row>84</xdr:row>
      <xdr:rowOff>90337</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6472313" y="16168640"/>
          <a:ext cx="9235440" cy="44757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94824</xdr:colOff>
      <xdr:row>38</xdr:row>
      <xdr:rowOff>94800</xdr:rowOff>
    </xdr:from>
    <xdr:to>
      <xdr:col>19</xdr:col>
      <xdr:colOff>376764</xdr:colOff>
      <xdr:row>41</xdr:row>
      <xdr:rowOff>61979</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6496034" y="7253913"/>
          <a:ext cx="9243633" cy="45879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73269</xdr:colOff>
      <xdr:row>97</xdr:row>
      <xdr:rowOff>120462</xdr:rowOff>
    </xdr:from>
    <xdr:to>
      <xdr:col>19</xdr:col>
      <xdr:colOff>344128</xdr:colOff>
      <xdr:row>108</xdr:row>
      <xdr:rowOff>123828</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105811</xdr:colOff>
      <xdr:row>41</xdr:row>
      <xdr:rowOff>97140</xdr:rowOff>
    </xdr:from>
    <xdr:to>
      <xdr:col>19</xdr:col>
      <xdr:colOff>352434</xdr:colOff>
      <xdr:row>54</xdr:row>
      <xdr:rowOff>190502</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497211" y="8696854"/>
          <a:ext cx="9194680" cy="4219048"/>
          <a:chOff x="6497086" y="7543800"/>
          <a:chExt cx="9200114" cy="2924176"/>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53069"/>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42" name="Connector: Elbow 41">
            <a:extLst>
              <a:ext uri="{FF2B5EF4-FFF2-40B4-BE49-F238E27FC236}">
                <a16:creationId xmlns:a16="http://schemas.microsoft.com/office/drawing/2014/main" id="{00000000-0008-0000-0C00-00002A000000}"/>
              </a:ext>
            </a:extLst>
          </xdr:cNvPr>
          <xdr:cNvCxnSpPr/>
        </xdr:nvCxnSpPr>
        <xdr:spPr>
          <a:xfrm>
            <a:off x="13722267" y="8514328"/>
            <a:ext cx="1262061" cy="371474"/>
          </a:xfrm>
          <a:prstGeom prst="bentConnector3">
            <a:avLst>
              <a:gd name="adj1" fmla="val 99057"/>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637828" y="8579381"/>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84</xdr:row>
      <xdr:rowOff>145596</xdr:rowOff>
    </xdr:from>
    <xdr:to>
      <xdr:col>19</xdr:col>
      <xdr:colOff>327741</xdr:colOff>
      <xdr:row>97</xdr:row>
      <xdr:rowOff>81935</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459436" y="19685453"/>
          <a:ext cx="9207762" cy="2483596"/>
          <a:chOff x="7270750" y="17608096"/>
          <a:chExt cx="9204134" cy="2530768"/>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29972"/>
          <a:ext cx="3131639" cy="2497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618177"/>
          <a:ext cx="2964600" cy="2520687"/>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xdr:col>
      <xdr:colOff>78663</xdr:colOff>
      <xdr:row>73</xdr:row>
      <xdr:rowOff>128411</xdr:rowOff>
    </xdr:from>
    <xdr:to>
      <xdr:col>8</xdr:col>
      <xdr:colOff>26811</xdr:colOff>
      <xdr:row>76</xdr:row>
      <xdr:rowOff>88901</xdr:rowOff>
    </xdr:to>
    <xdr:sp macro="" textlink="">
      <xdr:nvSpPr>
        <xdr:cNvPr id="49" name="Rectangle 48">
          <a:extLst>
            <a:ext uri="{FF2B5EF4-FFF2-40B4-BE49-F238E27FC236}">
              <a16:creationId xmlns:a16="http://schemas.microsoft.com/office/drawing/2014/main" id="{7BFCD4FB-C0B5-484B-ACB5-76E10B533C7D}"/>
            </a:ext>
          </a:extLst>
        </xdr:cNvPr>
        <xdr:cNvSpPr/>
      </xdr:nvSpPr>
      <xdr:spPr>
        <a:xfrm>
          <a:off x="167563" y="17463911"/>
          <a:ext cx="7263348" cy="67169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TEAR Australia, USAID, SIDA, MHF, LIFT, GAC, S'Korea, UNOPS, Irish Aid, ECHO,UNICEF</a:t>
          </a:r>
        </a:p>
      </xdr:txBody>
    </xdr:sp>
    <xdr:clientData/>
  </xdr:twoCellAnchor>
  <xdr:twoCellAnchor>
    <xdr:from>
      <xdr:col>0</xdr:col>
      <xdr:colOff>84667</xdr:colOff>
      <xdr:row>1</xdr:row>
      <xdr:rowOff>65316</xdr:rowOff>
    </xdr:from>
    <xdr:to>
      <xdr:col>8</xdr:col>
      <xdr:colOff>12701</xdr:colOff>
      <xdr:row>32</xdr:row>
      <xdr:rowOff>38100</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63502</xdr:colOff>
      <xdr:row>56</xdr:row>
      <xdr:rowOff>79064</xdr:rowOff>
    </xdr:from>
    <xdr:to>
      <xdr:col>19</xdr:col>
      <xdr:colOff>317500</xdr:colOff>
      <xdr:row>81</xdr:row>
      <xdr:rowOff>181428</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454902" y="13326978"/>
          <a:ext cx="9202055" cy="5806479"/>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43865" y="13332487"/>
          <a:ext cx="2743200" cy="18288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27970" y="15201597"/>
          <a:ext cx="2750995" cy="18288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8</xdr:col>
      <xdr:colOff>80961</xdr:colOff>
      <xdr:row>21</xdr:row>
      <xdr:rowOff>130174</xdr:rowOff>
    </xdr:from>
    <xdr:to>
      <xdr:col>19</xdr:col>
      <xdr:colOff>279399</xdr:colOff>
      <xdr:row>38</xdr:row>
      <xdr:rowOff>57150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69895</xdr:colOff>
      <xdr:row>18</xdr:row>
      <xdr:rowOff>58330</xdr:rowOff>
    </xdr:from>
    <xdr:to>
      <xdr:col>25</xdr:col>
      <xdr:colOff>400486</xdr:colOff>
      <xdr:row>22</xdr:row>
      <xdr:rowOff>113464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18149252" y="3686901"/>
          <a:ext cx="1564305" cy="780849"/>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14</xdr:col>
      <xdr:colOff>584200</xdr:colOff>
      <xdr:row>47</xdr:row>
      <xdr:rowOff>175501</xdr:rowOff>
    </xdr:from>
    <xdr:to>
      <xdr:col>15</xdr:col>
      <xdr:colOff>1176866</xdr:colOff>
      <xdr:row>54</xdr:row>
      <xdr:rowOff>160867</xdr:rowOff>
    </xdr:to>
    <xdr:graphicFrame macro="">
      <xdr:nvGraphicFramePr>
        <xdr:cNvPr id="50" name="Chart 49">
          <a:extLst>
            <a:ext uri="{FF2B5EF4-FFF2-40B4-BE49-F238E27FC236}">
              <a16:creationId xmlns:a16="http://schemas.microsoft.com/office/drawing/2014/main" id="{F499DDC2-7DD8-4B65-B67F-66C1AC7B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292078</xdr:colOff>
      <xdr:row>47</xdr:row>
      <xdr:rowOff>183969</xdr:rowOff>
    </xdr:from>
    <xdr:to>
      <xdr:col>19</xdr:col>
      <xdr:colOff>330200</xdr:colOff>
      <xdr:row>54</xdr:row>
      <xdr:rowOff>160868</xdr:rowOff>
    </xdr:to>
    <xdr:graphicFrame macro="">
      <xdr:nvGraphicFramePr>
        <xdr:cNvPr id="51" name="Chart 50">
          <a:extLst>
            <a:ext uri="{FF2B5EF4-FFF2-40B4-BE49-F238E27FC236}">
              <a16:creationId xmlns:a16="http://schemas.microsoft.com/office/drawing/2014/main" id="{926C9612-0381-48CF-B180-8D6E34D0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55032</xdr:colOff>
      <xdr:row>55</xdr:row>
      <xdr:rowOff>5644</xdr:rowOff>
    </xdr:from>
    <xdr:to>
      <xdr:col>8</xdr:col>
      <xdr:colOff>19756</xdr:colOff>
      <xdr:row>62</xdr:row>
      <xdr:rowOff>277987</xdr:rowOff>
    </xdr:to>
    <xdr:graphicFrame macro="">
      <xdr:nvGraphicFramePr>
        <xdr:cNvPr id="55" name="Chart 54">
          <a:extLst>
            <a:ext uri="{FF2B5EF4-FFF2-40B4-BE49-F238E27FC236}">
              <a16:creationId xmlns:a16="http://schemas.microsoft.com/office/drawing/2014/main" id="{8145BAFD-0598-415D-A2E3-6D6BA9D42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55033</xdr:colOff>
      <xdr:row>62</xdr:row>
      <xdr:rowOff>316159</xdr:rowOff>
    </xdr:from>
    <xdr:to>
      <xdr:col>8</xdr:col>
      <xdr:colOff>28409</xdr:colOff>
      <xdr:row>73</xdr:row>
      <xdr:rowOff>29634</xdr:rowOff>
    </xdr:to>
    <xdr:graphicFrame macro="">
      <xdr:nvGraphicFramePr>
        <xdr:cNvPr id="56" name="Chart 55">
          <a:extLst>
            <a:ext uri="{FF2B5EF4-FFF2-40B4-BE49-F238E27FC236}">
              <a16:creationId xmlns:a16="http://schemas.microsoft.com/office/drawing/2014/main" id="{3BB8DE99-84A0-4F80-9635-D634D882B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76</xdr:row>
      <xdr:rowOff>190500</xdr:rowOff>
    </xdr:from>
    <xdr:to>
      <xdr:col>7</xdr:col>
      <xdr:colOff>914400</xdr:colOff>
      <xdr:row>92</xdr:row>
      <xdr:rowOff>127000</xdr:rowOff>
    </xdr:to>
    <xdr:graphicFrame macro="">
      <xdr:nvGraphicFramePr>
        <xdr:cNvPr id="53" name="Chart 52">
          <a:extLst>
            <a:ext uri="{FF2B5EF4-FFF2-40B4-BE49-F238E27FC236}">
              <a16:creationId xmlns:a16="http://schemas.microsoft.com/office/drawing/2014/main" id="{6EDADC9E-CD10-4177-B17A-2E6C9A05E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495120</xdr:colOff>
      <xdr:row>5</xdr:row>
      <xdr:rowOff>143873</xdr:rowOff>
    </xdr:from>
    <xdr:to>
      <xdr:col>17</xdr:col>
      <xdr:colOff>497968</xdr:colOff>
      <xdr:row>15</xdr:row>
      <xdr:rowOff>32469</xdr:rowOff>
    </xdr:to>
    <xdr:sp macro="" textlink="">
      <xdr:nvSpPr>
        <xdr:cNvPr id="54" name="TextBox 53">
          <a:hlinkClick xmlns:r="http://schemas.openxmlformats.org/officeDocument/2006/relationships" r:id="rId25"/>
          <a:extLst>
            <a:ext uri="{FF2B5EF4-FFF2-40B4-BE49-F238E27FC236}">
              <a16:creationId xmlns:a16="http://schemas.microsoft.com/office/drawing/2014/main" id="{A1FAA943-758B-4379-823D-78A54CCC4B88}"/>
            </a:ext>
          </a:extLst>
        </xdr:cNvPr>
        <xdr:cNvSpPr txBox="1"/>
      </xdr:nvSpPr>
      <xdr:spPr>
        <a:xfrm>
          <a:off x="8577763" y="1413873"/>
          <a:ext cx="6878991" cy="170288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(9) WASH cluster</a:t>
          </a:r>
          <a:r>
            <a:rPr lang="en-US" sz="2000" b="1" baseline="0">
              <a:solidFill>
                <a:schemeClr val="bg1"/>
              </a:solidFill>
            </a:rPr>
            <a:t> team field visits done in Q2.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2/2022_Q2/20220801_Funding%20Matrix_2022_Q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thaw\Mee%20Mee\2.%20Information%20Management\J_Funding\2022\2022_Q2\20220801_Funding%20Matrix_2022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E6">
            <v>966080.86782175605</v>
          </cell>
        </row>
        <row r="11">
          <cell r="B11" t="str">
            <v>Kachin/Shan (North)</v>
          </cell>
          <cell r="D11">
            <v>2320100.8068778007</v>
          </cell>
          <cell r="E11">
            <v>17778102.050564952</v>
          </cell>
        </row>
      </sheetData>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t="str">
            <v>Cumulative Funding Received for 2022</v>
          </cell>
          <cell r="E3" t="str">
            <v>Gap</v>
          </cell>
        </row>
        <row r="6">
          <cell r="B6" t="str">
            <v>Mon</v>
          </cell>
          <cell r="E6">
            <v>966080.86782175605</v>
          </cell>
        </row>
        <row r="7">
          <cell r="B7" t="str">
            <v>Ayeyarwady</v>
          </cell>
          <cell r="E7">
            <v>5185497.9785915827</v>
          </cell>
        </row>
        <row r="8">
          <cell r="B8" t="str">
            <v>Bago (East)</v>
          </cell>
          <cell r="E8">
            <v>5258881.5308649037</v>
          </cell>
        </row>
        <row r="9">
          <cell r="B9" t="str">
            <v>Bago (West)</v>
          </cell>
          <cell r="E9">
            <v>1674438.0148817613</v>
          </cell>
        </row>
        <row r="10">
          <cell r="B10" t="str">
            <v>Chin</v>
          </cell>
          <cell r="E10">
            <v>4452410.542544581</v>
          </cell>
        </row>
        <row r="11">
          <cell r="B11" t="str">
            <v>Kachin/Shan (North)</v>
          </cell>
          <cell r="D11">
            <v>2320100.8068778007</v>
          </cell>
          <cell r="E11">
            <v>17778102.050564952</v>
          </cell>
        </row>
        <row r="12">
          <cell r="B12" t="str">
            <v>Kayah</v>
          </cell>
          <cell r="E12">
            <v>10650850.20684333</v>
          </cell>
        </row>
        <row r="13">
          <cell r="B13" t="str">
            <v>Kayin</v>
          </cell>
          <cell r="E13">
            <v>8618687.9609555639</v>
          </cell>
        </row>
        <row r="14">
          <cell r="B14" t="str">
            <v>Magway</v>
          </cell>
          <cell r="E14">
            <v>4769815.328352008</v>
          </cell>
        </row>
        <row r="15">
          <cell r="B15" t="str">
            <v>Mandalay</v>
          </cell>
          <cell r="E15">
            <v>1362103.7752614375</v>
          </cell>
        </row>
        <row r="16">
          <cell r="B16" t="str">
            <v>Nay Pyi Taw</v>
          </cell>
          <cell r="E16">
            <v>123063.98388123726</v>
          </cell>
        </row>
        <row r="17">
          <cell r="B17" t="str">
            <v>Rakhine</v>
          </cell>
          <cell r="D17">
            <v>6420006.818150416</v>
          </cell>
          <cell r="E17">
            <v>46334677.692300446</v>
          </cell>
        </row>
        <row r="18">
          <cell r="B18" t="str">
            <v>Sagaing</v>
          </cell>
          <cell r="E18">
            <v>7202514.6870839149</v>
          </cell>
        </row>
        <row r="19">
          <cell r="B19" t="str">
            <v>Shan (East)</v>
          </cell>
          <cell r="E19">
            <v>619416.92885226919</v>
          </cell>
        </row>
        <row r="20">
          <cell r="B20" t="str">
            <v>Shan (South)</v>
          </cell>
          <cell r="E20">
            <v>4128270.53697254</v>
          </cell>
        </row>
        <row r="21">
          <cell r="B21" t="str">
            <v>Tanintharyi</v>
          </cell>
          <cell r="E21">
            <v>1226204.7207755889</v>
          </cell>
        </row>
        <row r="22">
          <cell r="B22" t="str">
            <v>Yangon</v>
          </cell>
          <cell r="D22">
            <v>239485.89850947791</v>
          </cell>
          <cell r="E22">
            <v>5646639.6699144505</v>
          </cell>
        </row>
      </sheetData>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BMO - MEAL AM | Aung Khaing Win Tun" id="{399628A3-4D26-4987-9D06-9886B04E9F7C}" userId="S::bmo.meal.am@solidarites-myanmar.org::0c91a712-0404-4b49-abf4-cb12c1787028"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0.578744212966" createdVersion="6" refreshedVersion="6" minRefreshableVersion="3" recordCount="73" xr:uid="{F2DC6D15-FFB0-4EB3-9F86-717018A7F5AA}">
  <cacheSource type="worksheet">
    <worksheetSource name="Table9"/>
  </cacheSource>
  <cacheFields count="3">
    <cacheField name="State" numFmtId="0">
      <sharedItems count="11">
        <s v="Kachin"/>
        <s v="Shan (North)"/>
        <s v="Rakhine"/>
        <s v="Chin"/>
        <s v="Mon"/>
        <s v="Bago (East)"/>
        <s v="Kayah"/>
        <s v="Kayin"/>
        <s v="Shan (South)"/>
        <s v="Magway"/>
        <s v="Sagaing"/>
      </sharedItems>
    </cacheField>
    <cacheField name="Acronym" numFmtId="0">
      <sharedItems count="39">
        <s v="KBC"/>
        <s v="KMSS"/>
        <s v="Metta"/>
        <s v="Shalom"/>
        <s v="SI"/>
        <s v="WPN"/>
        <s v="HPa"/>
        <s v="STW"/>
        <s v="PIN"/>
        <s v="DRC"/>
        <s v="IRW"/>
        <s v="MA_UK"/>
        <s v="OXSI (SI)"/>
        <s v="SCI"/>
        <s v="Meikswe MM"/>
        <s v="CDA"/>
        <s v="OXSI (Oxfam)"/>
        <s v="RI"/>
        <s v="W_121"/>
        <s v="W_098"/>
        <s v="W_070"/>
        <s v="W_057"/>
        <s v="W_137"/>
        <s v="W_138"/>
        <s v="W_005"/>
        <s v="CARE"/>
        <s v="Nway Htwe Thaw Yin Khwin"/>
        <s v="ICRC"/>
        <s v="Meikswe Myanmar"/>
        <s v="Metta "/>
        <s v="SCI / ICRC"/>
        <s v="UNICEF"/>
        <s v="CHRO"/>
        <s v="MA-UK"/>
        <s v="TGH-RCDF"/>
        <s v="CDN"/>
        <s v="CERA"/>
        <s v="IRC"/>
        <s v="LWF"/>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0.578745601852" createdVersion="6" refreshedVersion="6" minRefreshableVersion="3" recordCount="99" xr:uid="{1499D0FE-E8B8-480B-848F-CA4A2E64ED37}">
  <cacheSource type="worksheet">
    <worksheetSource name="Table11"/>
  </cacheSource>
  <cacheFields count="3">
    <cacheField name="State" numFmtId="0">
      <sharedItems count="12">
        <s v="Bago (East)"/>
        <s v="Chin"/>
        <s v="Kachin"/>
        <s v="Kayah"/>
        <s v="Kayin"/>
        <s v="Magway"/>
        <s v="Mon State"/>
        <s v="Rakhine"/>
        <s v="Sagaing"/>
        <s v="Shan (North)"/>
        <s v="Shan (South)"/>
        <s v="Mon" u="1"/>
      </sharedItems>
    </cacheField>
    <cacheField name="Acronym" numFmtId="0">
      <sharedItems count="47">
        <s v="PWJ"/>
        <s v="UNICEF"/>
        <s v="CARE"/>
        <s v="CHRO"/>
        <s v="KMSS"/>
        <s v="MA-UK"/>
        <s v="PIN"/>
        <s v="TGH-RCDF"/>
        <s v="ICRC"/>
        <s v="STW"/>
        <s v="KyWO"/>
        <s v="MC"/>
        <s v="WDC"/>
        <s v="ADRA"/>
        <s v="CIDKP"/>
        <s v="TWG"/>
        <s v="NHTYK"/>
        <s v="CDN"/>
        <s v="CERA"/>
        <s v="DRC"/>
        <s v="IRC"/>
        <s v="LWF"/>
        <s v="RI"/>
        <s v="SI"/>
        <s v="TGH-GJ"/>
        <s v="WFP"/>
        <s v="ACF"/>
        <s v="AYO"/>
        <s v="Metta"/>
        <s v="MM"/>
        <s v="SCI"/>
        <s v="HPA"/>
        <s v="KBC"/>
        <s v="Shalom"/>
        <s v="WCM"/>
        <s v="WPN"/>
        <s v="CDA"/>
        <s v="OXFAM"/>
        <s v="WVI"/>
        <s v="IRW"/>
        <s v="Malteser"/>
        <s v="PSSAG"/>
        <s v="SDF"/>
        <s v="TLDA"/>
        <s v="GLAD"/>
        <s v="MA_UK" u="1"/>
        <s v="Meikswe MM"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0.578745833336" createdVersion="6" refreshedVersion="6" minRefreshableVersion="3" recordCount="45" xr:uid="{E27625E0-AC44-474C-A2D2-68AB64A69968}">
  <cacheSource type="worksheet">
    <worksheetSource name="Table12"/>
  </cacheSource>
  <cacheFields count="2">
    <cacheField name="Acronym" numFmtId="0">
      <sharedItems/>
    </cacheField>
    <cacheField name="Type" numFmtId="0">
      <sharedItems count="5">
        <s v="CSO"/>
        <s v="International NG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770.622324305557" backgroundQuery="1" createdVersion="6" refreshedVersion="6"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13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13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5"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5"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770.622483796295" backgroundQuery="1" createdVersion="6" refreshedVersion="6" minRefreshableVersion="3" recordCount="0" supportSubquery="1" supportAdvancedDrill="1" xr:uid="{2424A037-BCF7-4B15-A4AE-1757238DB756}">
  <cacheSource type="external" connectionId="1"/>
  <cacheFields count="5">
    <cacheField name="[WWWW].[State].[State]" caption="State" numFmtId="0" hierarchy="4" level="1">
      <sharedItems count="1">
        <s v="Kachin"/>
      </sharedItems>
    </cacheField>
    <cacheField name="[WWWW].[Covered].[Covered]" caption="Covered" numFmtId="0" hierarchy="142"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0"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s>
  <cacheHierarchies count="15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13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2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13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13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20"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5"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20"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5"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5"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Sum of #_Water sources tested for fecal coliform]" caption="Sum of #_Water sources tested for fecal coliform" measure="1" displayFolder="" measureGroup="WWWW" count="0" hidden="1">
      <extLst>
        <ext xmlns:x15="http://schemas.microsoft.com/office/spreadsheetml/2010/11/main" uri="{B97F6D7D-B522-45F9-BDA1-12C45D357490}">
          <x15:cacheHierarchy aggregatedColumn="34"/>
        </ext>
      </extLst>
    </cacheHierarchy>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770.631951620373" createdVersion="6" refreshedVersion="6" minRefreshableVersion="3" recordCount="391" xr:uid="{00000000-000A-0000-FFFF-FFFF00000000}">
  <cacheSource type="worksheet">
    <worksheetSource name="WWWW"/>
  </cacheSource>
  <cacheFields count="155">
    <cacheField name="Reporting Period" numFmtId="167">
      <sharedItems containsBlank="1" count="24">
        <s v="2022_Q1"/>
        <s v="2022_Q2"/>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64">
        <s v="HPA"/>
        <s v="KBC"/>
        <s v="KBC, PIN"/>
        <s v="PIN"/>
        <s v="KBC,PIN"/>
        <s v="KMSS"/>
        <s v="KMSS,METTA"/>
        <s v="Metta"/>
        <s v="Metta, KMSS"/>
        <s v="Metta, KMSS,"/>
        <s v="None"/>
        <s v="Shalom"/>
        <s v="SI"/>
        <s v="STW"/>
        <s v="WPN"/>
        <s v="WPN,HPA"/>
        <s v="PIN,IRC"/>
        <s v="IRC"/>
        <s v="IRC, WCM"/>
        <s v="PIN,IRC,WCM"/>
        <s v="PIN/ KBC, SI"/>
        <m u="1"/>
        <s v="CDA" u="1"/>
        <s v="MRCS,Others/ WVI" u="1"/>
        <s v="CDN" u="1"/>
        <s v="RI" u="1"/>
        <s v="SCI" u="1"/>
        <s v="CARE,Others" u="1"/>
        <s v="WCM" u="1"/>
        <s v="KMSS, KBC" u="1"/>
        <s v="Malteser" u="1"/>
        <s v="SI,KBC" u="1"/>
        <s v="MRCS, Others" u="1"/>
        <s v="SCI, Metta" u="1"/>
        <s v="Metta, GLAD" u="1"/>
        <s v="WVI" u="1"/>
        <s v="SCI,Metta" u="1"/>
        <s v="UNICEF" u="1"/>
        <s v="MRCS,others" u="1"/>
        <s v="GIZ" u="1"/>
        <s v="CARE" u="1"/>
        <s v="MRCS,UNICEF" u="1"/>
        <s v="OXSI (SI)" u="1"/>
        <s v="Metta, KMSS, GLAD" u="1"/>
        <s v="MA_UK" u="1"/>
        <s v="OXSI (Oxfam),ACF" u="1"/>
        <s v="Others/ WVI" u="1"/>
        <s v="MRCS" u="1"/>
        <s v="MRCS,Others,UNICEF" u="1"/>
        <s v="MRCS, PLAN, RI" u="1"/>
        <s v="Others,MRCS" u="1"/>
        <s v="DRC" u="1"/>
        <s v="MRCS, PLAN, RI,Others" u="1"/>
        <s v="ACF" u="1"/>
        <s v="Metta,KBC" u="1"/>
        <s v="UNICEF,Others" u="1"/>
        <s v="Others" u="1"/>
        <s v="OXSI (SI), ACF" u="1"/>
        <s v="OXSI (Oxfam)" u="1"/>
        <s v="OXSI(Oxfam), MA_UK" u="1"/>
        <s v="KBC, KMSS" u="1"/>
        <s v="KMSS, METTA" u="1"/>
        <s v="KBC,HPA" u="1"/>
        <s v="MRCS,Others,UNICEF/ACF" u="1"/>
      </sharedItems>
    </cacheField>
    <cacheField name="WASH implementing agency" numFmtId="0">
      <sharedItems containsBlank="1" count="58">
        <s v="HPA"/>
        <s v="KBC"/>
        <s v="KMSS"/>
        <s v="KMSS,METTA"/>
        <s v="Metta"/>
        <s v="Metta, KMSS"/>
        <s v="Metta, KMSS, "/>
        <s v="None"/>
        <s v="Shalom"/>
        <s v="SI"/>
        <s v="STW"/>
        <s v="WPN"/>
        <s v="WPN,HPA"/>
        <s v="KBC, SI"/>
        <m/>
        <s v="MRCS, ACF" u="1"/>
        <s v="CDA" u="1"/>
        <s v="MRCS,Others/ WVI" u="1"/>
        <s v="CDN" u="1"/>
        <s v="CHAD" u="1"/>
        <s v="RI" u="1"/>
        <s v="SCI" u="1"/>
        <s v="CARE,Others" u="1"/>
        <s v="WCM" u="1"/>
        <s v="KMSS, KBC" u="1"/>
        <s v="Malteser" u="1"/>
        <s v="SI,KBC" u="1"/>
        <s v="MRCS, Others" u="1"/>
        <s v="SCI, Metta" u="1"/>
        <s v="Metta, GLAD" u="1"/>
        <s v="SCI,Metta" u="1"/>
        <s v="UNICEF" u="1"/>
        <s v="MRCS,others" u="1"/>
        <s v="GIZ" u="1"/>
        <s v="CARE" u="1"/>
        <s v="MHDO" u="1"/>
        <s v="MRCS,ACF" u="1"/>
        <s v="OXSI (SI)" u="1"/>
        <s v="Metta, KMSS, GLAD" u="1"/>
        <s v="MA_UK" u="1"/>
        <s v="Others/ WVI" u="1"/>
        <s v="MRCS" u="1"/>
        <s v="MRCS, PLAN, RI" u="1"/>
        <s v="MRCS,Others,ACF" u="1"/>
        <s v="Others,MRCS" u="1"/>
        <s v="DRC" u="1"/>
        <s v="MRCS, PLAN, RI,Others" u="1"/>
        <s v="ACF" u="1"/>
        <s v="WFP" u="1"/>
        <s v="Metta,KBC" u="1"/>
        <s v="UNICEF,Others" u="1"/>
        <s v="Others" u="1"/>
        <s v="UNICEF/ UNHCR/UNFPA" u="1"/>
        <s v="OXSI (Oxfam)" u="1"/>
        <s v="OXSI(Oxfam), MA_UK" u="1"/>
        <s v="KBC, KMSS" u="1"/>
        <s v="KMSS, METTA" u="1"/>
        <s v="KBC,HPA" u="1"/>
      </sharedItems>
    </cacheField>
    <cacheField name="Primary Donor covering WASH activities at site " numFmtId="0">
      <sharedItems containsBlank="1"/>
    </cacheField>
    <cacheField name="State" numFmtId="0">
      <sharedItems containsBlank="1" count="6">
        <s v="Shan (North)"/>
        <s v="Kachin"/>
        <m u="1"/>
        <s v="Rakhine" u="1"/>
        <s v="Northern Rakhine" u="1"/>
        <s v="Central Rakhine" u="1"/>
      </sharedItems>
    </cacheField>
    <cacheField name="Township" numFmtId="0">
      <sharedItems containsBlank="1" count="46">
        <s v="Laukkaing (Kokang SAZ)"/>
        <s v="Bhamo"/>
        <s v="Chipwi"/>
        <s v="Hpakant"/>
        <s v="Mansi"/>
        <s v="Mogaung"/>
        <s v="Mohnyin"/>
        <s v="Momauk"/>
        <s v="Myitkyina"/>
        <s v="Puta-O"/>
        <s v="Shwegu"/>
        <s v="Sumprabum"/>
        <s v="Tanai"/>
        <s v="Waingmaw"/>
        <s v="Hseni"/>
        <s v="Kutkai"/>
        <s v="Lashio"/>
        <s v="Manton"/>
        <s v="Muse"/>
        <s v="Namhkan"/>
        <s v="Namtu"/>
        <s v="Hsipaw"/>
        <s v="Kyaukme"/>
        <s v="Injangyang"/>
        <m u="1"/>
        <s v="Mohyin" u="1"/>
        <s v="Kyauktaw" u="1"/>
        <s v="Nawnghkio" u="1"/>
        <s v="Pangsang" u="1"/>
        <s v="Namhsan" u="1"/>
        <s v="Minbya" u="1"/>
        <s v="Ann" u="1"/>
        <s v="Pauktaw" u="1"/>
        <s v="Namatee" u="1"/>
        <s v="Myebon" u="1"/>
        <s v="Buthidaung " u="1"/>
        <s v="Maungdaw" u="1"/>
        <s v="Ponnagyun" u="1"/>
        <s v="Kyaukpyu" u="1"/>
        <s v="Sittwe" u="1"/>
        <s v="Rathedaung" u="1"/>
        <s v="Mai Ja Yang " u="1"/>
        <s v="Mrauk-U" u="1"/>
        <s v="Buthidaung" u="1"/>
        <s v="Ramree" u="1"/>
        <s v="Laukkaing" u="1"/>
      </sharedItems>
    </cacheField>
    <cacheField name="Location Type" numFmtId="0">
      <sharedItems count="14">
        <s v="Camp"/>
        <s v="Camp_not registered"/>
        <s v="Relocated"/>
        <s v="Village"/>
        <s v="Resettlement" u="1"/>
        <s v="return" u="1"/>
        <s v="Town_New_Displaced" u="1"/>
        <s v="Town" u="1"/>
        <e v="#N/A" u="1"/>
        <s v="New Temporary Site" u="1"/>
        <s v="Village_New_Displaced" u="1"/>
        <s v="New Site" u="1"/>
        <s v="Camp not registered" u="1"/>
        <s v="Village_Not HRP" u="1"/>
      </sharedItems>
    </cacheField>
    <cacheField name="Site Name" numFmtId="0">
      <sharedItems containsBlank="1" count="1068">
        <s v="His Aw (Chyu Fan) "/>
        <s v="Shwe Sin (Ward 3) "/>
        <s v="Momauk IDP new extension camp (Kye Nan)"/>
        <s v="Hpare Hkyer - BP6"/>
        <s v="Hlaing Naung Baptist"/>
        <s v="Muyin church (Aung Yar pre-school compound)"/>
        <s v="Shar Du Zut KBC church "/>
        <s v="Maing Khaung"/>
        <s v="Kyun Taw Baptist Church "/>
        <s v="Ma Hawng Baptist Church"/>
        <s v="Namatee Kan Hla AG"/>
        <s v="Namti Labraw Yang KBC Camp"/>
        <s v="Nat Gyi Kone Baptist Church "/>
        <s v="Sar Hmaw - KBC"/>
        <s v="Nawng Ing (Indawgyi) Baptist Church "/>
        <s v="Je Yang Hka "/>
        <s v="Laiza Je Yang School"/>
        <s v="Momauk KBC church"/>
        <s v="Du Kahtawng Baptist"/>
        <s v="Jan Mai Kawng Baptist Church"/>
        <s v="Jaw Masat Camp"/>
        <s v="Le Kone Bethlehem Church"/>
        <s v="Le Kone Ziun Baptist Church "/>
        <s v="Maliyang Baptist Church"/>
        <s v="Man Hkring Baptist Church"/>
        <s v="Njang Dung Baptist Church "/>
        <s v="Shatapru Sut Ngai Tawng"/>
        <s v="Shwe Zet Baptist Church"/>
        <s v="Tat Kone Baptist Church"/>
        <s v="Tat Kone Galile Baptist Church"/>
        <s v="Tat Kone San Pya Baptist Church"/>
        <s v="Trinity Camp"/>
        <s v="Lung Sut"/>
        <s v="Pang Hkawn Yang"/>
        <s v="Shwe Gu Baptist Church"/>
        <s v="Ndup Yang"/>
        <s v="Salang Yang"/>
        <s v="Tanai KBC Camp"/>
        <s v="Hkau Shau (BP 12)"/>
        <s v="Mading Baptist Church"/>
        <s v="Maga Yang "/>
        <s v="Maina KBC (Bawng Ring)"/>
        <s v="Maina Lawang Baptist Church"/>
        <s v="Pajau - Jan Mai"/>
        <s v="Qtr. 2 Myoma Baptist Church"/>
        <s v="Sha-It Yang"/>
        <s v="Shing Jai"/>
        <s v="Waimaw Baptist Zonal Office 2"/>
        <s v="Karmaing RC Church"/>
        <s v="Lone Khin Catholic Church"/>
        <s v="Nant Ma Hpit Catholic Church"/>
        <s v="St.Francis RCC 1"/>
        <s v="St.Francis RCC 2"/>
        <s v="St. Patrick Catholic Church "/>
        <s v="Dum Bung "/>
        <s v="Jan Mai Kawng Catholic Church"/>
        <s v="Ka Bu Dam CoC"/>
        <s v="Nan Kway St. John Catholic Church"/>
        <s v="Pa Dauk Myaing(Pa La Na)"/>
        <s v="Pa Dauk Myaing(Pa La Na)-II"/>
        <s v="Pamati Camp"/>
        <s v="St. Joseph Tanai RC camp "/>
        <s v="Tanai CoC"/>
        <s v="Border Post 8"/>
        <s v="Maina Catholic Church (St. Joseph)"/>
        <s v="Na ru Kawng (Post 6 camp)"/>
        <s v="Man Wing Baptist Church"/>
        <s v="Man Wing Baptist Church Cultural Compound"/>
        <s v="Man Wing Catholic Church"/>
        <s v="Man Wing Catholic Church II"/>
        <s v="Aung Thar Church"/>
        <s v="Htoi San Church"/>
        <s v="Lisu Boarding-House"/>
        <s v="Phan Khar Kone"/>
        <s v="Nam Sa Larp"/>
        <s v="Tsan Lun - Namjarap"/>
        <s v="Bang Yang Hka (Mung Ji Pa)-relocated"/>
        <s v="Galeng (Palaung) &amp; Kone Khem"/>
        <s v="Galeng Zup Awng ward 5 RC"/>
        <s v="Hu Hku &amp; Ho Hko"/>
        <s v="Kutkai downtown (KBC Church)"/>
        <s v="Kutkai downtown (KBC Church-2)"/>
        <s v="Mai Yu Lay New (Ta'ang)"/>
        <s v="Man Loi"/>
        <s v="Mine Yu Lay village ( Old)"/>
        <s v="Mung Hawm "/>
        <s v="Nam Hpak Ka Mare "/>
        <s v="Nam Hpak Ka Ta'ang ( Aung Tha Pyay)"/>
        <s v="New Pang Ku "/>
        <s v="Pan Law"/>
        <s v="Zup Aung Camp"/>
        <s v="Enai (Man Pyein)"/>
        <s v="Man Wing- IDPs in Host"/>
        <s v="Mansi Baptist Church"/>
        <s v="Mandung - Jinghpaw"/>
        <s v="Agritural Compound (KBC)"/>
        <s v="Hpun Lum Yang "/>
        <s v="Kachin Su Baptist Church (ECCD)"/>
        <s v="Khar Nan (1) Baptist Church"/>
        <s v="Man Bung Catholic compound"/>
        <s v="Momauk Baptist Church"/>
        <s v="Hpai Kawng"/>
        <s v="Mong Wee Shan-relocated"/>
        <s v="Nam Hkam (KBC Jaw Wang)"/>
        <s v="Nam Hkam (KBC Jaw Wang) II"/>
        <s v="Hseng Ja-Relocated"/>
        <s v="Kyu Sot"/>
        <s v="Lisu Church Namtu"/>
        <s v="Nam Tu Baptist"/>
        <s v="Pan Ta Pyae"/>
        <s v="Shwe Gu Catholic Church"/>
        <s v="IDP Boarding School, A Len Bum"/>
        <s v="Woi Chyai "/>
        <s v="Woi Chyai (Mong Lai)"/>
        <s v="Woi Chyai host families"/>
        <s v="Nam Hkam - Nay Win Ni (Palawng)"/>
        <s v="Nam Hkam Catholic Church ( St. Thomas I)"/>
        <s v="Mandung - RC"/>
        <s v="(3 mile) Shwe Pyi Tar (SLCA)"/>
        <s v="AD 2000 School"/>
        <s v="Bhamo- IDPs in Host "/>
        <s v="Nam Hlaing Extension Ward camp"/>
        <s v="Robert -High school"/>
        <s v="Chipwi Pan Wa  (Host IDP)"/>
        <s v="Lawa RC Church"/>
        <s v="Maw Wan, Mu-yin Baptist Church"/>
        <s v="St.Columban lone Khin camp"/>
        <s v="Hat Hlan village (host)"/>
        <s v="Man Kaung/Naung Ti Kyar Village"/>
        <s v="Kyaukme Town (host)"/>
        <s v="Maing Khaung Catholic Church"/>
        <s v="Mansi- IDPs in Host"/>
        <s v="Emmanuel AG Church"/>
        <s v="Hopin -IDPs in Host"/>
        <s v="Moenyin- IDPs in Host"/>
        <s v="Lwegel High School"/>
        <s v="Momauk-IDPs in Host"/>
        <s v="Myo Thit -IDP in Host"/>
        <s v="Mang Nawng Kawng (host)"/>
        <s v="Sector 5 Pammati Quarter"/>
        <s v="Hka Garan Yang "/>
        <s v="Ding Jang Yang (1)"/>
        <s v="Ding Jang Yang (2)"/>
        <s v="Lhaovo Baptist Convention  Old Office Camp"/>
        <s v="Lisu Zonal camp"/>
        <s v="Naung Pataine/lachid "/>
        <s v="Naung Tar Law (Kyet Chan) "/>
        <s v="Phaug Nhae Camp"/>
        <s v="Sadung"/>
        <s v="Waingmaw LBC church "/>
        <s v="Waingmaw St.Joseph RC Church"/>
        <s v="Yuu Ka lait Kone Camp"/>
        <s v="Chipwi KBC camp"/>
        <s v="Lhaovao Baptist Church (LBC)"/>
        <s v="AG Church, Hmaw Si Sa"/>
        <s v="AG Church, Maw Wan"/>
        <s v="Baptist Church, Hmaw Si Sar(Lon Khin)"/>
        <s v="Chin Church, Seik Mu"/>
        <s v="Dhama Rakhita, Nyein Chan Tar Yar Ward(Lon Khin)"/>
        <s v="Hpakant Baptist Church, Nam Ma Hpit"/>
        <s v="Lawng Hkang Shait Yang Camp​ ( Lel Pyin)​ "/>
        <s v="Lisu Baptist Church, Maw Shan Vil,. Seik Mu"/>
        <s v="Lisu Baptist Church, Maw Wan Ward"/>
        <s v="Nam Ma Phyit, COC"/>
        <s v="Rawan Baptist Church, Maw Shan Vil., Seik Mu"/>
        <s v="Ward 2 Sai Taung Baptist Church, Seik Mu "/>
        <s v="Yumar Baptist Church"/>
        <s v="Maw Hpawng Hka Nan Baptist Church"/>
        <s v="Maw Hpawng Lhaovo Baptist Church"/>
        <s v="Saint Matthew (Shin ma ti-sitapru) camp"/>
        <s v="Shatapru Thida Aye Baptist Church"/>
        <s v="Tat Kone COC Baptist - Tat Kone Htoi San"/>
        <s v="Hkat Cho "/>
        <s v="Maina AG Church"/>
        <s v="Nawng Hee Village"/>
        <s v="Qtr. 2 Lhaovo Baptist Church"/>
        <s v="Maina Mu-yin  Baptist Church"/>
        <s v="Thargaya Lisu Baptist Church"/>
        <s v="Waingmaw AG Church"/>
        <s v="AD-2000 Extension camp"/>
        <s v="AD-2000 Tharthana Compound"/>
        <s v="Robert Church"/>
        <s v="Htang Nya "/>
        <s v="Loi Je Baptist Church"/>
        <s v="Loi Je Catholic Church"/>
        <s v="Loi Je Lisu Camp"/>
        <s v="Man Bung Edin Baptist Church"/>
        <s v="Nan Hlaing_new camp "/>
        <s v="Nyaung Na Pin "/>
        <s v="Seng Ja "/>
        <s v="Bum Ra Yang Camp "/>
        <s v="Hka Shi"/>
        <s v="Bum Tsit Pa"/>
        <s v="Nhkawng Pa "/>
        <s v="Pa Kahtawng "/>
        <s v="Lana Zup Ja"/>
        <s v="Lian Bang village"/>
        <s v="Man Pint community Hall "/>
        <s v="Mong Tin High School"/>
        <s v="Nar Mun Primary School"/>
        <s v="SLCA Building Compound (Kyaukme town)"/>
        <s v="SLCA Building Compound (Moungnawt town)"/>
        <s v="Theravada Monastery "/>
        <s v="Lin Hao chun "/>
        <s v="Pyi Htaung Su"/>
        <s v="Pan Wa" u="1"/>
        <m u="1"/>
        <s v="Thet Kae Pyin Village (IDPs in host family)" u="1"/>
        <s v="Ramree Town" u="1"/>
        <s v="Set Yone Su 1" u="1"/>
        <s v="Tanai KBC Church " u="1"/>
        <s v="Gyit Chaung" u="1"/>
        <s v="Let Than Chi (Ywar Thit)" u="1"/>
        <s v="Man Wing Host Families"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3 mile) Shwe Pyi Tar " u="1"/>
        <s v="Hla Nyo Kan" u="1"/>
        <s v="Baw Du Pha Village (IDP in host families)" u="1"/>
        <s v="Ywa Haung" u="1"/>
        <s v="Aung Taing"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Kha Tin Pike Gyi" u="1"/>
        <s v="Taung Poke Kay" u="1"/>
        <s v="Kyee Kan Pyin ( Temoprary Tent)" u="1"/>
        <s v="Muslim (Aley Ywa)" u="1"/>
        <s v="Kar Di" u="1"/>
        <s v="Kyauk Ta Lone" u="1"/>
        <s v="Ohn Chaung" u="1"/>
        <s v="Langui" u="1"/>
        <s v="Kat Pa Kaung" u="1"/>
        <s v="Inn Chaung (Muslim)" u="1"/>
        <s v="Nyaung Pin Gyi (Rakhine)" u="1"/>
        <s v="Dar Paing Ywar Thit"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Lan Gwa St.Paul RC Church"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Myo Thit "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Na ru Kawng "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Tat Kone Emanuel Church" u="1"/>
        <s v="Koe Song (2) Village" u="1"/>
        <s v="Mee Chaung Zay_Ywar Thit" u="1"/>
        <s v="Khat Pa Kaung" u="1"/>
        <s v="Bu May Ohn Daw Chay"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Sin Tet Maw Rakhine(Baw Da Li)" u="1"/>
        <s v="Gwa Sone Chin" u="1"/>
        <s v="Thaing Ta Poke" u="1"/>
        <s v="Moenyin Host Families" u="1"/>
        <s v="Kha Yu Chaung (Muslim)" u="1"/>
        <s v="Ku Lar Thein" u="1"/>
        <s v="Khaung Doke Khar 2 (Hmanzi)"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Mansi_Host Families"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Yi Hku Man Hkan " u="1"/>
        <s v="Nam Hkawng" u="1"/>
        <s v="Kho Long" u="1"/>
        <s v="Yae Nauk Ngar Thar (Daing Nat)" u="1"/>
        <s v="Jwan Jaw KBC" u="1"/>
        <s v="That Kaing Nyar (Thet)" u="1"/>
        <s v="Htai Ra Yang" u="1"/>
        <s v="Laung Chaung (Daing Net)" u="1"/>
        <s v="Zu Kaing" u="1"/>
        <s v="Thin Pan Kaing" u="1"/>
        <s v="Ah Htet Nan Yar (Rakhine)" u="1"/>
        <s v="Nga Khu Ya" u="1"/>
        <s v="Kan Beit" u="1"/>
        <s v="Maina Relocation Site"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Mong Wee Shan" u="1"/>
        <s v="Yet Khone Taing" u="1"/>
        <s v="Goke Pi Htaunt (Rakhine)" u="1"/>
        <s v="Thea Chaung Pyu Su" u="1"/>
        <s v="Tha Dar" u="1"/>
        <s v="Hseng Ja" u="1"/>
        <s v="Zin Paing Nyar" u="1"/>
        <s v="MinPauk" u="1"/>
        <s v="Thin Pon Tan" u="1"/>
        <s v="Gar Pu (Lower)" u="1"/>
        <s v="Zay Teit Taung" u="1"/>
        <s v="Thone Saung" u="1"/>
        <s v="Chaung Thit Monastery" u="1"/>
        <s v="Say Tha Ma Gyi" u="1"/>
        <s v="Ah Htet Myat Hle" u="1"/>
        <s v="Quarter -7 , Lashio" u="1"/>
        <s v="Inn Hpauk" u="1"/>
        <s v="Aung Ba La" u="1"/>
        <s v="5 Ward RC Church(lon Khin)" u="1"/>
        <s v="Let Wea Det Pyin Shey_Tha Pyay Taw" u="1"/>
        <s v="Pyin Shey" u="1"/>
        <s v="Sa Bai Pin Yin" u="1"/>
        <s v="Yat Khone Taing" u="1"/>
        <s v="Mya Ta Saung Monastery" u="1"/>
        <s v="Bethela KBC church" u="1"/>
        <s v="Ohn Taw Gyi (North)" u="1"/>
        <s v="Kan Pyin Ywa Haung" u="1"/>
        <s v="Taung Chauk" u="1"/>
        <s v="N-gum La" u="1"/>
        <s v="Kun Taung" u="1"/>
        <s v="Shwe Taung Monastery" u="1"/>
        <s v="Tauk Sone" u="1"/>
        <s v="Hpai Kawng Mare" u="1"/>
        <s v="Kan Za Li"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Momauk_Host Families"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Kyauk Yan Thar Si" u="1"/>
        <s v="Raza Bil" u="1"/>
        <s v="Sat Roe Kya 1" u="1"/>
        <s v="Kan Tha Ya" u="1"/>
        <s v="Taung Pauk"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U Yin Thar" u="1"/>
        <s v="Ah Kyaw (Arisha Para)" u="1"/>
        <s v="Myin Kan Seik" u="1"/>
        <s v="Kyar Nyo Pyin" u="1"/>
        <s v="Lian He village" u="1"/>
        <s v="Nga Kyi Tauk Daing Nat" u="1"/>
        <s v="Thet Kaing Ngyar" u="1"/>
        <s v="Sin Thay Pyin (Zay Di Pyin)" u="1"/>
        <s v="Shwe Zar Kat Pa Kaung" u="1"/>
        <s v="Sumprabum" u="1"/>
        <s v="Sin Thi Pein Hne Taw (Sin Tae)" u="1"/>
        <s v="Wa Lar Kann" u="1"/>
        <s v="U Gar Hton" u="1"/>
        <s v="Ah Nauk Ywe" u="1"/>
        <s v="Tanai AG Church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Bang Yang Hka (Mung Ji Pa)"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yo Oo St. Dominic RC Church"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Tha Ray Kon Baung" u="1"/>
        <s v="Namatee AG" u="1"/>
        <s v="Ward-6 (Lay Myaing)" u="1"/>
        <s v="Ka Doe Seik" u="1"/>
        <s v="Kyan Taw" u="1"/>
        <s v="Nyaung Bin Hla Village" u="1"/>
        <s v="Pann Phaw Pyin" u="1"/>
        <s v="Aung Zay Yar" u="1"/>
        <s v="Man Pya San Pya Resettlement" u="1"/>
        <s v="Ywar Thar Yar" u="1"/>
        <s v="Kutkai downtown (RC Church)"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tring="0" containsBlank="1" containsNumber="1" minValue="3" maxValue="1597"/>
    </cacheField>
    <cacheField name="Total PoP " numFmtId="164">
      <sharedItems containsString="0" containsBlank="1" containsNumber="1" containsInteger="1" minValue="15" maxValue="8486"/>
    </cacheField>
    <cacheField name="Project start date" numFmtId="168">
      <sharedItems containsDate="1" containsBlank="1" containsMixedTypes="1" minDate="2020-01-03T00:00:00" maxDate="2022-05-02T00:00:00"/>
    </cacheField>
    <cacheField name="Project end date" numFmtId="165">
      <sharedItems containsDate="1" containsBlank="1" containsMixedTypes="1" minDate="2020-02-28T00:00:00" maxDate="2023-01-01T00:00:00"/>
    </cacheField>
    <cacheField name="#_students at TLS_CFS" numFmtId="164">
      <sharedItems containsString="0" containsBlank="1" containsNumber="1" containsInteger="1" minValue="13" maxValue="543"/>
    </cacheField>
    <cacheField name="#_ paid camp based WASH skilled labor" numFmtId="164">
      <sharedItems containsString="0" containsBlank="1" containsNumber="1" containsInteger="1" minValue="0" maxValue="9"/>
    </cacheField>
    <cacheField name="#_paid camp based unskilled WASH unskilled labor" numFmtId="164">
      <sharedItems containsString="0" containsBlank="1" containsNumber="1" containsInteger="1" minValue="1" maxValue="3"/>
    </cacheField>
    <cacheField name="# Work days (approx) lost in this site due to access restrictions" numFmtId="164">
      <sharedItems containsNonDate="0" containsString="0" containsBlank="1"/>
    </cacheField>
    <cacheField name="WASH Focal in camp management structure?" numFmtId="1">
      <sharedItems containsBlank="1"/>
    </cacheField>
    <cacheField name="#_men on camp WASH team" numFmtId="164">
      <sharedItems containsString="0" containsBlank="1" containsNumber="1" containsInteger="1" minValue="0" maxValue="20"/>
    </cacheField>
    <cacheField name="#_women on camp WASH team" numFmtId="164">
      <sharedItems containsString="0" containsBlank="1" containsNumber="1" containsInteger="1" minValue="0" maxValue="55"/>
    </cacheField>
    <cacheField name="#_Constructed/existing protected hand dug well" numFmtId="164">
      <sharedItems containsString="0" containsBlank="1" containsNumber="1" containsInteger="1" minValue="0" maxValue="27"/>
    </cacheField>
    <cacheField name="#_Non-functional protected hand dug well" numFmtId="164">
      <sharedItems containsString="0" containsBlank="1" containsNumber="1" containsInteger="1" minValue="0" maxValue="15"/>
    </cacheField>
    <cacheField name="#_Operation &amp; Maintenance of hand dug well" numFmtId="164">
      <sharedItems containsString="0" containsBlank="1" containsNumber="1" containsInteger="1" minValue="0" maxValue="23"/>
    </cacheField>
    <cacheField name="#_Constructed/Existing tube wells/boreholes/handpumps_WASH_agency" numFmtId="164">
      <sharedItems containsString="0" containsBlank="1" containsNumber="1" containsInteger="1" minValue="0" maxValue="23"/>
    </cacheField>
    <cacheField name="#_Non-Cluster partner water tube-wells/boreholes/handpumps" numFmtId="164">
      <sharedItems containsString="0" containsBlank="1" containsNumber="1" containsInteger="1" minValue="0" maxValue="3"/>
    </cacheField>
    <cacheField name="#_Non-functional tube wells/boreholes/handpumps" numFmtId="164">
      <sharedItems containsString="0" containsBlank="1" containsNumber="1" containsInteger="1" minValue="0" maxValue="3"/>
    </cacheField>
    <cacheField name="#_Operation &amp; Maintenance of tube wells/boreholes/handpumps" numFmtId="164">
      <sharedItems containsString="0" containsBlank="1" containsNumber="1" containsInteger="1" minValue="1" maxValue="9"/>
    </cacheField>
    <cacheField name="#_Constructed/Existingwater storage tank with gravity fed reticulation system" numFmtId="164">
      <sharedItems containsString="0" containsBlank="1" containsNumber="1" containsInteger="1" minValue="0" maxValue="48"/>
    </cacheField>
    <cacheField name="#_Non-functional storage tank gravity fed reticulation system" numFmtId="164">
      <sharedItems containsString="0" containsBlank="1" containsNumber="1" containsInteger="1" minValue="0" maxValue="2"/>
    </cacheField>
    <cacheField name="#_Operation &amp; maintenance of storage tank and reticulation system" numFmtId="164">
      <sharedItems containsString="0" containsBlank="1" containsNumber="1" minValue="1" maxValue="14"/>
    </cacheField>
    <cacheField name="#_Water_Liters_supplied_by_Water boating or water trucking" numFmtId="164">
      <sharedItems containsString="0" containsBlank="1" containsNumber="1" containsInteger="1" minValue="0" maxValue="0"/>
    </cacheField>
    <cacheField name="#_Constructed/Existing protected/fenced ponds" numFmtId="164">
      <sharedItems containsString="0" containsBlank="1" containsNumber="1" containsInteger="1" minValue="0" maxValue="13"/>
    </cacheField>
    <cacheField name="#_Water_Liters_from_Constructed/Existing water distribution system from river or natural spring" numFmtId="164">
      <sharedItems containsString="0" containsBlank="1" containsNumber="1" containsInteger="1" minValue="0" maxValue="480270"/>
    </cacheField>
    <cacheField name="#_committes/technicians trained and maintaining the water points" numFmtId="164">
      <sharedItems containsString="0" containsBlank="1" containsNumber="1" containsInteger="1" minValue="0" maxValue="12"/>
    </cacheField>
    <cacheField name="#_Water points fully handed over" numFmtId="164">
      <sharedItems containsBlank="1" containsMixedTypes="1" containsNumber="1" containsInteger="1" minValue="0" maxValue="26"/>
    </cacheField>
    <cacheField name="#_Water sources tested for fecal coliform " numFmtId="164">
      <sharedItems containsString="0" containsBlank="1" containsNumber="1" containsInteger="1" minValue="1" maxValue="15"/>
    </cacheField>
    <cacheField name="#_Water sources passed" numFmtId="164">
      <sharedItems containsString="0" containsBlank="1" containsNumber="1" containsInteger="1" minValue="0" maxValue="15"/>
    </cacheField>
    <cacheField name="#_Household water samples tested for fecal coliform" numFmtId="164">
      <sharedItems containsString="0" containsBlank="1" containsNumber="1" containsInteger="1" minValue="3" maxValue="36"/>
    </cacheField>
    <cacheField name="#_Household passed" numFmtId="164">
      <sharedItems containsString="0" containsBlank="1" containsNumber="1" containsInteger="1" minValue="0" maxValue="36"/>
    </cacheField>
    <cacheField name="#_Constructed/Existing hand washing stations at TLS/CFS/THF" numFmtId="164">
      <sharedItems containsString="0" containsBlank="1" containsNumber="1" containsInteger="1" minValue="0" maxValue="21"/>
    </cacheField>
    <cacheField name="#_of water points in TLS/CFS" numFmtId="164">
      <sharedItems containsString="0" containsBlank="1" containsNumber="1" containsInteger="1" minValue="0" maxValue="12"/>
    </cacheField>
    <cacheField name="#_of water points in THF" numFmtId="164">
      <sharedItems containsString="0" containsBlank="1" containsNumber="1" containsInteger="1" minValue="2" maxValue="2"/>
    </cacheField>
    <cacheField name="WATER Comments" numFmtId="0">
      <sharedItems containsBlank="1"/>
    </cacheField>
    <cacheField name="#_Constructed latrines_by_WASHAgencies" numFmtId="164">
      <sharedItems containsString="0" containsBlank="1" containsNumber="1" containsInteger="1" minValue="0" maxValue="715"/>
    </cacheField>
    <cacheField name="#_Non Cluster partner latrines" numFmtId="164">
      <sharedItems containsString="0" containsBlank="1" containsNumber="1" containsInteger="1" minValue="0" maxValue="627"/>
    </cacheField>
    <cacheField name="Name of Non-Cluster partner who constructed latrines" numFmtId="0">
      <sharedItems containsBlank="1" containsMixedTypes="1" containsNumber="1" containsInteger="1" minValue="4" maxValue="4"/>
    </cacheField>
    <cacheField name="#_Non-functional latrines" numFmtId="164">
      <sharedItems containsString="0" containsBlank="1" containsNumber="1" containsInteger="1" minValue="0" maxValue="78"/>
    </cacheField>
    <cacheField name="#_Operation &amp; maintenance of latrines" numFmtId="164">
      <sharedItems containsString="0" containsBlank="1" containsNumber="1" containsInteger="1" minValue="0" maxValue="39"/>
    </cacheField>
    <cacheField name="#_Latrines desludged during the past quarter" numFmtId="164">
      <sharedItems containsString="0" containsBlank="1" containsNumber="1" containsInteger="1" minValue="1" maxValue="162"/>
    </cacheField>
    <cacheField name="#_Cubic meters of desludging in past quarter" numFmtId="164">
      <sharedItems containsBlank="1" containsMixedTypes="1" containsNumber="1" minValue="2" maxValue="732"/>
    </cacheField>
    <cacheField name="#_Latrines fully handed over" numFmtId="164">
      <sharedItems containsString="0" containsBlank="1" containsNumber="1" containsInteger="1" minValue="0" maxValue="413"/>
    </cacheField>
    <cacheField name="Is there provision of solid waste management equipment?" numFmtId="0">
      <sharedItems containsBlank="1" count="4">
        <s v="No"/>
        <s v="Yes"/>
        <s v="NA"/>
        <m u="1"/>
      </sharedItems>
    </cacheField>
    <cacheField name="Is there constructed surface water drainage system?_x000a_" numFmtId="0">
      <sharedItems containsBlank="1" count="6">
        <s v="No"/>
        <s v="Functional"/>
        <s v="NA"/>
        <s v="Not_Functional"/>
        <m u="1"/>
        <s v="Yes" u="1"/>
      </sharedItems>
    </cacheField>
    <cacheField name="#_Constructed/Existing child friendly latrines" numFmtId="164">
      <sharedItems containsString="0" containsBlank="1" containsNumber="1" containsInteger="1" minValue="0" maxValue="13"/>
    </cacheField>
    <cacheField name="#_Constructed/Existing disabled &amp; elderly friendly latrines " numFmtId="164">
      <sharedItems containsString="0" containsBlank="1" containsNumber="1" containsInteger="1" minValue="0" maxValue="274"/>
    </cacheField>
    <cacheField name="# of functional latrines in TLS/CFS supported by WASH partners during the reporting period" numFmtId="164">
      <sharedItems containsString="0" containsBlank="1" containsNumber="1" containsInteger="1" minValue="0" maxValue="62"/>
    </cacheField>
    <cacheField name="# of functional latrines in THF supported by WASH partners during the reporting period2" numFmtId="164">
      <sharedItems containsString="0" containsBlank="1" containsNumber="1" containsInteger="1" minValue="0" maxValue="31"/>
    </cacheField>
    <cacheField name="#_of_persons_with_disabilities_with_adapted_sanitation_option" numFmtId="164">
      <sharedItems containsString="0" containsBlank="1" containsNumber="1" containsInteger="1" minValue="1" maxValue="76"/>
    </cacheField>
    <cacheField name="Sanitation Comments" numFmtId="0">
      <sharedItems containsBlank="1"/>
    </cacheField>
    <cacheField name="#_Constructed/Existing hand washing stations" numFmtId="164">
      <sharedItems containsString="0" containsBlank="1" containsNumber="1" containsInteger="1" minValue="0" maxValue="315"/>
    </cacheField>
    <cacheField name="#_Non-Functional_hand_washing_stations" numFmtId="164">
      <sharedItems containsString="0" containsBlank="1" containsNumber="1" containsInteger="1" minValue="1" maxValue="315"/>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tring="0" containsBlank="1" containsNumber="1" containsInteger="1" minValue="1" maxValue="49"/>
    </cacheField>
    <cacheField name="#_Non-Functional communal_bathing spaces " numFmtId="164">
      <sharedItems containsString="0" containsBlank="1" containsNumber="1" containsInteger="1" minValue="0" maxValue="4"/>
    </cacheField>
    <cacheField name="#_male hygiene promoters" numFmtId="164">
      <sharedItems containsString="0" containsBlank="1" containsNumber="1" containsInteger="1" minValue="0" maxValue="12"/>
    </cacheField>
    <cacheField name="#_female hygiene promoters" numFmtId="164">
      <sharedItems containsString="0" containsBlank="1" containsNumber="1" containsInteger="1" minValue="1" maxValue="25"/>
    </cacheField>
    <cacheField name="#_households that received standard amount of soap for this quarter" numFmtId="164">
      <sharedItems containsString="0" containsBlank="1" containsNumber="1" containsInteger="1" minValue="5" maxValue="1597"/>
    </cacheField>
    <cacheField name="# of affected women and girls receiving a sufficient quantity of sanitary pads from direct distribution or from MHM room facilities" numFmtId="164">
      <sharedItems containsString="0" containsBlank="1" containsNumber="1" minValue="4" maxValue="2887"/>
    </cacheField>
    <cacheField name="Is sufficient soap available for TLS? (Yes/No)" numFmtId="0">
      <sharedItems containsBlank="1"/>
    </cacheField>
    <cacheField name="#_Hygiene Promotion activities (sessions) in TLS?" numFmtId="1">
      <sharedItems containsString="0" containsBlank="1" containsNumber="1" containsInteger="1" minValue="1" maxValue="100"/>
    </cacheField>
    <cacheField name="% of students reached by HP activities" numFmtId="9">
      <sharedItems containsString="0" containsBlank="1" containsNumber="1" minValue="0.2" maxValue="1"/>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1" maxValue="1"/>
    </cacheField>
    <cacheField name="%_of_affected_people_surveyed_who_report_feeling_satistfied_with_the_water_point_design_and_water_service" numFmtId="9">
      <sharedItems containsString="0" containsBlank="1" containsNumber="1" minValue="0.1" maxValue="1"/>
    </cacheField>
    <cacheField name="#_of_affected_people_surveyed_who_report_feeling_informed_about_the_different_WASH_services_available_to_them" numFmtId="0">
      <sharedItems containsString="0" containsBlank="1" containsNumber="1" minValue="0.8" maxValue="1407.1200000000001"/>
    </cacheField>
    <cacheField name="%_of_complaints_received_that_result_in_timely_corrective_action_and_feedback_to_the_community" numFmtId="9">
      <sharedItems containsString="0" containsBlank="1" containsNumber="1" minValue="0"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2" maxValue="48"/>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2" maxValue="201"/>
    </cacheField>
    <cacheField name="# of sanitation facilities (bathing spaces) built following risk-sensitive programming and consultation with communities" numFmtId="164">
      <sharedItems containsString="0" containsBlank="1" containsNumber="1" containsInteger="1" minValue="1" maxValue="15"/>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13"/>
    </cacheField>
    <cacheField name="Functional tube wells/boreholes/handpumps (including non-cluster partners)" numFmtId="1">
      <sharedItems containsSemiMixedTypes="0" containsString="0" containsNumber="1" containsInteger="1" minValue="0" maxValue="23"/>
    </cacheField>
    <cacheField name="Functional storage tank with gravity fed reticulation system" numFmtId="1">
      <sharedItems containsSemiMixedTypes="0" containsString="0" containsNumber="1" containsInteger="1" minValue="0" maxValue="48"/>
    </cacheField>
    <cacheField name="Liters_Water boating or water trucking" numFmtId="1">
      <sharedItems containsSemiMixedTypes="0" containsString="0" containsNumber="1" containsInteger="1" minValue="0" maxValue="0"/>
    </cacheField>
    <cacheField name="Liters_Constructed water distribution system from river" numFmtId="1">
      <sharedItems containsSemiMixedTypes="0" containsString="0" containsNumber="1" minValue="0" maxValue="355.75555555555553"/>
    </cacheField>
    <cacheField name="# People access to functional water points or water provision supported by WASH partners in TLS/CFS_HRP5" numFmtId="1">
      <sharedItems containsSemiMixedTypes="0" containsString="0" containsNumber="1" containsInteger="1" minValue="0" maxValue="3000"/>
    </cacheField>
    <cacheField name="# People access to functional water points or water provision supported by WASH partners in THF_HRP6" numFmtId="1">
      <sharedItems containsSemiMixedTypes="0" containsString="0" containsNumber="1" containsInteger="1" minValue="0" maxValue="293"/>
    </cacheField>
    <cacheField name="Access to safe drinking water for Camp" numFmtId="9">
      <sharedItems containsMixedTypes="1" containsNumber="1" minValue="0" maxValue="1"/>
    </cacheField>
    <cacheField name="Access to safe drinking water for Village" numFmtId="9">
      <sharedItems containsMixedTypes="1" containsNumber="1" minValue="0" maxValue="1"/>
    </cacheField>
    <cacheField name="%Equitable and continuous access to sufficient quantity of safe drinking water" numFmtId="9">
      <sharedItems containsMixedTypes="1" containsNumber="1" minValue="0" maxValue="1"/>
    </cacheField>
    <cacheField name="# people with equitable and continuous access to sufficient quantity of safe drinking water" numFmtId="1">
      <sharedItems containsString="0" containsBlank="1" containsNumber="1" minValue="0" maxValue="3860"/>
    </cacheField>
    <cacheField name="% Access to unimproved water points" numFmtId="9">
      <sharedItems containsString="0" containsBlank="1"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tring="0" containsBlank="1" containsNumber="1" minValue="0" maxValue="1"/>
    </cacheField>
    <cacheField name="HRP1" numFmtId="1">
      <sharedItems containsString="0" containsBlank="1" containsNumber="1" minValue="0" maxValue="3860"/>
    </cacheField>
    <cacheField name="#Water points coverage" numFmtId="1">
      <sharedItems containsSemiMixedTypes="0" containsString="0" containsNumber="1" minValue="0" maxValue="7.72"/>
    </cacheField>
    <cacheField name="%equitable and continuous access to sufficient quantity of safe drinking and domestic water's GAP" numFmtId="9">
      <sharedItems containsString="0" containsBlank="1" containsNumber="1" minValue="0" maxValue="1"/>
    </cacheField>
    <cacheField name="# people needs equitable and continuous access to sufficient quantity of safe drinking and domestic water GAP" numFmtId="1">
      <sharedItems containsString="0" containsBlank="1" containsNumber="1" minValue="0" maxValue="8086"/>
    </cacheField>
    <cacheField name="#Potential required new water points" numFmtId="1">
      <sharedItems containsSemiMixedTypes="0" containsString="0" containsNumber="1" minValue="0" maxValue="16.2"/>
    </cacheField>
    <cacheField name="Total required water points" numFmtId="1">
      <sharedItems containsSemiMixedTypes="0" containsString="0" containsNumber="1" containsInteger="1" minValue="1" maxValue="17"/>
    </cacheField>
    <cacheField name="# of Functioning latrine" numFmtId="1">
      <sharedItems containsSemiMixedTypes="0" containsString="0" containsNumber="1" containsInteger="1" minValue="0" maxValue="637"/>
    </cacheField>
    <cacheField name="% people access to functioning Latrine" numFmtId="9">
      <sharedItems containsString="0" containsBlank="1" containsNumber="1" minValue="0" maxValue="1"/>
    </cacheField>
    <cacheField name="HRP2" numFmtId="1">
      <sharedItems containsSemiMixedTypes="0" containsString="0" containsNumber="1" containsInteger="1" minValue="0" maxValue="8486"/>
    </cacheField>
    <cacheField name="# people access to continuous sanitation services desluding" numFmtId="1">
      <sharedItems containsMixedTypes="1" containsNumber="1" containsInteger="1" minValue="0" maxValue="2820"/>
    </cacheField>
    <cacheField name="# students access to functioning school latrines_HRP5" numFmtId="1">
      <sharedItems containsSemiMixedTypes="0" containsString="0" containsNumber="1" containsInteger="1" minValue="0" maxValue="270"/>
    </cacheField>
    <cacheField name="# People access to functioning latrines in THF_HRP6" numFmtId="1">
      <sharedItems containsSemiMixedTypes="0" containsString="0" containsNumber="1" containsInteger="1" minValue="0" maxValue="1550"/>
    </cacheField>
    <cacheField name="Total required Latrines" numFmtId="1">
      <sharedItems containsSemiMixedTypes="0" containsString="0" containsNumber="1" containsInteger="1" minValue="0" maxValue="578"/>
    </cacheField>
    <cacheField name="# potential required new latrines" numFmtId="1">
      <sharedItems containsSemiMixedTypes="0" containsString="0" containsNumber="1" containsInteger="1" minValue="0" maxValue="464"/>
    </cacheField>
    <cacheField name="% of Latrine Gap" numFmtId="9">
      <sharedItems containsString="0" containsBlank="1" containsNumber="1" minValue="0" maxValue="1"/>
    </cacheField>
    <cacheField name="% Latrines requiring  repairs" numFmtId="9">
      <sharedItems containsString="0" containsBlank="1" containsNumber="1" minValue="0" maxValue="1"/>
    </cacheField>
    <cacheField name="# people reached by regular dedicated hygiene promotion_5" numFmtId="1">
      <sharedItems containsSemiMixedTypes="0" containsString="0" containsNumber="1" containsInteger="1" minValue="0" maxValue="8486"/>
    </cacheField>
    <cacheField name="# People with access to soap" numFmtId="1">
      <sharedItems containsSemiMixedTypes="0" containsString="0" containsNumber="1" containsInteger="1" minValue="0" maxValue="7985"/>
    </cacheField>
    <cacheField name="# People with access to Sanity Pads" numFmtId="1">
      <sharedItems containsSemiMixedTypes="0" containsString="0" containsNumber="1" minValue="0" maxValue="2887"/>
    </cacheField>
    <cacheField name="# People received regular supply of hygiene items_6" numFmtId="1">
      <sharedItems containsSemiMixedTypes="0" containsString="0" containsNumber="1" containsInteger="1" minValue="0" maxValue="7985"/>
    </cacheField>
    <cacheField name="HRP3" numFmtId="1">
      <sharedItems containsSemiMixedTypes="0" containsString="0" containsNumber="1" containsInteger="1" minValue="0" maxValue="8486"/>
    </cacheField>
    <cacheField name="Hygiene Coverage%" numFmtId="9">
      <sharedItems containsString="0" containsBlank="1" containsNumber="1" minValue="0" maxValue="1"/>
    </cacheField>
    <cacheField name="Hygiene Gap%" numFmtId="9">
      <sharedItems containsString="0" containsBlank="1" containsNumber="1" minValue="0" maxValue="1"/>
    </cacheField>
    <cacheField name="%people reached by regular dedicated hygiene promotion" numFmtId="9">
      <sharedItems containsString="0" containsBlank="1" containsNumber="1" minValue="0" maxValue="1"/>
    </cacheField>
    <cacheField name="%HH with access to soap" numFmtId="9">
      <sharedItems containsString="0" containsBlank="1" containsNumber="1" minValue="0" maxValue="1"/>
    </cacheField>
    <cacheField name="% of HH with access to Sanitary Pad" numFmtId="9">
      <sharedItems containsString="0" containsBlank="1" containsNumber="1" minValue="0" maxValue="1"/>
    </cacheField>
    <cacheField name="# Functional hand washing stations during reporting period" numFmtId="1">
      <sharedItems containsSemiMixedTypes="0" containsString="0" containsNumber="1" containsInteger="1" minValue="0" maxValue="177"/>
    </cacheField>
    <cacheField name="#HH with access to Hand Washing Station" numFmtId="1">
      <sharedItems containsSemiMixedTypes="0" containsString="0" containsNumber="1" containsInteger="1" minValue="0" maxValue="960"/>
    </cacheField>
    <cacheField name="# of hand washing stations with soap in TLS" numFmtId="1">
      <sharedItems containsSemiMixedTypes="0" containsString="0" containsNumber="1" containsInteger="1" minValue="0" maxValue="14"/>
    </cacheField>
    <cacheField name="# People access to Handwashing Station" numFmtId="1">
      <sharedItems containsSemiMixedTypes="0" containsString="0" containsNumber="1" containsInteger="1" minValue="0" maxValue="4800"/>
    </cacheField>
    <cacheField name="Sites with TLS" numFmtId="1">
      <sharedItems/>
    </cacheField>
    <cacheField name="%_of_affected_people_surveyed_who_report_feeling_informed_about_the_different_WASH_services_available_to_them2" numFmtId="9">
      <sharedItems containsMixedTypes="1" containsNumber="1" minValue="5.9701492537313433E-4" maxValue="1.2506552706552705"/>
    </cacheField>
    <cacheField name="HRP4" numFmtId="164">
      <sharedItems containsSemiMixedTypes="0" containsString="0" containsNumber="1" containsInteger="1" minValue="0" maxValue="204"/>
    </cacheField>
    <cacheField name="HRP5" numFmtId="164">
      <sharedItems containsSemiMixedTypes="0" containsString="0" containsNumber="1" containsInteger="1" minValue="0" maxValue="3000"/>
    </cacheField>
    <cacheField name="HRP6" numFmtId="164">
      <sharedItems containsSemiMixedTypes="0" containsString="0" containsNumber="1" containsInteger="1" minValue="0" maxValue="15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Village Type Camp"/>
        <s v="Relocated"/>
        <s v="Village"/>
        <m u="1"/>
        <s v="Camp like setting" u="1"/>
        <e v="#N/A" u="1"/>
        <s v="Town" u="1"/>
        <s v="Temporary location" u="1"/>
      </sharedItems>
    </cacheField>
    <cacheField name="Type of accommodation" numFmtId="0">
      <sharedItems containsMixedTypes="1" containsNumber="1" containsInteger="1" minValue="0" maxValue="0" count="12">
        <s v="Camp Like setting"/>
        <s v="Camp"/>
        <s v="School"/>
        <s v="Closed Camp"/>
        <s v="IDPs in host"/>
        <s v="Relocated-IDPs in host"/>
        <s v="Boarding School"/>
        <s v="Host Families"/>
        <s v="Temporarily removed"/>
        <s v="Village"/>
        <s v="Relocated-Individual House"/>
        <n v="0" u="1"/>
      </sharedItems>
    </cacheField>
    <cacheField name="Ethnic or GCA/NGCA" numFmtId="0">
      <sharedItems containsMixedTypes="1" containsNumber="1" minValue="0" maxValue="97.49136" count="341">
        <s v="GCA"/>
        <s v="NGCA"/>
        <n v="0" u="1"/>
        <n v="20.260789871215799" u="1"/>
        <n v="24.200972" u="1"/>
        <n v="20.206778" u="1"/>
        <n v="20.785699844360401" u="1"/>
        <n v="25.401061110000001" u="1"/>
        <n v="20.268000000000001" u="1"/>
        <n v="23.099304" u="1"/>
        <n v="25.423209" u="1"/>
        <n v="24.207332999999998" u="1"/>
        <n v="25.305008999999998" u="1"/>
        <n v="19.985679626464801" u="1"/>
        <n v="20.229290008544901" u="1"/>
        <n v="23.591999999999999" u="1"/>
        <n v="23.38503" u="1"/>
        <n v="19.646549224853501" u="1"/>
        <n v="20.392137999999999" u="1"/>
        <n v="26.541930000000001" u="1"/>
        <n v="19.7062797546387" u="1"/>
        <n v="20.632720946999999" u="1"/>
        <n v="20.179417000000001" u="1"/>
        <n v="20.630609511999999" u="1"/>
        <n v="19.615800857543899" u="1"/>
        <n v="20.785770416259801" u="1"/>
        <n v="25.668399999999998" u="1"/>
        <n v="20.155805999999998" u="1"/>
        <n v="20.179939999999998" u="1"/>
        <n v="24.268292826086999" u="1"/>
        <n v="24.377054000000001" u="1"/>
        <n v="20.207284999999999" u="1"/>
        <n v="20.723630905151399" u="1"/>
        <n v="19.738719940185501" u="1"/>
        <n v="25.265277999999999" u="1"/>
        <n v="20.910375595092798" u="1"/>
        <n v="19.955690383911101" u="1"/>
        <n v="20.569759368896499" u="1"/>
        <n v="97.49136" u="1"/>
        <n v="20.185917" u="1"/>
        <n v="19.925739288330099" u="1"/>
        <n v="20.204370498657202" u="1"/>
        <n v="24.222349999999999" u="1"/>
        <n v="20.396680832000001" u="1"/>
        <n v="24.2744" u="1"/>
        <n v="20.697229385376001" u="1"/>
        <n v="20.786739349365199" u="1"/>
        <n v="23.353999999999999" u="1"/>
        <n v="20.478969573974599" u="1"/>
        <n v="24.006789000000001" u="1"/>
        <n v="20.8490600585938" u="1"/>
        <n v="19.434253692626999" u="1"/>
        <n v="20.151471999999998" u="1"/>
        <n v="23.83013" u="1"/>
        <n v="20.202525000000001" u="1"/>
        <n v="20.057860999999999" u="1"/>
        <n v="20.218299999999999" u="1"/>
        <n v="20.480100631713899" u="1"/>
        <n v="20.335864000000001" u="1"/>
        <n v="25.296579999999999" u="1"/>
        <n v="23.250678000000001" u="1"/>
        <n v="20.821479797363299" u="1"/>
        <n v="23.827870999999998" u="1"/>
        <n v="23.611999999999998" u="1"/>
        <n v="27.311699999999998" u="1"/>
        <n v="19.988599777221701" u="1"/>
        <n v="20.148584" u="1"/>
        <n v="25.321710740740698" u="1"/>
        <n v="19.421102000000001" u="1"/>
        <n v="19.988689422607401" u="1"/>
        <n v="25.351724999999998" u="1"/>
        <n v="20.851089477539102" u="1"/>
        <n v="20.865687000000001" u="1"/>
        <n v="19.619289398193398" u="1"/>
        <n v="23.682887999999998" u="1"/>
        <n v="21.007270812988299" u="1"/>
        <n v="20.037655000000001" u="1"/>
        <n v="19.591590881347699" u="1"/>
        <n v="20.1438598632813" u="1"/>
        <n v="20.182987000000001" u="1"/>
        <n v="20.506580353" u="1"/>
        <n v="20.697889328002901" u="1"/>
        <n v="20.720213000000001" u="1"/>
        <n v="19.989589691162099" u="1"/>
        <n v="24.260719999999999" u="1"/>
        <n v="25.4118005797101" u="1"/>
        <n v="20.394809723000002" u="1"/>
        <n v="20.78332" u="1"/>
        <n v="20.453830718994102" u="1"/>
        <n v="25.616509000000001" u="1"/>
        <n v="24.263786" u="1"/>
        <n v="24.980250000000002" u="1"/>
        <n v="20.6080207824707" u="1"/>
        <n v="24.404876999999999" u="1"/>
        <n v="24.205417000000001" u="1"/>
        <n v="23.447111" u="1"/>
        <n v="19.962713241577099" u="1"/>
        <n v="23.835319999999999" u="1"/>
        <n v="24.764959999999999" u="1"/>
        <n v="20.824777999999998" u="1"/>
        <n v="20.731571197509801" u="1"/>
        <n v="24.251232000000002" u="1"/>
        <n v="19.991359710693398" u="1"/>
        <n v="20.181405999999999" u="1"/>
        <n v="21.0094203948975" u="1"/>
        <n v="24.661905999999998" u="1"/>
        <n v="20.090183" u="1"/>
        <n v="19.930080413818398" u="1"/>
        <n v="20.946010589599599" u="1"/>
        <n v="20.587142" u="1"/>
        <n v="20.486930847168001" u="1"/>
        <n v="24.996279999999999" u="1"/>
        <n v="20.8550128936768" u="1"/>
        <n v="20.167421999999998" u="1"/>
        <n v="19.9947109222412" u="1"/>
        <n v="25.613894999999999" u="1"/>
        <n v="25.440928" u="1"/>
        <n v="23.828520000000001" u="1"/>
        <n v="25.493819999999999" u="1"/>
        <n v="24.002433" u="1"/>
        <n v="23.094290000000001" u="1"/>
        <n v="20.608819961999998" u="1"/>
        <n v="24.245100000000001" u="1"/>
        <n v="25.404752999999999" u="1"/>
        <n v="20.0641" u="1"/>
        <n v="97.013800000000003" u="1"/>
        <n v="20.064226000000001" u="1"/>
        <n v="20.148910522460898" u="1"/>
        <n v="25.60867" u="1"/>
        <n v="25.350809000000002" u="1"/>
        <n v="20.272630691528299" u="1"/>
        <n v="20.805734000000001" u="1"/>
        <n v="27.248964999999998" u="1"/>
        <n v="25.409612685185198" u="1"/>
        <n v="19.686580657958999" u="1"/>
        <n v="97.010629910000006" u="1"/>
        <n v="20.5199794769287" u="1"/>
        <n v="23.460349999999998" u="1"/>
        <n v="24.118618999999999" u="1"/>
        <n v="24.32638" u="1"/>
        <n v="20.644098281860401" u="1"/>
        <n v="20.181742" u="1"/>
        <n v="24.250689999999999" u="1"/>
        <n v="19.627199172973601" u="1"/>
        <n v="20.581470489501999" u="1"/>
        <n v="20.703550338745099" u="1"/>
        <n v="25.423817" u="1"/>
        <n v="25.889410000000002" u="1"/>
        <n v="20.489089965820298" u="1"/>
        <n v="20.202400000000001" u="1"/>
        <n v="25.615960999999999" u="1"/>
        <n v="20.0839" u="1"/>
        <n v="25.599250000000001" u="1"/>
        <n v="25.3540362037037" u="1"/>
        <n v="20.39902" u="1"/>
        <n v="25.30442" u="1"/>
        <n v="20.2302" u="1"/>
        <n v="19.9044303894043" u="1"/>
        <n v="20.185092000000001" u="1"/>
        <n v="25.61842" u="1"/>
        <n v="25.200333000000001" u="1"/>
        <n v="20.509660720999999" u="1"/>
        <n v="25.345918166666699" u="1"/>
        <n v="19.721389770507798" u="1"/>
        <n v="20.859569549560501" u="1"/>
        <n v="24.24766" u="1"/>
        <n v="24.200367" u="1"/>
        <n v="20.705930709838899" u="1"/>
        <n v="25.51352" u="1"/>
        <n v="27.337499999999999" u="1"/>
        <n v="24.29138" u="1"/>
        <n v="20.494340897000001" u="1"/>
        <n v="25.647649999999999" u="1"/>
        <n v="20.645240783999999" u="1"/>
        <n v="23.4008" u="1"/>
        <n v="25.417733999999999" u="1"/>
        <n v="23.354268999999999" u="1"/>
        <n v="24.755253" u="1"/>
        <n v="20.361530303999999" u="1"/>
        <n v="20.183790206909201" u="1"/>
        <n v="22.765999999999998" u="1"/>
        <n v="20.245159149169901" u="1"/>
        <n v="25.351250396825399" u="1"/>
        <n v="25.3959740909091" u="1"/>
        <n v="20.831729888916001" u="1"/>
        <n v="20.555610656738299" u="1"/>
        <n v="24.752471" u="1"/>
        <n v="24.461033" u="1"/>
        <n v="20.8950595855713" u="1"/>
        <n v="25.220278" u="1"/>
        <n v="23.463000000000001" u="1"/>
        <n v="25.637309999999999" u="1"/>
        <n v="20.424389999999999" u="1"/>
        <n v="23.838190000000001" u="1"/>
        <n v="20.339799880981399" u="1"/>
        <n v="25.422194000000001" u="1"/>
        <n v="20.201499999999999" u="1"/>
        <n v="20.4625244140625" u="1"/>
        <n v="20.677059173583999" u="1"/>
        <n v="20.987419128418001" u="1"/>
        <n v="20.399269" u="1"/>
        <n v="24.129059999999999" u="1"/>
        <n v="20.108101999999999" u="1"/>
        <n v="20.464775085449201" u="1"/>
        <n v="23.829599000000002" u="1"/>
        <n v="20.886997999999998" u="1"/>
        <n v="25.582065" u="1"/>
        <n v="20.041981" u="1"/>
        <n v="23.828150000000001" u="1"/>
        <n v="25.351965" u="1"/>
        <n v="20.926780700683601" u="1"/>
        <n v="97.104997409999996" u="1"/>
        <n v="24.056132999999999" u="1"/>
        <n v="20.709970473999999" u="1"/>
        <n v="23.833477999999999" u="1"/>
        <n v="25.404015000000001" u="1"/>
        <n v="20.894269943237301" u="1"/>
        <n v="20.292100000000001" u="1"/>
        <n v="20.495670318603501" u="1"/>
        <n v="20.128488999999998" u="1"/>
        <n v="20.864519119262699" u="1"/>
        <n v="97.431079999999994" u="1"/>
        <n v="20.398889541999999" u="1"/>
        <n v="20.181778000000001" u="1"/>
        <n v="23.450914000000001" u="1"/>
        <n v="20.803529739379901" u="1"/>
        <n v="20.463909149169901" u="1"/>
        <n v="19.726810455322301" u="1"/>
        <n v="25.225000000000001" u="1"/>
        <n v="23.372409999999999" u="1"/>
        <n v="23.694130000000001" u="1"/>
        <n v="19.725629806518601" u="1"/>
        <n v="23.588920000000002" u="1"/>
        <n v="26.548506" u="1"/>
        <n v="20.8037109375" u="1"/>
        <n v="20.711349487304702" u="1"/>
        <n v="20.651939392089801" u="1"/>
        <n v="20.805580139160199" u="1"/>
        <n v="20.218471527099599" u="1"/>
        <n v="25.360463124999999" u="1"/>
        <n v="25.617998" u="1"/>
        <n v="24.200361000000001" u="1"/>
        <n v="20.1573600769043" u="1"/>
        <n v="25.374343974359" u="1"/>
        <n v="20.18994" u="1"/>
        <n v="20.497299194335898" u="1"/>
        <n v="24.08738" u="1"/>
        <n v="20.681715011596701" u="1"/>
        <n v="20.482030868999999" u="1"/>
        <n v="25.3660036111111" u="1"/>
        <n v="20.866529464721701" u="1"/>
        <n v="25.356632000000001" u="1"/>
        <n v="20.191719055175799" u="1"/>
        <n v="25.577559999999998" u="1"/>
        <n v="20.806400299072301" u="1"/>
        <n v="24.831944" u="1"/>
        <n v="25.371049444444399" u="1"/>
        <n v="20.099340438842798" u="1"/>
        <n v="23.933098999999999" u="1"/>
        <n v="20.46994972229" u="1"/>
        <n v="20.1585" u="1"/>
        <n v="23.24661" u="1"/>
        <n v="20.1934604644775" u="1"/>
        <n v="24.998349999999999" u="1"/>
        <n v="20.716699600219702" u="1"/>
        <n v="25.415667500000001" u="1"/>
        <n v="20.713259999999998" u="1"/>
        <n v="24.764800000000001" u="1"/>
        <n v="20.564739227" u="1"/>
        <n v="20.696819999999999" u="1"/>
        <n v="25.920006000000001" u="1"/>
        <n v="19.484790802001999" u="1"/>
        <n v="24.006319999999999" u="1"/>
        <n v="20.235199999999999" u="1"/>
        <n v="23.841646999999998" u="1"/>
        <n v="20.807970046997099" u="1"/>
        <n v="20.809240341186499" u="1"/>
        <n v="25.305669999999999" u="1"/>
        <n v="25.415482000000001" u="1"/>
        <n v="19.639009475708001" u="1"/>
        <n v="20.286720275878899" u="1"/>
        <n v="20.180194" u="1"/>
        <n v="20.073437999999999" u="1"/>
        <n v="22.677008000000001" u="1"/>
        <n v="20.162599563598601" u="1"/>
        <n v="25.299679999999999" u="1"/>
        <n v="23.972453000000002" u="1"/>
        <n v="25.362420757575801" u="1"/>
        <n v="23.976571" u="1"/>
        <n v="24.688338999999999" u="1"/>
        <n v="20.872400283813501" u="1"/>
        <n v="25.412313000000001" u="1"/>
        <n v="25.566510000000001" u="1"/>
        <n v="20.502599716186499" u="1"/>
        <n v="25.645959999999999" u="1"/>
        <n v="25.635300000000001" u="1"/>
        <n v="25.6145" u="1"/>
        <n v="20.194370269775401" u="1"/>
        <n v="25.754110000000001" u="1"/>
        <n v="20.903770446777301" u="1"/>
        <n v="25.428910999999999" u="1"/>
        <n v="20.470119476318398" u="1"/>
        <n v="25.410569299999999" u="1"/>
        <n v="20.0087699890137" u="1"/>
        <n v="25.424529444444399" u="1"/>
        <n v="20.903369903564499" u="1"/>
        <n v="23.850999999999999" u="1"/>
        <n v="20.596279144" u="1"/>
        <n v="23.400155999999999" u="1"/>
        <n v="20.473930358886701" u="1"/>
        <n v="19.611209869384801" u="1"/>
        <n v="19.610979080200199" u="1"/>
        <n v="20.1975498199463" u="1"/>
        <n v="21.025630950927699" u="1"/>
        <n v="25.611160000000002" u="1"/>
        <n v="24.260466999999998" u="1"/>
        <n v="24.200433" u="1"/>
        <n v="20.782770156860401" u="1"/>
        <n v="20.936040878295898" u="1"/>
        <n v="25.333683333333301" u="1"/>
        <n v="25.56551" u="1"/>
        <n v="26.569633" u="1"/>
        <n v="20.127127999999999" u="1"/>
        <n v="25.656009999999998" u="1"/>
        <n v="20.627639770507798" u="1"/>
        <n v="25.403476999999999" u="1"/>
        <n v="20.16846" u="1"/>
        <n v="20.5047302246094" u="1"/>
        <n v="24.378167000000001" u="1"/>
        <n v="23.821380000000001" u="1"/>
        <n v="20.212700000000002" u="1"/>
        <n v="25.3510167948718" u="1"/>
        <n v="24.253067000000001" u="1"/>
        <n v="24.24953" u="1"/>
        <n v="24.251860000000001" u="1"/>
        <n v="25.887339999999998" u="1"/>
        <n v="25.418084" u="1"/>
        <n v="19.424576999999999" u="1"/>
        <n v="24.2631743589744" u="1"/>
        <n v="20.727589999999999" u="1"/>
        <n v="21.000970840454102" u="1"/>
      </sharedItems>
    </cacheField>
    <cacheField name="Lat" numFmtId="0">
      <sharedItems containsMixedTypes="1" containsNumber="1" minValue="0" maxValue="23363276"/>
    </cacheField>
    <cacheField name="Long" numFmtId="0">
      <sharedItems containsMixedTypes="1" containsNumber="1" minValue="0" maxValue="98472978"/>
    </cacheField>
    <cacheField name="Pcode" numFmtId="0">
      <sharedItems containsMixedTypes="1" containsNumber="1" containsInteger="1" minValue="0" maxValue="0"/>
    </cacheField>
    <cacheField name="Covered" numFmtId="0">
      <sharedItems containsBlank="1" count="5">
        <s v="Covered"/>
        <s v="Notcovered"/>
        <s v="cccm_2019July" u="1"/>
        <m u="1"/>
        <e v="#REF!" u="1"/>
      </sharedItems>
    </cacheField>
    <cacheField name="Remark" numFmtId="0">
      <sharedItems containsNonDate="0" containsString="0" containsBlank="1"/>
    </cacheField>
    <cacheField name="HH" numFmtId="0">
      <sharedItems containsMixedTypes="1" containsNumber="1" containsInteger="1" minValue="0" maxValue="1592"/>
    </cacheField>
    <cacheField name="Population" numFmtId="0">
      <sharedItems containsMixedTypes="1" containsNumber="1" containsInteger="1" minValue="0" maxValue="8220"/>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s v="4W camp"/>
  </r>
  <r>
    <x v="0"/>
    <x v="1"/>
    <s v="4W camp"/>
  </r>
  <r>
    <x v="0"/>
    <x v="2"/>
    <s v="4W camp"/>
  </r>
  <r>
    <x v="0"/>
    <x v="3"/>
    <s v="4W camp"/>
  </r>
  <r>
    <x v="0"/>
    <x v="4"/>
    <s v="4W camp"/>
  </r>
  <r>
    <x v="0"/>
    <x v="5"/>
    <s v="4W camp"/>
  </r>
  <r>
    <x v="0"/>
    <x v="6"/>
    <s v="4W camp"/>
  </r>
  <r>
    <x v="0"/>
    <x v="7"/>
    <s v="4W camp"/>
  </r>
  <r>
    <x v="1"/>
    <x v="6"/>
    <s v="4W camp"/>
  </r>
  <r>
    <x v="1"/>
    <x v="2"/>
    <s v="4W camp"/>
  </r>
  <r>
    <x v="1"/>
    <x v="1"/>
    <s v="4W camp"/>
  </r>
  <r>
    <x v="0"/>
    <x v="8"/>
    <s v="4W village"/>
  </r>
  <r>
    <x v="2"/>
    <x v="9"/>
    <s v="4W village"/>
  </r>
  <r>
    <x v="2"/>
    <x v="10"/>
    <s v="4W village"/>
  </r>
  <r>
    <x v="2"/>
    <x v="11"/>
    <s v="4W village"/>
  </r>
  <r>
    <x v="2"/>
    <x v="12"/>
    <s v="4W village"/>
  </r>
  <r>
    <x v="2"/>
    <x v="8"/>
    <s v="4W village"/>
  </r>
  <r>
    <x v="2"/>
    <x v="13"/>
    <s v="4W village"/>
  </r>
  <r>
    <x v="2"/>
    <x v="4"/>
    <s v="4W village"/>
  </r>
  <r>
    <x v="1"/>
    <x v="1"/>
    <s v="4W village"/>
  </r>
  <r>
    <x v="1"/>
    <x v="14"/>
    <s v="4W village"/>
  </r>
  <r>
    <x v="3"/>
    <x v="8"/>
    <s v="4W village"/>
  </r>
  <r>
    <x v="2"/>
    <x v="15"/>
    <s v="4W camp"/>
  </r>
  <r>
    <x v="2"/>
    <x v="16"/>
    <s v="4W camp"/>
  </r>
  <r>
    <x v="2"/>
    <x v="12"/>
    <s v="4W camp"/>
  </r>
  <r>
    <x v="2"/>
    <x v="17"/>
    <s v="4W camp"/>
  </r>
  <r>
    <x v="2"/>
    <x v="13"/>
    <s v="4W camp"/>
  </r>
  <r>
    <x v="2"/>
    <x v="4"/>
    <s v="4W camp"/>
  </r>
  <r>
    <x v="4"/>
    <x v="18"/>
    <s v="3W"/>
  </r>
  <r>
    <x v="4"/>
    <x v="19"/>
    <s v="3W"/>
  </r>
  <r>
    <x v="5"/>
    <x v="18"/>
    <s v="3W"/>
  </r>
  <r>
    <x v="5"/>
    <x v="19"/>
    <s v="3W"/>
  </r>
  <r>
    <x v="6"/>
    <x v="20"/>
    <s v="3W"/>
  </r>
  <r>
    <x v="6"/>
    <x v="21"/>
    <s v="3W"/>
  </r>
  <r>
    <x v="6"/>
    <x v="22"/>
    <s v="3W"/>
  </r>
  <r>
    <x v="7"/>
    <x v="20"/>
    <s v="3W"/>
  </r>
  <r>
    <x v="7"/>
    <x v="21"/>
    <s v="3W"/>
  </r>
  <r>
    <x v="7"/>
    <x v="23"/>
    <s v="3W"/>
  </r>
  <r>
    <x v="7"/>
    <x v="18"/>
    <s v="3W"/>
  </r>
  <r>
    <x v="7"/>
    <x v="24"/>
    <s v="3W"/>
  </r>
  <r>
    <x v="7"/>
    <x v="19"/>
    <s v="3W"/>
  </r>
  <r>
    <x v="8"/>
    <x v="20"/>
    <s v="3W"/>
  </r>
  <r>
    <x v="8"/>
    <x v="22"/>
    <s v="3W"/>
  </r>
  <r>
    <x v="4"/>
    <x v="25"/>
    <s v="3W"/>
  </r>
  <r>
    <x v="4"/>
    <x v="26"/>
    <s v="3W"/>
  </r>
  <r>
    <x v="0"/>
    <x v="27"/>
    <s v="3W"/>
  </r>
  <r>
    <x v="0"/>
    <x v="7"/>
    <s v="3W"/>
  </r>
  <r>
    <x v="1"/>
    <x v="25"/>
    <s v="3W"/>
  </r>
  <r>
    <x v="1"/>
    <x v="28"/>
    <s v="3W"/>
  </r>
  <r>
    <x v="1"/>
    <x v="29"/>
    <s v="3W"/>
  </r>
  <r>
    <x v="1"/>
    <x v="30"/>
    <s v="3W"/>
  </r>
  <r>
    <x v="1"/>
    <x v="27"/>
    <s v="3W"/>
  </r>
  <r>
    <x v="1"/>
    <x v="31"/>
    <s v="3W"/>
  </r>
  <r>
    <x v="8"/>
    <x v="25"/>
    <s v="3W"/>
  </r>
  <r>
    <x v="8"/>
    <x v="13"/>
    <s v="3W"/>
  </r>
  <r>
    <x v="3"/>
    <x v="25"/>
    <s v="3W"/>
  </r>
  <r>
    <x v="3"/>
    <x v="32"/>
    <s v="3W"/>
  </r>
  <r>
    <x v="3"/>
    <x v="1"/>
    <s v="3W"/>
  </r>
  <r>
    <x v="3"/>
    <x v="33"/>
    <s v="3W"/>
  </r>
  <r>
    <x v="3"/>
    <x v="8"/>
    <s v="3W"/>
  </r>
  <r>
    <x v="3"/>
    <x v="34"/>
    <s v="3W"/>
  </r>
  <r>
    <x v="9"/>
    <x v="1"/>
    <s v="3W"/>
  </r>
  <r>
    <x v="9"/>
    <x v="33"/>
    <s v="3W"/>
  </r>
  <r>
    <x v="2"/>
    <x v="35"/>
    <s v="3W"/>
  </r>
  <r>
    <x v="2"/>
    <x v="36"/>
    <s v="3W"/>
  </r>
  <r>
    <x v="2"/>
    <x v="8"/>
    <s v="3W"/>
  </r>
  <r>
    <x v="2"/>
    <x v="31"/>
    <s v="3W"/>
  </r>
  <r>
    <x v="2"/>
    <x v="37"/>
    <s v="3W"/>
  </r>
  <r>
    <x v="2"/>
    <x v="17"/>
    <s v="3W"/>
  </r>
  <r>
    <x v="2"/>
    <x v="9"/>
    <s v="3W"/>
  </r>
  <r>
    <x v="2"/>
    <x v="38"/>
    <s v="3W"/>
  </r>
  <r>
    <x v="2"/>
    <x v="4"/>
    <s v="3W"/>
  </r>
  <r>
    <x v="10"/>
    <x v="31"/>
    <s v="3W"/>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3W"/>
  </r>
  <r>
    <x v="0"/>
    <x v="1"/>
    <s v="3W"/>
  </r>
  <r>
    <x v="1"/>
    <x v="2"/>
    <s v="3W"/>
  </r>
  <r>
    <x v="1"/>
    <x v="3"/>
    <s v="3W"/>
  </r>
  <r>
    <x v="1"/>
    <x v="4"/>
    <s v="3W"/>
  </r>
  <r>
    <x v="1"/>
    <x v="5"/>
    <s v="3W"/>
  </r>
  <r>
    <x v="1"/>
    <x v="6"/>
    <s v="3W"/>
  </r>
  <r>
    <x v="1"/>
    <x v="7"/>
    <s v="3W"/>
  </r>
  <r>
    <x v="1"/>
    <x v="1"/>
    <s v="3W"/>
  </r>
  <r>
    <x v="2"/>
    <x v="8"/>
    <s v="3W"/>
  </r>
  <r>
    <x v="2"/>
    <x v="4"/>
    <s v="3W"/>
  </r>
  <r>
    <x v="2"/>
    <x v="9"/>
    <s v="3W"/>
  </r>
  <r>
    <x v="2"/>
    <x v="1"/>
    <s v="3W"/>
  </r>
  <r>
    <x v="3"/>
    <x v="2"/>
    <s v="3W"/>
  </r>
  <r>
    <x v="3"/>
    <x v="4"/>
    <s v="3W"/>
  </r>
  <r>
    <x v="3"/>
    <x v="10"/>
    <s v="3W"/>
  </r>
  <r>
    <x v="3"/>
    <x v="11"/>
    <s v="3W"/>
  </r>
  <r>
    <x v="3"/>
    <x v="1"/>
    <s v="3W"/>
  </r>
  <r>
    <x v="3"/>
    <x v="12"/>
    <s v="3W"/>
  </r>
  <r>
    <x v="4"/>
    <x v="13"/>
    <s v="3W"/>
  </r>
  <r>
    <x v="4"/>
    <x v="14"/>
    <s v="3W"/>
  </r>
  <r>
    <x v="4"/>
    <x v="4"/>
    <s v="3W"/>
  </r>
  <r>
    <x v="4"/>
    <x v="11"/>
    <s v="3W"/>
  </r>
  <r>
    <x v="4"/>
    <x v="0"/>
    <s v="3W"/>
  </r>
  <r>
    <x v="4"/>
    <x v="15"/>
    <s v="3W"/>
  </r>
  <r>
    <x v="4"/>
    <x v="1"/>
    <s v="3W"/>
  </r>
  <r>
    <x v="5"/>
    <x v="4"/>
    <s v="3W"/>
  </r>
  <r>
    <x v="5"/>
    <x v="5"/>
    <s v="3W"/>
  </r>
  <r>
    <x v="6"/>
    <x v="2"/>
    <s v="3W"/>
  </r>
  <r>
    <x v="6"/>
    <x v="16"/>
    <s v="3W"/>
  </r>
  <r>
    <x v="6"/>
    <x v="0"/>
    <s v="3W"/>
  </r>
  <r>
    <x v="6"/>
    <x v="1"/>
    <s v="3W"/>
  </r>
  <r>
    <x v="7"/>
    <x v="17"/>
    <s v="3W"/>
  </r>
  <r>
    <x v="7"/>
    <x v="18"/>
    <s v="3W"/>
  </r>
  <r>
    <x v="7"/>
    <x v="19"/>
    <s v="3W"/>
  </r>
  <r>
    <x v="7"/>
    <x v="20"/>
    <s v="3W"/>
  </r>
  <r>
    <x v="7"/>
    <x v="21"/>
    <s v="3W"/>
  </r>
  <r>
    <x v="7"/>
    <x v="6"/>
    <s v="3W"/>
  </r>
  <r>
    <x v="7"/>
    <x v="22"/>
    <s v="3W"/>
  </r>
  <r>
    <x v="7"/>
    <x v="23"/>
    <s v="3W"/>
  </r>
  <r>
    <x v="7"/>
    <x v="24"/>
    <s v="3W"/>
  </r>
  <r>
    <x v="7"/>
    <x v="1"/>
    <s v="3W"/>
  </r>
  <r>
    <x v="7"/>
    <x v="25"/>
    <s v="3W"/>
  </r>
  <r>
    <x v="8"/>
    <x v="26"/>
    <s v="3W"/>
  </r>
  <r>
    <x v="8"/>
    <x v="27"/>
    <s v="3W"/>
  </r>
  <r>
    <x v="8"/>
    <x v="4"/>
    <s v="3W"/>
  </r>
  <r>
    <x v="8"/>
    <x v="1"/>
    <s v="3W"/>
  </r>
  <r>
    <x v="9"/>
    <x v="2"/>
    <s v="3W"/>
  </r>
  <r>
    <x v="9"/>
    <x v="8"/>
    <s v="3W"/>
  </r>
  <r>
    <x v="9"/>
    <x v="28"/>
    <s v="3W"/>
  </r>
  <r>
    <x v="9"/>
    <x v="29"/>
    <s v="3W"/>
  </r>
  <r>
    <x v="9"/>
    <x v="30"/>
    <s v="3W"/>
  </r>
  <r>
    <x v="9"/>
    <x v="1"/>
    <s v="3W"/>
  </r>
  <r>
    <x v="10"/>
    <x v="2"/>
    <s v="3W"/>
  </r>
  <r>
    <x v="10"/>
    <x v="10"/>
    <s v="3W"/>
  </r>
  <r>
    <x v="10"/>
    <x v="11"/>
    <s v="3W"/>
  </r>
  <r>
    <x v="10"/>
    <x v="30"/>
    <s v="3W"/>
  </r>
  <r>
    <x v="2"/>
    <x v="31"/>
    <s v="4W camp"/>
  </r>
  <r>
    <x v="2"/>
    <x v="20"/>
    <s v="4W camp"/>
  </r>
  <r>
    <x v="2"/>
    <x v="32"/>
    <s v="4W camp"/>
  </r>
  <r>
    <x v="2"/>
    <x v="4"/>
    <s v="4W camp"/>
  </r>
  <r>
    <x v="2"/>
    <x v="28"/>
    <s v="4W camp"/>
  </r>
  <r>
    <x v="2"/>
    <x v="6"/>
    <s v="4W camp"/>
  </r>
  <r>
    <x v="2"/>
    <x v="33"/>
    <s v="4W camp"/>
  </r>
  <r>
    <x v="2"/>
    <x v="23"/>
    <s v="4W camp"/>
  </r>
  <r>
    <x v="2"/>
    <x v="9"/>
    <s v="4W camp"/>
  </r>
  <r>
    <x v="2"/>
    <x v="34"/>
    <s v="4W camp"/>
  </r>
  <r>
    <x v="2"/>
    <x v="35"/>
    <s v="4W camp"/>
  </r>
  <r>
    <x v="7"/>
    <x v="36"/>
    <s v="4W camp"/>
  </r>
  <r>
    <x v="7"/>
    <x v="37"/>
    <s v="4W camp"/>
  </r>
  <r>
    <x v="7"/>
    <x v="22"/>
    <s v="4W camp"/>
  </r>
  <r>
    <x v="7"/>
    <x v="30"/>
    <s v="4W camp"/>
  </r>
  <r>
    <x v="7"/>
    <x v="23"/>
    <s v="4W camp"/>
  </r>
  <r>
    <x v="7"/>
    <x v="23"/>
    <s v="4W camp"/>
  </r>
  <r>
    <x v="9"/>
    <x v="31"/>
    <s v="4W camp"/>
  </r>
  <r>
    <x v="9"/>
    <x v="4"/>
    <s v="4W camp"/>
  </r>
  <r>
    <x v="9"/>
    <x v="28"/>
    <s v="4W camp"/>
  </r>
  <r>
    <x v="1"/>
    <x v="6"/>
    <s v="4W village"/>
  </r>
  <r>
    <x v="2"/>
    <x v="31"/>
    <s v="4W village"/>
  </r>
  <r>
    <x v="2"/>
    <x v="32"/>
    <s v="4W village"/>
  </r>
  <r>
    <x v="2"/>
    <x v="6"/>
    <s v="4W village"/>
  </r>
  <r>
    <x v="2"/>
    <x v="9"/>
    <s v="4W village"/>
  </r>
  <r>
    <x v="2"/>
    <x v="34"/>
    <s v="4W village"/>
  </r>
  <r>
    <x v="2"/>
    <x v="38"/>
    <s v="4W village"/>
  </r>
  <r>
    <x v="7"/>
    <x v="19"/>
    <s v="4W village"/>
  </r>
  <r>
    <x v="7"/>
    <x v="39"/>
    <s v="4W village"/>
  </r>
  <r>
    <x v="7"/>
    <x v="40"/>
    <s v="4W village"/>
  </r>
  <r>
    <x v="7"/>
    <x v="5"/>
    <s v="4W village"/>
  </r>
  <r>
    <x v="7"/>
    <x v="6"/>
    <s v="4W village"/>
  </r>
  <r>
    <x v="7"/>
    <x v="41"/>
    <s v="4W village"/>
  </r>
  <r>
    <x v="7"/>
    <x v="30"/>
    <s v="4W village"/>
  </r>
  <r>
    <x v="7"/>
    <x v="42"/>
    <s v="4W village"/>
  </r>
  <r>
    <x v="7"/>
    <x v="23"/>
    <s v="4W village"/>
  </r>
  <r>
    <x v="7"/>
    <x v="23"/>
    <s v="4W village"/>
  </r>
  <r>
    <x v="7"/>
    <x v="43"/>
    <s v="4W village"/>
  </r>
  <r>
    <x v="7"/>
    <x v="1"/>
    <s v="4W village"/>
  </r>
  <r>
    <x v="9"/>
    <x v="44"/>
    <s v="4W village"/>
  </r>
  <r>
    <x v="9"/>
    <x v="4"/>
    <s v="4W village"/>
  </r>
  <r>
    <x v="9"/>
    <x v="29"/>
    <s v="4W villag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AYO"/>
    <x v="0"/>
  </r>
  <r>
    <s v="CHRO"/>
    <x v="0"/>
  </r>
  <r>
    <s v="CIDKP"/>
    <x v="0"/>
  </r>
  <r>
    <s v="NHTYK"/>
    <x v="0"/>
  </r>
  <r>
    <s v="SDF"/>
    <x v="0"/>
  </r>
  <r>
    <s v="ACF"/>
    <x v="1"/>
  </r>
  <r>
    <s v="ADRA"/>
    <x v="1"/>
  </r>
  <r>
    <s v="CARE"/>
    <x v="1"/>
  </r>
  <r>
    <s v="CDN"/>
    <x v="1"/>
  </r>
  <r>
    <s v="CERA"/>
    <x v="1"/>
  </r>
  <r>
    <s v="DRC"/>
    <x v="1"/>
  </r>
  <r>
    <s v="HPA"/>
    <x v="1"/>
  </r>
  <r>
    <s v="IRC"/>
    <x v="1"/>
  </r>
  <r>
    <s v="IRW"/>
    <x v="1"/>
  </r>
  <r>
    <s v="LWF"/>
    <x v="1"/>
  </r>
  <r>
    <s v="Malteser"/>
    <x v="1"/>
  </r>
  <r>
    <s v="MA-UK"/>
    <x v="1"/>
  </r>
  <r>
    <s v="MC"/>
    <x v="1"/>
  </r>
  <r>
    <s v="OXFAM"/>
    <x v="1"/>
  </r>
  <r>
    <s v="PIN"/>
    <x v="1"/>
  </r>
  <r>
    <s v="PWJ"/>
    <x v="1"/>
  </r>
  <r>
    <s v="RI"/>
    <x v="1"/>
  </r>
  <r>
    <s v="SCI"/>
    <x v="1"/>
  </r>
  <r>
    <s v="SI"/>
    <x v="1"/>
  </r>
  <r>
    <s v="TGH-GJ"/>
    <x v="1"/>
  </r>
  <r>
    <s v="TGH-RCDF"/>
    <x v="1"/>
  </r>
  <r>
    <s v="WCM"/>
    <x v="1"/>
  </r>
  <r>
    <s v="WV"/>
    <x v="1"/>
  </r>
  <r>
    <s v="CDA"/>
    <x v="2"/>
  </r>
  <r>
    <s v="GLAD"/>
    <x v="2"/>
  </r>
  <r>
    <s v="KBC"/>
    <x v="2"/>
  </r>
  <r>
    <s v="KMSS"/>
    <x v="2"/>
  </r>
  <r>
    <s v="KyWO"/>
    <x v="2"/>
  </r>
  <r>
    <s v="Metta"/>
    <x v="2"/>
  </r>
  <r>
    <s v="MM"/>
    <x v="2"/>
  </r>
  <r>
    <s v="PSSAG"/>
    <x v="2"/>
  </r>
  <r>
    <s v="Shalom"/>
    <x v="2"/>
  </r>
  <r>
    <s v="STW"/>
    <x v="2"/>
  </r>
  <r>
    <s v="TLDA"/>
    <x v="2"/>
  </r>
  <r>
    <s v="TWG"/>
    <x v="2"/>
  </r>
  <r>
    <s v="WDC"/>
    <x v="2"/>
  </r>
  <r>
    <s v="WPN"/>
    <x v="2"/>
  </r>
  <r>
    <s v="ICRC"/>
    <x v="3"/>
  </r>
  <r>
    <s v="UNICEF"/>
    <x v="4"/>
  </r>
  <r>
    <s v="WFP"/>
    <x v="4"/>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
  <r>
    <x v="0"/>
    <x v="0"/>
    <x v="0"/>
    <s v="UNICEF"/>
    <x v="0"/>
    <x v="0"/>
    <x v="0"/>
    <x v="0"/>
    <n v="340"/>
    <n v="1674"/>
    <d v="2021-10-19T00:00:00"/>
    <d v="2022-10-18T00:00:00"/>
    <m/>
    <m/>
    <m/>
    <m/>
    <s v="Yes"/>
    <n v="2"/>
    <n v="2"/>
    <m/>
    <m/>
    <m/>
    <m/>
    <m/>
    <m/>
    <m/>
    <n v="24"/>
    <m/>
    <n v="13.62"/>
    <m/>
    <m/>
    <m/>
    <m/>
    <n v="1"/>
    <m/>
    <m/>
    <m/>
    <m/>
    <m/>
    <n v="1"/>
    <m/>
    <m/>
    <n v="30"/>
    <m/>
    <m/>
    <n v="16"/>
    <m/>
    <m/>
    <m/>
    <m/>
    <x v="0"/>
    <x v="0"/>
    <m/>
    <m/>
    <m/>
    <m/>
    <m/>
    <m/>
    <n v="3"/>
    <n v="2"/>
    <m/>
    <n v="2"/>
    <m/>
    <m/>
    <m/>
    <n v="88"/>
    <n v="100"/>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440"/>
    <n v="100"/>
    <n v="440"/>
    <n v="440"/>
    <n v="0.26284348864994028"/>
    <n v="0.73715651135005977"/>
    <n v="0"/>
    <n v="1"/>
    <n v="0.29411764705882354"/>
    <n v="1"/>
    <n v="20"/>
    <n v="0"/>
    <n v="100"/>
    <s v="No"/>
    <s v=""/>
    <n v="0"/>
    <n v="500"/>
    <n v="0"/>
    <n v="0"/>
    <n v="0"/>
    <x v="0"/>
    <x v="0"/>
    <x v="0"/>
    <n v="23.420603"/>
    <n v="98.451791999999998"/>
    <s v="MMR015CMP069"/>
    <x v="0"/>
    <m/>
    <n v="166"/>
    <n v="830"/>
  </r>
  <r>
    <x v="0"/>
    <x v="0"/>
    <x v="0"/>
    <s v="UNICEF"/>
    <x v="0"/>
    <x v="0"/>
    <x v="0"/>
    <x v="1"/>
    <n v="627"/>
    <n v="3469"/>
    <d v="2021-10-19T00:00:00"/>
    <d v="2022-10-18T00:00:00"/>
    <m/>
    <m/>
    <m/>
    <m/>
    <s v="Yes"/>
    <n v="5"/>
    <n v="4"/>
    <m/>
    <m/>
    <m/>
    <m/>
    <m/>
    <m/>
    <m/>
    <m/>
    <m/>
    <m/>
    <m/>
    <m/>
    <m/>
    <m/>
    <m/>
    <m/>
    <m/>
    <m/>
    <m/>
    <m/>
    <m/>
    <m/>
    <m/>
    <m/>
    <n v="627"/>
    <m/>
    <m/>
    <m/>
    <m/>
    <m/>
    <m/>
    <x v="0"/>
    <x v="0"/>
    <m/>
    <m/>
    <m/>
    <m/>
    <m/>
    <m/>
    <n v="3"/>
    <m/>
    <m/>
    <n v="2"/>
    <m/>
    <m/>
    <m/>
    <n v="10"/>
    <n v="18"/>
    <m/>
    <m/>
    <m/>
    <m/>
    <m/>
    <m/>
    <m/>
    <m/>
    <m/>
    <m/>
    <m/>
    <m/>
    <m/>
    <m/>
    <m/>
    <s v="no test"/>
    <s v="no test"/>
    <s v="No Test"/>
    <n v="0"/>
    <n v="0"/>
    <n v="0"/>
    <n v="0"/>
    <n v="0"/>
    <n v="0"/>
    <n v="0"/>
    <n v="0"/>
    <n v="0"/>
    <n v="0"/>
    <n v="0"/>
    <n v="0"/>
    <n v="0"/>
    <n v="0"/>
    <n v="0"/>
    <n v="0"/>
    <n v="1"/>
    <n v="3469"/>
    <n v="7"/>
    <n v="7"/>
    <n v="627"/>
    <n v="1"/>
    <n v="3469"/>
    <n v="0"/>
    <n v="0"/>
    <n v="0"/>
    <n v="173"/>
    <n v="0"/>
    <n v="0"/>
    <n v="0"/>
    <n v="0"/>
    <n v="50"/>
    <n v="18"/>
    <n v="50"/>
    <n v="50"/>
    <n v="1.4413375612568464E-2"/>
    <n v="0.9855866243874315"/>
    <n v="0"/>
    <n v="6.3795853269537475E-2"/>
    <n v="2.8708133971291867E-2"/>
    <n v="3"/>
    <n v="60"/>
    <n v="0"/>
    <n v="300"/>
    <s v="No"/>
    <s v=""/>
    <n v="0"/>
    <n v="0"/>
    <n v="0"/>
    <n v="0"/>
    <n v="0"/>
    <x v="0"/>
    <x v="0"/>
    <x v="0"/>
    <s v="23.7.29893"/>
    <n v="98.779853500000002"/>
    <s v="MMR015CMP070"/>
    <x v="0"/>
    <m/>
    <n v="34"/>
    <n v="170"/>
  </r>
  <r>
    <x v="0"/>
    <x v="1"/>
    <x v="1"/>
    <s v="UNICEF"/>
    <x v="1"/>
    <x v="1"/>
    <x v="1"/>
    <x v="2"/>
    <n v="48"/>
    <n v="267"/>
    <d v="2020-10-01T00:00:00"/>
    <d v="2022-04-30T00:00:00"/>
    <m/>
    <m/>
    <m/>
    <m/>
    <s v="Yes"/>
    <n v="2"/>
    <n v="2"/>
    <m/>
    <m/>
    <m/>
    <n v="2"/>
    <m/>
    <m/>
    <m/>
    <m/>
    <m/>
    <m/>
    <m/>
    <m/>
    <m/>
    <m/>
    <n v="2"/>
    <m/>
    <m/>
    <m/>
    <m/>
    <n v="1"/>
    <m/>
    <m/>
    <m/>
    <n v="7"/>
    <m/>
    <m/>
    <m/>
    <m/>
    <m/>
    <m/>
    <n v="6"/>
    <x v="1"/>
    <x v="1"/>
    <m/>
    <m/>
    <m/>
    <m/>
    <n v="4"/>
    <m/>
    <n v="1"/>
    <m/>
    <m/>
    <n v="3"/>
    <m/>
    <m/>
    <n v="2"/>
    <n v="41"/>
    <n v="85"/>
    <m/>
    <m/>
    <m/>
    <m/>
    <m/>
    <m/>
    <m/>
    <m/>
    <m/>
    <m/>
    <m/>
    <m/>
    <m/>
    <m/>
    <m/>
    <s v="no test"/>
    <s v="no test"/>
    <s v="No Test"/>
    <n v="0"/>
    <n v="2"/>
    <n v="0"/>
    <n v="0"/>
    <n v="0"/>
    <n v="0"/>
    <n v="0"/>
    <n v="1"/>
    <n v="1"/>
    <n v="1"/>
    <n v="267"/>
    <n v="0"/>
    <n v="0"/>
    <n v="1"/>
    <n v="267"/>
    <n v="0.53400000000000003"/>
    <n v="0"/>
    <n v="0"/>
    <n v="0.46599999999999997"/>
    <n v="1"/>
    <n v="7"/>
    <n v="0.5393258426966292"/>
    <n v="144"/>
    <n v="0"/>
    <n v="0"/>
    <n v="0"/>
    <n v="13"/>
    <n v="6"/>
    <n v="0.4606741573033708"/>
    <n v="0"/>
    <n v="267"/>
    <n v="205"/>
    <n v="85"/>
    <n v="205"/>
    <n v="267"/>
    <n v="1"/>
    <n v="0"/>
    <n v="1"/>
    <n v="1"/>
    <n v="1"/>
    <n v="1"/>
    <n v="20"/>
    <n v="0"/>
    <n v="100"/>
    <s v="No"/>
    <s v=""/>
    <n v="0"/>
    <n v="0"/>
    <n v="0"/>
    <n v="0"/>
    <n v="0"/>
    <x v="0"/>
    <x v="0"/>
    <x v="0"/>
    <n v="0"/>
    <n v="0"/>
    <n v="0"/>
    <x v="0"/>
    <m/>
    <n v="0"/>
    <n v="0"/>
  </r>
  <r>
    <x v="0"/>
    <x v="1"/>
    <x v="1"/>
    <s v="UNICEF"/>
    <x v="1"/>
    <x v="2"/>
    <x v="0"/>
    <x v="3"/>
    <n v="169"/>
    <n v="837"/>
    <d v="2020-10-01T00:00:00"/>
    <d v="2022-04-30T00:00:00"/>
    <m/>
    <n v="3"/>
    <m/>
    <m/>
    <s v="Yes"/>
    <m/>
    <n v="4"/>
    <m/>
    <m/>
    <m/>
    <m/>
    <m/>
    <m/>
    <m/>
    <m/>
    <m/>
    <m/>
    <m/>
    <m/>
    <m/>
    <m/>
    <m/>
    <m/>
    <m/>
    <m/>
    <m/>
    <m/>
    <m/>
    <m/>
    <m/>
    <n v="32"/>
    <m/>
    <m/>
    <m/>
    <m/>
    <m/>
    <m/>
    <n v="32"/>
    <x v="1"/>
    <x v="1"/>
    <m/>
    <m/>
    <n v="5"/>
    <m/>
    <m/>
    <m/>
    <n v="8"/>
    <m/>
    <m/>
    <n v="3"/>
    <m/>
    <n v="2"/>
    <n v="1"/>
    <n v="91"/>
    <n v="124"/>
    <m/>
    <m/>
    <m/>
    <m/>
    <m/>
    <m/>
    <m/>
    <m/>
    <m/>
    <m/>
    <m/>
    <m/>
    <m/>
    <m/>
    <m/>
    <s v="no test"/>
    <s v="no test"/>
    <s v="No Test"/>
    <n v="0"/>
    <n v="0"/>
    <n v="0"/>
    <n v="0"/>
    <n v="0"/>
    <n v="0"/>
    <n v="0"/>
    <n v="0"/>
    <n v="0"/>
    <n v="0"/>
    <n v="0"/>
    <n v="0"/>
    <n v="0"/>
    <n v="0"/>
    <n v="0"/>
    <n v="0"/>
    <n v="1"/>
    <n v="837"/>
    <n v="2"/>
    <n v="2"/>
    <n v="32"/>
    <n v="0.7646356033452808"/>
    <n v="640"/>
    <n v="0"/>
    <n v="0"/>
    <n v="0"/>
    <n v="42"/>
    <n v="10"/>
    <n v="0.2353643966547192"/>
    <n v="0"/>
    <n v="837"/>
    <n v="455"/>
    <n v="124"/>
    <n v="455"/>
    <n v="837"/>
    <n v="1"/>
    <n v="0"/>
    <n v="1"/>
    <n v="0.53846153846153844"/>
    <n v="0.73372781065088755"/>
    <n v="8"/>
    <n v="160"/>
    <n v="0"/>
    <n v="800"/>
    <s v="No"/>
    <s v=""/>
    <n v="0"/>
    <n v="0"/>
    <n v="0"/>
    <s v="Yes"/>
    <s v="KBC-MYT"/>
    <x v="0"/>
    <x v="1"/>
    <x v="1"/>
    <n v="25.754110000000001"/>
    <n v="98.475719999999995"/>
    <s v="MMR001CMP043"/>
    <x v="0"/>
    <m/>
    <n v="167"/>
    <n v="936"/>
  </r>
  <r>
    <x v="0"/>
    <x v="1"/>
    <x v="1"/>
    <s v="UNICEF"/>
    <x v="1"/>
    <x v="3"/>
    <x v="0"/>
    <x v="4"/>
    <n v="31"/>
    <n v="132"/>
    <d v="2020-10-01T00:00:00"/>
    <d v="2022-04-30T00:00:00"/>
    <m/>
    <n v="1"/>
    <m/>
    <m/>
    <s v="Yes"/>
    <m/>
    <n v="1"/>
    <m/>
    <m/>
    <m/>
    <n v="1"/>
    <m/>
    <m/>
    <m/>
    <m/>
    <m/>
    <m/>
    <m/>
    <m/>
    <m/>
    <m/>
    <m/>
    <m/>
    <m/>
    <m/>
    <m/>
    <m/>
    <m/>
    <m/>
    <m/>
    <n v="9"/>
    <m/>
    <m/>
    <m/>
    <m/>
    <n v="20"/>
    <m/>
    <n v="4"/>
    <x v="1"/>
    <x v="1"/>
    <m/>
    <m/>
    <m/>
    <m/>
    <m/>
    <m/>
    <n v="1"/>
    <m/>
    <m/>
    <n v="1"/>
    <m/>
    <m/>
    <n v="1"/>
    <n v="6"/>
    <n v="5"/>
    <m/>
    <m/>
    <m/>
    <m/>
    <m/>
    <m/>
    <m/>
    <m/>
    <m/>
    <m/>
    <m/>
    <m/>
    <m/>
    <m/>
    <m/>
    <s v="no test"/>
    <s v="no test"/>
    <s v="No Test"/>
    <n v="0"/>
    <n v="1"/>
    <n v="0"/>
    <n v="0"/>
    <n v="0"/>
    <n v="0"/>
    <n v="0"/>
    <n v="1"/>
    <n v="1"/>
    <n v="1"/>
    <n v="132"/>
    <n v="0"/>
    <n v="0"/>
    <n v="1"/>
    <n v="132"/>
    <n v="0.26400000000000001"/>
    <n v="0"/>
    <n v="0"/>
    <n v="0.73599999999999999"/>
    <n v="1"/>
    <n v="9"/>
    <n v="1"/>
    <n v="132"/>
    <n v="132"/>
    <n v="0"/>
    <n v="0"/>
    <n v="7"/>
    <n v="0"/>
    <n v="0"/>
    <n v="0"/>
    <n v="132"/>
    <n v="30"/>
    <n v="5"/>
    <n v="30"/>
    <n v="132"/>
    <n v="1"/>
    <n v="0"/>
    <n v="1"/>
    <n v="0.77419354838709675"/>
    <n v="0.16129032258064516"/>
    <n v="1"/>
    <n v="20"/>
    <n v="0"/>
    <n v="100"/>
    <s v="No"/>
    <s v=""/>
    <n v="0"/>
    <n v="0"/>
    <n v="0"/>
    <s v="Yes"/>
    <s v="KBC-MYT"/>
    <x v="0"/>
    <x v="1"/>
    <x v="0"/>
    <n v="25.51352"/>
    <n v="96.705960000000005"/>
    <s v="MMR001CMP148"/>
    <x v="0"/>
    <m/>
    <n v="26"/>
    <n v="133"/>
  </r>
  <r>
    <x v="0"/>
    <x v="1"/>
    <x v="1"/>
    <s v="UNICEF"/>
    <x v="1"/>
    <x v="3"/>
    <x v="0"/>
    <x v="5"/>
    <n v="10"/>
    <n v="18"/>
    <d v="2020-10-01T00:00:00"/>
    <d v="2022-04-30T00:00:00"/>
    <m/>
    <m/>
    <m/>
    <m/>
    <m/>
    <m/>
    <n v="4"/>
    <m/>
    <m/>
    <m/>
    <m/>
    <m/>
    <m/>
    <m/>
    <m/>
    <m/>
    <m/>
    <m/>
    <m/>
    <m/>
    <m/>
    <m/>
    <m/>
    <m/>
    <m/>
    <m/>
    <m/>
    <m/>
    <m/>
    <m/>
    <m/>
    <m/>
    <m/>
    <m/>
    <m/>
    <m/>
    <m/>
    <m/>
    <x v="2"/>
    <x v="2"/>
    <m/>
    <m/>
    <m/>
    <m/>
    <m/>
    <m/>
    <n v="1"/>
    <m/>
    <m/>
    <n v="1"/>
    <m/>
    <m/>
    <m/>
    <n v="6"/>
    <n v="5"/>
    <m/>
    <m/>
    <m/>
    <m/>
    <m/>
    <m/>
    <m/>
    <m/>
    <m/>
    <m/>
    <m/>
    <m/>
    <m/>
    <m/>
    <m/>
    <s v="no test"/>
    <s v="no test"/>
    <s v="No Test"/>
    <n v="0"/>
    <n v="0"/>
    <n v="0"/>
    <n v="0"/>
    <n v="0"/>
    <n v="0"/>
    <n v="0"/>
    <n v="0"/>
    <n v="0"/>
    <n v="0"/>
    <n v="0"/>
    <n v="0"/>
    <n v="0"/>
    <n v="0"/>
    <n v="0"/>
    <n v="0"/>
    <n v="1"/>
    <n v="18"/>
    <n v="1"/>
    <n v="1"/>
    <n v="0"/>
    <n v="0"/>
    <n v="0"/>
    <n v="0"/>
    <n v="0"/>
    <n v="0"/>
    <n v="1"/>
    <n v="1"/>
    <n v="1"/>
    <n v="0"/>
    <n v="0"/>
    <n v="18"/>
    <n v="5"/>
    <n v="18"/>
    <n v="18"/>
    <n v="1"/>
    <n v="0"/>
    <n v="0"/>
    <n v="1"/>
    <n v="0.5"/>
    <n v="1"/>
    <n v="10"/>
    <n v="0"/>
    <n v="18"/>
    <s v="No"/>
    <s v=""/>
    <n v="0"/>
    <n v="0"/>
    <n v="0"/>
    <s v="Yes"/>
    <s v="KMSS-MYT"/>
    <x v="0"/>
    <x v="1"/>
    <x v="0"/>
    <n v="25.920006000000001"/>
    <n v="96.662092000000001"/>
    <s v="MMR001CMP247"/>
    <x v="0"/>
    <m/>
    <n v="24"/>
    <n v="101"/>
  </r>
  <r>
    <x v="0"/>
    <x v="1"/>
    <x v="1"/>
    <s v="UNICEF"/>
    <x v="1"/>
    <x v="3"/>
    <x v="0"/>
    <x v="6"/>
    <n v="28"/>
    <n v="103"/>
    <d v="2020-10-01T00:00:00"/>
    <d v="2022-04-30T00:00:00"/>
    <m/>
    <n v="1"/>
    <m/>
    <m/>
    <s v="Yes"/>
    <m/>
    <n v="4"/>
    <n v="1"/>
    <m/>
    <m/>
    <n v="1"/>
    <m/>
    <m/>
    <m/>
    <m/>
    <m/>
    <m/>
    <m/>
    <m/>
    <m/>
    <m/>
    <m/>
    <m/>
    <m/>
    <m/>
    <m/>
    <m/>
    <m/>
    <m/>
    <m/>
    <n v="8"/>
    <m/>
    <m/>
    <m/>
    <m/>
    <m/>
    <m/>
    <n v="8"/>
    <x v="1"/>
    <x v="3"/>
    <m/>
    <m/>
    <m/>
    <m/>
    <m/>
    <m/>
    <n v="7"/>
    <m/>
    <m/>
    <n v="7"/>
    <m/>
    <m/>
    <n v="1"/>
    <n v="104"/>
    <n v="148"/>
    <m/>
    <m/>
    <m/>
    <m/>
    <m/>
    <m/>
    <m/>
    <m/>
    <m/>
    <m/>
    <m/>
    <m/>
    <m/>
    <m/>
    <m/>
    <s v="no test"/>
    <s v="no test"/>
    <s v="No Test"/>
    <n v="1"/>
    <n v="1"/>
    <n v="0"/>
    <n v="0"/>
    <n v="0"/>
    <n v="0"/>
    <n v="0"/>
    <n v="1"/>
    <n v="1"/>
    <n v="1"/>
    <n v="103"/>
    <n v="0"/>
    <n v="0"/>
    <n v="1"/>
    <n v="103"/>
    <n v="0.20599999999999999"/>
    <n v="0"/>
    <n v="0"/>
    <n v="0.79400000000000004"/>
    <n v="1"/>
    <n v="8"/>
    <n v="1"/>
    <n v="103"/>
    <n v="0"/>
    <n v="0"/>
    <n v="0"/>
    <n v="5"/>
    <n v="0"/>
    <n v="0"/>
    <n v="0"/>
    <n v="103"/>
    <n v="103"/>
    <n v="103"/>
    <n v="103"/>
    <n v="103"/>
    <n v="1"/>
    <n v="0"/>
    <n v="1"/>
    <n v="1"/>
    <n v="1"/>
    <n v="7"/>
    <n v="28"/>
    <n v="0"/>
    <n v="103"/>
    <s v="No"/>
    <s v=""/>
    <n v="0"/>
    <n v="0"/>
    <n v="0"/>
    <s v="Yes"/>
    <s v="KBC-MYT"/>
    <x v="0"/>
    <x v="1"/>
    <x v="0"/>
    <n v="25.920006000000001"/>
    <n v="96.662092000000001"/>
    <s v="MMR001CMP244"/>
    <x v="0"/>
    <m/>
    <n v="24"/>
    <n v="110"/>
  </r>
  <r>
    <x v="0"/>
    <x v="2"/>
    <x v="1"/>
    <s v="UNICEF, MHF"/>
    <x v="1"/>
    <x v="4"/>
    <x v="0"/>
    <x v="7"/>
    <n v="364"/>
    <n v="1599"/>
    <s v="10/1/2020, 4-8-21"/>
    <s v="4/30/2022, 3-8-22"/>
    <n v="456"/>
    <n v="9"/>
    <m/>
    <m/>
    <s v="Yes"/>
    <n v="14"/>
    <n v="42"/>
    <m/>
    <m/>
    <n v="0"/>
    <n v="4"/>
    <n v="0"/>
    <m/>
    <n v="3"/>
    <m/>
    <m/>
    <m/>
    <m/>
    <m/>
    <m/>
    <n v="5"/>
    <m/>
    <n v="4"/>
    <n v="4"/>
    <n v="15"/>
    <n v="13"/>
    <n v="8"/>
    <m/>
    <m/>
    <m/>
    <n v="110"/>
    <n v="0"/>
    <m/>
    <n v="0"/>
    <m/>
    <m/>
    <m/>
    <n v="110"/>
    <x v="1"/>
    <x v="1"/>
    <m/>
    <m/>
    <n v="4"/>
    <m/>
    <n v="76"/>
    <m/>
    <n v="1"/>
    <m/>
    <m/>
    <n v="3"/>
    <m/>
    <m/>
    <n v="5"/>
    <n v="41"/>
    <n v="85"/>
    <m/>
    <m/>
    <m/>
    <m/>
    <m/>
    <m/>
    <n v="1407.1200000000001"/>
    <n v="0.62"/>
    <m/>
    <n v="17"/>
    <m/>
    <n v="0"/>
    <n v="0"/>
    <m/>
    <m/>
    <n v="1"/>
    <n v="0.8666666666666667"/>
    <s v="Tested"/>
    <n v="0"/>
    <n v="4"/>
    <n v="0"/>
    <n v="0"/>
    <n v="0"/>
    <n v="0"/>
    <n v="0"/>
    <n v="1"/>
    <n v="0.62539086929330834"/>
    <n v="1"/>
    <n v="1599"/>
    <n v="0"/>
    <n v="0"/>
    <n v="1"/>
    <n v="1599"/>
    <n v="3.198"/>
    <n v="0"/>
    <n v="0"/>
    <n v="0"/>
    <n v="3"/>
    <n v="110"/>
    <n v="1"/>
    <n v="1599"/>
    <n v="0"/>
    <n v="200"/>
    <n v="0"/>
    <n v="80"/>
    <n v="0"/>
    <n v="0"/>
    <n v="0"/>
    <n v="1599"/>
    <n v="205"/>
    <n v="85"/>
    <n v="205"/>
    <n v="1599"/>
    <n v="1"/>
    <n v="0"/>
    <n v="1"/>
    <n v="0.45054945054945056"/>
    <n v="0.23351648351648352"/>
    <n v="1"/>
    <n v="20"/>
    <n v="0"/>
    <n v="100"/>
    <s v="Yes"/>
    <n v="0.88000000000000012"/>
    <n v="17"/>
    <n v="200"/>
    <n v="0"/>
    <s v="Yes"/>
    <s v="KBC-BMO"/>
    <x v="0"/>
    <x v="1"/>
    <x v="0"/>
    <n v="23.972453000000002"/>
    <n v="97.225881000000001"/>
    <s v="MMR001CMP218"/>
    <x v="0"/>
    <m/>
    <n v="363"/>
    <n v="1757"/>
  </r>
  <r>
    <x v="0"/>
    <x v="1"/>
    <x v="1"/>
    <s v="UNICEF"/>
    <x v="1"/>
    <x v="5"/>
    <x v="0"/>
    <x v="8"/>
    <n v="13"/>
    <n v="66"/>
    <d v="2020-10-01T00:00:00"/>
    <d v="2022-04-30T00:00:00"/>
    <m/>
    <n v="1"/>
    <m/>
    <m/>
    <s v="Yes"/>
    <m/>
    <n v="3"/>
    <m/>
    <m/>
    <m/>
    <n v="1"/>
    <m/>
    <m/>
    <m/>
    <m/>
    <m/>
    <m/>
    <m/>
    <m/>
    <m/>
    <m/>
    <n v="2"/>
    <m/>
    <m/>
    <m/>
    <m/>
    <m/>
    <m/>
    <m/>
    <m/>
    <n v="6"/>
    <m/>
    <m/>
    <m/>
    <m/>
    <m/>
    <m/>
    <n v="6"/>
    <x v="1"/>
    <x v="3"/>
    <m/>
    <m/>
    <m/>
    <m/>
    <m/>
    <m/>
    <n v="7"/>
    <m/>
    <m/>
    <n v="4"/>
    <m/>
    <m/>
    <n v="1"/>
    <n v="124"/>
    <n v="198"/>
    <m/>
    <m/>
    <m/>
    <m/>
    <m/>
    <m/>
    <m/>
    <m/>
    <m/>
    <m/>
    <m/>
    <m/>
    <m/>
    <m/>
    <m/>
    <s v="no test"/>
    <s v="no test"/>
    <s v="No Test"/>
    <n v="0"/>
    <n v="1"/>
    <n v="0"/>
    <n v="0"/>
    <n v="0"/>
    <n v="0"/>
    <n v="0"/>
    <n v="1"/>
    <n v="1"/>
    <n v="1"/>
    <n v="66"/>
    <n v="0"/>
    <n v="0"/>
    <n v="1"/>
    <n v="66"/>
    <n v="0.13200000000000001"/>
    <n v="0"/>
    <n v="0"/>
    <n v="0.86799999999999999"/>
    <n v="1"/>
    <n v="6"/>
    <n v="1"/>
    <n v="66"/>
    <n v="0"/>
    <n v="0"/>
    <n v="0"/>
    <n v="3"/>
    <n v="0"/>
    <n v="0"/>
    <n v="0"/>
    <n v="66"/>
    <n v="66"/>
    <n v="66"/>
    <n v="66"/>
    <n v="66"/>
    <n v="1"/>
    <n v="0"/>
    <n v="1"/>
    <n v="1"/>
    <n v="1"/>
    <n v="7"/>
    <n v="13"/>
    <n v="0"/>
    <n v="66"/>
    <s v="No"/>
    <s v=""/>
    <n v="0"/>
    <n v="0"/>
    <n v="0"/>
    <s v="Yes"/>
    <s v="KBC-MYT"/>
    <x v="0"/>
    <x v="1"/>
    <x v="0"/>
    <n v="25.305669999999999"/>
    <n v="96.922619999999995"/>
    <s v="MMR001CMP078"/>
    <x v="0"/>
    <m/>
    <n v="13"/>
    <n v="76"/>
  </r>
  <r>
    <x v="0"/>
    <x v="1"/>
    <x v="1"/>
    <s v="UNICEF"/>
    <x v="1"/>
    <x v="5"/>
    <x v="0"/>
    <x v="9"/>
    <n v="16"/>
    <n v="78"/>
    <d v="2020-10-01T00:00:00"/>
    <d v="2022-04-30T00:00:00"/>
    <m/>
    <n v="1"/>
    <m/>
    <m/>
    <s v="Yes"/>
    <m/>
    <n v="3"/>
    <m/>
    <m/>
    <m/>
    <n v="1"/>
    <m/>
    <m/>
    <m/>
    <m/>
    <m/>
    <m/>
    <m/>
    <m/>
    <m/>
    <m/>
    <n v="2"/>
    <m/>
    <m/>
    <m/>
    <m/>
    <m/>
    <m/>
    <m/>
    <m/>
    <n v="2"/>
    <m/>
    <m/>
    <m/>
    <m/>
    <m/>
    <m/>
    <n v="2"/>
    <x v="1"/>
    <x v="1"/>
    <m/>
    <m/>
    <m/>
    <m/>
    <m/>
    <m/>
    <n v="1"/>
    <m/>
    <m/>
    <n v="1"/>
    <m/>
    <m/>
    <n v="1"/>
    <n v="6"/>
    <n v="5"/>
    <m/>
    <m/>
    <m/>
    <m/>
    <m/>
    <m/>
    <m/>
    <m/>
    <m/>
    <m/>
    <m/>
    <m/>
    <m/>
    <m/>
    <m/>
    <s v="no test"/>
    <s v="no test"/>
    <s v="No Test"/>
    <n v="0"/>
    <n v="1"/>
    <n v="0"/>
    <n v="0"/>
    <n v="0"/>
    <n v="0"/>
    <n v="0"/>
    <n v="1"/>
    <n v="1"/>
    <n v="1"/>
    <n v="78"/>
    <n v="0"/>
    <n v="0"/>
    <n v="1"/>
    <n v="78"/>
    <n v="0.156"/>
    <n v="0"/>
    <n v="0"/>
    <n v="0.84399999999999997"/>
    <n v="1"/>
    <n v="2"/>
    <n v="0.51282051282051277"/>
    <n v="40"/>
    <n v="0"/>
    <n v="0"/>
    <n v="0"/>
    <n v="4"/>
    <n v="2"/>
    <n v="0.48717948717948723"/>
    <n v="0"/>
    <n v="78"/>
    <n v="30"/>
    <n v="5"/>
    <n v="30"/>
    <n v="78"/>
    <n v="1"/>
    <n v="0"/>
    <n v="1"/>
    <n v="1"/>
    <n v="0.3125"/>
    <n v="1"/>
    <n v="16"/>
    <n v="0"/>
    <n v="78"/>
    <s v="No"/>
    <s v=""/>
    <n v="0"/>
    <n v="0"/>
    <n v="0"/>
    <s v="Yes"/>
    <s v="KBC-MYT"/>
    <x v="0"/>
    <x v="1"/>
    <x v="0"/>
    <n v="25.296579999999999"/>
    <n v="96.942279999999997"/>
    <s v="MMR001CMP077"/>
    <x v="0"/>
    <m/>
    <n v="16"/>
    <n v="75"/>
  </r>
  <r>
    <x v="0"/>
    <x v="1"/>
    <x v="1"/>
    <s v="UNICEF"/>
    <x v="1"/>
    <x v="5"/>
    <x v="1"/>
    <x v="10"/>
    <n v="6"/>
    <n v="36"/>
    <d v="2020-10-01T00:00:00"/>
    <d v="2022-04-30T00:00:00"/>
    <m/>
    <n v="1"/>
    <m/>
    <m/>
    <s v="Yes"/>
    <m/>
    <n v="1"/>
    <m/>
    <m/>
    <m/>
    <n v="1"/>
    <m/>
    <m/>
    <m/>
    <m/>
    <m/>
    <m/>
    <m/>
    <m/>
    <m/>
    <m/>
    <n v="3"/>
    <m/>
    <m/>
    <m/>
    <m/>
    <m/>
    <m/>
    <m/>
    <m/>
    <n v="2"/>
    <m/>
    <m/>
    <m/>
    <n v="2"/>
    <m/>
    <m/>
    <n v="2"/>
    <x v="1"/>
    <x v="1"/>
    <m/>
    <m/>
    <m/>
    <m/>
    <m/>
    <m/>
    <n v="8"/>
    <m/>
    <m/>
    <n v="3"/>
    <m/>
    <m/>
    <n v="1"/>
    <n v="91"/>
    <n v="124"/>
    <m/>
    <m/>
    <m/>
    <m/>
    <m/>
    <m/>
    <m/>
    <m/>
    <m/>
    <m/>
    <m/>
    <m/>
    <m/>
    <m/>
    <m/>
    <s v="no test"/>
    <s v="no test"/>
    <s v="No Test"/>
    <n v="0"/>
    <n v="1"/>
    <n v="0"/>
    <n v="0"/>
    <n v="0"/>
    <n v="0"/>
    <n v="0"/>
    <n v="1"/>
    <n v="1"/>
    <n v="1"/>
    <n v="36"/>
    <n v="0"/>
    <n v="0"/>
    <n v="1"/>
    <n v="36"/>
    <n v="7.1999999999999995E-2"/>
    <n v="0"/>
    <n v="0"/>
    <n v="0.92800000000000005"/>
    <n v="1"/>
    <n v="2"/>
    <n v="1"/>
    <n v="36"/>
    <n v="0"/>
    <n v="0"/>
    <n v="0"/>
    <n v="2"/>
    <n v="0"/>
    <n v="0"/>
    <n v="0"/>
    <n v="36"/>
    <n v="36"/>
    <n v="36"/>
    <n v="36"/>
    <n v="36"/>
    <n v="1"/>
    <n v="0"/>
    <n v="1"/>
    <n v="1"/>
    <n v="1"/>
    <n v="8"/>
    <n v="6"/>
    <n v="0"/>
    <n v="36"/>
    <s v="No"/>
    <s v=""/>
    <n v="0"/>
    <n v="0"/>
    <n v="0"/>
    <n v="0"/>
    <n v="0"/>
    <x v="0"/>
    <x v="0"/>
    <x v="0"/>
    <n v="0"/>
    <n v="0"/>
    <n v="0"/>
    <x v="0"/>
    <m/>
    <n v="0"/>
    <n v="0"/>
  </r>
  <r>
    <x v="0"/>
    <x v="1"/>
    <x v="1"/>
    <s v="UNICEF"/>
    <x v="1"/>
    <x v="5"/>
    <x v="0"/>
    <x v="11"/>
    <n v="105"/>
    <n v="474"/>
    <d v="2020-10-01T00:00:00"/>
    <d v="2022-04-30T00:00:00"/>
    <m/>
    <n v="3"/>
    <m/>
    <m/>
    <s v="Yes"/>
    <m/>
    <n v="2"/>
    <n v="1"/>
    <m/>
    <m/>
    <m/>
    <m/>
    <m/>
    <m/>
    <m/>
    <m/>
    <m/>
    <m/>
    <m/>
    <m/>
    <m/>
    <n v="2"/>
    <m/>
    <m/>
    <m/>
    <m/>
    <m/>
    <m/>
    <m/>
    <m/>
    <n v="13"/>
    <m/>
    <m/>
    <m/>
    <n v="12"/>
    <m/>
    <m/>
    <n v="12"/>
    <x v="1"/>
    <x v="1"/>
    <m/>
    <m/>
    <m/>
    <m/>
    <m/>
    <m/>
    <n v="7"/>
    <m/>
    <m/>
    <n v="7"/>
    <m/>
    <n v="2"/>
    <n v="1"/>
    <n v="104"/>
    <n v="148"/>
    <m/>
    <m/>
    <m/>
    <m/>
    <m/>
    <m/>
    <m/>
    <m/>
    <m/>
    <m/>
    <m/>
    <m/>
    <m/>
    <m/>
    <m/>
    <s v="no test"/>
    <s v="no test"/>
    <s v="No Test"/>
    <n v="1"/>
    <n v="0"/>
    <n v="0"/>
    <n v="0"/>
    <n v="0"/>
    <n v="0"/>
    <n v="0"/>
    <n v="0.84388185654008441"/>
    <n v="0.52742616033755274"/>
    <n v="0.84388185654008441"/>
    <n v="400"/>
    <n v="0"/>
    <n v="0"/>
    <n v="0.84388185654008441"/>
    <n v="400"/>
    <n v="0.8"/>
    <n v="0.15611814345991559"/>
    <n v="73.999999999999986"/>
    <n v="0.19999999999999996"/>
    <n v="1"/>
    <n v="13"/>
    <n v="0.54852320675105481"/>
    <n v="260"/>
    <n v="0"/>
    <n v="0"/>
    <n v="0"/>
    <n v="24"/>
    <n v="11"/>
    <n v="0.45147679324894519"/>
    <n v="0"/>
    <n v="474"/>
    <n v="474"/>
    <n v="148"/>
    <n v="474"/>
    <n v="474"/>
    <n v="1"/>
    <n v="0"/>
    <n v="1"/>
    <n v="1"/>
    <n v="1"/>
    <n v="7"/>
    <n v="105"/>
    <n v="0"/>
    <n v="474"/>
    <s v="No"/>
    <s v=""/>
    <n v="0"/>
    <n v="0"/>
    <n v="0"/>
    <n v="0"/>
    <s v="KBC-MYT"/>
    <x v="0"/>
    <x v="1"/>
    <x v="0"/>
    <n v="25.2226"/>
    <n v="97.012299999999996"/>
    <s v="MMR001CMP261"/>
    <x v="0"/>
    <m/>
    <n v="111"/>
    <n v="599"/>
  </r>
  <r>
    <x v="0"/>
    <x v="1"/>
    <x v="1"/>
    <s v="UNICEF"/>
    <x v="1"/>
    <x v="5"/>
    <x v="0"/>
    <x v="12"/>
    <n v="10"/>
    <n v="41"/>
    <d v="2020-10-01T00:00:00"/>
    <d v="2022-04-30T00:00:00"/>
    <m/>
    <n v="1"/>
    <m/>
    <m/>
    <s v="Yes"/>
    <m/>
    <n v="5"/>
    <n v="1"/>
    <m/>
    <m/>
    <m/>
    <m/>
    <m/>
    <m/>
    <m/>
    <m/>
    <m/>
    <m/>
    <m/>
    <m/>
    <m/>
    <n v="3"/>
    <m/>
    <m/>
    <m/>
    <m/>
    <m/>
    <m/>
    <m/>
    <m/>
    <n v="3"/>
    <m/>
    <m/>
    <m/>
    <m/>
    <m/>
    <m/>
    <n v="3"/>
    <x v="1"/>
    <x v="1"/>
    <m/>
    <m/>
    <m/>
    <m/>
    <m/>
    <m/>
    <n v="7"/>
    <m/>
    <m/>
    <n v="4"/>
    <m/>
    <m/>
    <n v="1"/>
    <n v="124"/>
    <n v="198"/>
    <m/>
    <m/>
    <m/>
    <m/>
    <m/>
    <m/>
    <m/>
    <m/>
    <m/>
    <m/>
    <m/>
    <m/>
    <m/>
    <m/>
    <m/>
    <s v="no test"/>
    <s v="no test"/>
    <s v="No Test"/>
    <n v="1"/>
    <n v="0"/>
    <n v="0"/>
    <n v="0"/>
    <n v="0"/>
    <n v="0"/>
    <n v="0"/>
    <n v="1"/>
    <n v="1"/>
    <n v="1"/>
    <n v="41"/>
    <n v="0"/>
    <n v="0"/>
    <n v="1"/>
    <n v="41"/>
    <n v="8.2000000000000003E-2"/>
    <n v="0"/>
    <n v="0"/>
    <n v="0.91800000000000004"/>
    <n v="1"/>
    <n v="3"/>
    <n v="1"/>
    <n v="41"/>
    <n v="0"/>
    <n v="0"/>
    <n v="0"/>
    <n v="2"/>
    <n v="0"/>
    <n v="0"/>
    <n v="0"/>
    <n v="41"/>
    <n v="41"/>
    <n v="41"/>
    <n v="41"/>
    <n v="41"/>
    <n v="1"/>
    <n v="0"/>
    <n v="1"/>
    <n v="1"/>
    <n v="1"/>
    <n v="7"/>
    <n v="10"/>
    <n v="0"/>
    <n v="41"/>
    <s v="No"/>
    <s v=""/>
    <n v="0"/>
    <n v="0"/>
    <n v="0"/>
    <s v="Yes"/>
    <s v="KBC-MYT"/>
    <x v="0"/>
    <x v="1"/>
    <x v="0"/>
    <n v="25.30442"/>
    <n v="96.948740000000001"/>
    <s v="MMR001CMP079"/>
    <x v="0"/>
    <m/>
    <n v="10"/>
    <n v="48"/>
  </r>
  <r>
    <x v="0"/>
    <x v="1"/>
    <x v="1"/>
    <s v="UNICEF"/>
    <x v="1"/>
    <x v="5"/>
    <x v="0"/>
    <x v="13"/>
    <n v="28"/>
    <n v="136"/>
    <d v="2020-10-01T00:00:00"/>
    <d v="2022-04-30T00:00:00"/>
    <m/>
    <n v="1"/>
    <m/>
    <m/>
    <s v="Yes"/>
    <m/>
    <n v="4"/>
    <n v="1"/>
    <m/>
    <m/>
    <n v="1"/>
    <m/>
    <m/>
    <m/>
    <m/>
    <m/>
    <m/>
    <m/>
    <m/>
    <m/>
    <m/>
    <n v="3"/>
    <m/>
    <m/>
    <m/>
    <m/>
    <m/>
    <m/>
    <m/>
    <m/>
    <n v="12"/>
    <m/>
    <m/>
    <m/>
    <m/>
    <m/>
    <m/>
    <n v="12"/>
    <x v="1"/>
    <x v="3"/>
    <m/>
    <m/>
    <m/>
    <m/>
    <m/>
    <m/>
    <n v="8"/>
    <m/>
    <m/>
    <n v="3"/>
    <m/>
    <m/>
    <n v="1"/>
    <n v="91"/>
    <n v="124"/>
    <m/>
    <m/>
    <m/>
    <m/>
    <m/>
    <m/>
    <m/>
    <m/>
    <m/>
    <m/>
    <m/>
    <m/>
    <m/>
    <m/>
    <m/>
    <s v="no test"/>
    <s v="no test"/>
    <s v="No Test"/>
    <n v="1"/>
    <n v="1"/>
    <n v="0"/>
    <n v="0"/>
    <n v="0"/>
    <n v="0"/>
    <n v="0"/>
    <n v="1"/>
    <n v="1"/>
    <n v="1"/>
    <n v="136"/>
    <n v="0"/>
    <n v="0"/>
    <n v="1"/>
    <n v="136"/>
    <n v="0.27200000000000002"/>
    <n v="0"/>
    <n v="0"/>
    <n v="0.72799999999999998"/>
    <n v="1"/>
    <n v="12"/>
    <n v="1"/>
    <n v="136"/>
    <n v="0"/>
    <n v="0"/>
    <n v="0"/>
    <n v="7"/>
    <n v="0"/>
    <n v="0"/>
    <n v="0"/>
    <n v="136"/>
    <n v="136"/>
    <n v="124"/>
    <n v="136"/>
    <n v="136"/>
    <n v="1"/>
    <n v="0"/>
    <n v="1"/>
    <n v="1"/>
    <n v="1"/>
    <n v="8"/>
    <n v="28"/>
    <n v="0"/>
    <n v="136"/>
    <s v="No"/>
    <s v=""/>
    <n v="0"/>
    <n v="0"/>
    <n v="0"/>
    <s v="Yes"/>
    <s v="KBC-MYT"/>
    <x v="0"/>
    <x v="1"/>
    <x v="0"/>
    <n v="25.225000000000001"/>
    <n v="96.793999999999997"/>
    <s v="MMR001CMP236"/>
    <x v="0"/>
    <m/>
    <n v="27"/>
    <n v="137"/>
  </r>
  <r>
    <x v="0"/>
    <x v="1"/>
    <x v="1"/>
    <s v="UNICEF"/>
    <x v="1"/>
    <x v="6"/>
    <x v="0"/>
    <x v="14"/>
    <n v="22"/>
    <n v="113"/>
    <d v="2020-10-01T00:00:00"/>
    <d v="2022-04-30T00:00:00"/>
    <m/>
    <n v="1"/>
    <m/>
    <m/>
    <s v="Yes"/>
    <m/>
    <n v="1"/>
    <n v="0"/>
    <m/>
    <m/>
    <n v="3"/>
    <m/>
    <m/>
    <m/>
    <m/>
    <m/>
    <m/>
    <m/>
    <m/>
    <m/>
    <m/>
    <m/>
    <m/>
    <m/>
    <m/>
    <m/>
    <m/>
    <m/>
    <m/>
    <m/>
    <n v="5"/>
    <m/>
    <m/>
    <m/>
    <m/>
    <m/>
    <m/>
    <m/>
    <x v="1"/>
    <x v="3"/>
    <m/>
    <m/>
    <m/>
    <m/>
    <m/>
    <m/>
    <n v="3"/>
    <m/>
    <m/>
    <n v="2"/>
    <m/>
    <n v="1"/>
    <m/>
    <n v="88"/>
    <n v="100"/>
    <m/>
    <m/>
    <m/>
    <m/>
    <m/>
    <m/>
    <m/>
    <m/>
    <m/>
    <m/>
    <m/>
    <m/>
    <m/>
    <m/>
    <m/>
    <s v="no test"/>
    <s v="no test"/>
    <s v="No Test"/>
    <n v="0"/>
    <n v="3"/>
    <n v="0"/>
    <n v="0"/>
    <n v="0"/>
    <n v="0"/>
    <n v="0"/>
    <n v="1"/>
    <n v="1"/>
    <n v="1"/>
    <n v="113"/>
    <n v="0"/>
    <n v="0"/>
    <n v="1"/>
    <n v="113"/>
    <n v="0.22600000000000001"/>
    <n v="0"/>
    <n v="0"/>
    <n v="0.77400000000000002"/>
    <n v="1"/>
    <n v="5"/>
    <n v="0.88495575221238942"/>
    <n v="100"/>
    <n v="0"/>
    <n v="0"/>
    <n v="0"/>
    <n v="6"/>
    <n v="1"/>
    <n v="0.11504424778761058"/>
    <n v="0"/>
    <n v="113"/>
    <n v="113"/>
    <n v="100"/>
    <n v="113"/>
    <n v="113"/>
    <n v="1"/>
    <n v="0"/>
    <n v="1"/>
    <n v="1"/>
    <n v="1"/>
    <n v="3"/>
    <n v="22"/>
    <n v="0"/>
    <n v="113"/>
    <s v="No"/>
    <s v=""/>
    <n v="0"/>
    <n v="0"/>
    <n v="0"/>
    <s v="Yes"/>
    <s v="KBC-MYT"/>
    <x v="0"/>
    <x v="1"/>
    <x v="0"/>
    <n v="24.998349999999999"/>
    <n v="96.364949999999993"/>
    <s v="MMR001CMP152"/>
    <x v="0"/>
    <m/>
    <n v="26"/>
    <n v="127"/>
  </r>
  <r>
    <x v="0"/>
    <x v="1"/>
    <x v="1"/>
    <s v="UNICEF"/>
    <x v="1"/>
    <x v="7"/>
    <x v="0"/>
    <x v="15"/>
    <n v="1490"/>
    <n v="8486"/>
    <d v="2020-10-01T00:00:00"/>
    <d v="2022-04-30T00:00:00"/>
    <m/>
    <m/>
    <m/>
    <m/>
    <s v="Yes"/>
    <m/>
    <m/>
    <n v="1"/>
    <m/>
    <m/>
    <m/>
    <m/>
    <m/>
    <m/>
    <m/>
    <m/>
    <m/>
    <m/>
    <m/>
    <m/>
    <m/>
    <m/>
    <m/>
    <m/>
    <m/>
    <m/>
    <n v="3"/>
    <m/>
    <m/>
    <m/>
    <n v="34"/>
    <m/>
    <m/>
    <m/>
    <m/>
    <m/>
    <m/>
    <m/>
    <x v="1"/>
    <x v="1"/>
    <n v="6"/>
    <m/>
    <m/>
    <m/>
    <m/>
    <m/>
    <n v="7"/>
    <m/>
    <m/>
    <n v="7"/>
    <m/>
    <m/>
    <n v="9"/>
    <n v="104"/>
    <n v="148"/>
    <m/>
    <m/>
    <m/>
    <m/>
    <m/>
    <m/>
    <m/>
    <m/>
    <m/>
    <m/>
    <m/>
    <m/>
    <m/>
    <m/>
    <m/>
    <s v="no test"/>
    <s v="no test"/>
    <s v="No Test"/>
    <n v="1"/>
    <n v="0"/>
    <n v="0"/>
    <n v="0"/>
    <n v="0"/>
    <n v="0"/>
    <n v="0"/>
    <n v="4.7136460051850106E-2"/>
    <n v="2.9460287532406315E-2"/>
    <n v="4.7136460051850106E-2"/>
    <n v="400"/>
    <n v="0"/>
    <n v="0"/>
    <n v="4.7136460051850106E-2"/>
    <n v="400"/>
    <n v="0.8"/>
    <n v="0.95286353994814987"/>
    <n v="8086"/>
    <n v="16.2"/>
    <n v="17"/>
    <n v="34"/>
    <n v="9.4272920103700211E-2"/>
    <n v="800"/>
    <n v="0"/>
    <n v="0"/>
    <n v="0"/>
    <n v="424"/>
    <n v="390"/>
    <n v="0.90572707989629975"/>
    <n v="0"/>
    <n v="4500"/>
    <n v="520"/>
    <n v="148"/>
    <n v="520"/>
    <n v="4500"/>
    <n v="0.53028517558331367"/>
    <n v="0.46971482441668633"/>
    <n v="0.53028517558331367"/>
    <n v="6.9798657718120799E-2"/>
    <n v="9.9328859060402688E-2"/>
    <n v="7"/>
    <n v="140"/>
    <n v="0"/>
    <n v="700"/>
    <s v="No"/>
    <s v=""/>
    <n v="0"/>
    <n v="0"/>
    <n v="0"/>
    <s v="Yes"/>
    <s v="KMSS-MYT"/>
    <x v="0"/>
    <x v="1"/>
    <x v="1"/>
    <n v="24.688338999999999"/>
    <n v="97.568331999999998"/>
    <s v="MMR001CMP121"/>
    <x v="0"/>
    <m/>
    <n v="1592"/>
    <n v="8220"/>
  </r>
  <r>
    <x v="0"/>
    <x v="1"/>
    <x v="1"/>
    <s v="UNICEF"/>
    <x v="1"/>
    <x v="7"/>
    <x v="1"/>
    <x v="16"/>
    <n v="440"/>
    <n v="2199"/>
    <d v="2020-10-01T00:00:00"/>
    <d v="2022-04-30T00:00:00"/>
    <m/>
    <m/>
    <m/>
    <m/>
    <s v="Yes"/>
    <m/>
    <m/>
    <m/>
    <m/>
    <m/>
    <n v="1"/>
    <m/>
    <m/>
    <m/>
    <m/>
    <m/>
    <m/>
    <m/>
    <m/>
    <m/>
    <m/>
    <m/>
    <m/>
    <m/>
    <m/>
    <m/>
    <n v="20"/>
    <m/>
    <m/>
    <m/>
    <m/>
    <n v="0"/>
    <m/>
    <m/>
    <m/>
    <m/>
    <m/>
    <m/>
    <x v="2"/>
    <x v="2"/>
    <m/>
    <m/>
    <n v="51"/>
    <m/>
    <m/>
    <m/>
    <n v="3"/>
    <m/>
    <m/>
    <n v="2"/>
    <m/>
    <m/>
    <m/>
    <n v="88"/>
    <n v="100"/>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440"/>
    <n v="100"/>
    <n v="440"/>
    <n v="440"/>
    <n v="0.20009095043201455"/>
    <n v="0.79990904956798548"/>
    <n v="0"/>
    <n v="0.2"/>
    <n v="0.22727272727272727"/>
    <n v="3"/>
    <n v="60"/>
    <n v="0"/>
    <n v="300"/>
    <s v="No"/>
    <s v=""/>
    <n v="0"/>
    <n v="0"/>
    <n v="0"/>
    <n v="0"/>
    <n v="0"/>
    <x v="0"/>
    <x v="2"/>
    <x v="1"/>
    <n v="0"/>
    <n v="0"/>
    <n v="0"/>
    <x v="0"/>
    <m/>
    <n v="0"/>
    <n v="0"/>
  </r>
  <r>
    <x v="0"/>
    <x v="3"/>
    <x v="1"/>
    <s v="MHF"/>
    <x v="1"/>
    <x v="7"/>
    <x v="1"/>
    <x v="17"/>
    <n v="311"/>
    <n v="1340"/>
    <d v="2021-08-04T00:00:00"/>
    <d v="2022-08-03T00:00:00"/>
    <n v="543"/>
    <n v="4"/>
    <m/>
    <m/>
    <s v="No"/>
    <n v="2"/>
    <n v="6"/>
    <m/>
    <n v="0"/>
    <n v="0"/>
    <n v="0"/>
    <n v="0"/>
    <n v="0"/>
    <n v="8"/>
    <n v="0"/>
    <n v="0"/>
    <m/>
    <n v="0"/>
    <n v="0"/>
    <n v="0"/>
    <n v="0"/>
    <n v="0"/>
    <n v="6"/>
    <n v="6"/>
    <n v="19"/>
    <n v="0"/>
    <n v="0"/>
    <n v="0"/>
    <m/>
    <m/>
    <n v="0"/>
    <n v="0"/>
    <m/>
    <n v="0"/>
    <m/>
    <m/>
    <m/>
    <n v="0"/>
    <x v="1"/>
    <x v="1"/>
    <n v="0"/>
    <n v="0"/>
    <n v="0"/>
    <n v="0"/>
    <n v="9"/>
    <m/>
    <n v="3"/>
    <m/>
    <m/>
    <n v="2"/>
    <m/>
    <m/>
    <n v="6"/>
    <n v="88"/>
    <n v="100"/>
    <m/>
    <m/>
    <m/>
    <m/>
    <m/>
    <m/>
    <n v="0.8"/>
    <n v="0.46"/>
    <m/>
    <m/>
    <m/>
    <n v="0"/>
    <n v="0"/>
    <m/>
    <m/>
    <n v="1"/>
    <n v="0"/>
    <s v="Tested"/>
    <n v="0"/>
    <n v="0"/>
    <n v="0"/>
    <n v="0"/>
    <n v="0"/>
    <n v="0"/>
    <n v="0"/>
    <n v="0"/>
    <n v="0"/>
    <n v="0"/>
    <n v="0"/>
    <n v="0"/>
    <n v="0"/>
    <n v="0"/>
    <n v="0"/>
    <n v="0"/>
    <n v="1"/>
    <n v="1340"/>
    <n v="3"/>
    <n v="3"/>
    <n v="0"/>
    <n v="6.7164179104477612E-3"/>
    <n v="9"/>
    <n v="0"/>
    <n v="0"/>
    <n v="0"/>
    <n v="67"/>
    <n v="67"/>
    <n v="0.99328358208955225"/>
    <n v="0"/>
    <n v="1340"/>
    <n v="440"/>
    <n v="100"/>
    <n v="440"/>
    <n v="1340"/>
    <n v="1"/>
    <n v="0"/>
    <n v="1"/>
    <n v="1"/>
    <n v="0.32154340836012862"/>
    <n v="3"/>
    <n v="60"/>
    <n v="0"/>
    <n v="300"/>
    <s v="Yes"/>
    <n v="5.9701492537313433E-4"/>
    <n v="0"/>
    <n v="0"/>
    <n v="0"/>
    <n v="0"/>
    <n v="0"/>
    <x v="0"/>
    <x v="1"/>
    <x v="0"/>
    <n v="0"/>
    <n v="0"/>
    <n v="0"/>
    <x v="0"/>
    <m/>
    <n v="0"/>
    <n v="0"/>
  </r>
  <r>
    <x v="0"/>
    <x v="1"/>
    <x v="1"/>
    <s v="UNICEF"/>
    <x v="1"/>
    <x v="8"/>
    <x v="0"/>
    <x v="18"/>
    <n v="43"/>
    <n v="197"/>
    <d v="2020-10-01T00:00:00"/>
    <d v="2022-04-30T00:00:00"/>
    <m/>
    <n v="2"/>
    <m/>
    <m/>
    <s v="Yes"/>
    <m/>
    <m/>
    <n v="0"/>
    <m/>
    <m/>
    <n v="3"/>
    <m/>
    <m/>
    <m/>
    <m/>
    <m/>
    <m/>
    <m/>
    <n v="3"/>
    <m/>
    <m/>
    <n v="3"/>
    <m/>
    <m/>
    <m/>
    <m/>
    <m/>
    <m/>
    <m/>
    <m/>
    <n v="7"/>
    <m/>
    <m/>
    <m/>
    <n v="2"/>
    <n v="51"/>
    <m/>
    <n v="7"/>
    <x v="1"/>
    <x v="1"/>
    <m/>
    <m/>
    <m/>
    <m/>
    <m/>
    <m/>
    <n v="1"/>
    <m/>
    <m/>
    <n v="3"/>
    <m/>
    <n v="1"/>
    <n v="1"/>
    <n v="41"/>
    <n v="85"/>
    <m/>
    <m/>
    <m/>
    <m/>
    <m/>
    <m/>
    <m/>
    <m/>
    <m/>
    <m/>
    <m/>
    <m/>
    <m/>
    <m/>
    <m/>
    <s v="no test"/>
    <s v="no test"/>
    <s v="No Test"/>
    <n v="0"/>
    <n v="3"/>
    <n v="0"/>
    <n v="0"/>
    <n v="0"/>
    <n v="0"/>
    <n v="0"/>
    <n v="1"/>
    <n v="1"/>
    <n v="1"/>
    <n v="197"/>
    <n v="1"/>
    <n v="197"/>
    <n v="1"/>
    <n v="197"/>
    <n v="0.39400000000000002"/>
    <n v="0"/>
    <n v="0"/>
    <n v="0.60599999999999998"/>
    <n v="1"/>
    <n v="7"/>
    <n v="0.71065989847715738"/>
    <n v="140"/>
    <n v="197"/>
    <n v="0"/>
    <n v="0"/>
    <n v="10"/>
    <n v="3"/>
    <n v="0.28934010152284262"/>
    <n v="0"/>
    <n v="197"/>
    <n v="197"/>
    <n v="85"/>
    <n v="197"/>
    <n v="197"/>
    <n v="1"/>
    <n v="0"/>
    <n v="1"/>
    <n v="1"/>
    <n v="1"/>
    <n v="1"/>
    <n v="20"/>
    <n v="0"/>
    <n v="100"/>
    <s v="No"/>
    <s v=""/>
    <n v="0"/>
    <n v="0"/>
    <n v="0"/>
    <s v="Yes"/>
    <s v="KBC-MYT"/>
    <x v="0"/>
    <x v="1"/>
    <x v="0"/>
    <n v="25.3959740909091"/>
    <n v="97.382997575757599"/>
    <s v="MMR001CMP010"/>
    <x v="0"/>
    <m/>
    <n v="44"/>
    <n v="196"/>
  </r>
  <r>
    <x v="0"/>
    <x v="2"/>
    <x v="1"/>
    <s v="UNICEF,MHF"/>
    <x v="1"/>
    <x v="8"/>
    <x v="0"/>
    <x v="19"/>
    <n v="197"/>
    <n v="1124"/>
    <s v="10/1/2020, 8-4-21"/>
    <s v="4/30/2022, 8-3-22"/>
    <m/>
    <n v="3"/>
    <m/>
    <m/>
    <s v="Yes"/>
    <m/>
    <n v="1"/>
    <n v="1"/>
    <n v="0"/>
    <n v="0"/>
    <n v="4"/>
    <n v="0"/>
    <m/>
    <m/>
    <m/>
    <m/>
    <m/>
    <m/>
    <m/>
    <m/>
    <m/>
    <n v="5"/>
    <m/>
    <m/>
    <m/>
    <m/>
    <m/>
    <m/>
    <m/>
    <m/>
    <n v="43"/>
    <m/>
    <m/>
    <m/>
    <n v="30"/>
    <n v="162"/>
    <m/>
    <n v="43"/>
    <x v="1"/>
    <x v="1"/>
    <m/>
    <m/>
    <m/>
    <m/>
    <m/>
    <m/>
    <n v="7"/>
    <m/>
    <m/>
    <n v="7"/>
    <m/>
    <m/>
    <n v="3"/>
    <n v="104"/>
    <n v="148"/>
    <m/>
    <m/>
    <m/>
    <m/>
    <m/>
    <m/>
    <n v="1067.8"/>
    <n v="0.35"/>
    <m/>
    <m/>
    <m/>
    <n v="0"/>
    <n v="0"/>
    <m/>
    <m/>
    <s v="no test"/>
    <s v="no test"/>
    <s v="No Test"/>
    <n v="1"/>
    <n v="4"/>
    <n v="0"/>
    <n v="0"/>
    <n v="0"/>
    <n v="0"/>
    <n v="0"/>
    <n v="1"/>
    <n v="1"/>
    <n v="1"/>
    <n v="1124"/>
    <n v="0"/>
    <n v="0"/>
    <n v="1"/>
    <n v="1124"/>
    <n v="2.2480000000000002"/>
    <n v="0"/>
    <n v="0"/>
    <n v="0"/>
    <n v="2"/>
    <n v="43"/>
    <n v="0.76512455516014233"/>
    <n v="860"/>
    <n v="1124"/>
    <n v="0"/>
    <n v="0"/>
    <n v="56"/>
    <n v="13"/>
    <n v="0.23487544483985767"/>
    <n v="0"/>
    <n v="1124"/>
    <n v="520"/>
    <n v="148"/>
    <n v="520"/>
    <n v="1124"/>
    <n v="1"/>
    <n v="0"/>
    <n v="1"/>
    <n v="1"/>
    <n v="0.75126903553299496"/>
    <n v="7"/>
    <n v="140"/>
    <n v="0"/>
    <n v="700"/>
    <s v="No"/>
    <n v="0.95"/>
    <n v="0"/>
    <n v="0"/>
    <n v="0"/>
    <s v="Yes"/>
    <s v="KBC-MYT"/>
    <x v="0"/>
    <x v="1"/>
    <x v="0"/>
    <n v="25.397850999999999"/>
    <n v="97.370900000000006"/>
    <s v="MMR001CMP018"/>
    <x v="0"/>
    <m/>
    <n v="201"/>
    <n v="1187"/>
  </r>
  <r>
    <x v="0"/>
    <x v="2"/>
    <x v="1"/>
    <s v="UNICEF,MHF"/>
    <x v="1"/>
    <x v="8"/>
    <x v="0"/>
    <x v="20"/>
    <n v="137"/>
    <n v="612"/>
    <s v="10/1/2020, 8-4-21"/>
    <s v="4/30/2022, 8-3-22"/>
    <m/>
    <n v="3"/>
    <m/>
    <m/>
    <s v="Yes"/>
    <m/>
    <n v="5"/>
    <n v="1"/>
    <n v="0"/>
    <n v="0"/>
    <n v="7"/>
    <n v="0"/>
    <m/>
    <m/>
    <m/>
    <m/>
    <m/>
    <m/>
    <m/>
    <m/>
    <m/>
    <n v="6"/>
    <m/>
    <m/>
    <m/>
    <m/>
    <m/>
    <m/>
    <m/>
    <m/>
    <n v="16"/>
    <m/>
    <m/>
    <m/>
    <m/>
    <n v="40"/>
    <m/>
    <n v="16"/>
    <x v="1"/>
    <x v="1"/>
    <m/>
    <m/>
    <m/>
    <m/>
    <m/>
    <m/>
    <n v="7"/>
    <m/>
    <m/>
    <n v="4"/>
    <m/>
    <n v="1"/>
    <n v="2"/>
    <n v="124"/>
    <n v="198"/>
    <m/>
    <m/>
    <m/>
    <m/>
    <m/>
    <m/>
    <m/>
    <m/>
    <m/>
    <m/>
    <m/>
    <n v="0"/>
    <n v="0"/>
    <m/>
    <m/>
    <s v="no test"/>
    <s v="no test"/>
    <s v="No Test"/>
    <n v="1"/>
    <n v="7"/>
    <n v="0"/>
    <n v="0"/>
    <n v="0"/>
    <n v="0"/>
    <n v="0"/>
    <n v="1"/>
    <n v="1"/>
    <n v="1"/>
    <n v="612"/>
    <n v="0"/>
    <n v="0"/>
    <n v="1"/>
    <n v="612"/>
    <n v="1.224"/>
    <n v="0"/>
    <n v="0"/>
    <n v="0"/>
    <n v="1"/>
    <n v="16"/>
    <n v="0.52287581699346408"/>
    <n v="320"/>
    <n v="612"/>
    <n v="0"/>
    <n v="0"/>
    <n v="31"/>
    <n v="15"/>
    <n v="0.47712418300653592"/>
    <n v="0"/>
    <n v="612"/>
    <n v="612"/>
    <n v="198"/>
    <n v="612"/>
    <n v="612"/>
    <n v="1"/>
    <n v="0"/>
    <n v="1"/>
    <n v="1"/>
    <n v="1"/>
    <n v="7"/>
    <n v="137"/>
    <n v="0"/>
    <n v="612"/>
    <s v="No"/>
    <s v=""/>
    <n v="0"/>
    <n v="0"/>
    <n v="0"/>
    <n v="0"/>
    <s v="KBC-MYT"/>
    <x v="0"/>
    <x v="1"/>
    <x v="0"/>
    <n v="25.489669799804702"/>
    <n v="97.458778381347699"/>
    <s v="MMR001CMP265"/>
    <x v="0"/>
    <m/>
    <n v="136"/>
    <n v="658"/>
  </r>
  <r>
    <x v="0"/>
    <x v="2"/>
    <x v="1"/>
    <s v="UNICEF,MHF"/>
    <x v="1"/>
    <x v="8"/>
    <x v="0"/>
    <x v="21"/>
    <n v="137"/>
    <n v="680"/>
    <s v="10/1/2020, 8-4-21"/>
    <s v="4/30/2022, 8-3-22"/>
    <m/>
    <n v="3"/>
    <m/>
    <m/>
    <s v="Yes"/>
    <m/>
    <n v="0"/>
    <m/>
    <n v="0"/>
    <n v="0"/>
    <n v="3"/>
    <n v="0"/>
    <m/>
    <m/>
    <m/>
    <m/>
    <m/>
    <m/>
    <m/>
    <m/>
    <m/>
    <n v="2"/>
    <m/>
    <m/>
    <m/>
    <m/>
    <m/>
    <m/>
    <m/>
    <m/>
    <n v="8"/>
    <m/>
    <m/>
    <m/>
    <m/>
    <n v="99"/>
    <m/>
    <n v="8"/>
    <x v="1"/>
    <x v="3"/>
    <m/>
    <m/>
    <m/>
    <m/>
    <m/>
    <m/>
    <n v="3"/>
    <m/>
    <m/>
    <n v="2"/>
    <m/>
    <m/>
    <n v="3"/>
    <n v="88"/>
    <n v="100"/>
    <m/>
    <m/>
    <m/>
    <m/>
    <m/>
    <m/>
    <n v="680"/>
    <n v="0.88"/>
    <m/>
    <m/>
    <m/>
    <n v="0"/>
    <n v="0"/>
    <m/>
    <m/>
    <s v="no test"/>
    <s v="no test"/>
    <s v="No Test"/>
    <n v="0"/>
    <n v="3"/>
    <n v="0"/>
    <n v="0"/>
    <n v="0"/>
    <n v="0"/>
    <n v="0"/>
    <n v="1"/>
    <n v="1"/>
    <n v="1"/>
    <n v="680"/>
    <n v="0"/>
    <n v="0"/>
    <n v="1"/>
    <n v="680"/>
    <n v="1.36"/>
    <n v="0"/>
    <n v="0"/>
    <n v="0"/>
    <n v="1"/>
    <n v="8"/>
    <n v="0.23529411764705882"/>
    <n v="160"/>
    <n v="680"/>
    <n v="0"/>
    <n v="0"/>
    <n v="34"/>
    <n v="26"/>
    <n v="0.76470588235294112"/>
    <n v="0"/>
    <n v="680"/>
    <n v="440"/>
    <n v="100"/>
    <n v="440"/>
    <n v="680"/>
    <n v="1"/>
    <n v="0"/>
    <n v="1"/>
    <n v="1"/>
    <n v="0.72992700729927007"/>
    <n v="3"/>
    <n v="60"/>
    <n v="0"/>
    <n v="300"/>
    <s v="No"/>
    <n v="1"/>
    <n v="0"/>
    <n v="0"/>
    <n v="0"/>
    <s v="Yes"/>
    <s v="KBC-MYT"/>
    <x v="0"/>
    <x v="1"/>
    <x v="0"/>
    <n v="25.362420757575801"/>
    <n v="97.409035000000003"/>
    <s v="MMR001CMP015"/>
    <x v="0"/>
    <m/>
    <n v="144"/>
    <n v="723"/>
  </r>
  <r>
    <x v="0"/>
    <x v="1"/>
    <x v="1"/>
    <s v="UNICEF"/>
    <x v="1"/>
    <x v="8"/>
    <x v="0"/>
    <x v="22"/>
    <n v="132"/>
    <n v="676"/>
    <d v="2020-10-01T00:00:00"/>
    <d v="2022-04-30T00:00:00"/>
    <m/>
    <n v="3"/>
    <m/>
    <m/>
    <s v="Yes"/>
    <m/>
    <n v="5"/>
    <m/>
    <m/>
    <m/>
    <n v="3"/>
    <m/>
    <m/>
    <m/>
    <m/>
    <m/>
    <m/>
    <m/>
    <m/>
    <m/>
    <m/>
    <n v="2"/>
    <m/>
    <m/>
    <m/>
    <m/>
    <m/>
    <m/>
    <m/>
    <m/>
    <n v="32"/>
    <m/>
    <m/>
    <m/>
    <m/>
    <n v="52"/>
    <m/>
    <n v="32"/>
    <x v="1"/>
    <x v="1"/>
    <m/>
    <m/>
    <m/>
    <m/>
    <m/>
    <m/>
    <n v="3"/>
    <m/>
    <m/>
    <n v="2"/>
    <m/>
    <m/>
    <n v="2"/>
    <n v="10"/>
    <n v="18"/>
    <m/>
    <m/>
    <m/>
    <m/>
    <m/>
    <m/>
    <m/>
    <m/>
    <m/>
    <m/>
    <m/>
    <m/>
    <m/>
    <m/>
    <m/>
    <s v="no test"/>
    <s v="no test"/>
    <s v="No Test"/>
    <n v="0"/>
    <n v="3"/>
    <n v="0"/>
    <n v="0"/>
    <n v="0"/>
    <n v="0"/>
    <n v="0"/>
    <n v="1"/>
    <n v="1"/>
    <n v="1"/>
    <n v="676"/>
    <n v="0"/>
    <n v="0"/>
    <n v="1"/>
    <n v="676"/>
    <n v="1.3520000000000001"/>
    <n v="0"/>
    <n v="0"/>
    <n v="0"/>
    <n v="1"/>
    <n v="32"/>
    <n v="0.94674556213017746"/>
    <n v="640"/>
    <n v="676"/>
    <n v="0"/>
    <n v="0"/>
    <n v="34"/>
    <n v="2"/>
    <n v="5.3254437869822535E-2"/>
    <n v="0"/>
    <n v="676"/>
    <n v="50"/>
    <n v="18"/>
    <n v="50"/>
    <n v="676"/>
    <n v="1"/>
    <n v="0"/>
    <n v="1"/>
    <n v="0.30303030303030304"/>
    <n v="0.13636363636363635"/>
    <n v="3"/>
    <n v="60"/>
    <n v="0"/>
    <n v="300"/>
    <s v="No"/>
    <s v=""/>
    <n v="0"/>
    <n v="0"/>
    <n v="0"/>
    <s v="Yes"/>
    <s v="KBC-MYT"/>
    <x v="0"/>
    <x v="1"/>
    <x v="0"/>
    <n v="25.3510167948718"/>
    <n v="97.403402307692303"/>
    <s v="MMR001CMP014"/>
    <x v="0"/>
    <m/>
    <n v="136"/>
    <n v="697"/>
  </r>
  <r>
    <x v="0"/>
    <x v="1"/>
    <x v="1"/>
    <s v="UNICEF"/>
    <x v="1"/>
    <x v="8"/>
    <x v="0"/>
    <x v="23"/>
    <n v="61"/>
    <n v="290"/>
    <d v="2020-10-01T00:00:00"/>
    <d v="2022-04-30T00:00:00"/>
    <m/>
    <n v="2"/>
    <m/>
    <m/>
    <s v="Yes"/>
    <m/>
    <n v="4"/>
    <n v="1"/>
    <m/>
    <m/>
    <n v="7"/>
    <m/>
    <m/>
    <m/>
    <m/>
    <m/>
    <m/>
    <m/>
    <m/>
    <m/>
    <m/>
    <n v="2"/>
    <m/>
    <m/>
    <m/>
    <m/>
    <m/>
    <m/>
    <m/>
    <m/>
    <n v="7"/>
    <m/>
    <m/>
    <m/>
    <n v="9"/>
    <n v="74"/>
    <m/>
    <n v="7"/>
    <x v="1"/>
    <x v="3"/>
    <m/>
    <m/>
    <m/>
    <m/>
    <m/>
    <m/>
    <n v="3"/>
    <m/>
    <m/>
    <n v="2"/>
    <m/>
    <m/>
    <n v="2"/>
    <n v="88"/>
    <n v="100"/>
    <m/>
    <m/>
    <m/>
    <m/>
    <m/>
    <m/>
    <m/>
    <m/>
    <m/>
    <m/>
    <m/>
    <m/>
    <m/>
    <m/>
    <m/>
    <s v="no test"/>
    <s v="no test"/>
    <s v="No Test"/>
    <n v="1"/>
    <n v="7"/>
    <n v="0"/>
    <n v="0"/>
    <n v="0"/>
    <n v="0"/>
    <n v="0"/>
    <n v="1"/>
    <n v="1"/>
    <n v="1"/>
    <n v="290"/>
    <n v="0"/>
    <n v="0"/>
    <n v="1"/>
    <n v="290"/>
    <n v="0.57999999999999996"/>
    <n v="0"/>
    <n v="0"/>
    <n v="0.42000000000000004"/>
    <n v="1"/>
    <n v="7"/>
    <n v="0.48275862068965519"/>
    <n v="140"/>
    <n v="290"/>
    <n v="0"/>
    <n v="0"/>
    <n v="15"/>
    <n v="8"/>
    <n v="0.51724137931034475"/>
    <n v="0"/>
    <n v="290"/>
    <n v="290"/>
    <n v="100"/>
    <n v="290"/>
    <n v="290"/>
    <n v="1"/>
    <n v="0"/>
    <n v="1"/>
    <n v="1"/>
    <n v="1"/>
    <n v="3"/>
    <n v="60"/>
    <n v="0"/>
    <n v="290"/>
    <s v="No"/>
    <s v=""/>
    <n v="0"/>
    <n v="0"/>
    <n v="0"/>
    <s v="Yes"/>
    <s v="KBC-MYT"/>
    <x v="0"/>
    <x v="1"/>
    <x v="0"/>
    <n v="25.360463124999999"/>
    <n v="97.4113064583333"/>
    <s v="MMR001CMP016"/>
    <x v="0"/>
    <m/>
    <n v="59"/>
    <n v="327"/>
  </r>
  <r>
    <x v="0"/>
    <x v="1"/>
    <x v="1"/>
    <s v="UNICEF"/>
    <x v="1"/>
    <x v="8"/>
    <x v="0"/>
    <x v="24"/>
    <n v="101"/>
    <n v="547"/>
    <d v="2020-10-01T00:00:00"/>
    <d v="2022-04-30T00:00:00"/>
    <m/>
    <n v="2"/>
    <m/>
    <m/>
    <s v="Yes"/>
    <m/>
    <n v="5"/>
    <m/>
    <m/>
    <m/>
    <n v="3"/>
    <m/>
    <m/>
    <m/>
    <m/>
    <m/>
    <m/>
    <m/>
    <m/>
    <m/>
    <m/>
    <n v="3"/>
    <m/>
    <m/>
    <m/>
    <m/>
    <m/>
    <m/>
    <m/>
    <m/>
    <n v="34"/>
    <m/>
    <m/>
    <m/>
    <n v="5"/>
    <n v="14"/>
    <m/>
    <n v="34"/>
    <x v="1"/>
    <x v="3"/>
    <m/>
    <m/>
    <m/>
    <m/>
    <m/>
    <m/>
    <n v="3"/>
    <m/>
    <m/>
    <n v="2"/>
    <m/>
    <m/>
    <n v="2"/>
    <n v="10"/>
    <n v="18"/>
    <m/>
    <m/>
    <m/>
    <m/>
    <m/>
    <m/>
    <m/>
    <m/>
    <m/>
    <m/>
    <m/>
    <m/>
    <m/>
    <m/>
    <m/>
    <s v="no test"/>
    <s v="no test"/>
    <s v="No Test"/>
    <n v="0"/>
    <n v="3"/>
    <n v="0"/>
    <n v="0"/>
    <n v="0"/>
    <n v="0"/>
    <n v="0"/>
    <n v="1"/>
    <n v="1"/>
    <n v="1"/>
    <n v="547"/>
    <n v="0"/>
    <n v="0"/>
    <n v="1"/>
    <n v="547"/>
    <n v="1.0940000000000001"/>
    <n v="0"/>
    <n v="0"/>
    <n v="0"/>
    <n v="1"/>
    <n v="34"/>
    <n v="1"/>
    <n v="547"/>
    <n v="280"/>
    <n v="0"/>
    <n v="0"/>
    <n v="27"/>
    <n v="0"/>
    <n v="0"/>
    <n v="0"/>
    <n v="547"/>
    <n v="50"/>
    <n v="18"/>
    <n v="50"/>
    <n v="547"/>
    <n v="1"/>
    <n v="0"/>
    <n v="1"/>
    <n v="0.39603960396039606"/>
    <n v="0.17821782178217821"/>
    <n v="3"/>
    <n v="60"/>
    <n v="0"/>
    <n v="300"/>
    <s v="No"/>
    <s v=""/>
    <n v="0"/>
    <n v="0"/>
    <n v="0"/>
    <s v="Yes"/>
    <s v="KBC-MYT"/>
    <x v="0"/>
    <x v="1"/>
    <x v="0"/>
    <n v="25.428910999999999"/>
    <n v="97.418694000000002"/>
    <s v="MMR001CMP008"/>
    <x v="0"/>
    <m/>
    <n v="108"/>
    <n v="622"/>
  </r>
  <r>
    <x v="0"/>
    <x v="2"/>
    <x v="1"/>
    <s v="UNICEF,MHF"/>
    <x v="1"/>
    <x v="8"/>
    <x v="0"/>
    <x v="25"/>
    <n v="68"/>
    <n v="299"/>
    <s v="10/1/2020, 8-4-21"/>
    <s v="4/30/2022, 8-3-22"/>
    <m/>
    <n v="2"/>
    <m/>
    <m/>
    <s v="No"/>
    <m/>
    <n v="4"/>
    <n v="1"/>
    <m/>
    <m/>
    <n v="2"/>
    <m/>
    <m/>
    <m/>
    <m/>
    <m/>
    <m/>
    <m/>
    <m/>
    <m/>
    <m/>
    <n v="3"/>
    <m/>
    <m/>
    <m/>
    <m/>
    <m/>
    <m/>
    <m/>
    <m/>
    <n v="15"/>
    <m/>
    <m/>
    <m/>
    <m/>
    <m/>
    <m/>
    <n v="15"/>
    <x v="1"/>
    <x v="1"/>
    <m/>
    <m/>
    <m/>
    <m/>
    <m/>
    <m/>
    <n v="1"/>
    <m/>
    <m/>
    <n v="1"/>
    <m/>
    <m/>
    <n v="2"/>
    <n v="6"/>
    <n v="5"/>
    <m/>
    <m/>
    <m/>
    <m/>
    <m/>
    <m/>
    <n v="299"/>
    <n v="0.75"/>
    <m/>
    <m/>
    <m/>
    <n v="0"/>
    <n v="0"/>
    <m/>
    <m/>
    <s v="no test"/>
    <s v="no test"/>
    <s v="No Test"/>
    <n v="1"/>
    <n v="2"/>
    <n v="0"/>
    <n v="0"/>
    <n v="0"/>
    <n v="0"/>
    <n v="0"/>
    <n v="1"/>
    <n v="1"/>
    <n v="1"/>
    <n v="299"/>
    <n v="0"/>
    <n v="0"/>
    <n v="1"/>
    <n v="299"/>
    <n v="0.59799999999999998"/>
    <n v="0"/>
    <n v="0"/>
    <n v="0.40200000000000002"/>
    <n v="1"/>
    <n v="15"/>
    <n v="1"/>
    <n v="299"/>
    <n v="0"/>
    <n v="0"/>
    <n v="0"/>
    <n v="15"/>
    <n v="0"/>
    <n v="0"/>
    <n v="0"/>
    <n v="299"/>
    <n v="30"/>
    <n v="5"/>
    <n v="30"/>
    <n v="299"/>
    <n v="1"/>
    <n v="0"/>
    <n v="1"/>
    <n v="0.35294117647058826"/>
    <n v="7.3529411764705885E-2"/>
    <n v="1"/>
    <n v="20"/>
    <n v="0"/>
    <n v="100"/>
    <s v="No"/>
    <n v="1"/>
    <n v="0"/>
    <n v="0"/>
    <n v="0"/>
    <s v="Yes"/>
    <s v="KBC-MYT"/>
    <x v="0"/>
    <x v="1"/>
    <x v="0"/>
    <n v="25.422194000000001"/>
    <n v="97.394547000000003"/>
    <s v="MMR001CMP002"/>
    <x v="0"/>
    <m/>
    <n v="72"/>
    <n v="323"/>
  </r>
  <r>
    <x v="0"/>
    <x v="2"/>
    <x v="1"/>
    <s v="UNICEF,MHF"/>
    <x v="1"/>
    <x v="8"/>
    <x v="0"/>
    <x v="26"/>
    <n v="117"/>
    <n v="583"/>
    <s v="10/1/2020, 8-4-21"/>
    <s v="4/30/2022, 8-3-22"/>
    <m/>
    <n v="2"/>
    <m/>
    <m/>
    <s v="No"/>
    <m/>
    <n v="4"/>
    <n v="1"/>
    <m/>
    <m/>
    <n v="1"/>
    <m/>
    <m/>
    <m/>
    <m/>
    <m/>
    <m/>
    <m/>
    <m/>
    <m/>
    <m/>
    <n v="2"/>
    <m/>
    <m/>
    <m/>
    <m/>
    <m/>
    <m/>
    <m/>
    <m/>
    <n v="13"/>
    <m/>
    <m/>
    <m/>
    <m/>
    <m/>
    <m/>
    <n v="13"/>
    <x v="1"/>
    <x v="1"/>
    <m/>
    <m/>
    <m/>
    <m/>
    <m/>
    <m/>
    <n v="7"/>
    <m/>
    <m/>
    <n v="4"/>
    <m/>
    <n v="1"/>
    <n v="2"/>
    <n v="124"/>
    <n v="198"/>
    <m/>
    <m/>
    <m/>
    <m/>
    <m/>
    <m/>
    <n v="571.34"/>
    <n v="0.48"/>
    <m/>
    <m/>
    <m/>
    <n v="0"/>
    <n v="0"/>
    <m/>
    <m/>
    <s v="no test"/>
    <s v="no test"/>
    <s v="No Test"/>
    <n v="1"/>
    <n v="1"/>
    <n v="0"/>
    <n v="0"/>
    <n v="0"/>
    <n v="0"/>
    <n v="0"/>
    <n v="1"/>
    <n v="0.85763293310463118"/>
    <n v="1"/>
    <n v="583"/>
    <n v="0"/>
    <n v="0"/>
    <n v="1"/>
    <n v="583"/>
    <n v="1.1659999999999999"/>
    <n v="0"/>
    <n v="0"/>
    <n v="0"/>
    <n v="1"/>
    <n v="13"/>
    <n v="0.44596912521440824"/>
    <n v="260"/>
    <n v="0"/>
    <n v="0"/>
    <n v="0"/>
    <n v="29"/>
    <n v="16"/>
    <n v="0.55403087478559176"/>
    <n v="0"/>
    <n v="583"/>
    <n v="583"/>
    <n v="198"/>
    <n v="583"/>
    <n v="583"/>
    <n v="1"/>
    <n v="0"/>
    <n v="1"/>
    <n v="1"/>
    <n v="1"/>
    <n v="7"/>
    <n v="117"/>
    <n v="0"/>
    <n v="583"/>
    <s v="No"/>
    <n v="0.98000000000000009"/>
    <n v="0"/>
    <n v="0"/>
    <n v="0"/>
    <s v="Yes"/>
    <s v="KBC-MYT"/>
    <x v="0"/>
    <x v="1"/>
    <x v="0"/>
    <n v="25.412313000000001"/>
    <n v="97.399628000000007"/>
    <s v="MMR001CMP006"/>
    <x v="0"/>
    <m/>
    <n v="110"/>
    <n v="562"/>
  </r>
  <r>
    <x v="0"/>
    <x v="1"/>
    <x v="1"/>
    <s v="UNICEF"/>
    <x v="1"/>
    <x v="8"/>
    <x v="0"/>
    <x v="27"/>
    <n v="93"/>
    <n v="499"/>
    <d v="2020-10-01T00:00:00"/>
    <d v="2022-04-30T00:00:00"/>
    <m/>
    <n v="2"/>
    <m/>
    <m/>
    <s v="Yes"/>
    <m/>
    <n v="5"/>
    <n v="2"/>
    <m/>
    <m/>
    <n v="2"/>
    <m/>
    <m/>
    <m/>
    <m/>
    <m/>
    <m/>
    <m/>
    <m/>
    <m/>
    <m/>
    <n v="2"/>
    <m/>
    <m/>
    <m/>
    <m/>
    <m/>
    <m/>
    <m/>
    <m/>
    <n v="17"/>
    <m/>
    <m/>
    <m/>
    <m/>
    <m/>
    <m/>
    <n v="17"/>
    <x v="1"/>
    <x v="1"/>
    <m/>
    <m/>
    <m/>
    <m/>
    <m/>
    <m/>
    <n v="3"/>
    <m/>
    <m/>
    <n v="2"/>
    <m/>
    <m/>
    <n v="2"/>
    <n v="88"/>
    <n v="100"/>
    <m/>
    <m/>
    <m/>
    <m/>
    <m/>
    <m/>
    <m/>
    <m/>
    <m/>
    <m/>
    <m/>
    <m/>
    <m/>
    <m/>
    <m/>
    <s v="no test"/>
    <s v="no test"/>
    <s v="No Test"/>
    <n v="2"/>
    <n v="2"/>
    <n v="0"/>
    <n v="0"/>
    <n v="0"/>
    <n v="0"/>
    <n v="0"/>
    <n v="1"/>
    <n v="1"/>
    <n v="1"/>
    <n v="499"/>
    <n v="0"/>
    <n v="0"/>
    <n v="1"/>
    <n v="499"/>
    <n v="0.998"/>
    <n v="0"/>
    <n v="0"/>
    <n v="2.0000000000000018E-3"/>
    <n v="1"/>
    <n v="17"/>
    <n v="0.68136272545090182"/>
    <n v="340"/>
    <n v="0"/>
    <n v="0"/>
    <n v="0"/>
    <n v="25"/>
    <n v="8"/>
    <n v="0.31863727454909818"/>
    <n v="0"/>
    <n v="499"/>
    <n v="440"/>
    <n v="100"/>
    <n v="440"/>
    <n v="499"/>
    <n v="1"/>
    <n v="0"/>
    <n v="1"/>
    <n v="1"/>
    <n v="1"/>
    <n v="3"/>
    <n v="60"/>
    <n v="0"/>
    <n v="300"/>
    <s v="No"/>
    <s v=""/>
    <n v="0"/>
    <n v="0"/>
    <n v="0"/>
    <s v="Yes"/>
    <s v="KBC-MYT"/>
    <x v="0"/>
    <x v="1"/>
    <x v="0"/>
    <n v="25.440928"/>
    <n v="97.419403000000003"/>
    <s v="MMR001CMP009"/>
    <x v="0"/>
    <m/>
    <n v="104"/>
    <n v="633"/>
  </r>
  <r>
    <x v="0"/>
    <x v="1"/>
    <x v="1"/>
    <s v="UNICEF"/>
    <x v="1"/>
    <x v="8"/>
    <x v="0"/>
    <x v="28"/>
    <n v="69"/>
    <n v="351"/>
    <d v="2020-10-01T00:00:00"/>
    <d v="2022-04-30T00:00:00"/>
    <m/>
    <n v="2"/>
    <m/>
    <m/>
    <s v="Yes"/>
    <m/>
    <n v="4"/>
    <m/>
    <m/>
    <m/>
    <n v="2"/>
    <m/>
    <m/>
    <m/>
    <m/>
    <m/>
    <m/>
    <m/>
    <m/>
    <m/>
    <m/>
    <n v="2"/>
    <m/>
    <m/>
    <m/>
    <m/>
    <m/>
    <m/>
    <m/>
    <m/>
    <n v="11"/>
    <m/>
    <m/>
    <m/>
    <m/>
    <m/>
    <m/>
    <n v="11"/>
    <x v="1"/>
    <x v="1"/>
    <m/>
    <m/>
    <m/>
    <m/>
    <m/>
    <m/>
    <n v="3"/>
    <m/>
    <m/>
    <n v="2"/>
    <m/>
    <n v="1"/>
    <n v="1"/>
    <n v="10"/>
    <n v="18"/>
    <m/>
    <m/>
    <m/>
    <m/>
    <m/>
    <m/>
    <m/>
    <m/>
    <m/>
    <m/>
    <m/>
    <m/>
    <m/>
    <m/>
    <m/>
    <s v="no test"/>
    <s v="no test"/>
    <s v="No Test"/>
    <n v="0"/>
    <n v="2"/>
    <n v="0"/>
    <n v="0"/>
    <n v="0"/>
    <n v="0"/>
    <n v="0"/>
    <n v="1"/>
    <n v="1"/>
    <n v="1"/>
    <n v="351"/>
    <n v="0"/>
    <n v="0"/>
    <n v="1"/>
    <n v="351"/>
    <n v="0.70199999999999996"/>
    <n v="0"/>
    <n v="0"/>
    <n v="0.29800000000000004"/>
    <n v="1"/>
    <n v="11"/>
    <n v="0.62678062678062674"/>
    <n v="220"/>
    <n v="0"/>
    <n v="0"/>
    <n v="0"/>
    <n v="18"/>
    <n v="7"/>
    <n v="0.37321937321937326"/>
    <n v="0"/>
    <n v="351"/>
    <n v="50"/>
    <n v="18"/>
    <n v="50"/>
    <n v="351"/>
    <n v="1"/>
    <n v="0"/>
    <n v="1"/>
    <n v="0.57971014492753625"/>
    <n v="0.2608695652173913"/>
    <n v="3"/>
    <n v="60"/>
    <n v="0"/>
    <n v="300"/>
    <s v="No"/>
    <s v=""/>
    <n v="0"/>
    <n v="0"/>
    <n v="0"/>
    <s v="Yes"/>
    <s v="KBC-MYT"/>
    <x v="0"/>
    <x v="1"/>
    <x v="0"/>
    <n v="25.415482000000001"/>
    <n v="97.386718999999999"/>
    <s v="MMR001CMP001"/>
    <x v="0"/>
    <m/>
    <n v="98"/>
    <n v="540"/>
  </r>
  <r>
    <x v="0"/>
    <x v="1"/>
    <x v="1"/>
    <s v="UNICEF"/>
    <x v="1"/>
    <x v="8"/>
    <x v="0"/>
    <x v="29"/>
    <n v="30"/>
    <n v="165"/>
    <d v="2020-10-01T00:00:00"/>
    <d v="2022-04-30T00:00:00"/>
    <m/>
    <n v="1"/>
    <m/>
    <m/>
    <s v="Yes"/>
    <m/>
    <n v="5"/>
    <m/>
    <m/>
    <m/>
    <n v="2"/>
    <m/>
    <m/>
    <m/>
    <m/>
    <m/>
    <m/>
    <m/>
    <m/>
    <m/>
    <m/>
    <n v="3"/>
    <m/>
    <m/>
    <m/>
    <m/>
    <m/>
    <m/>
    <m/>
    <m/>
    <n v="5"/>
    <m/>
    <m/>
    <m/>
    <m/>
    <m/>
    <m/>
    <n v="5"/>
    <x v="1"/>
    <x v="1"/>
    <m/>
    <m/>
    <m/>
    <m/>
    <m/>
    <m/>
    <n v="1"/>
    <m/>
    <m/>
    <n v="3"/>
    <m/>
    <m/>
    <n v="1"/>
    <n v="41"/>
    <n v="85"/>
    <m/>
    <m/>
    <m/>
    <m/>
    <m/>
    <m/>
    <m/>
    <m/>
    <m/>
    <m/>
    <m/>
    <m/>
    <m/>
    <m/>
    <m/>
    <s v="no test"/>
    <s v="no test"/>
    <s v="No Test"/>
    <n v="0"/>
    <n v="2"/>
    <n v="0"/>
    <n v="0"/>
    <n v="0"/>
    <n v="0"/>
    <n v="0"/>
    <n v="1"/>
    <n v="1"/>
    <n v="1"/>
    <n v="165"/>
    <n v="0"/>
    <n v="0"/>
    <n v="1"/>
    <n v="165"/>
    <n v="0.33"/>
    <n v="0"/>
    <n v="0"/>
    <n v="0.66999999999999993"/>
    <n v="1"/>
    <n v="5"/>
    <n v="0.60606060606060608"/>
    <n v="100"/>
    <n v="0"/>
    <n v="0"/>
    <n v="0"/>
    <n v="8"/>
    <n v="3"/>
    <n v="0.39393939393939392"/>
    <n v="0"/>
    <n v="165"/>
    <n v="165"/>
    <n v="85"/>
    <n v="165"/>
    <n v="165"/>
    <n v="1"/>
    <n v="0"/>
    <n v="1"/>
    <n v="1"/>
    <n v="1"/>
    <n v="1"/>
    <n v="20"/>
    <n v="0"/>
    <n v="100"/>
    <s v="No"/>
    <s v=""/>
    <n v="0"/>
    <n v="0"/>
    <n v="0"/>
    <s v="Yes"/>
    <s v="KBC-MYT"/>
    <x v="0"/>
    <x v="1"/>
    <x v="0"/>
    <n v="25.404752999999999"/>
    <n v="97.377662999999998"/>
    <s v="MMR001CMP003"/>
    <x v="0"/>
    <m/>
    <n v="35"/>
    <n v="189"/>
  </r>
  <r>
    <x v="0"/>
    <x v="1"/>
    <x v="1"/>
    <s v="UNICEF"/>
    <x v="1"/>
    <x v="8"/>
    <x v="0"/>
    <x v="30"/>
    <n v="43"/>
    <n v="219"/>
    <d v="2020-10-01T00:00:00"/>
    <d v="2022-04-30T00:00:00"/>
    <m/>
    <n v="1"/>
    <m/>
    <m/>
    <s v="Yes"/>
    <m/>
    <n v="4"/>
    <m/>
    <m/>
    <m/>
    <n v="2"/>
    <m/>
    <m/>
    <m/>
    <m/>
    <m/>
    <m/>
    <m/>
    <m/>
    <m/>
    <m/>
    <n v="3"/>
    <m/>
    <m/>
    <m/>
    <m/>
    <m/>
    <m/>
    <m/>
    <m/>
    <n v="13"/>
    <m/>
    <m/>
    <m/>
    <m/>
    <m/>
    <m/>
    <n v="13"/>
    <x v="1"/>
    <x v="1"/>
    <m/>
    <m/>
    <m/>
    <m/>
    <m/>
    <m/>
    <n v="1"/>
    <m/>
    <m/>
    <n v="1"/>
    <m/>
    <m/>
    <n v="1"/>
    <n v="6"/>
    <n v="5"/>
    <m/>
    <m/>
    <m/>
    <m/>
    <m/>
    <m/>
    <m/>
    <m/>
    <m/>
    <m/>
    <m/>
    <m/>
    <m/>
    <m/>
    <m/>
    <s v="no test"/>
    <s v="no test"/>
    <s v="No Test"/>
    <n v="0"/>
    <n v="2"/>
    <n v="0"/>
    <n v="0"/>
    <n v="0"/>
    <n v="0"/>
    <n v="0"/>
    <n v="1"/>
    <n v="1"/>
    <n v="1"/>
    <n v="219"/>
    <n v="0"/>
    <n v="0"/>
    <n v="1"/>
    <n v="219"/>
    <n v="0.438"/>
    <n v="0"/>
    <n v="0"/>
    <n v="0.56200000000000006"/>
    <n v="1"/>
    <n v="13"/>
    <n v="1"/>
    <n v="219"/>
    <n v="0"/>
    <n v="0"/>
    <n v="0"/>
    <n v="11"/>
    <n v="0"/>
    <n v="0"/>
    <n v="0"/>
    <n v="219"/>
    <n v="30"/>
    <n v="5"/>
    <n v="30"/>
    <n v="219"/>
    <n v="1"/>
    <n v="0"/>
    <n v="1"/>
    <n v="0.55813953488372092"/>
    <n v="0.11627906976744186"/>
    <n v="1"/>
    <n v="20"/>
    <n v="0"/>
    <n v="100"/>
    <s v="No"/>
    <s v=""/>
    <n v="0"/>
    <n v="0"/>
    <n v="0"/>
    <s v="Yes"/>
    <s v="KBC-MYT"/>
    <x v="0"/>
    <x v="1"/>
    <x v="0"/>
    <n v="25.437125999999999"/>
    <n v="97.387276"/>
    <s v="MMR001CMP005"/>
    <x v="0"/>
    <m/>
    <n v="47"/>
    <n v="239"/>
  </r>
  <r>
    <x v="0"/>
    <x v="2"/>
    <x v="1"/>
    <s v="UNICEF,MHF"/>
    <x v="1"/>
    <x v="8"/>
    <x v="0"/>
    <x v="31"/>
    <n v="168"/>
    <n v="866"/>
    <s v="10/1/2020, 8-4-21"/>
    <s v="4/30/2022, 8-3-22"/>
    <m/>
    <n v="3"/>
    <m/>
    <m/>
    <s v="No"/>
    <m/>
    <n v="3"/>
    <n v="1"/>
    <m/>
    <m/>
    <n v="1"/>
    <m/>
    <m/>
    <m/>
    <m/>
    <m/>
    <m/>
    <m/>
    <m/>
    <m/>
    <m/>
    <n v="4"/>
    <m/>
    <m/>
    <m/>
    <m/>
    <m/>
    <m/>
    <m/>
    <m/>
    <n v="28"/>
    <m/>
    <m/>
    <m/>
    <m/>
    <m/>
    <m/>
    <n v="10"/>
    <x v="1"/>
    <x v="1"/>
    <m/>
    <m/>
    <m/>
    <m/>
    <m/>
    <m/>
    <n v="3"/>
    <m/>
    <m/>
    <n v="2"/>
    <m/>
    <n v="1"/>
    <n v="2"/>
    <n v="88"/>
    <n v="100"/>
    <m/>
    <m/>
    <m/>
    <m/>
    <m/>
    <m/>
    <n v="675.48"/>
    <n v="0.52"/>
    <m/>
    <m/>
    <m/>
    <n v="0"/>
    <n v="0"/>
    <m/>
    <m/>
    <s v="no test"/>
    <s v="no test"/>
    <s v="No Test"/>
    <n v="1"/>
    <n v="1"/>
    <n v="0"/>
    <n v="0"/>
    <n v="0"/>
    <n v="0"/>
    <n v="0"/>
    <n v="1"/>
    <n v="0.57736720554272514"/>
    <n v="1"/>
    <n v="866"/>
    <n v="0"/>
    <n v="0"/>
    <n v="1"/>
    <n v="866"/>
    <n v="1.732"/>
    <n v="0"/>
    <n v="0"/>
    <n v="0.26800000000000002"/>
    <n v="2"/>
    <n v="28"/>
    <n v="0.64665127020785218"/>
    <n v="560"/>
    <n v="0"/>
    <n v="0"/>
    <n v="0"/>
    <n v="43"/>
    <n v="15"/>
    <n v="0.35334872979214782"/>
    <n v="0"/>
    <n v="866"/>
    <n v="440"/>
    <n v="100"/>
    <n v="440"/>
    <n v="866"/>
    <n v="1"/>
    <n v="0"/>
    <n v="1"/>
    <n v="1"/>
    <n v="0.59523809523809523"/>
    <n v="3"/>
    <n v="60"/>
    <n v="0"/>
    <n v="300"/>
    <s v="No"/>
    <n v="0.78"/>
    <n v="0"/>
    <n v="0"/>
    <n v="0"/>
    <s v="Yes"/>
    <s v="KBC-MYT"/>
    <x v="0"/>
    <x v="1"/>
    <x v="0"/>
    <n v="25.480989999999998"/>
    <n v="97.431079999999994"/>
    <s v="MMR001CMP263"/>
    <x v="0"/>
    <m/>
    <n v="197"/>
    <n v="981"/>
  </r>
  <r>
    <x v="0"/>
    <x v="1"/>
    <x v="1"/>
    <s v="UNICEF"/>
    <x v="1"/>
    <x v="9"/>
    <x v="0"/>
    <x v="32"/>
    <n v="60"/>
    <n v="289"/>
    <d v="2020-10-01T00:00:00"/>
    <d v="2022-04-30T00:00:00"/>
    <m/>
    <n v="2"/>
    <m/>
    <m/>
    <s v="Yes"/>
    <m/>
    <m/>
    <n v="1"/>
    <m/>
    <m/>
    <m/>
    <m/>
    <m/>
    <m/>
    <m/>
    <m/>
    <m/>
    <m/>
    <n v="1"/>
    <m/>
    <m/>
    <n v="1"/>
    <m/>
    <m/>
    <m/>
    <m/>
    <m/>
    <m/>
    <m/>
    <m/>
    <n v="12"/>
    <m/>
    <m/>
    <m/>
    <m/>
    <m/>
    <m/>
    <n v="12"/>
    <x v="1"/>
    <x v="1"/>
    <m/>
    <m/>
    <m/>
    <m/>
    <m/>
    <m/>
    <n v="1"/>
    <m/>
    <m/>
    <n v="3"/>
    <m/>
    <n v="1"/>
    <n v="1"/>
    <n v="41"/>
    <n v="85"/>
    <m/>
    <m/>
    <m/>
    <m/>
    <m/>
    <m/>
    <m/>
    <m/>
    <m/>
    <m/>
    <m/>
    <m/>
    <m/>
    <m/>
    <m/>
    <s v="no test"/>
    <s v="no test"/>
    <s v="No Test"/>
    <n v="1"/>
    <n v="0"/>
    <n v="0"/>
    <n v="0"/>
    <n v="0"/>
    <n v="0"/>
    <n v="0"/>
    <n v="1"/>
    <n v="0.86505190311418689"/>
    <n v="1"/>
    <n v="289"/>
    <n v="0.86505190311418689"/>
    <n v="250"/>
    <n v="1"/>
    <n v="289"/>
    <n v="0.57799999999999996"/>
    <n v="0"/>
    <n v="0"/>
    <n v="0.42200000000000004"/>
    <n v="1"/>
    <n v="12"/>
    <n v="0.83044982698961933"/>
    <n v="240"/>
    <n v="0"/>
    <n v="0"/>
    <n v="0"/>
    <n v="14"/>
    <n v="2"/>
    <n v="0.16955017301038067"/>
    <n v="0"/>
    <n v="289"/>
    <n v="205"/>
    <n v="85"/>
    <n v="205"/>
    <n v="289"/>
    <n v="1"/>
    <n v="0"/>
    <n v="1"/>
    <n v="1"/>
    <n v="1"/>
    <n v="1"/>
    <n v="20"/>
    <n v="0"/>
    <n v="100"/>
    <s v="No"/>
    <s v=""/>
    <n v="0"/>
    <n v="0"/>
    <n v="0"/>
    <s v="Yes"/>
    <s v="KBC-MYT"/>
    <x v="0"/>
    <x v="3"/>
    <x v="0"/>
    <n v="27.337499999999999"/>
    <n v="97.416121000000004"/>
    <s v="MMR001CMP234"/>
    <x v="0"/>
    <m/>
    <n v="0"/>
    <n v="0"/>
  </r>
  <r>
    <x v="0"/>
    <x v="4"/>
    <x v="1"/>
    <s v="UNICEF,MHG"/>
    <x v="1"/>
    <x v="10"/>
    <x v="0"/>
    <x v="33"/>
    <n v="386"/>
    <n v="1397"/>
    <s v="10/1/2020,8-4-2021"/>
    <s v="4/30/2022,8-3-2022"/>
    <m/>
    <m/>
    <m/>
    <m/>
    <m/>
    <n v="19"/>
    <n v="55"/>
    <n v="13"/>
    <m/>
    <m/>
    <n v="1"/>
    <m/>
    <m/>
    <m/>
    <m/>
    <m/>
    <m/>
    <m/>
    <m/>
    <m/>
    <n v="7"/>
    <m/>
    <m/>
    <m/>
    <m/>
    <m/>
    <m/>
    <m/>
    <m/>
    <m/>
    <n v="5"/>
    <m/>
    <m/>
    <m/>
    <m/>
    <m/>
    <m/>
    <m/>
    <x v="1"/>
    <x v="2"/>
    <m/>
    <m/>
    <n v="50"/>
    <m/>
    <m/>
    <m/>
    <n v="1"/>
    <m/>
    <m/>
    <n v="3"/>
    <m/>
    <m/>
    <m/>
    <n v="41"/>
    <n v="85"/>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205"/>
    <n v="85"/>
    <n v="205"/>
    <n v="205"/>
    <n v="0.1467430207587688"/>
    <n v="0.85325697924123123"/>
    <n v="0"/>
    <n v="0.10621761658031088"/>
    <n v="0.22020725388601037"/>
    <n v="1"/>
    <n v="20"/>
    <n v="0"/>
    <n v="100"/>
    <s v="No"/>
    <s v=""/>
    <n v="0"/>
    <n v="0"/>
    <n v="0"/>
    <n v="0"/>
    <s v="uncovered"/>
    <x v="0"/>
    <x v="0"/>
    <x v="1"/>
    <n v="24.590350000000001"/>
    <n v="96.95626"/>
    <s v="MMR001CMP273"/>
    <x v="0"/>
    <m/>
    <n v="318"/>
    <n v="1329"/>
  </r>
  <r>
    <x v="0"/>
    <x v="3"/>
    <x v="1"/>
    <s v="MHF"/>
    <x v="1"/>
    <x v="10"/>
    <x v="0"/>
    <x v="34"/>
    <n v="49"/>
    <n v="300"/>
    <d v="2021-08-04T00:00:00"/>
    <d v="2022-08-03T00:00:00"/>
    <m/>
    <n v="4"/>
    <m/>
    <m/>
    <s v="Yes"/>
    <n v="2"/>
    <n v="4"/>
    <m/>
    <m/>
    <m/>
    <m/>
    <n v="2"/>
    <m/>
    <m/>
    <m/>
    <m/>
    <m/>
    <m/>
    <m/>
    <m/>
    <m/>
    <m/>
    <n v="1"/>
    <n v="1"/>
    <n v="10"/>
    <n v="8"/>
    <n v="5"/>
    <m/>
    <m/>
    <m/>
    <n v="13"/>
    <m/>
    <m/>
    <m/>
    <m/>
    <m/>
    <m/>
    <m/>
    <x v="1"/>
    <x v="1"/>
    <m/>
    <m/>
    <n v="4"/>
    <m/>
    <n v="4"/>
    <m/>
    <n v="3"/>
    <m/>
    <m/>
    <n v="2"/>
    <m/>
    <m/>
    <n v="2"/>
    <n v="10"/>
    <n v="18"/>
    <m/>
    <m/>
    <m/>
    <m/>
    <m/>
    <m/>
    <m/>
    <m/>
    <m/>
    <m/>
    <m/>
    <m/>
    <m/>
    <m/>
    <m/>
    <n v="1"/>
    <n v="0.8"/>
    <s v="Tested"/>
    <n v="0"/>
    <n v="2"/>
    <n v="0"/>
    <n v="0"/>
    <n v="0"/>
    <n v="0"/>
    <n v="0"/>
    <n v="1"/>
    <n v="1"/>
    <n v="1"/>
    <n v="300"/>
    <n v="0"/>
    <n v="0"/>
    <n v="1"/>
    <n v="300"/>
    <n v="0.6"/>
    <n v="0"/>
    <n v="0"/>
    <n v="0.4"/>
    <n v="1"/>
    <n v="13"/>
    <n v="0.88"/>
    <n v="264"/>
    <n v="0"/>
    <n v="0"/>
    <n v="0"/>
    <n v="15"/>
    <n v="2"/>
    <n v="0.12"/>
    <n v="0"/>
    <n v="300"/>
    <n v="50"/>
    <n v="18"/>
    <n v="50"/>
    <n v="300"/>
    <n v="1"/>
    <n v="0"/>
    <n v="1"/>
    <n v="0.81632653061224492"/>
    <n v="0.36734693877551022"/>
    <n v="3"/>
    <n v="49"/>
    <n v="0"/>
    <n v="300"/>
    <s v="No"/>
    <s v=""/>
    <n v="0"/>
    <n v="0"/>
    <n v="0"/>
    <s v="Yes"/>
    <s v="KBC-BMO"/>
    <x v="0"/>
    <x v="1"/>
    <x v="0"/>
    <n v="24.200361000000001"/>
    <n v="96.807353000000006"/>
    <s v="MMR001CMP067"/>
    <x v="0"/>
    <m/>
    <n v="46"/>
    <n v="263"/>
  </r>
  <r>
    <x v="0"/>
    <x v="1"/>
    <x v="1"/>
    <s v="UNICEF"/>
    <x v="1"/>
    <x v="11"/>
    <x v="0"/>
    <x v="35"/>
    <n v="127"/>
    <n v="547"/>
    <d v="2020-10-01T00:00:00"/>
    <d v="2022-04-30T00:00:00"/>
    <m/>
    <n v="2"/>
    <m/>
    <m/>
    <s v="Yes"/>
    <m/>
    <m/>
    <n v="0"/>
    <m/>
    <m/>
    <n v="0"/>
    <m/>
    <m/>
    <m/>
    <m/>
    <m/>
    <m/>
    <m/>
    <m/>
    <m/>
    <m/>
    <n v="0"/>
    <m/>
    <m/>
    <m/>
    <m/>
    <m/>
    <m/>
    <m/>
    <m/>
    <n v="90"/>
    <m/>
    <m/>
    <m/>
    <m/>
    <m/>
    <m/>
    <n v="90"/>
    <x v="1"/>
    <x v="1"/>
    <m/>
    <m/>
    <m/>
    <m/>
    <m/>
    <m/>
    <n v="3"/>
    <m/>
    <m/>
    <n v="2"/>
    <m/>
    <n v="1"/>
    <n v="1"/>
    <n v="10"/>
    <n v="18"/>
    <m/>
    <m/>
    <m/>
    <m/>
    <m/>
    <m/>
    <m/>
    <m/>
    <m/>
    <m/>
    <m/>
    <m/>
    <m/>
    <m/>
    <m/>
    <s v="no test"/>
    <s v="no test"/>
    <s v="No Test"/>
    <n v="0"/>
    <n v="0"/>
    <n v="0"/>
    <n v="0"/>
    <n v="0"/>
    <n v="0"/>
    <n v="0"/>
    <n v="0"/>
    <n v="0"/>
    <n v="0"/>
    <n v="0"/>
    <n v="0"/>
    <n v="0"/>
    <n v="0"/>
    <n v="0"/>
    <n v="0"/>
    <n v="1"/>
    <n v="547"/>
    <n v="1"/>
    <n v="1"/>
    <n v="90"/>
    <n v="1"/>
    <n v="547"/>
    <n v="0"/>
    <n v="0"/>
    <n v="0"/>
    <n v="27"/>
    <n v="0"/>
    <n v="0"/>
    <n v="0"/>
    <n v="547"/>
    <n v="50"/>
    <n v="18"/>
    <n v="50"/>
    <n v="547"/>
    <n v="1"/>
    <n v="0"/>
    <n v="1"/>
    <n v="7.874015748031496E-2"/>
    <n v="0.14173228346456693"/>
    <n v="3"/>
    <n v="60"/>
    <n v="0"/>
    <n v="300"/>
    <s v="No"/>
    <s v=""/>
    <n v="0"/>
    <n v="0"/>
    <n v="0"/>
    <s v="Yes"/>
    <s v="KBC-MYT"/>
    <x v="0"/>
    <x v="1"/>
    <x v="1"/>
    <n v="26.569633"/>
    <n v="97.745480999999998"/>
    <s v="MMR001CMP238"/>
    <x v="0"/>
    <m/>
    <n v="123"/>
    <n v="646"/>
  </r>
  <r>
    <x v="0"/>
    <x v="1"/>
    <x v="1"/>
    <s v="UNICEF"/>
    <x v="1"/>
    <x v="11"/>
    <x v="0"/>
    <x v="36"/>
    <n v="63"/>
    <n v="325"/>
    <d v="2020-10-01T00:00:00"/>
    <d v="2022-04-30T00:00:00"/>
    <m/>
    <n v="2"/>
    <m/>
    <m/>
    <s v="Yes"/>
    <m/>
    <m/>
    <n v="0"/>
    <m/>
    <m/>
    <n v="0"/>
    <m/>
    <m/>
    <m/>
    <m/>
    <m/>
    <m/>
    <m/>
    <m/>
    <m/>
    <m/>
    <n v="0"/>
    <m/>
    <m/>
    <m/>
    <m/>
    <m/>
    <m/>
    <m/>
    <m/>
    <n v="65"/>
    <m/>
    <m/>
    <m/>
    <m/>
    <m/>
    <m/>
    <n v="65"/>
    <x v="1"/>
    <x v="1"/>
    <m/>
    <m/>
    <m/>
    <m/>
    <m/>
    <m/>
    <n v="1"/>
    <m/>
    <m/>
    <n v="1"/>
    <m/>
    <n v="1"/>
    <n v="1"/>
    <n v="6"/>
    <n v="5"/>
    <m/>
    <m/>
    <m/>
    <m/>
    <m/>
    <m/>
    <m/>
    <m/>
    <m/>
    <m/>
    <m/>
    <m/>
    <m/>
    <m/>
    <m/>
    <s v="no test"/>
    <s v="no test"/>
    <s v="No Test"/>
    <n v="0"/>
    <n v="0"/>
    <n v="0"/>
    <n v="0"/>
    <n v="0"/>
    <n v="0"/>
    <n v="0"/>
    <n v="0"/>
    <n v="0"/>
    <n v="0"/>
    <n v="0"/>
    <n v="0"/>
    <n v="0"/>
    <n v="0"/>
    <n v="0"/>
    <n v="0"/>
    <n v="1"/>
    <n v="325"/>
    <n v="1"/>
    <n v="1"/>
    <n v="65"/>
    <n v="1"/>
    <n v="325"/>
    <n v="0"/>
    <n v="0"/>
    <n v="0"/>
    <n v="16"/>
    <n v="0"/>
    <n v="0"/>
    <n v="0"/>
    <n v="325"/>
    <n v="30"/>
    <n v="5"/>
    <n v="30"/>
    <n v="325"/>
    <n v="1"/>
    <n v="0"/>
    <n v="1"/>
    <n v="9.5238095238095233E-2"/>
    <n v="7.9365079365079361E-2"/>
    <n v="1"/>
    <n v="20"/>
    <n v="0"/>
    <n v="100"/>
    <s v="No"/>
    <s v=""/>
    <n v="0"/>
    <n v="0"/>
    <n v="0"/>
    <s v="Yes"/>
    <s v="KBC-MYT"/>
    <x v="0"/>
    <x v="1"/>
    <x v="1"/>
    <n v="26.548506"/>
    <n v="97.75609"/>
    <s v="MMR001CMP239"/>
    <x v="0"/>
    <m/>
    <n v="68"/>
    <n v="353"/>
  </r>
  <r>
    <x v="0"/>
    <x v="3"/>
    <x v="1"/>
    <s v="MHF"/>
    <x v="1"/>
    <x v="12"/>
    <x v="0"/>
    <x v="37"/>
    <n v="108"/>
    <n v="468"/>
    <d v="2021-08-04T00:00:00"/>
    <d v="2022-08-03T00:00:00"/>
    <m/>
    <m/>
    <m/>
    <m/>
    <s v="No"/>
    <n v="1"/>
    <n v="1"/>
    <m/>
    <m/>
    <m/>
    <m/>
    <m/>
    <m/>
    <m/>
    <m/>
    <m/>
    <m/>
    <m/>
    <m/>
    <m/>
    <m/>
    <m/>
    <m/>
    <m/>
    <m/>
    <m/>
    <m/>
    <m/>
    <m/>
    <m/>
    <m/>
    <m/>
    <m/>
    <m/>
    <m/>
    <m/>
    <m/>
    <m/>
    <x v="2"/>
    <x v="2"/>
    <m/>
    <m/>
    <m/>
    <m/>
    <m/>
    <m/>
    <n v="1"/>
    <m/>
    <m/>
    <n v="3"/>
    <m/>
    <m/>
    <n v="1"/>
    <n v="41"/>
    <n v="85"/>
    <m/>
    <m/>
    <m/>
    <m/>
    <m/>
    <m/>
    <m/>
    <m/>
    <m/>
    <m/>
    <m/>
    <m/>
    <m/>
    <m/>
    <m/>
    <s v="no test"/>
    <s v="no test"/>
    <s v="No Test"/>
    <n v="0"/>
    <n v="0"/>
    <n v="0"/>
    <n v="0"/>
    <n v="0"/>
    <n v="0"/>
    <n v="0"/>
    <n v="0"/>
    <n v="0"/>
    <n v="0"/>
    <n v="0"/>
    <n v="0"/>
    <n v="0"/>
    <n v="0"/>
    <n v="0"/>
    <n v="0"/>
    <n v="1"/>
    <n v="468"/>
    <n v="1"/>
    <n v="1"/>
    <n v="0"/>
    <n v="0"/>
    <n v="0"/>
    <n v="0"/>
    <n v="0"/>
    <n v="0"/>
    <n v="23"/>
    <n v="23"/>
    <n v="1"/>
    <n v="0"/>
    <n v="468"/>
    <n v="205"/>
    <n v="85"/>
    <n v="205"/>
    <n v="468"/>
    <n v="1"/>
    <n v="0"/>
    <n v="1"/>
    <n v="1"/>
    <n v="0.78703703703703709"/>
    <n v="1"/>
    <n v="20"/>
    <n v="0"/>
    <n v="100"/>
    <s v="No"/>
    <s v=""/>
    <n v="0"/>
    <n v="0"/>
    <n v="0"/>
    <s v="Yes"/>
    <s v="KBC-MYT"/>
    <x v="0"/>
    <x v="1"/>
    <x v="0"/>
    <n v="26.356223"/>
    <n v="96.721439000000004"/>
    <s v="MMR001CMP253"/>
    <x v="0"/>
    <m/>
    <n v="110"/>
    <n v="486"/>
  </r>
  <r>
    <x v="0"/>
    <x v="2"/>
    <x v="1"/>
    <s v="UNICEF, MHF"/>
    <x v="1"/>
    <x v="13"/>
    <x v="0"/>
    <x v="38"/>
    <n v="140"/>
    <n v="895"/>
    <s v="10/1/2020, 8-4-21"/>
    <s v="4/30/2022, 8-3-22"/>
    <m/>
    <n v="3"/>
    <m/>
    <m/>
    <s v="Yes"/>
    <m/>
    <n v="3"/>
    <m/>
    <m/>
    <m/>
    <m/>
    <m/>
    <m/>
    <m/>
    <m/>
    <m/>
    <m/>
    <m/>
    <m/>
    <m/>
    <m/>
    <m/>
    <m/>
    <m/>
    <m/>
    <m/>
    <m/>
    <m/>
    <m/>
    <m/>
    <n v="50"/>
    <m/>
    <m/>
    <m/>
    <m/>
    <m/>
    <m/>
    <n v="50"/>
    <x v="1"/>
    <x v="1"/>
    <m/>
    <m/>
    <m/>
    <m/>
    <m/>
    <m/>
    <n v="8"/>
    <m/>
    <m/>
    <n v="3"/>
    <m/>
    <n v="1"/>
    <n v="2"/>
    <n v="91"/>
    <n v="124"/>
    <m/>
    <m/>
    <m/>
    <m/>
    <m/>
    <m/>
    <m/>
    <m/>
    <m/>
    <m/>
    <m/>
    <m/>
    <m/>
    <m/>
    <m/>
    <s v="no test"/>
    <s v="no test"/>
    <s v="No Test"/>
    <n v="0"/>
    <n v="0"/>
    <n v="0"/>
    <n v="0"/>
    <n v="0"/>
    <n v="0"/>
    <n v="0"/>
    <n v="0"/>
    <n v="0"/>
    <n v="0"/>
    <n v="0"/>
    <n v="0"/>
    <n v="0"/>
    <n v="0"/>
    <n v="0"/>
    <n v="0"/>
    <n v="1"/>
    <n v="895"/>
    <n v="2"/>
    <n v="2"/>
    <n v="50"/>
    <n v="1"/>
    <n v="895"/>
    <n v="0"/>
    <n v="0"/>
    <n v="0"/>
    <n v="45"/>
    <n v="0"/>
    <n v="0"/>
    <n v="0"/>
    <n v="895"/>
    <n v="455"/>
    <n v="124"/>
    <n v="455"/>
    <n v="895"/>
    <n v="1"/>
    <n v="0"/>
    <n v="1"/>
    <n v="0.65"/>
    <n v="0.88571428571428568"/>
    <n v="8"/>
    <n v="140"/>
    <n v="0"/>
    <n v="800"/>
    <s v="No"/>
    <s v=""/>
    <n v="0"/>
    <n v="0"/>
    <n v="0"/>
    <s v="Yes"/>
    <s v="KBC-MYT"/>
    <x v="0"/>
    <x v="1"/>
    <x v="1"/>
    <n v="25.200333000000001"/>
    <n v="97.807182999999995"/>
    <s v="MMR001CMP115"/>
    <x v="0"/>
    <m/>
    <n v="138"/>
    <n v="966"/>
  </r>
  <r>
    <x v="0"/>
    <x v="1"/>
    <x v="1"/>
    <s v="UNICEF"/>
    <x v="1"/>
    <x v="13"/>
    <x v="0"/>
    <x v="39"/>
    <n v="28"/>
    <n v="159"/>
    <d v="2020-10-01T00:00:00"/>
    <d v="2022-04-30T00:00:00"/>
    <m/>
    <n v="1"/>
    <m/>
    <m/>
    <s v="Yes"/>
    <m/>
    <n v="1"/>
    <n v="2"/>
    <m/>
    <m/>
    <n v="1"/>
    <m/>
    <m/>
    <m/>
    <m/>
    <m/>
    <m/>
    <m/>
    <m/>
    <m/>
    <m/>
    <n v="3"/>
    <m/>
    <m/>
    <m/>
    <m/>
    <m/>
    <m/>
    <m/>
    <m/>
    <n v="6"/>
    <m/>
    <m/>
    <m/>
    <m/>
    <n v="12"/>
    <m/>
    <n v="6"/>
    <x v="1"/>
    <x v="1"/>
    <m/>
    <m/>
    <m/>
    <m/>
    <m/>
    <m/>
    <n v="8"/>
    <m/>
    <m/>
    <n v="3"/>
    <m/>
    <m/>
    <n v="1"/>
    <n v="91"/>
    <n v="124"/>
    <m/>
    <m/>
    <m/>
    <m/>
    <m/>
    <m/>
    <m/>
    <m/>
    <m/>
    <m/>
    <m/>
    <m/>
    <m/>
    <m/>
    <m/>
    <s v="no test"/>
    <s v="no test"/>
    <s v="No Test"/>
    <n v="2"/>
    <n v="1"/>
    <n v="0"/>
    <n v="0"/>
    <n v="0"/>
    <n v="0"/>
    <n v="0"/>
    <n v="1"/>
    <n v="1"/>
    <n v="1"/>
    <n v="159"/>
    <n v="0"/>
    <n v="0"/>
    <n v="1"/>
    <n v="159"/>
    <n v="0.318"/>
    <n v="0"/>
    <n v="0"/>
    <n v="0.68199999999999994"/>
    <n v="1"/>
    <n v="6"/>
    <n v="0.75471698113207553"/>
    <n v="120"/>
    <n v="159"/>
    <n v="0"/>
    <n v="0"/>
    <n v="8"/>
    <n v="2"/>
    <n v="0.24528301886792447"/>
    <n v="0"/>
    <n v="159"/>
    <n v="159"/>
    <n v="124"/>
    <n v="159"/>
    <n v="159"/>
    <n v="1"/>
    <n v="0"/>
    <n v="1"/>
    <n v="1"/>
    <n v="1"/>
    <n v="8"/>
    <n v="28"/>
    <n v="0"/>
    <n v="159"/>
    <s v="No"/>
    <s v=""/>
    <n v="0"/>
    <n v="0"/>
    <n v="0"/>
    <s v="Yes"/>
    <s v="KBC-MYT"/>
    <x v="0"/>
    <x v="1"/>
    <x v="0"/>
    <n v="25.356632000000001"/>
    <n v="97.451965000000001"/>
    <s v="MMR001CMP027"/>
    <x v="0"/>
    <m/>
    <n v="39"/>
    <n v="238"/>
  </r>
  <r>
    <x v="0"/>
    <x v="2"/>
    <x v="1"/>
    <s v="UNICEF, MHF"/>
    <x v="1"/>
    <x v="13"/>
    <x v="0"/>
    <x v="40"/>
    <n v="405"/>
    <n v="1736"/>
    <s v="10/1/2020, 8-4-21"/>
    <s v="4/30/2022, 8-3-22"/>
    <m/>
    <n v="6"/>
    <m/>
    <m/>
    <s v="Yes"/>
    <m/>
    <n v="5"/>
    <m/>
    <m/>
    <m/>
    <m/>
    <m/>
    <m/>
    <m/>
    <m/>
    <m/>
    <m/>
    <m/>
    <m/>
    <m/>
    <m/>
    <m/>
    <m/>
    <m/>
    <m/>
    <m/>
    <m/>
    <m/>
    <m/>
    <m/>
    <n v="407"/>
    <m/>
    <m/>
    <m/>
    <m/>
    <m/>
    <m/>
    <m/>
    <x v="1"/>
    <x v="1"/>
    <n v="3"/>
    <m/>
    <m/>
    <m/>
    <m/>
    <m/>
    <n v="3"/>
    <m/>
    <m/>
    <n v="2"/>
    <m/>
    <n v="1"/>
    <n v="5"/>
    <n v="10"/>
    <n v="18"/>
    <m/>
    <m/>
    <m/>
    <m/>
    <m/>
    <m/>
    <m/>
    <m/>
    <m/>
    <m/>
    <m/>
    <m/>
    <m/>
    <m/>
    <m/>
    <s v="no test"/>
    <s v="no test"/>
    <s v="No Test"/>
    <n v="0"/>
    <n v="0"/>
    <n v="0"/>
    <n v="0"/>
    <n v="0"/>
    <n v="0"/>
    <n v="0"/>
    <n v="0"/>
    <n v="0"/>
    <n v="0"/>
    <n v="0"/>
    <n v="0"/>
    <n v="0"/>
    <n v="0"/>
    <n v="0"/>
    <n v="0"/>
    <n v="1"/>
    <n v="1736"/>
    <n v="3"/>
    <n v="3"/>
    <n v="407"/>
    <n v="1"/>
    <n v="1736"/>
    <n v="0"/>
    <n v="0"/>
    <n v="0"/>
    <n v="289"/>
    <n v="0"/>
    <n v="0"/>
    <n v="0"/>
    <n v="1736"/>
    <n v="50"/>
    <n v="18"/>
    <n v="50"/>
    <n v="1736"/>
    <n v="1"/>
    <n v="0"/>
    <n v="1"/>
    <n v="2.4691358024691357E-2"/>
    <n v="4.4444444444444446E-2"/>
    <n v="3"/>
    <n v="60"/>
    <n v="0"/>
    <n v="300"/>
    <s v="No"/>
    <s v=""/>
    <n v="0"/>
    <n v="0"/>
    <n v="0"/>
    <s v="Yes"/>
    <s v="KMSS-MYT"/>
    <x v="1"/>
    <x v="1"/>
    <x v="1"/>
    <n v="24.980250000000002"/>
    <n v="97.715230000000005"/>
    <s v="MMR001CMP119"/>
    <x v="0"/>
    <m/>
    <n v="417"/>
    <n v="1608"/>
  </r>
  <r>
    <x v="0"/>
    <x v="1"/>
    <x v="1"/>
    <s v="UNICEF"/>
    <x v="1"/>
    <x v="13"/>
    <x v="0"/>
    <x v="41"/>
    <n v="494"/>
    <n v="2500"/>
    <d v="2020-10-01T00:00:00"/>
    <d v="2022-04-30T00:00:00"/>
    <m/>
    <n v="6"/>
    <m/>
    <m/>
    <s v="Yes"/>
    <m/>
    <m/>
    <n v="9"/>
    <m/>
    <m/>
    <n v="2"/>
    <m/>
    <m/>
    <m/>
    <m/>
    <m/>
    <m/>
    <m/>
    <m/>
    <m/>
    <m/>
    <n v="9"/>
    <m/>
    <m/>
    <m/>
    <m/>
    <m/>
    <m/>
    <m/>
    <m/>
    <n v="130"/>
    <m/>
    <m/>
    <m/>
    <n v="30"/>
    <n v="122"/>
    <m/>
    <n v="130"/>
    <x v="1"/>
    <x v="1"/>
    <m/>
    <m/>
    <m/>
    <m/>
    <m/>
    <m/>
    <n v="7"/>
    <m/>
    <m/>
    <n v="7"/>
    <m/>
    <n v="2"/>
    <n v="4"/>
    <n v="104"/>
    <n v="148"/>
    <m/>
    <m/>
    <m/>
    <m/>
    <m/>
    <m/>
    <m/>
    <m/>
    <m/>
    <m/>
    <m/>
    <m/>
    <m/>
    <m/>
    <m/>
    <s v="no test"/>
    <s v="no test"/>
    <s v="No Test"/>
    <n v="9"/>
    <n v="2"/>
    <n v="0"/>
    <n v="0"/>
    <n v="0"/>
    <n v="0"/>
    <n v="0"/>
    <n v="1"/>
    <n v="1"/>
    <n v="1"/>
    <n v="2500"/>
    <n v="0"/>
    <n v="0"/>
    <n v="1"/>
    <n v="2500"/>
    <n v="5"/>
    <n v="0"/>
    <n v="0"/>
    <n v="0"/>
    <n v="5"/>
    <n v="130"/>
    <n v="1"/>
    <n v="2500"/>
    <n v="2440"/>
    <n v="0"/>
    <n v="0"/>
    <n v="125"/>
    <n v="0"/>
    <n v="0"/>
    <n v="0"/>
    <n v="2500"/>
    <n v="520"/>
    <n v="148"/>
    <n v="520"/>
    <n v="2500"/>
    <n v="1"/>
    <n v="0"/>
    <n v="1"/>
    <n v="0.84210526315789469"/>
    <n v="0.29959514170040485"/>
    <n v="7"/>
    <n v="140"/>
    <n v="0"/>
    <n v="700"/>
    <s v="No"/>
    <s v=""/>
    <n v="0"/>
    <n v="0"/>
    <n v="0"/>
    <s v="Yes"/>
    <s v="KBC-MYT"/>
    <x v="0"/>
    <x v="1"/>
    <x v="0"/>
    <n v="25.4118005797101"/>
    <n v="97.434855869565197"/>
    <s v="MMR001CMP040"/>
    <x v="0"/>
    <m/>
    <n v="531"/>
    <n v="2920"/>
  </r>
  <r>
    <x v="0"/>
    <x v="1"/>
    <x v="1"/>
    <s v="UNICEF"/>
    <x v="1"/>
    <x v="13"/>
    <x v="0"/>
    <x v="42"/>
    <n v="43"/>
    <n v="191"/>
    <d v="2020-10-01T00:00:00"/>
    <d v="2022-04-30T00:00:00"/>
    <m/>
    <n v="1"/>
    <m/>
    <m/>
    <s v="Yes"/>
    <m/>
    <n v="4"/>
    <n v="1"/>
    <m/>
    <m/>
    <m/>
    <m/>
    <m/>
    <m/>
    <m/>
    <m/>
    <m/>
    <m/>
    <m/>
    <m/>
    <m/>
    <n v="2"/>
    <m/>
    <m/>
    <m/>
    <m/>
    <m/>
    <m/>
    <m/>
    <m/>
    <n v="10"/>
    <m/>
    <m/>
    <m/>
    <m/>
    <n v="60"/>
    <m/>
    <n v="10"/>
    <x v="1"/>
    <x v="1"/>
    <m/>
    <m/>
    <m/>
    <m/>
    <m/>
    <m/>
    <n v="7"/>
    <m/>
    <m/>
    <n v="4"/>
    <m/>
    <n v="1"/>
    <m/>
    <n v="124"/>
    <n v="198"/>
    <m/>
    <m/>
    <m/>
    <m/>
    <m/>
    <m/>
    <m/>
    <m/>
    <m/>
    <m/>
    <m/>
    <m/>
    <m/>
    <m/>
    <m/>
    <s v="no test"/>
    <s v="no test"/>
    <s v="No Test"/>
    <n v="1"/>
    <n v="0"/>
    <n v="0"/>
    <n v="0"/>
    <n v="0"/>
    <n v="0"/>
    <n v="0"/>
    <n v="1"/>
    <n v="1"/>
    <n v="1"/>
    <n v="191"/>
    <n v="0"/>
    <n v="0"/>
    <n v="1"/>
    <n v="191"/>
    <n v="0.38200000000000001"/>
    <n v="0"/>
    <n v="0"/>
    <n v="0.61799999999999999"/>
    <n v="1"/>
    <n v="10"/>
    <n v="1"/>
    <n v="191"/>
    <n v="191"/>
    <n v="0"/>
    <n v="0"/>
    <n v="10"/>
    <n v="0"/>
    <n v="0"/>
    <n v="0"/>
    <n v="191"/>
    <n v="191"/>
    <n v="191"/>
    <n v="191"/>
    <n v="191"/>
    <n v="1"/>
    <n v="0"/>
    <n v="1"/>
    <n v="1"/>
    <n v="1"/>
    <n v="7"/>
    <n v="43"/>
    <n v="0"/>
    <n v="191"/>
    <s v="No"/>
    <s v=""/>
    <n v="0"/>
    <n v="0"/>
    <n v="0"/>
    <s v="Yes"/>
    <s v="KBC-MYT"/>
    <x v="0"/>
    <x v="1"/>
    <x v="0"/>
    <n v="25.409612685185198"/>
    <n v="97.426536944444507"/>
    <s v="MMR001CMP039"/>
    <x v="0"/>
    <m/>
    <n v="55"/>
    <n v="283"/>
  </r>
  <r>
    <x v="0"/>
    <x v="2"/>
    <x v="1"/>
    <s v="UNICEF, MHF"/>
    <x v="1"/>
    <x v="13"/>
    <x v="0"/>
    <x v="43"/>
    <n v="177"/>
    <n v="852"/>
    <s v="10/1/2020, 8-4-21"/>
    <s v="4/30/2022, 8-3-22"/>
    <m/>
    <n v="3"/>
    <m/>
    <m/>
    <s v="Yes"/>
    <m/>
    <n v="4"/>
    <m/>
    <m/>
    <m/>
    <m/>
    <m/>
    <m/>
    <m/>
    <m/>
    <m/>
    <m/>
    <m/>
    <m/>
    <m/>
    <m/>
    <m/>
    <m/>
    <m/>
    <m/>
    <m/>
    <m/>
    <m/>
    <m/>
    <m/>
    <n v="150"/>
    <m/>
    <m/>
    <m/>
    <m/>
    <m/>
    <m/>
    <n v="150"/>
    <x v="1"/>
    <x v="1"/>
    <m/>
    <m/>
    <m/>
    <m/>
    <m/>
    <m/>
    <n v="8"/>
    <m/>
    <m/>
    <n v="3"/>
    <m/>
    <n v="1"/>
    <n v="2"/>
    <n v="91"/>
    <n v="124"/>
    <m/>
    <m/>
    <m/>
    <m/>
    <m/>
    <m/>
    <m/>
    <m/>
    <m/>
    <m/>
    <m/>
    <m/>
    <m/>
    <m/>
    <m/>
    <s v="no test"/>
    <s v="no test"/>
    <s v="No Test"/>
    <n v="0"/>
    <n v="0"/>
    <n v="0"/>
    <n v="0"/>
    <n v="0"/>
    <n v="0"/>
    <n v="0"/>
    <n v="0"/>
    <n v="0"/>
    <n v="0"/>
    <n v="0"/>
    <n v="0"/>
    <n v="0"/>
    <n v="0"/>
    <n v="0"/>
    <n v="0"/>
    <n v="1"/>
    <n v="852"/>
    <n v="2"/>
    <n v="2"/>
    <n v="150"/>
    <n v="0.88028169014084512"/>
    <n v="750"/>
    <n v="0"/>
    <n v="0"/>
    <n v="0"/>
    <n v="142"/>
    <n v="0"/>
    <n v="0.11971830985915488"/>
    <n v="0"/>
    <n v="852"/>
    <n v="455"/>
    <n v="124"/>
    <n v="455"/>
    <n v="852"/>
    <n v="1"/>
    <n v="0"/>
    <n v="1"/>
    <n v="0.51412429378531077"/>
    <n v="0.70056497175141241"/>
    <n v="8"/>
    <n v="160"/>
    <n v="0"/>
    <n v="800"/>
    <s v="No"/>
    <s v=""/>
    <n v="0"/>
    <n v="0"/>
    <n v="0"/>
    <s v="Yes"/>
    <s v="KBC-MYT"/>
    <x v="1"/>
    <x v="1"/>
    <x v="1"/>
    <n v="24.831944"/>
    <n v="97.751389000000003"/>
    <s v="MMR001CMP120"/>
    <x v="0"/>
    <m/>
    <n v="166"/>
    <n v="966"/>
  </r>
  <r>
    <x v="0"/>
    <x v="1"/>
    <x v="1"/>
    <s v="UNICEF"/>
    <x v="1"/>
    <x v="13"/>
    <x v="0"/>
    <x v="44"/>
    <n v="60"/>
    <n v="307"/>
    <d v="2020-10-01T00:00:00"/>
    <d v="2022-04-30T00:00:00"/>
    <m/>
    <n v="2"/>
    <m/>
    <m/>
    <s v="Yes"/>
    <m/>
    <n v="3"/>
    <n v="2"/>
    <m/>
    <m/>
    <m/>
    <m/>
    <m/>
    <m/>
    <m/>
    <m/>
    <m/>
    <m/>
    <m/>
    <m/>
    <m/>
    <n v="1"/>
    <m/>
    <m/>
    <m/>
    <m/>
    <m/>
    <m/>
    <m/>
    <m/>
    <n v="14"/>
    <m/>
    <m/>
    <m/>
    <n v="10"/>
    <m/>
    <m/>
    <n v="10"/>
    <x v="1"/>
    <x v="1"/>
    <m/>
    <m/>
    <m/>
    <m/>
    <m/>
    <m/>
    <n v="1"/>
    <m/>
    <m/>
    <n v="3"/>
    <m/>
    <n v="1"/>
    <n v="1"/>
    <n v="41"/>
    <n v="85"/>
    <m/>
    <m/>
    <m/>
    <m/>
    <m/>
    <m/>
    <m/>
    <m/>
    <m/>
    <m/>
    <m/>
    <m/>
    <m/>
    <m/>
    <m/>
    <s v="no test"/>
    <s v="no test"/>
    <s v="No Test"/>
    <n v="2"/>
    <n v="0"/>
    <n v="0"/>
    <n v="0"/>
    <n v="0"/>
    <n v="0"/>
    <n v="0"/>
    <n v="1"/>
    <n v="1"/>
    <n v="1"/>
    <n v="307"/>
    <n v="0"/>
    <n v="0"/>
    <n v="1"/>
    <n v="307"/>
    <n v="0.61399999999999999"/>
    <n v="0"/>
    <n v="0"/>
    <n v="0.38600000000000001"/>
    <n v="1"/>
    <n v="14"/>
    <n v="0.91205211726384361"/>
    <n v="280"/>
    <n v="0"/>
    <n v="0"/>
    <n v="0"/>
    <n v="15"/>
    <n v="1"/>
    <n v="8.7947882736156391E-2"/>
    <n v="0"/>
    <n v="307"/>
    <n v="205"/>
    <n v="85"/>
    <n v="205"/>
    <n v="307"/>
    <n v="1"/>
    <n v="0"/>
    <n v="1"/>
    <n v="1"/>
    <n v="1"/>
    <n v="1"/>
    <n v="20"/>
    <n v="0"/>
    <n v="100"/>
    <s v="No"/>
    <s v=""/>
    <n v="0"/>
    <n v="0"/>
    <n v="0"/>
    <s v="Yes"/>
    <s v="KBC-MYT"/>
    <x v="0"/>
    <x v="1"/>
    <x v="0"/>
    <n v="25.351724999999998"/>
    <n v="97.438432380952406"/>
    <s v="MMR001CMP025"/>
    <x v="0"/>
    <m/>
    <n v="72"/>
    <n v="360"/>
  </r>
  <r>
    <x v="0"/>
    <x v="2"/>
    <x v="1"/>
    <s v="UNICEF, MHF"/>
    <x v="1"/>
    <x v="13"/>
    <x v="0"/>
    <x v="45"/>
    <n v="382"/>
    <n v="1532"/>
    <s v="10/1/2020, 8-4-21"/>
    <s v="4/30/2022, 8-3-22"/>
    <m/>
    <n v="6"/>
    <m/>
    <m/>
    <s v="Yes"/>
    <m/>
    <n v="2"/>
    <m/>
    <m/>
    <m/>
    <m/>
    <m/>
    <m/>
    <m/>
    <m/>
    <m/>
    <m/>
    <m/>
    <m/>
    <m/>
    <m/>
    <m/>
    <m/>
    <m/>
    <m/>
    <m/>
    <m/>
    <m/>
    <m/>
    <m/>
    <n v="391"/>
    <m/>
    <m/>
    <m/>
    <m/>
    <m/>
    <m/>
    <n v="413"/>
    <x v="1"/>
    <x v="1"/>
    <m/>
    <m/>
    <m/>
    <m/>
    <m/>
    <m/>
    <n v="7"/>
    <m/>
    <m/>
    <n v="7"/>
    <m/>
    <n v="3"/>
    <n v="3"/>
    <n v="104"/>
    <n v="148"/>
    <m/>
    <m/>
    <m/>
    <m/>
    <m/>
    <m/>
    <m/>
    <m/>
    <m/>
    <m/>
    <m/>
    <m/>
    <m/>
    <m/>
    <m/>
    <s v="no test"/>
    <s v="no test"/>
    <s v="No Test"/>
    <n v="0"/>
    <n v="0"/>
    <n v="0"/>
    <n v="0"/>
    <n v="0"/>
    <n v="0"/>
    <n v="0"/>
    <n v="0"/>
    <n v="0"/>
    <n v="0"/>
    <n v="0"/>
    <n v="0"/>
    <n v="0"/>
    <n v="0"/>
    <n v="0"/>
    <n v="0"/>
    <n v="1"/>
    <n v="1532"/>
    <n v="3"/>
    <n v="3"/>
    <n v="391"/>
    <n v="1"/>
    <n v="1532"/>
    <n v="0"/>
    <n v="0"/>
    <n v="0"/>
    <n v="77"/>
    <n v="0"/>
    <n v="0"/>
    <n v="0"/>
    <n v="1532"/>
    <n v="520"/>
    <n v="148"/>
    <n v="520"/>
    <n v="1532"/>
    <n v="1"/>
    <n v="0"/>
    <n v="1"/>
    <n v="0.27225130890052357"/>
    <n v="0.38743455497382201"/>
    <n v="7"/>
    <n v="140"/>
    <n v="0"/>
    <n v="700"/>
    <s v="No"/>
    <s v=""/>
    <n v="0"/>
    <n v="0"/>
    <n v="0"/>
    <s v="Yes"/>
    <s v="KBC-MYT"/>
    <x v="0"/>
    <x v="1"/>
    <x v="1"/>
    <n v="25.418084"/>
    <n v="98.025662999999994"/>
    <s v="MMR001CMP249"/>
    <x v="0"/>
    <m/>
    <n v="380"/>
    <n v="1877"/>
  </r>
  <r>
    <x v="0"/>
    <x v="1"/>
    <x v="1"/>
    <s v="UNICEF"/>
    <x v="1"/>
    <x v="13"/>
    <x v="0"/>
    <x v="46"/>
    <n v="179"/>
    <n v="958"/>
    <d v="2020-10-01T00:00:00"/>
    <d v="2022-04-30T00:00:00"/>
    <m/>
    <n v="3"/>
    <m/>
    <m/>
    <s v="Yes"/>
    <m/>
    <m/>
    <m/>
    <m/>
    <m/>
    <m/>
    <m/>
    <m/>
    <m/>
    <m/>
    <m/>
    <m/>
    <m/>
    <m/>
    <m/>
    <m/>
    <m/>
    <m/>
    <m/>
    <m/>
    <m/>
    <m/>
    <m/>
    <m/>
    <m/>
    <n v="158"/>
    <m/>
    <m/>
    <m/>
    <m/>
    <m/>
    <m/>
    <n v="158"/>
    <x v="1"/>
    <x v="1"/>
    <m/>
    <m/>
    <m/>
    <m/>
    <m/>
    <m/>
    <n v="7"/>
    <m/>
    <m/>
    <n v="4"/>
    <m/>
    <n v="2"/>
    <n v="1"/>
    <n v="124"/>
    <n v="198"/>
    <m/>
    <m/>
    <m/>
    <m/>
    <m/>
    <m/>
    <m/>
    <m/>
    <m/>
    <m/>
    <m/>
    <m/>
    <m/>
    <m/>
    <m/>
    <s v="no test"/>
    <s v="no test"/>
    <s v="No Test"/>
    <n v="0"/>
    <n v="0"/>
    <n v="0"/>
    <n v="0"/>
    <n v="0"/>
    <n v="0"/>
    <n v="0"/>
    <n v="0"/>
    <n v="0"/>
    <n v="0"/>
    <n v="0"/>
    <n v="0"/>
    <n v="0"/>
    <n v="0"/>
    <n v="0"/>
    <n v="0"/>
    <n v="1"/>
    <n v="958"/>
    <n v="2"/>
    <n v="2"/>
    <n v="158"/>
    <n v="1"/>
    <n v="958"/>
    <n v="0"/>
    <n v="0"/>
    <n v="0"/>
    <n v="48"/>
    <n v="0"/>
    <n v="0"/>
    <n v="0"/>
    <n v="958"/>
    <n v="620"/>
    <n v="198"/>
    <n v="620"/>
    <n v="958"/>
    <n v="1"/>
    <n v="0"/>
    <n v="1"/>
    <n v="1"/>
    <n v="1"/>
    <n v="7"/>
    <n v="140"/>
    <n v="0"/>
    <n v="700"/>
    <s v="No"/>
    <s v=""/>
    <n v="0"/>
    <n v="0"/>
    <n v="0"/>
    <s v="Yes"/>
    <s v="KBC-MYT"/>
    <x v="0"/>
    <x v="1"/>
    <x v="0"/>
    <n v="25.418084"/>
    <n v="98.025662999999994"/>
    <s v="MMR001CMP041"/>
    <x v="0"/>
    <m/>
    <n v="213"/>
    <n v="1172"/>
  </r>
  <r>
    <x v="0"/>
    <x v="2"/>
    <x v="1"/>
    <s v="UNICEF, MHF"/>
    <x v="1"/>
    <x v="13"/>
    <x v="0"/>
    <x v="47"/>
    <n v="79"/>
    <n v="351"/>
    <s v="10/1/2020, 8-4-21"/>
    <s v="4/30/2022, 8-3-22"/>
    <m/>
    <n v="2"/>
    <m/>
    <m/>
    <s v="Yes"/>
    <m/>
    <n v="5"/>
    <m/>
    <m/>
    <m/>
    <n v="1"/>
    <m/>
    <m/>
    <m/>
    <m/>
    <m/>
    <m/>
    <m/>
    <m/>
    <m/>
    <m/>
    <n v="3"/>
    <m/>
    <m/>
    <m/>
    <m/>
    <m/>
    <m/>
    <m/>
    <m/>
    <n v="8"/>
    <m/>
    <m/>
    <m/>
    <m/>
    <n v="79"/>
    <m/>
    <n v="6"/>
    <x v="1"/>
    <x v="1"/>
    <m/>
    <m/>
    <m/>
    <m/>
    <m/>
    <m/>
    <n v="3"/>
    <m/>
    <m/>
    <n v="2"/>
    <m/>
    <n v="1"/>
    <n v="1"/>
    <n v="10"/>
    <n v="18"/>
    <m/>
    <m/>
    <m/>
    <m/>
    <m/>
    <m/>
    <n v="438.97999999999996"/>
    <n v="0.65"/>
    <m/>
    <m/>
    <m/>
    <m/>
    <m/>
    <m/>
    <m/>
    <s v="no test"/>
    <s v="no test"/>
    <s v="No Test"/>
    <n v="0"/>
    <n v="1"/>
    <n v="0"/>
    <n v="0"/>
    <n v="0"/>
    <n v="0"/>
    <n v="0"/>
    <n v="1"/>
    <n v="0.71225071225071224"/>
    <n v="1"/>
    <n v="351"/>
    <n v="0"/>
    <n v="0"/>
    <n v="1"/>
    <n v="351"/>
    <n v="0.70199999999999996"/>
    <n v="0"/>
    <n v="0"/>
    <n v="0.29800000000000004"/>
    <n v="1"/>
    <n v="8"/>
    <n v="0.45584045584045585"/>
    <n v="160"/>
    <n v="351"/>
    <n v="0"/>
    <n v="0"/>
    <n v="18"/>
    <n v="10"/>
    <n v="0.54415954415954415"/>
    <n v="0"/>
    <n v="351"/>
    <n v="50"/>
    <n v="18"/>
    <n v="50"/>
    <n v="351"/>
    <n v="1"/>
    <n v="0"/>
    <n v="1"/>
    <n v="0.50632911392405067"/>
    <n v="0.22784810126582278"/>
    <n v="3"/>
    <n v="60"/>
    <n v="0"/>
    <n v="300"/>
    <s v="No"/>
    <n v="1.2506552706552705"/>
    <n v="0"/>
    <n v="0"/>
    <n v="0"/>
    <s v="Yes"/>
    <s v="KBC-MYT"/>
    <x v="0"/>
    <x v="1"/>
    <x v="0"/>
    <n v="25.350989999999999"/>
    <n v="97.442809999999994"/>
    <s v="MMR001CMP269"/>
    <x v="0"/>
    <m/>
    <n v="81"/>
    <n v="387"/>
  </r>
  <r>
    <x v="0"/>
    <x v="5"/>
    <x v="2"/>
    <s v="UNICEF"/>
    <x v="1"/>
    <x v="3"/>
    <x v="0"/>
    <x v="48"/>
    <n v="14"/>
    <n v="52"/>
    <d v="2021-08-06T00:00:00"/>
    <d v="2022-08-05T00:00:00"/>
    <m/>
    <n v="3"/>
    <m/>
    <m/>
    <s v="Yes"/>
    <n v="3"/>
    <n v="2"/>
    <n v="1"/>
    <n v="1"/>
    <n v="1"/>
    <n v="1"/>
    <m/>
    <m/>
    <m/>
    <n v="1"/>
    <m/>
    <m/>
    <m/>
    <m/>
    <m/>
    <n v="10"/>
    <n v="1"/>
    <n v="2"/>
    <m/>
    <n v="8"/>
    <m/>
    <n v="2"/>
    <n v="1"/>
    <m/>
    <m/>
    <n v="4"/>
    <m/>
    <m/>
    <m/>
    <m/>
    <m/>
    <m/>
    <m/>
    <x v="1"/>
    <x v="0"/>
    <n v="2"/>
    <m/>
    <m/>
    <m/>
    <m/>
    <m/>
    <n v="3"/>
    <m/>
    <m/>
    <n v="2"/>
    <m/>
    <m/>
    <m/>
    <n v="88"/>
    <n v="100"/>
    <m/>
    <m/>
    <m/>
    <m/>
    <m/>
    <m/>
    <m/>
    <m/>
    <m/>
    <m/>
    <m/>
    <m/>
    <m/>
    <m/>
    <m/>
    <n v="0"/>
    <n v="0"/>
    <s v="Tested"/>
    <n v="0"/>
    <n v="1"/>
    <n v="1"/>
    <n v="0"/>
    <n v="0"/>
    <n v="52"/>
    <n v="0"/>
    <n v="1"/>
    <n v="1"/>
    <n v="1"/>
    <n v="52"/>
    <n v="0"/>
    <n v="0"/>
    <n v="1"/>
    <n v="52"/>
    <n v="0.104"/>
    <n v="0"/>
    <n v="0"/>
    <n v="0.89600000000000002"/>
    <n v="1"/>
    <n v="4"/>
    <n v="1"/>
    <n v="52"/>
    <n v="0"/>
    <n v="0"/>
    <n v="0"/>
    <n v="3"/>
    <n v="0"/>
    <n v="0"/>
    <n v="0"/>
    <n v="0"/>
    <n v="52"/>
    <n v="52"/>
    <n v="52"/>
    <n v="52"/>
    <n v="1"/>
    <n v="0"/>
    <n v="0"/>
    <n v="1"/>
    <n v="1"/>
    <n v="3"/>
    <n v="14"/>
    <n v="0"/>
    <n v="52"/>
    <s v="No"/>
    <s v=""/>
    <n v="0"/>
    <n v="52"/>
    <n v="0"/>
    <n v="0"/>
    <s v="KMSS-MYT"/>
    <x v="0"/>
    <x v="1"/>
    <x v="0"/>
    <n v="25.522594999999999"/>
    <n v="96.711534"/>
    <s v="MMR001CMP270"/>
    <x v="0"/>
    <m/>
    <n v="14"/>
    <n v="52"/>
  </r>
  <r>
    <x v="0"/>
    <x v="5"/>
    <x v="2"/>
    <s v="UNICEF"/>
    <x v="1"/>
    <x v="3"/>
    <x v="1"/>
    <x v="49"/>
    <n v="94"/>
    <n v="467"/>
    <d v="2021-08-06T00:00:00"/>
    <d v="2022-08-05T00:00:00"/>
    <m/>
    <n v="5"/>
    <m/>
    <m/>
    <s v="Yes"/>
    <n v="2"/>
    <n v="5"/>
    <n v="1"/>
    <m/>
    <m/>
    <m/>
    <m/>
    <m/>
    <m/>
    <m/>
    <m/>
    <m/>
    <m/>
    <m/>
    <m/>
    <m/>
    <m/>
    <n v="10"/>
    <m/>
    <m/>
    <m/>
    <m/>
    <m/>
    <m/>
    <m/>
    <n v="12"/>
    <m/>
    <m/>
    <m/>
    <m/>
    <m/>
    <m/>
    <m/>
    <x v="1"/>
    <x v="1"/>
    <n v="3"/>
    <m/>
    <m/>
    <m/>
    <m/>
    <m/>
    <n v="1"/>
    <m/>
    <m/>
    <n v="3"/>
    <m/>
    <m/>
    <m/>
    <n v="41"/>
    <n v="85"/>
    <m/>
    <n v="100"/>
    <n v="0.3"/>
    <m/>
    <m/>
    <m/>
    <m/>
    <m/>
    <m/>
    <m/>
    <m/>
    <m/>
    <m/>
    <m/>
    <m/>
    <n v="0"/>
    <s v="no test"/>
    <s v="Tested"/>
    <n v="1"/>
    <n v="0"/>
    <n v="0"/>
    <n v="0"/>
    <n v="0"/>
    <n v="0"/>
    <n v="0"/>
    <n v="0.85653104925053536"/>
    <n v="0.53533190578158463"/>
    <n v="0.85653104925053536"/>
    <n v="400"/>
    <n v="0"/>
    <n v="0"/>
    <n v="0.85653104925053536"/>
    <n v="400"/>
    <n v="0.8"/>
    <n v="0.14346895074946464"/>
    <n v="66.999999999999986"/>
    <n v="0.19999999999999996"/>
    <n v="1"/>
    <n v="12"/>
    <n v="0.64239828693790146"/>
    <n v="300"/>
    <n v="0"/>
    <n v="0"/>
    <n v="0"/>
    <n v="23"/>
    <n v="11"/>
    <n v="0.35760171306209854"/>
    <n v="0"/>
    <n v="0"/>
    <n v="205"/>
    <n v="85"/>
    <n v="205"/>
    <n v="205"/>
    <n v="0.43897216274089934"/>
    <n v="0.56102783725910066"/>
    <n v="0"/>
    <n v="1"/>
    <n v="0.9042553191489362"/>
    <n v="1"/>
    <n v="20"/>
    <n v="0"/>
    <n v="100"/>
    <s v="No"/>
    <s v=""/>
    <n v="0"/>
    <n v="0"/>
    <n v="0"/>
    <n v="0"/>
    <n v="0"/>
    <x v="0"/>
    <x v="0"/>
    <x v="0"/>
    <n v="0"/>
    <n v="0"/>
    <n v="0"/>
    <x v="0"/>
    <m/>
    <n v="0"/>
    <n v="0"/>
  </r>
  <r>
    <x v="0"/>
    <x v="5"/>
    <x v="2"/>
    <s v="UNICEF"/>
    <x v="1"/>
    <x v="3"/>
    <x v="0"/>
    <x v="50"/>
    <n v="50"/>
    <n v="218"/>
    <d v="2021-08-06T00:00:00"/>
    <d v="2022-08-05T00:00:00"/>
    <m/>
    <n v="1"/>
    <m/>
    <m/>
    <s v="Yes"/>
    <n v="3"/>
    <n v="3"/>
    <n v="1"/>
    <m/>
    <m/>
    <m/>
    <m/>
    <m/>
    <m/>
    <m/>
    <m/>
    <m/>
    <m/>
    <m/>
    <m/>
    <m/>
    <m/>
    <m/>
    <m/>
    <m/>
    <m/>
    <n v="4"/>
    <m/>
    <m/>
    <m/>
    <n v="16"/>
    <m/>
    <m/>
    <m/>
    <m/>
    <m/>
    <m/>
    <m/>
    <x v="1"/>
    <x v="1"/>
    <m/>
    <m/>
    <m/>
    <m/>
    <m/>
    <m/>
    <n v="7"/>
    <m/>
    <m/>
    <n v="4"/>
    <m/>
    <m/>
    <m/>
    <n v="124"/>
    <n v="198"/>
    <m/>
    <m/>
    <m/>
    <m/>
    <m/>
    <m/>
    <m/>
    <m/>
    <m/>
    <m/>
    <m/>
    <m/>
    <m/>
    <m/>
    <m/>
    <s v="no test"/>
    <s v="no test"/>
    <s v="No Test"/>
    <n v="1"/>
    <n v="0"/>
    <n v="0"/>
    <n v="0"/>
    <n v="0"/>
    <n v="0"/>
    <n v="0"/>
    <n v="1"/>
    <n v="1"/>
    <n v="1"/>
    <n v="218"/>
    <n v="0"/>
    <n v="0"/>
    <n v="1"/>
    <n v="218"/>
    <n v="0.436"/>
    <n v="0"/>
    <n v="0"/>
    <n v="0.56400000000000006"/>
    <n v="1"/>
    <n v="16"/>
    <n v="1"/>
    <n v="218"/>
    <n v="0"/>
    <n v="0"/>
    <n v="0"/>
    <n v="11"/>
    <n v="0"/>
    <n v="0"/>
    <n v="0"/>
    <n v="0"/>
    <n v="218"/>
    <n v="198"/>
    <n v="218"/>
    <n v="218"/>
    <n v="1"/>
    <n v="0"/>
    <n v="0"/>
    <n v="1"/>
    <n v="1"/>
    <n v="7"/>
    <n v="50"/>
    <n v="0"/>
    <n v="218"/>
    <s v="No"/>
    <s v=""/>
    <n v="0"/>
    <n v="0"/>
    <n v="0"/>
    <s v="Yes"/>
    <s v="KMSS-MYT"/>
    <x v="0"/>
    <x v="1"/>
    <x v="0"/>
    <n v="25.613894999999999"/>
    <n v="96.341352999999998"/>
    <s v="MMR001CMP103"/>
    <x v="0"/>
    <m/>
    <n v="47"/>
    <n v="226"/>
  </r>
  <r>
    <x v="0"/>
    <x v="5"/>
    <x v="2"/>
    <s v="UNICEF"/>
    <x v="1"/>
    <x v="5"/>
    <x v="0"/>
    <x v="51"/>
    <n v="48"/>
    <n v="267"/>
    <d v="2021-08-06T00:00:00"/>
    <d v="2022-08-05T00:00:00"/>
    <m/>
    <n v="1"/>
    <m/>
    <m/>
    <s v="Yes"/>
    <n v="2"/>
    <n v="3"/>
    <n v="3"/>
    <m/>
    <n v="1"/>
    <m/>
    <m/>
    <m/>
    <m/>
    <m/>
    <m/>
    <m/>
    <m/>
    <m/>
    <m/>
    <m/>
    <m/>
    <n v="3"/>
    <m/>
    <m/>
    <m/>
    <n v="10"/>
    <m/>
    <m/>
    <m/>
    <n v="14"/>
    <m/>
    <m/>
    <m/>
    <m/>
    <m/>
    <m/>
    <m/>
    <x v="1"/>
    <x v="0"/>
    <n v="1"/>
    <m/>
    <m/>
    <m/>
    <m/>
    <m/>
    <n v="8"/>
    <m/>
    <n v="2"/>
    <n v="3"/>
    <m/>
    <m/>
    <n v="1"/>
    <n v="91"/>
    <n v="124"/>
    <m/>
    <n v="100"/>
    <n v="0.5"/>
    <s v="still need to do Hygiene promotion to be practical step "/>
    <m/>
    <m/>
    <m/>
    <m/>
    <m/>
    <m/>
    <m/>
    <m/>
    <m/>
    <m/>
    <m/>
    <n v="0"/>
    <s v="no test"/>
    <s v="Tested"/>
    <n v="3"/>
    <n v="0"/>
    <n v="0"/>
    <n v="0"/>
    <n v="0"/>
    <n v="0"/>
    <n v="0"/>
    <n v="1"/>
    <n v="1"/>
    <n v="1"/>
    <n v="267"/>
    <n v="0"/>
    <n v="0"/>
    <n v="1"/>
    <n v="267"/>
    <n v="0.53400000000000003"/>
    <n v="0"/>
    <n v="0"/>
    <n v="0.46599999999999997"/>
    <n v="1"/>
    <n v="14"/>
    <n v="1"/>
    <n v="267"/>
    <n v="0"/>
    <n v="0"/>
    <n v="0"/>
    <n v="13"/>
    <n v="0"/>
    <n v="0"/>
    <n v="0"/>
    <n v="267"/>
    <n v="267"/>
    <n v="124"/>
    <n v="267"/>
    <n v="267"/>
    <n v="1"/>
    <n v="0"/>
    <n v="1"/>
    <n v="1"/>
    <n v="1"/>
    <n v="8"/>
    <n v="48"/>
    <n v="0"/>
    <n v="267"/>
    <s v="No"/>
    <s v=""/>
    <n v="0"/>
    <n v="0"/>
    <n v="0"/>
    <n v="0"/>
    <s v="KMSS-MYT"/>
    <x v="0"/>
    <x v="1"/>
    <x v="0"/>
    <n v="25.383058999999999"/>
    <n v="97.014313000000001"/>
    <s v="MMR001CMP259"/>
    <x v="0"/>
    <m/>
    <n v="48"/>
    <n v="268"/>
  </r>
  <r>
    <x v="0"/>
    <x v="5"/>
    <x v="2"/>
    <s v="UNICEF"/>
    <x v="1"/>
    <x v="5"/>
    <x v="0"/>
    <x v="52"/>
    <n v="83"/>
    <n v="412"/>
    <d v="2021-08-06T00:00:00"/>
    <d v="2022-08-05T00:00:00"/>
    <m/>
    <m/>
    <m/>
    <m/>
    <s v="Yes"/>
    <m/>
    <n v="1"/>
    <n v="2"/>
    <m/>
    <m/>
    <m/>
    <m/>
    <m/>
    <m/>
    <m/>
    <m/>
    <m/>
    <m/>
    <m/>
    <m/>
    <m/>
    <m/>
    <m/>
    <m/>
    <m/>
    <m/>
    <n v="5"/>
    <m/>
    <m/>
    <m/>
    <n v="18"/>
    <m/>
    <m/>
    <m/>
    <m/>
    <m/>
    <m/>
    <m/>
    <x v="1"/>
    <x v="3"/>
    <m/>
    <m/>
    <m/>
    <m/>
    <m/>
    <m/>
    <n v="3"/>
    <m/>
    <n v="2"/>
    <n v="2"/>
    <m/>
    <m/>
    <m/>
    <n v="10"/>
    <n v="18"/>
    <m/>
    <m/>
    <m/>
    <m/>
    <m/>
    <m/>
    <m/>
    <m/>
    <m/>
    <m/>
    <m/>
    <m/>
    <m/>
    <m/>
    <m/>
    <s v="no test"/>
    <s v="no test"/>
    <s v="No Test"/>
    <n v="2"/>
    <n v="0"/>
    <n v="0"/>
    <n v="0"/>
    <n v="0"/>
    <n v="0"/>
    <n v="0"/>
    <n v="1"/>
    <n v="1"/>
    <n v="1"/>
    <n v="412"/>
    <n v="0"/>
    <n v="0"/>
    <n v="1"/>
    <n v="412"/>
    <n v="0.82399999999999995"/>
    <n v="0"/>
    <n v="0"/>
    <n v="0.17600000000000005"/>
    <n v="1"/>
    <n v="18"/>
    <n v="0.87378640776699024"/>
    <n v="360"/>
    <n v="0"/>
    <n v="0"/>
    <n v="0"/>
    <n v="21"/>
    <n v="3"/>
    <n v="0.12621359223300976"/>
    <n v="0"/>
    <n v="0"/>
    <n v="50"/>
    <n v="18"/>
    <n v="50"/>
    <n v="50"/>
    <n v="0.12135922330097088"/>
    <n v="0.87864077669902918"/>
    <n v="0"/>
    <n v="0.48192771084337349"/>
    <n v="0.21686746987951808"/>
    <n v="3"/>
    <n v="60"/>
    <n v="0"/>
    <n v="300"/>
    <s v="No"/>
    <s v=""/>
    <n v="0"/>
    <n v="0"/>
    <n v="0"/>
    <n v="0"/>
    <s v="KMSS-MYT"/>
    <x v="0"/>
    <x v="1"/>
    <x v="0"/>
    <n v="25.383058999999999"/>
    <n v="97.014313000000001"/>
    <s v="MMR001CMP260"/>
    <x v="0"/>
    <m/>
    <n v="83"/>
    <n v="422"/>
  </r>
  <r>
    <x v="0"/>
    <x v="5"/>
    <x v="2"/>
    <s v="UNICEF"/>
    <x v="1"/>
    <x v="6"/>
    <x v="0"/>
    <x v="53"/>
    <n v="11"/>
    <n v="68"/>
    <d v="2021-08-06T00:00:00"/>
    <d v="2022-08-05T00:00:00"/>
    <m/>
    <m/>
    <m/>
    <m/>
    <s v="Yes"/>
    <m/>
    <n v="8"/>
    <n v="1"/>
    <m/>
    <m/>
    <m/>
    <m/>
    <m/>
    <m/>
    <m/>
    <m/>
    <m/>
    <m/>
    <m/>
    <m/>
    <m/>
    <m/>
    <m/>
    <m/>
    <m/>
    <m/>
    <n v="4"/>
    <m/>
    <m/>
    <m/>
    <n v="7"/>
    <m/>
    <m/>
    <m/>
    <m/>
    <m/>
    <m/>
    <m/>
    <x v="1"/>
    <x v="1"/>
    <n v="1"/>
    <m/>
    <m/>
    <m/>
    <m/>
    <m/>
    <n v="7"/>
    <m/>
    <m/>
    <n v="7"/>
    <m/>
    <m/>
    <n v="1"/>
    <n v="104"/>
    <n v="148"/>
    <m/>
    <m/>
    <m/>
    <m/>
    <m/>
    <m/>
    <m/>
    <m/>
    <m/>
    <m/>
    <m/>
    <m/>
    <m/>
    <m/>
    <m/>
    <s v="no test"/>
    <s v="no test"/>
    <s v="No Test"/>
    <n v="1"/>
    <n v="0"/>
    <n v="0"/>
    <n v="0"/>
    <n v="0"/>
    <n v="0"/>
    <n v="0"/>
    <n v="1"/>
    <n v="1"/>
    <n v="1"/>
    <n v="68"/>
    <n v="0"/>
    <n v="0"/>
    <n v="1"/>
    <n v="68"/>
    <n v="0.13600000000000001"/>
    <n v="0"/>
    <n v="0"/>
    <n v="0.86399999999999999"/>
    <n v="1"/>
    <n v="7"/>
    <n v="1"/>
    <n v="68"/>
    <n v="0"/>
    <n v="0"/>
    <n v="0"/>
    <n v="3"/>
    <n v="0"/>
    <n v="0"/>
    <n v="0"/>
    <n v="68"/>
    <n v="68"/>
    <n v="68"/>
    <n v="68"/>
    <n v="68"/>
    <n v="1"/>
    <n v="0"/>
    <n v="1"/>
    <n v="1"/>
    <n v="1"/>
    <n v="7"/>
    <n v="11"/>
    <n v="0"/>
    <n v="68"/>
    <s v="No"/>
    <s v=""/>
    <n v="0"/>
    <n v="0"/>
    <n v="0"/>
    <s v="Yes"/>
    <s v="KMSS-MYT"/>
    <x v="0"/>
    <x v="3"/>
    <x v="0"/>
    <n v="24.764800000000001"/>
    <n v="96.367059999999995"/>
    <s v="MMR001CMP080"/>
    <x v="0"/>
    <m/>
    <n v="11"/>
    <n v="68"/>
  </r>
  <r>
    <x v="0"/>
    <x v="5"/>
    <x v="2"/>
    <s v="UNICEF"/>
    <x v="1"/>
    <x v="7"/>
    <x v="0"/>
    <x v="54"/>
    <n v="70"/>
    <n v="394"/>
    <d v="2021-08-06T00:00:00"/>
    <d v="2022-08-05T00:00:00"/>
    <m/>
    <m/>
    <m/>
    <m/>
    <s v="Yes"/>
    <n v="8"/>
    <n v="3"/>
    <m/>
    <m/>
    <m/>
    <m/>
    <m/>
    <m/>
    <m/>
    <m/>
    <m/>
    <m/>
    <m/>
    <m/>
    <m/>
    <m/>
    <m/>
    <m/>
    <m/>
    <m/>
    <m/>
    <n v="4"/>
    <m/>
    <m/>
    <m/>
    <n v="86"/>
    <m/>
    <m/>
    <m/>
    <m/>
    <m/>
    <m/>
    <m/>
    <x v="1"/>
    <x v="1"/>
    <n v="1"/>
    <m/>
    <m/>
    <m/>
    <m/>
    <m/>
    <n v="8"/>
    <m/>
    <m/>
    <n v="3"/>
    <m/>
    <m/>
    <n v="2"/>
    <n v="91"/>
    <n v="124"/>
    <m/>
    <m/>
    <m/>
    <m/>
    <m/>
    <m/>
    <m/>
    <m/>
    <m/>
    <m/>
    <m/>
    <m/>
    <m/>
    <m/>
    <m/>
    <s v="no test"/>
    <s v="no test"/>
    <s v="No Test"/>
    <n v="0"/>
    <n v="0"/>
    <n v="0"/>
    <n v="0"/>
    <n v="0"/>
    <n v="0"/>
    <n v="0"/>
    <n v="0"/>
    <n v="0"/>
    <n v="0"/>
    <n v="0"/>
    <n v="0"/>
    <n v="0"/>
    <n v="0"/>
    <n v="0"/>
    <n v="0"/>
    <n v="1"/>
    <n v="394"/>
    <n v="1"/>
    <n v="1"/>
    <n v="86"/>
    <n v="1"/>
    <n v="394"/>
    <n v="0"/>
    <n v="0"/>
    <n v="0"/>
    <n v="20"/>
    <n v="0"/>
    <n v="0"/>
    <n v="0"/>
    <n v="394"/>
    <n v="394"/>
    <n v="124"/>
    <n v="394"/>
    <n v="394"/>
    <n v="1"/>
    <n v="0"/>
    <n v="1"/>
    <n v="1"/>
    <n v="1"/>
    <n v="8"/>
    <n v="70"/>
    <n v="0"/>
    <n v="394"/>
    <s v="No"/>
    <s v=""/>
    <n v="0"/>
    <n v="0"/>
    <n v="0"/>
    <s v="Yes"/>
    <s v="KMSS-MYT"/>
    <x v="0"/>
    <x v="1"/>
    <x v="1"/>
    <n v="24.461033"/>
    <n v="97.537099999999995"/>
    <s v="MMR001CMP123"/>
    <x v="0"/>
    <m/>
    <n v="72"/>
    <n v="404"/>
  </r>
  <r>
    <x v="0"/>
    <x v="5"/>
    <x v="2"/>
    <s v="UNICEF"/>
    <x v="1"/>
    <x v="8"/>
    <x v="0"/>
    <x v="55"/>
    <n v="76"/>
    <n v="398"/>
    <d v="2021-08-06T00:00:00"/>
    <d v="2022-08-05T00:00:00"/>
    <m/>
    <n v="2"/>
    <m/>
    <m/>
    <s v="Yes"/>
    <n v="1"/>
    <n v="8"/>
    <n v="1"/>
    <m/>
    <m/>
    <m/>
    <m/>
    <m/>
    <m/>
    <m/>
    <m/>
    <m/>
    <m/>
    <m/>
    <m/>
    <m/>
    <m/>
    <m/>
    <m/>
    <m/>
    <m/>
    <n v="5"/>
    <m/>
    <m/>
    <m/>
    <n v="22"/>
    <m/>
    <m/>
    <m/>
    <m/>
    <m/>
    <m/>
    <m/>
    <x v="1"/>
    <x v="1"/>
    <n v="1"/>
    <m/>
    <m/>
    <m/>
    <m/>
    <m/>
    <n v="7"/>
    <m/>
    <m/>
    <n v="7"/>
    <m/>
    <m/>
    <n v="2"/>
    <n v="104"/>
    <n v="148"/>
    <m/>
    <n v="100"/>
    <n v="0.5"/>
    <m/>
    <m/>
    <m/>
    <m/>
    <m/>
    <m/>
    <m/>
    <m/>
    <m/>
    <m/>
    <m/>
    <m/>
    <s v="no test"/>
    <s v="no test"/>
    <s v="No Test"/>
    <n v="1"/>
    <n v="0"/>
    <n v="0"/>
    <n v="0"/>
    <n v="0"/>
    <n v="0"/>
    <n v="0"/>
    <n v="1"/>
    <n v="0.62814070351758799"/>
    <n v="1"/>
    <n v="398"/>
    <n v="0"/>
    <n v="0"/>
    <n v="1"/>
    <n v="398"/>
    <n v="0.79600000000000004"/>
    <n v="0"/>
    <n v="0"/>
    <n v="0.20399999999999996"/>
    <n v="1"/>
    <n v="22"/>
    <n v="1"/>
    <n v="398"/>
    <n v="0"/>
    <n v="0"/>
    <n v="0"/>
    <n v="20"/>
    <n v="0"/>
    <n v="0"/>
    <n v="0"/>
    <n v="398"/>
    <n v="398"/>
    <n v="148"/>
    <n v="398"/>
    <n v="398"/>
    <n v="1"/>
    <n v="0"/>
    <n v="1"/>
    <n v="1"/>
    <n v="1"/>
    <n v="7"/>
    <n v="76"/>
    <n v="0"/>
    <n v="398"/>
    <s v="No"/>
    <s v=""/>
    <n v="0"/>
    <n v="0"/>
    <n v="0"/>
    <s v="Yes"/>
    <s v="KMSS-MYT"/>
    <x v="0"/>
    <x v="1"/>
    <x v="0"/>
    <n v="25.403476999999999"/>
    <n v="97.373361000000003"/>
    <s v="MMR001CMP019"/>
    <x v="0"/>
    <m/>
    <n v="73"/>
    <n v="387"/>
  </r>
  <r>
    <x v="0"/>
    <x v="5"/>
    <x v="2"/>
    <s v="UNICEF"/>
    <x v="1"/>
    <x v="8"/>
    <x v="0"/>
    <x v="56"/>
    <n v="14"/>
    <n v="43"/>
    <d v="2021-08-06T00:00:00"/>
    <d v="2022-08-05T00:00:00"/>
    <m/>
    <n v="1"/>
    <m/>
    <m/>
    <s v="Yes"/>
    <n v="1"/>
    <n v="2"/>
    <m/>
    <m/>
    <m/>
    <n v="1"/>
    <m/>
    <m/>
    <m/>
    <m/>
    <m/>
    <m/>
    <m/>
    <m/>
    <m/>
    <m/>
    <m/>
    <m/>
    <m/>
    <m/>
    <m/>
    <n v="4"/>
    <m/>
    <m/>
    <m/>
    <n v="4"/>
    <m/>
    <m/>
    <m/>
    <m/>
    <m/>
    <m/>
    <m/>
    <x v="1"/>
    <x v="1"/>
    <m/>
    <m/>
    <m/>
    <m/>
    <m/>
    <m/>
    <n v="7"/>
    <m/>
    <m/>
    <n v="4"/>
    <m/>
    <m/>
    <m/>
    <n v="124"/>
    <n v="198"/>
    <m/>
    <n v="100"/>
    <n v="0.5"/>
    <m/>
    <m/>
    <m/>
    <m/>
    <m/>
    <m/>
    <m/>
    <m/>
    <m/>
    <m/>
    <m/>
    <m/>
    <s v="no test"/>
    <s v="no test"/>
    <s v="No Test"/>
    <n v="0"/>
    <n v="1"/>
    <n v="0"/>
    <n v="0"/>
    <n v="0"/>
    <n v="0"/>
    <n v="0"/>
    <n v="1"/>
    <n v="1"/>
    <n v="1"/>
    <n v="43"/>
    <n v="0"/>
    <n v="0"/>
    <n v="1"/>
    <n v="43"/>
    <n v="8.5999999999999993E-2"/>
    <n v="0"/>
    <n v="0"/>
    <n v="0.91400000000000003"/>
    <n v="1"/>
    <n v="4"/>
    <n v="1"/>
    <n v="43"/>
    <n v="0"/>
    <n v="0"/>
    <n v="0"/>
    <n v="2"/>
    <n v="0"/>
    <n v="0"/>
    <n v="0"/>
    <n v="0"/>
    <n v="43"/>
    <n v="43"/>
    <n v="43"/>
    <n v="43"/>
    <n v="1"/>
    <n v="0"/>
    <n v="0"/>
    <n v="1"/>
    <n v="1"/>
    <n v="7"/>
    <n v="14"/>
    <n v="0"/>
    <n v="43"/>
    <s v="No"/>
    <s v=""/>
    <n v="0"/>
    <n v="0"/>
    <n v="0"/>
    <n v="0"/>
    <s v="KMSS-MYT"/>
    <x v="0"/>
    <x v="1"/>
    <x v="0"/>
    <n v="25.244700000000002"/>
    <n v="97.2209"/>
    <s v="MMR001CMP256"/>
    <x v="0"/>
    <m/>
    <n v="18"/>
    <n v="60"/>
  </r>
  <r>
    <x v="0"/>
    <x v="5"/>
    <x v="2"/>
    <s v="UNICEF"/>
    <x v="1"/>
    <x v="8"/>
    <x v="0"/>
    <x v="57"/>
    <n v="63"/>
    <n v="309"/>
    <d v="2021-08-06T00:00:00"/>
    <d v="2022-08-05T00:00:00"/>
    <m/>
    <m/>
    <m/>
    <m/>
    <s v="Yes"/>
    <n v="2"/>
    <n v="9"/>
    <m/>
    <m/>
    <m/>
    <n v="4"/>
    <m/>
    <m/>
    <m/>
    <m/>
    <m/>
    <m/>
    <m/>
    <m/>
    <m/>
    <m/>
    <m/>
    <m/>
    <m/>
    <m/>
    <m/>
    <n v="4"/>
    <m/>
    <m/>
    <m/>
    <n v="20"/>
    <m/>
    <m/>
    <m/>
    <m/>
    <m/>
    <m/>
    <m/>
    <x v="1"/>
    <x v="1"/>
    <n v="1"/>
    <m/>
    <m/>
    <m/>
    <m/>
    <m/>
    <n v="7"/>
    <m/>
    <m/>
    <n v="7"/>
    <m/>
    <n v="1"/>
    <n v="1"/>
    <n v="104"/>
    <n v="148"/>
    <m/>
    <m/>
    <m/>
    <m/>
    <m/>
    <m/>
    <m/>
    <m/>
    <m/>
    <m/>
    <m/>
    <m/>
    <m/>
    <m/>
    <m/>
    <s v="no test"/>
    <s v="no test"/>
    <s v="No Test"/>
    <n v="0"/>
    <n v="4"/>
    <n v="0"/>
    <n v="0"/>
    <n v="0"/>
    <n v="0"/>
    <n v="0"/>
    <n v="1"/>
    <n v="1"/>
    <n v="1"/>
    <n v="309"/>
    <n v="0"/>
    <n v="0"/>
    <n v="1"/>
    <n v="309"/>
    <n v="0.61799999999999999"/>
    <n v="0"/>
    <n v="0"/>
    <n v="0.38200000000000001"/>
    <n v="1"/>
    <n v="20"/>
    <n v="1"/>
    <n v="309"/>
    <n v="0"/>
    <n v="0"/>
    <n v="0"/>
    <n v="15"/>
    <n v="0"/>
    <n v="0"/>
    <n v="0"/>
    <n v="309"/>
    <n v="309"/>
    <n v="148"/>
    <n v="309"/>
    <n v="309"/>
    <n v="1"/>
    <n v="0"/>
    <n v="1"/>
    <n v="1"/>
    <n v="1"/>
    <n v="7"/>
    <n v="63"/>
    <n v="0"/>
    <n v="309"/>
    <s v="No"/>
    <s v=""/>
    <n v="0"/>
    <n v="0"/>
    <n v="0"/>
    <s v="Yes"/>
    <s v="KMSS-MYT"/>
    <x v="0"/>
    <x v="1"/>
    <x v="0"/>
    <n v="25.410569299999999"/>
    <n v="97.359320179999997"/>
    <s v="MMR001CMP024"/>
    <x v="0"/>
    <m/>
    <n v="61"/>
    <n v="290"/>
  </r>
  <r>
    <x v="0"/>
    <x v="5"/>
    <x v="2"/>
    <s v="UNICEF"/>
    <x v="1"/>
    <x v="8"/>
    <x v="0"/>
    <x v="58"/>
    <n v="141"/>
    <n v="895"/>
    <d v="2021-08-06T00:00:00"/>
    <d v="2022-08-05T00:00:00"/>
    <m/>
    <n v="2"/>
    <m/>
    <m/>
    <s v="Yes"/>
    <n v="1"/>
    <n v="4"/>
    <n v="4"/>
    <m/>
    <m/>
    <n v="2"/>
    <m/>
    <m/>
    <m/>
    <m/>
    <m/>
    <m/>
    <m/>
    <m/>
    <m/>
    <m/>
    <m/>
    <m/>
    <m/>
    <m/>
    <m/>
    <n v="12"/>
    <m/>
    <m/>
    <m/>
    <n v="33"/>
    <m/>
    <m/>
    <m/>
    <m/>
    <m/>
    <m/>
    <n v="8"/>
    <x v="1"/>
    <x v="1"/>
    <n v="1"/>
    <m/>
    <m/>
    <m/>
    <m/>
    <m/>
    <n v="3"/>
    <m/>
    <m/>
    <n v="2"/>
    <m/>
    <n v="1"/>
    <n v="2"/>
    <n v="88"/>
    <n v="100"/>
    <m/>
    <m/>
    <m/>
    <m/>
    <m/>
    <m/>
    <m/>
    <m/>
    <m/>
    <m/>
    <m/>
    <m/>
    <m/>
    <m/>
    <m/>
    <s v="no test"/>
    <s v="no test"/>
    <s v="No Test"/>
    <n v="4"/>
    <n v="2"/>
    <n v="0"/>
    <n v="0"/>
    <n v="0"/>
    <n v="0"/>
    <n v="0"/>
    <n v="1"/>
    <n v="1"/>
    <n v="1"/>
    <n v="895"/>
    <n v="0"/>
    <n v="0"/>
    <n v="1"/>
    <n v="895"/>
    <n v="1.79"/>
    <n v="0"/>
    <n v="0"/>
    <n v="0.20999999999999996"/>
    <n v="2"/>
    <n v="33"/>
    <n v="0.75977653631284914"/>
    <n v="680"/>
    <n v="0"/>
    <n v="0"/>
    <n v="0"/>
    <n v="45"/>
    <n v="12"/>
    <n v="0.24022346368715086"/>
    <n v="0"/>
    <n v="895"/>
    <n v="440"/>
    <n v="100"/>
    <n v="440"/>
    <n v="895"/>
    <n v="1"/>
    <n v="0"/>
    <n v="1"/>
    <n v="1"/>
    <n v="0.70921985815602839"/>
    <n v="3"/>
    <n v="60"/>
    <n v="0"/>
    <n v="300"/>
    <s v="No"/>
    <s v=""/>
    <n v="0"/>
    <n v="0"/>
    <n v="0"/>
    <s v="Yes"/>
    <s v="KMSS-MYT"/>
    <x v="0"/>
    <x v="1"/>
    <x v="0"/>
    <n v="25.493819999999999"/>
    <n v="97.4345"/>
    <s v="MMR001CMP162"/>
    <x v="0"/>
    <m/>
    <n v="152"/>
    <n v="941"/>
  </r>
  <r>
    <x v="0"/>
    <x v="5"/>
    <x v="2"/>
    <s v="UNICEF"/>
    <x v="1"/>
    <x v="8"/>
    <x v="0"/>
    <x v="59"/>
    <n v="247"/>
    <n v="1365"/>
    <d v="2021-08-06T00:00:00"/>
    <d v="2022-08-05T00:00:00"/>
    <m/>
    <n v="2"/>
    <m/>
    <m/>
    <s v="Yes"/>
    <n v="2"/>
    <n v="4"/>
    <n v="4"/>
    <m/>
    <m/>
    <m/>
    <m/>
    <m/>
    <m/>
    <m/>
    <m/>
    <m/>
    <m/>
    <m/>
    <m/>
    <m/>
    <m/>
    <m/>
    <m/>
    <m/>
    <m/>
    <m/>
    <m/>
    <m/>
    <m/>
    <n v="66"/>
    <m/>
    <m/>
    <m/>
    <m/>
    <m/>
    <m/>
    <m/>
    <x v="1"/>
    <x v="1"/>
    <n v="1"/>
    <m/>
    <m/>
    <m/>
    <m/>
    <m/>
    <n v="3"/>
    <m/>
    <n v="7"/>
    <n v="2"/>
    <m/>
    <m/>
    <m/>
    <n v="10"/>
    <n v="18"/>
    <m/>
    <m/>
    <m/>
    <m/>
    <m/>
    <m/>
    <m/>
    <m/>
    <m/>
    <m/>
    <m/>
    <m/>
    <m/>
    <m/>
    <m/>
    <s v="no test"/>
    <s v="no test"/>
    <s v="No Test"/>
    <n v="4"/>
    <n v="0"/>
    <n v="0"/>
    <n v="0"/>
    <n v="0"/>
    <n v="0"/>
    <n v="0"/>
    <n v="1"/>
    <n v="0.73260073260073255"/>
    <n v="1"/>
    <n v="1365"/>
    <n v="0"/>
    <n v="0"/>
    <n v="1"/>
    <n v="1365"/>
    <n v="2.73"/>
    <n v="0"/>
    <n v="0"/>
    <n v="0.27"/>
    <n v="3"/>
    <n v="66"/>
    <n v="0.98168498168498164"/>
    <n v="1340"/>
    <n v="0"/>
    <n v="0"/>
    <n v="0"/>
    <n v="68"/>
    <n v="2"/>
    <n v="1.8315018315018361E-2"/>
    <n v="0"/>
    <n v="0"/>
    <n v="50"/>
    <n v="18"/>
    <n v="50"/>
    <n v="50"/>
    <n v="3.6630036630036632E-2"/>
    <n v="0.96336996336996339"/>
    <n v="0"/>
    <n v="0.16194331983805668"/>
    <n v="7.28744939271255E-2"/>
    <n v="3"/>
    <n v="60"/>
    <n v="0"/>
    <n v="300"/>
    <s v="No"/>
    <s v=""/>
    <n v="0"/>
    <n v="0"/>
    <n v="0"/>
    <s v="Yes"/>
    <s v="KMSS-MYT"/>
    <x v="0"/>
    <x v="1"/>
    <x v="0"/>
    <n v="25.493819999999999"/>
    <n v="97.4345"/>
    <s v="MMR001CMP271"/>
    <x v="0"/>
    <m/>
    <n v="215"/>
    <n v="1188"/>
  </r>
  <r>
    <x v="0"/>
    <x v="5"/>
    <x v="2"/>
    <s v="UNICEF"/>
    <x v="1"/>
    <x v="8"/>
    <x v="1"/>
    <x v="60"/>
    <n v="26"/>
    <n v="143"/>
    <d v="2021-08-06T00:00:00"/>
    <d v="2022-08-05T00:00:00"/>
    <m/>
    <n v="1"/>
    <m/>
    <m/>
    <s v="Yes"/>
    <n v="2"/>
    <n v="2"/>
    <m/>
    <m/>
    <m/>
    <n v="2"/>
    <m/>
    <m/>
    <m/>
    <m/>
    <m/>
    <m/>
    <m/>
    <m/>
    <m/>
    <m/>
    <n v="26"/>
    <m/>
    <m/>
    <m/>
    <m/>
    <n v="3"/>
    <m/>
    <m/>
    <m/>
    <n v="6"/>
    <m/>
    <m/>
    <m/>
    <m/>
    <m/>
    <m/>
    <m/>
    <x v="1"/>
    <x v="0"/>
    <m/>
    <m/>
    <m/>
    <m/>
    <m/>
    <m/>
    <n v="1"/>
    <m/>
    <m/>
    <n v="3"/>
    <m/>
    <m/>
    <n v="1"/>
    <n v="41"/>
    <n v="85"/>
    <m/>
    <m/>
    <m/>
    <m/>
    <m/>
    <m/>
    <m/>
    <m/>
    <m/>
    <m/>
    <m/>
    <m/>
    <m/>
    <m/>
    <m/>
    <s v="no test"/>
    <s v="no test"/>
    <s v="No Test"/>
    <n v="0"/>
    <n v="2"/>
    <n v="0"/>
    <n v="0"/>
    <n v="0"/>
    <n v="0"/>
    <n v="0"/>
    <n v="1"/>
    <n v="1"/>
    <n v="1"/>
    <n v="143"/>
    <n v="0"/>
    <n v="0"/>
    <n v="1"/>
    <n v="143"/>
    <n v="0.28599999999999998"/>
    <n v="0"/>
    <n v="0"/>
    <n v="0.71399999999999997"/>
    <n v="1"/>
    <n v="6"/>
    <n v="0.83916083916083917"/>
    <n v="120"/>
    <n v="0"/>
    <n v="0"/>
    <n v="0"/>
    <n v="7"/>
    <n v="1"/>
    <n v="0.16083916083916083"/>
    <n v="0"/>
    <n v="143"/>
    <n v="143"/>
    <n v="85"/>
    <n v="143"/>
    <n v="143"/>
    <n v="1"/>
    <n v="0"/>
    <n v="1"/>
    <n v="1"/>
    <n v="1"/>
    <n v="1"/>
    <n v="20"/>
    <n v="0"/>
    <n v="100"/>
    <s v="No"/>
    <s v=""/>
    <n v="0"/>
    <n v="0"/>
    <n v="0"/>
    <n v="0"/>
    <n v="0"/>
    <x v="0"/>
    <x v="1"/>
    <x v="0"/>
    <n v="0"/>
    <n v="0"/>
    <n v="0"/>
    <x v="0"/>
    <m/>
    <n v="0"/>
    <n v="0"/>
  </r>
  <r>
    <x v="0"/>
    <x v="5"/>
    <x v="2"/>
    <s v="UNICEF"/>
    <x v="1"/>
    <x v="12"/>
    <x v="0"/>
    <x v="61"/>
    <n v="133"/>
    <n v="622"/>
    <d v="2021-08-06T00:00:00"/>
    <d v="2022-08-05T00:00:00"/>
    <m/>
    <n v="1"/>
    <m/>
    <m/>
    <s v="Yes"/>
    <n v="4"/>
    <n v="2"/>
    <n v="1"/>
    <m/>
    <m/>
    <n v="1"/>
    <m/>
    <m/>
    <m/>
    <m/>
    <m/>
    <m/>
    <m/>
    <m/>
    <m/>
    <m/>
    <m/>
    <m/>
    <m/>
    <m/>
    <m/>
    <n v="5"/>
    <m/>
    <m/>
    <m/>
    <m/>
    <m/>
    <m/>
    <m/>
    <m/>
    <m/>
    <m/>
    <m/>
    <x v="1"/>
    <x v="1"/>
    <m/>
    <m/>
    <m/>
    <m/>
    <m/>
    <m/>
    <n v="8"/>
    <m/>
    <m/>
    <n v="3"/>
    <m/>
    <m/>
    <m/>
    <n v="91"/>
    <n v="124"/>
    <m/>
    <n v="100"/>
    <n v="0.25"/>
    <m/>
    <m/>
    <m/>
    <m/>
    <m/>
    <m/>
    <m/>
    <m/>
    <m/>
    <m/>
    <m/>
    <m/>
    <s v="no test"/>
    <s v="no test"/>
    <s v="No Test"/>
    <n v="1"/>
    <n v="1"/>
    <n v="0"/>
    <n v="0"/>
    <n v="0"/>
    <n v="0"/>
    <n v="0"/>
    <n v="1"/>
    <n v="0.8038585209003215"/>
    <n v="1"/>
    <n v="622"/>
    <n v="0"/>
    <n v="0"/>
    <n v="1"/>
    <n v="622"/>
    <n v="1.244"/>
    <n v="0"/>
    <n v="0"/>
    <n v="0"/>
    <n v="1"/>
    <n v="0"/>
    <n v="0"/>
    <n v="0"/>
    <n v="0"/>
    <n v="0"/>
    <n v="0"/>
    <n v="31"/>
    <n v="31"/>
    <n v="1"/>
    <n v="0"/>
    <n v="0"/>
    <n v="455"/>
    <n v="124"/>
    <n v="455"/>
    <n v="455"/>
    <n v="0.73151125401929262"/>
    <n v="0.26848874598070738"/>
    <n v="0"/>
    <n v="1"/>
    <n v="0.93233082706766912"/>
    <n v="8"/>
    <n v="133"/>
    <n v="0"/>
    <n v="622"/>
    <s v="No"/>
    <s v=""/>
    <n v="0"/>
    <n v="0"/>
    <n v="0"/>
    <s v="Yes"/>
    <s v="KMSS-MYT"/>
    <x v="0"/>
    <x v="1"/>
    <x v="0"/>
    <n v="26.350176000000001"/>
    <n v="96.711387999999999"/>
    <s v="MMR001CMP251"/>
    <x v="0"/>
    <m/>
    <n v="133"/>
    <n v="622"/>
  </r>
  <r>
    <x v="0"/>
    <x v="5"/>
    <x v="2"/>
    <s v="UNICEF"/>
    <x v="1"/>
    <x v="12"/>
    <x v="0"/>
    <x v="62"/>
    <n v="34"/>
    <n v="153"/>
    <d v="2021-08-06T00:00:00"/>
    <d v="2022-08-05T00:00:00"/>
    <m/>
    <n v="1"/>
    <m/>
    <m/>
    <s v="Yes"/>
    <n v="4"/>
    <n v="1"/>
    <m/>
    <m/>
    <m/>
    <n v="2"/>
    <m/>
    <m/>
    <m/>
    <m/>
    <m/>
    <m/>
    <m/>
    <m/>
    <m/>
    <m/>
    <m/>
    <m/>
    <m/>
    <m/>
    <m/>
    <n v="5"/>
    <m/>
    <m/>
    <m/>
    <m/>
    <m/>
    <m/>
    <m/>
    <m/>
    <m/>
    <m/>
    <m/>
    <x v="1"/>
    <x v="0"/>
    <m/>
    <m/>
    <m/>
    <m/>
    <m/>
    <m/>
    <n v="7"/>
    <m/>
    <n v="2"/>
    <n v="4"/>
    <m/>
    <m/>
    <m/>
    <n v="124"/>
    <n v="198"/>
    <m/>
    <n v="50"/>
    <n v="0.25"/>
    <m/>
    <m/>
    <m/>
    <m/>
    <m/>
    <m/>
    <m/>
    <m/>
    <m/>
    <m/>
    <m/>
    <m/>
    <s v="no test"/>
    <s v="no test"/>
    <s v="No Test"/>
    <n v="0"/>
    <n v="2"/>
    <n v="0"/>
    <n v="0"/>
    <n v="0"/>
    <n v="0"/>
    <n v="0"/>
    <n v="1"/>
    <n v="1"/>
    <n v="1"/>
    <n v="153"/>
    <n v="0"/>
    <n v="0"/>
    <n v="1"/>
    <n v="153"/>
    <n v="0.30599999999999999"/>
    <n v="0"/>
    <n v="0"/>
    <n v="0.69399999999999995"/>
    <n v="1"/>
    <n v="0"/>
    <n v="0"/>
    <n v="0"/>
    <n v="0"/>
    <n v="0"/>
    <n v="0"/>
    <n v="8"/>
    <n v="8"/>
    <n v="1"/>
    <n v="0"/>
    <n v="0"/>
    <n v="153"/>
    <n v="153"/>
    <n v="153"/>
    <n v="153"/>
    <n v="1"/>
    <n v="0"/>
    <n v="0"/>
    <n v="1"/>
    <n v="1"/>
    <n v="7"/>
    <n v="34"/>
    <n v="0"/>
    <n v="153"/>
    <s v="No"/>
    <s v=""/>
    <n v="0"/>
    <n v="0"/>
    <n v="0"/>
    <s v="Yes"/>
    <s v="KMSS-MYT"/>
    <x v="0"/>
    <x v="1"/>
    <x v="0"/>
    <n v="26.351690999999999"/>
    <n v="96.690871999999999"/>
    <s v="MMR001CMP254"/>
    <x v="0"/>
    <m/>
    <n v="35"/>
    <n v="161"/>
  </r>
  <r>
    <x v="0"/>
    <x v="5"/>
    <x v="2"/>
    <s v="UNICEF"/>
    <x v="1"/>
    <x v="13"/>
    <x v="0"/>
    <x v="63"/>
    <n v="119"/>
    <n v="421"/>
    <d v="2021-08-06T00:00:00"/>
    <d v="2022-08-05T00:00:00"/>
    <m/>
    <m/>
    <m/>
    <m/>
    <s v="Yes"/>
    <n v="4"/>
    <n v="3"/>
    <m/>
    <m/>
    <m/>
    <m/>
    <m/>
    <m/>
    <m/>
    <m/>
    <m/>
    <m/>
    <m/>
    <m/>
    <m/>
    <m/>
    <m/>
    <m/>
    <m/>
    <m/>
    <m/>
    <n v="4"/>
    <m/>
    <m/>
    <m/>
    <n v="90"/>
    <m/>
    <m/>
    <m/>
    <m/>
    <m/>
    <m/>
    <m/>
    <x v="1"/>
    <x v="1"/>
    <m/>
    <m/>
    <m/>
    <m/>
    <m/>
    <m/>
    <n v="1"/>
    <m/>
    <m/>
    <n v="1"/>
    <m/>
    <m/>
    <n v="2"/>
    <n v="6"/>
    <n v="5"/>
    <m/>
    <m/>
    <m/>
    <m/>
    <m/>
    <m/>
    <m/>
    <m/>
    <m/>
    <m/>
    <m/>
    <m/>
    <m/>
    <m/>
    <m/>
    <s v="no test"/>
    <s v="no test"/>
    <s v="No Test"/>
    <n v="0"/>
    <n v="0"/>
    <n v="0"/>
    <n v="0"/>
    <n v="0"/>
    <n v="0"/>
    <n v="0"/>
    <n v="0"/>
    <n v="0"/>
    <n v="0"/>
    <n v="0"/>
    <n v="0"/>
    <n v="0"/>
    <n v="0"/>
    <n v="0"/>
    <n v="0"/>
    <n v="1"/>
    <n v="421"/>
    <n v="1"/>
    <n v="1"/>
    <n v="90"/>
    <n v="1"/>
    <n v="421"/>
    <n v="0"/>
    <n v="0"/>
    <n v="0"/>
    <n v="21"/>
    <n v="0"/>
    <n v="0"/>
    <n v="0"/>
    <n v="421"/>
    <n v="30"/>
    <n v="5"/>
    <n v="30"/>
    <n v="421"/>
    <n v="1"/>
    <n v="0"/>
    <n v="1"/>
    <n v="5.0420168067226892E-2"/>
    <n v="4.2016806722689079E-2"/>
    <n v="1"/>
    <n v="20"/>
    <n v="0"/>
    <n v="100"/>
    <s v="No"/>
    <s v=""/>
    <n v="0"/>
    <n v="0"/>
    <n v="0"/>
    <s v="Yes"/>
    <s v="KMSS-MYT"/>
    <x v="0"/>
    <x v="1"/>
    <x v="1"/>
    <n v="25.220278"/>
    <n v="97.915833000000006"/>
    <s v="MMR001CMP113"/>
    <x v="0"/>
    <m/>
    <n v="118"/>
    <n v="419"/>
  </r>
  <r>
    <x v="0"/>
    <x v="5"/>
    <x v="2"/>
    <s v="UNICEF"/>
    <x v="1"/>
    <x v="13"/>
    <x v="0"/>
    <x v="64"/>
    <n v="328"/>
    <n v="1776"/>
    <d v="2021-08-06T00:00:00"/>
    <d v="2022-08-05T00:00:00"/>
    <m/>
    <n v="5"/>
    <m/>
    <m/>
    <s v="Yes"/>
    <n v="4"/>
    <n v="3"/>
    <n v="11"/>
    <m/>
    <m/>
    <m/>
    <m/>
    <m/>
    <m/>
    <m/>
    <m/>
    <m/>
    <m/>
    <m/>
    <m/>
    <m/>
    <m/>
    <m/>
    <m/>
    <m/>
    <m/>
    <n v="5"/>
    <m/>
    <m/>
    <m/>
    <n v="97"/>
    <m/>
    <m/>
    <m/>
    <m/>
    <m/>
    <m/>
    <m/>
    <x v="1"/>
    <x v="1"/>
    <m/>
    <m/>
    <m/>
    <m/>
    <m/>
    <m/>
    <n v="1"/>
    <m/>
    <m/>
    <n v="1"/>
    <m/>
    <m/>
    <m/>
    <n v="6"/>
    <n v="5"/>
    <m/>
    <n v="100"/>
    <n v="0.6"/>
    <m/>
    <m/>
    <m/>
    <m/>
    <m/>
    <m/>
    <m/>
    <m/>
    <m/>
    <m/>
    <m/>
    <m/>
    <s v="no test"/>
    <s v="no test"/>
    <s v="No Test"/>
    <n v="11"/>
    <n v="0"/>
    <n v="0"/>
    <n v="0"/>
    <n v="0"/>
    <n v="0"/>
    <n v="0"/>
    <n v="1"/>
    <n v="1"/>
    <n v="1"/>
    <n v="1776"/>
    <n v="0"/>
    <n v="0"/>
    <n v="1"/>
    <n v="1776"/>
    <n v="3.552"/>
    <n v="0"/>
    <n v="0"/>
    <n v="0.44799999999999995"/>
    <n v="4"/>
    <n v="97"/>
    <n v="1"/>
    <n v="1776"/>
    <n v="0"/>
    <n v="0"/>
    <n v="0"/>
    <n v="89"/>
    <n v="0"/>
    <n v="0"/>
    <n v="0"/>
    <n v="0"/>
    <n v="30"/>
    <n v="5"/>
    <n v="30"/>
    <n v="30"/>
    <n v="1.6891891891891893E-2"/>
    <n v="0.98310810810810811"/>
    <n v="0"/>
    <n v="7.3170731707317069E-2"/>
    <n v="1.524390243902439E-2"/>
    <n v="1"/>
    <n v="20"/>
    <n v="0"/>
    <n v="100"/>
    <s v="No"/>
    <s v=""/>
    <n v="0"/>
    <n v="0"/>
    <n v="0"/>
    <s v="Yes"/>
    <s v="KMSS-MYT"/>
    <x v="0"/>
    <x v="1"/>
    <x v="0"/>
    <n v="25.415667500000001"/>
    <n v="97.437782499999997"/>
    <s v="MMR001CMP029"/>
    <x v="0"/>
    <m/>
    <n v="276"/>
    <n v="1492"/>
  </r>
  <r>
    <x v="0"/>
    <x v="5"/>
    <x v="2"/>
    <s v="UNICEF"/>
    <x v="1"/>
    <x v="13"/>
    <x v="0"/>
    <x v="65"/>
    <n v="51"/>
    <n v="319"/>
    <d v="2021-08-06T00:00:00"/>
    <d v="2022-08-05T00:00:00"/>
    <m/>
    <m/>
    <m/>
    <m/>
    <s v="Yes"/>
    <n v="3"/>
    <n v="4"/>
    <n v="2"/>
    <m/>
    <m/>
    <m/>
    <m/>
    <m/>
    <m/>
    <m/>
    <m/>
    <m/>
    <m/>
    <m/>
    <m/>
    <m/>
    <m/>
    <m/>
    <m/>
    <m/>
    <m/>
    <n v="4"/>
    <m/>
    <m/>
    <m/>
    <n v="98"/>
    <m/>
    <m/>
    <m/>
    <m/>
    <m/>
    <m/>
    <m/>
    <x v="1"/>
    <x v="1"/>
    <n v="3"/>
    <m/>
    <m/>
    <m/>
    <m/>
    <m/>
    <n v="1"/>
    <m/>
    <m/>
    <n v="1"/>
    <m/>
    <n v="1"/>
    <n v="1"/>
    <n v="6"/>
    <n v="5"/>
    <m/>
    <m/>
    <m/>
    <m/>
    <m/>
    <m/>
    <m/>
    <m/>
    <m/>
    <m/>
    <m/>
    <m/>
    <m/>
    <m/>
    <m/>
    <s v="no test"/>
    <s v="no test"/>
    <s v="No Test"/>
    <n v="2"/>
    <n v="0"/>
    <n v="0"/>
    <n v="0"/>
    <n v="0"/>
    <n v="0"/>
    <n v="0"/>
    <n v="1"/>
    <n v="1"/>
    <n v="1"/>
    <n v="319"/>
    <n v="0"/>
    <n v="0"/>
    <n v="1"/>
    <n v="319"/>
    <n v="0.63800000000000001"/>
    <n v="0"/>
    <n v="0"/>
    <n v="0.36199999999999999"/>
    <n v="1"/>
    <n v="98"/>
    <n v="1"/>
    <n v="319"/>
    <n v="0"/>
    <n v="0"/>
    <n v="0"/>
    <n v="16"/>
    <n v="0"/>
    <n v="0"/>
    <n v="0"/>
    <n v="319"/>
    <n v="30"/>
    <n v="5"/>
    <n v="30"/>
    <n v="319"/>
    <n v="1"/>
    <n v="0"/>
    <n v="1"/>
    <n v="0.47058823529411764"/>
    <n v="9.8039215686274508E-2"/>
    <n v="1"/>
    <n v="20"/>
    <n v="0"/>
    <n v="100"/>
    <s v="No"/>
    <s v=""/>
    <n v="0"/>
    <n v="0"/>
    <n v="0"/>
    <n v="0"/>
    <n v="0"/>
    <x v="0"/>
    <x v="1"/>
    <x v="0"/>
    <n v="25.428995"/>
    <n v="97.957487999999998"/>
    <s v="MMR001CMP279"/>
    <x v="0"/>
    <m/>
    <n v="55"/>
    <n v="320"/>
  </r>
  <r>
    <x v="0"/>
    <x v="6"/>
    <x v="3"/>
    <s v="UNICEF,(UNICEF, USAID)"/>
    <x v="1"/>
    <x v="4"/>
    <x v="0"/>
    <x v="66"/>
    <n v="155"/>
    <n v="655"/>
    <d v="2021-08-01T00:00:00"/>
    <d v="2022-08-01T00:00:00"/>
    <m/>
    <n v="1"/>
    <m/>
    <m/>
    <s v="Yes"/>
    <m/>
    <m/>
    <m/>
    <m/>
    <m/>
    <m/>
    <n v="1"/>
    <m/>
    <m/>
    <m/>
    <m/>
    <n v="2"/>
    <m/>
    <m/>
    <m/>
    <m/>
    <m/>
    <m/>
    <m/>
    <m/>
    <m/>
    <m/>
    <m/>
    <m/>
    <m/>
    <n v="18"/>
    <m/>
    <m/>
    <m/>
    <m/>
    <m/>
    <m/>
    <m/>
    <x v="2"/>
    <x v="2"/>
    <m/>
    <m/>
    <m/>
    <m/>
    <m/>
    <m/>
    <n v="3"/>
    <m/>
    <m/>
    <n v="2"/>
    <m/>
    <m/>
    <n v="1"/>
    <n v="88"/>
    <n v="100"/>
    <m/>
    <m/>
    <m/>
    <m/>
    <m/>
    <m/>
    <m/>
    <m/>
    <m/>
    <m/>
    <m/>
    <m/>
    <m/>
    <m/>
    <m/>
    <s v="no test"/>
    <s v="no test"/>
    <s v="No Test"/>
    <n v="0"/>
    <n v="1"/>
    <n v="0"/>
    <n v="0"/>
    <n v="0"/>
    <n v="0"/>
    <n v="0"/>
    <n v="0.76335877862595425"/>
    <n v="0.38167938931297712"/>
    <n v="0.76335877862595425"/>
    <n v="500.00000000000006"/>
    <n v="0"/>
    <n v="0"/>
    <n v="0.76335877862595425"/>
    <n v="500.00000000000006"/>
    <n v="1.0000000000000002"/>
    <n v="0.23664122137404575"/>
    <n v="154.99999999999997"/>
    <n v="0"/>
    <n v="1"/>
    <n v="18"/>
    <n v="0.54961832061068705"/>
    <n v="360"/>
    <n v="0"/>
    <n v="0"/>
    <n v="0"/>
    <n v="33"/>
    <n v="15"/>
    <n v="0.45038167938931295"/>
    <n v="0"/>
    <n v="500"/>
    <n v="440"/>
    <n v="100"/>
    <n v="440"/>
    <n v="500"/>
    <n v="0.76335877862595425"/>
    <n v="0.23664122137404575"/>
    <n v="0.76335877862595425"/>
    <n v="1"/>
    <n v="0.64516129032258063"/>
    <n v="3"/>
    <n v="60"/>
    <n v="0"/>
    <n v="300"/>
    <s v="No"/>
    <s v=""/>
    <n v="0"/>
    <n v="0"/>
    <n v="0"/>
    <s v="Yes"/>
    <s v="KBC-NSS"/>
    <x v="0"/>
    <x v="1"/>
    <x v="0"/>
    <n v="23.83013"/>
    <n v="97.589979999999997"/>
    <s v="MMR001CMP133"/>
    <x v="0"/>
    <m/>
    <n v="132"/>
    <n v="630"/>
  </r>
  <r>
    <x v="0"/>
    <x v="6"/>
    <x v="3"/>
    <s v="UNICEF,(UNICEF, USAID)"/>
    <x v="1"/>
    <x v="4"/>
    <x v="0"/>
    <x v="67"/>
    <n v="119"/>
    <n v="538"/>
    <d v="2021-08-01T00:00:00"/>
    <d v="2022-08-01T00:00:00"/>
    <m/>
    <m/>
    <m/>
    <m/>
    <m/>
    <m/>
    <m/>
    <m/>
    <m/>
    <m/>
    <m/>
    <n v="2"/>
    <m/>
    <m/>
    <n v="2"/>
    <m/>
    <n v="2"/>
    <m/>
    <m/>
    <m/>
    <m/>
    <m/>
    <m/>
    <m/>
    <m/>
    <m/>
    <m/>
    <n v="4"/>
    <m/>
    <m/>
    <n v="29"/>
    <m/>
    <m/>
    <m/>
    <m/>
    <m/>
    <m/>
    <m/>
    <x v="2"/>
    <x v="2"/>
    <m/>
    <m/>
    <m/>
    <m/>
    <m/>
    <m/>
    <n v="3"/>
    <m/>
    <m/>
    <n v="2"/>
    <m/>
    <m/>
    <m/>
    <n v="10"/>
    <n v="18"/>
    <m/>
    <m/>
    <m/>
    <m/>
    <m/>
    <m/>
    <m/>
    <m/>
    <m/>
    <m/>
    <m/>
    <m/>
    <m/>
    <m/>
    <m/>
    <s v="no test"/>
    <s v="no test"/>
    <s v="No Test"/>
    <n v="0"/>
    <n v="2"/>
    <n v="2"/>
    <n v="0"/>
    <n v="0"/>
    <n v="538"/>
    <n v="0"/>
    <n v="1"/>
    <n v="1"/>
    <n v="1"/>
    <n v="538"/>
    <n v="0"/>
    <n v="0"/>
    <n v="1"/>
    <n v="538"/>
    <n v="1.0760000000000001"/>
    <n v="0"/>
    <n v="0"/>
    <n v="0"/>
    <n v="1"/>
    <n v="29"/>
    <n v="1"/>
    <n v="538"/>
    <n v="0"/>
    <n v="0"/>
    <n v="0"/>
    <n v="27"/>
    <n v="0"/>
    <n v="0"/>
    <n v="0"/>
    <n v="0"/>
    <n v="50"/>
    <n v="18"/>
    <n v="50"/>
    <n v="50"/>
    <n v="9.2936802973977689E-2"/>
    <n v="0.90706319702602234"/>
    <n v="0"/>
    <n v="0.33613445378151263"/>
    <n v="0.15126050420168066"/>
    <n v="3"/>
    <n v="60"/>
    <n v="0"/>
    <n v="300"/>
    <s v="No"/>
    <s v=""/>
    <n v="0"/>
    <n v="538"/>
    <n v="0"/>
    <s v="Yes"/>
    <s v="KBC-NSS"/>
    <x v="0"/>
    <x v="1"/>
    <x v="0"/>
    <n v="23.829599000000002"/>
    <n v="97.590767"/>
    <s v="MMR001CMP230"/>
    <x v="0"/>
    <m/>
    <n v="155"/>
    <n v="677"/>
  </r>
  <r>
    <x v="0"/>
    <x v="6"/>
    <x v="3"/>
    <s v="UNICEF,(UNICEF, USAID)"/>
    <x v="1"/>
    <x v="4"/>
    <x v="0"/>
    <x v="68"/>
    <n v="454"/>
    <n v="2354"/>
    <d v="2021-08-01T00:00:00"/>
    <d v="2022-08-01T00:00:00"/>
    <m/>
    <m/>
    <m/>
    <m/>
    <m/>
    <m/>
    <m/>
    <m/>
    <m/>
    <m/>
    <m/>
    <n v="1"/>
    <m/>
    <m/>
    <n v="2"/>
    <n v="2"/>
    <m/>
    <m/>
    <m/>
    <m/>
    <m/>
    <m/>
    <m/>
    <m/>
    <m/>
    <m/>
    <m/>
    <n v="12"/>
    <m/>
    <m/>
    <n v="147"/>
    <m/>
    <m/>
    <m/>
    <m/>
    <m/>
    <m/>
    <m/>
    <x v="2"/>
    <x v="2"/>
    <m/>
    <m/>
    <m/>
    <m/>
    <m/>
    <m/>
    <n v="1"/>
    <m/>
    <m/>
    <n v="3"/>
    <m/>
    <m/>
    <n v="1"/>
    <n v="41"/>
    <n v="85"/>
    <m/>
    <m/>
    <m/>
    <m/>
    <m/>
    <m/>
    <m/>
    <m/>
    <m/>
    <m/>
    <m/>
    <m/>
    <m/>
    <m/>
    <m/>
    <s v="no test"/>
    <s v="no test"/>
    <s v="No Test"/>
    <n v="0"/>
    <n v="1"/>
    <n v="0"/>
    <n v="0"/>
    <n v="0"/>
    <n v="2354"/>
    <n v="0"/>
    <n v="0.21240441801189464"/>
    <n v="0.10620220900594732"/>
    <n v="0.21240441801189464"/>
    <n v="500"/>
    <n v="0"/>
    <n v="0"/>
    <n v="0.21240441801189464"/>
    <n v="500"/>
    <n v="1"/>
    <n v="0.78759558198810531"/>
    <n v="1854"/>
    <n v="4"/>
    <n v="5"/>
    <n v="147"/>
    <n v="1"/>
    <n v="2354"/>
    <n v="0"/>
    <n v="0"/>
    <n v="0"/>
    <n v="118"/>
    <n v="0"/>
    <n v="0"/>
    <n v="0"/>
    <n v="500"/>
    <n v="205"/>
    <n v="85"/>
    <n v="205"/>
    <n v="500"/>
    <n v="0.21240441801189464"/>
    <n v="0.78759558198810531"/>
    <n v="0.21240441801189464"/>
    <n v="0.36123348017621143"/>
    <n v="0.18722466960352424"/>
    <n v="1"/>
    <n v="20"/>
    <n v="0"/>
    <n v="100"/>
    <s v="No"/>
    <s v=""/>
    <n v="0"/>
    <n v="2354"/>
    <n v="0"/>
    <s v="Yes"/>
    <s v="KMSS-BMO"/>
    <x v="0"/>
    <x v="1"/>
    <x v="0"/>
    <n v="23.835319999999999"/>
    <n v="97.578490000000002"/>
    <s v="MMR001CMP132"/>
    <x v="0"/>
    <m/>
    <n v="622"/>
    <n v="3302"/>
  </r>
  <r>
    <x v="0"/>
    <x v="6"/>
    <x v="3"/>
    <s v="UNICEF,(UNICEF, USAID)"/>
    <x v="1"/>
    <x v="4"/>
    <x v="0"/>
    <x v="69"/>
    <n v="142"/>
    <n v="737"/>
    <d v="2021-08-01T00:00:00"/>
    <d v="2022-08-01T00:00:00"/>
    <m/>
    <m/>
    <m/>
    <m/>
    <m/>
    <m/>
    <m/>
    <n v="1"/>
    <m/>
    <m/>
    <m/>
    <n v="1"/>
    <m/>
    <m/>
    <m/>
    <m/>
    <m/>
    <m/>
    <m/>
    <m/>
    <m/>
    <m/>
    <m/>
    <m/>
    <m/>
    <m/>
    <m/>
    <m/>
    <m/>
    <m/>
    <n v="48"/>
    <m/>
    <m/>
    <m/>
    <m/>
    <m/>
    <m/>
    <m/>
    <x v="2"/>
    <x v="2"/>
    <m/>
    <m/>
    <m/>
    <m/>
    <m/>
    <m/>
    <n v="1"/>
    <m/>
    <m/>
    <n v="1"/>
    <m/>
    <m/>
    <m/>
    <n v="6"/>
    <n v="5"/>
    <m/>
    <m/>
    <m/>
    <m/>
    <m/>
    <m/>
    <m/>
    <m/>
    <m/>
    <m/>
    <m/>
    <m/>
    <m/>
    <m/>
    <m/>
    <s v="no test"/>
    <s v="no test"/>
    <s v="No Test"/>
    <n v="1"/>
    <n v="1"/>
    <n v="0"/>
    <n v="0"/>
    <n v="0"/>
    <n v="0"/>
    <n v="0"/>
    <n v="1"/>
    <n v="0.67842605156037994"/>
    <n v="1"/>
    <n v="737"/>
    <n v="0"/>
    <n v="0"/>
    <n v="1"/>
    <n v="737"/>
    <n v="1.474"/>
    <n v="0"/>
    <n v="0"/>
    <n v="0"/>
    <n v="1"/>
    <n v="48"/>
    <n v="1"/>
    <n v="737"/>
    <n v="0"/>
    <n v="0"/>
    <n v="0"/>
    <n v="37"/>
    <n v="0"/>
    <n v="0"/>
    <n v="0"/>
    <n v="0"/>
    <n v="30"/>
    <n v="5"/>
    <n v="30"/>
    <n v="30"/>
    <n v="4.0705563093622797E-2"/>
    <n v="0.95929443690637717"/>
    <n v="0"/>
    <n v="0.16901408450704225"/>
    <n v="3.5211267605633804E-2"/>
    <n v="1"/>
    <n v="20"/>
    <n v="0"/>
    <n v="100"/>
    <s v="No"/>
    <s v=""/>
    <n v="0"/>
    <n v="0"/>
    <n v="0"/>
    <s v="Yes"/>
    <s v="KMSS-BMO"/>
    <x v="0"/>
    <x v="1"/>
    <x v="0"/>
    <n v="23.833477999999999"/>
    <n v="97.578367"/>
    <s v="MMR001CMP228"/>
    <x v="0"/>
    <m/>
    <n v="142"/>
    <n v="830"/>
  </r>
  <r>
    <x v="0"/>
    <x v="7"/>
    <x v="4"/>
    <s v="USAID, HOPE-71, HOPE-94"/>
    <x v="1"/>
    <x v="1"/>
    <x v="0"/>
    <x v="70"/>
    <n v="11"/>
    <n v="51"/>
    <s v="13-8-2021, 6-1-2020, 1-7-2021"/>
    <s v="12-2-2022, 30-11-2021, 30.4.2021"/>
    <m/>
    <m/>
    <m/>
    <m/>
    <s v="No"/>
    <m/>
    <n v="1"/>
    <m/>
    <m/>
    <m/>
    <m/>
    <n v="1"/>
    <m/>
    <m/>
    <m/>
    <m/>
    <m/>
    <m/>
    <m/>
    <m/>
    <m/>
    <m/>
    <m/>
    <m/>
    <m/>
    <m/>
    <m/>
    <m/>
    <m/>
    <m/>
    <n v="2"/>
    <m/>
    <m/>
    <m/>
    <m/>
    <m/>
    <m/>
    <m/>
    <x v="1"/>
    <x v="2"/>
    <m/>
    <m/>
    <m/>
    <m/>
    <m/>
    <m/>
    <n v="7"/>
    <m/>
    <m/>
    <n v="7"/>
    <m/>
    <m/>
    <m/>
    <n v="104"/>
    <n v="148"/>
    <m/>
    <m/>
    <m/>
    <m/>
    <m/>
    <m/>
    <m/>
    <m/>
    <m/>
    <m/>
    <m/>
    <m/>
    <m/>
    <m/>
    <m/>
    <s v="no test"/>
    <s v="no test"/>
    <s v="No Test"/>
    <n v="0"/>
    <n v="1"/>
    <n v="0"/>
    <n v="0"/>
    <n v="0"/>
    <n v="0"/>
    <n v="0"/>
    <n v="1"/>
    <n v="1"/>
    <n v="1"/>
    <n v="51"/>
    <n v="0"/>
    <n v="0"/>
    <n v="1"/>
    <n v="51"/>
    <n v="0.10199999999999999"/>
    <n v="0"/>
    <n v="0"/>
    <n v="0.89800000000000002"/>
    <n v="1"/>
    <n v="2"/>
    <n v="0.78431372549019607"/>
    <n v="40"/>
    <n v="0"/>
    <n v="0"/>
    <n v="0"/>
    <n v="3"/>
    <n v="1"/>
    <n v="0.21568627450980393"/>
    <n v="0"/>
    <n v="0"/>
    <n v="51"/>
    <n v="51"/>
    <n v="51"/>
    <n v="51"/>
    <n v="1"/>
    <n v="0"/>
    <n v="0"/>
    <n v="1"/>
    <n v="1"/>
    <n v="7"/>
    <n v="11"/>
    <n v="0"/>
    <n v="51"/>
    <s v="No"/>
    <s v=""/>
    <n v="0"/>
    <n v="0"/>
    <n v="0"/>
    <s v="Yes"/>
    <s v="KBC-BMO"/>
    <x v="0"/>
    <x v="1"/>
    <x v="0"/>
    <n v="24.260466999999998"/>
    <n v="97.252650000000003"/>
    <s v="MMR001CMP194"/>
    <x v="0"/>
    <m/>
    <n v="9"/>
    <n v="37"/>
  </r>
  <r>
    <x v="0"/>
    <x v="7"/>
    <x v="4"/>
    <s v="USAID, HOPE-71, HOPE-94"/>
    <x v="1"/>
    <x v="1"/>
    <x v="0"/>
    <x v="71"/>
    <n v="36"/>
    <n v="222"/>
    <s v="13-8-2021, 6-1-2020, 1-7-2021"/>
    <s v="12-2-2022, 30-11-2021, 30.4.2021"/>
    <m/>
    <m/>
    <m/>
    <m/>
    <s v="Yes"/>
    <n v="1"/>
    <n v="2"/>
    <n v="1"/>
    <m/>
    <m/>
    <m/>
    <n v="2"/>
    <m/>
    <m/>
    <m/>
    <m/>
    <m/>
    <m/>
    <m/>
    <m/>
    <m/>
    <m/>
    <m/>
    <m/>
    <m/>
    <m/>
    <m/>
    <m/>
    <m/>
    <m/>
    <n v="7"/>
    <m/>
    <m/>
    <m/>
    <m/>
    <m/>
    <m/>
    <m/>
    <x v="1"/>
    <x v="1"/>
    <m/>
    <m/>
    <m/>
    <m/>
    <m/>
    <m/>
    <n v="7"/>
    <m/>
    <m/>
    <n v="7"/>
    <m/>
    <m/>
    <n v="1"/>
    <n v="104"/>
    <n v="148"/>
    <m/>
    <m/>
    <m/>
    <m/>
    <m/>
    <m/>
    <m/>
    <m/>
    <m/>
    <m/>
    <m/>
    <m/>
    <m/>
    <m/>
    <m/>
    <s v="no test"/>
    <s v="no test"/>
    <s v="No Test"/>
    <n v="1"/>
    <n v="2"/>
    <n v="0"/>
    <n v="0"/>
    <n v="0"/>
    <n v="0"/>
    <n v="0"/>
    <n v="1"/>
    <n v="1"/>
    <n v="1"/>
    <n v="222"/>
    <n v="0"/>
    <n v="0"/>
    <n v="1"/>
    <n v="222"/>
    <n v="0.44400000000000001"/>
    <n v="0"/>
    <n v="0"/>
    <n v="0.55600000000000005"/>
    <n v="1"/>
    <n v="7"/>
    <n v="0.63063063063063063"/>
    <n v="140"/>
    <n v="0"/>
    <n v="0"/>
    <n v="0"/>
    <n v="11"/>
    <n v="4"/>
    <n v="0.36936936936936937"/>
    <n v="0"/>
    <n v="222"/>
    <n v="222"/>
    <n v="148"/>
    <n v="222"/>
    <n v="222"/>
    <n v="1"/>
    <n v="0"/>
    <n v="1"/>
    <n v="1"/>
    <n v="1"/>
    <n v="7"/>
    <n v="36"/>
    <n v="0"/>
    <n v="222"/>
    <s v="No"/>
    <s v=""/>
    <n v="0"/>
    <n v="0"/>
    <n v="0"/>
    <s v="Yes"/>
    <s v="KBC-BMO"/>
    <x v="0"/>
    <x v="1"/>
    <x v="0"/>
    <n v="24.24766"/>
    <n v="97.236919999999998"/>
    <s v="MMR001CMP052"/>
    <x v="0"/>
    <m/>
    <n v="37"/>
    <n v="226"/>
  </r>
  <r>
    <x v="0"/>
    <x v="7"/>
    <x v="4"/>
    <s v="USAID, HOPE-71, HOPE-94"/>
    <x v="1"/>
    <x v="1"/>
    <x v="0"/>
    <x v="72"/>
    <n v="122"/>
    <n v="689"/>
    <s v="13-8-2021, 6-1-2020, 1-7-2021"/>
    <s v="12-2-2022, 30-11-2021, 30.4.2021"/>
    <m/>
    <m/>
    <m/>
    <m/>
    <s v="Yes"/>
    <n v="2"/>
    <n v="2"/>
    <n v="1"/>
    <m/>
    <m/>
    <n v="1"/>
    <n v="1"/>
    <m/>
    <m/>
    <m/>
    <m/>
    <m/>
    <m/>
    <m/>
    <m/>
    <m/>
    <m/>
    <m/>
    <m/>
    <m/>
    <m/>
    <m/>
    <m/>
    <m/>
    <m/>
    <n v="21"/>
    <m/>
    <m/>
    <m/>
    <m/>
    <m/>
    <m/>
    <m/>
    <x v="1"/>
    <x v="1"/>
    <m/>
    <m/>
    <n v="5"/>
    <m/>
    <m/>
    <s v="Metta is negotiating with SI for Desludging service"/>
    <n v="3"/>
    <m/>
    <m/>
    <n v="2"/>
    <m/>
    <m/>
    <m/>
    <n v="88"/>
    <n v="100"/>
    <m/>
    <m/>
    <m/>
    <m/>
    <m/>
    <m/>
    <m/>
    <m/>
    <m/>
    <m/>
    <m/>
    <m/>
    <m/>
    <m/>
    <m/>
    <s v="no test"/>
    <s v="no test"/>
    <s v="No Test"/>
    <n v="1"/>
    <n v="2"/>
    <n v="0"/>
    <n v="0"/>
    <n v="0"/>
    <n v="0"/>
    <n v="0"/>
    <n v="1"/>
    <n v="1"/>
    <n v="1"/>
    <n v="689"/>
    <n v="0"/>
    <n v="0"/>
    <n v="1"/>
    <n v="689"/>
    <n v="1.3779999999999999"/>
    <n v="0"/>
    <n v="0"/>
    <n v="0"/>
    <n v="1"/>
    <n v="21"/>
    <n v="0.60957910014513783"/>
    <n v="420"/>
    <n v="0"/>
    <n v="0"/>
    <n v="0"/>
    <n v="34"/>
    <n v="13"/>
    <n v="0.39042089985486217"/>
    <n v="0"/>
    <n v="0"/>
    <n v="440"/>
    <n v="100"/>
    <n v="440"/>
    <n v="440"/>
    <n v="0.63860667634252544"/>
    <n v="0.36139332365747456"/>
    <n v="0"/>
    <n v="1"/>
    <n v="0.81967213114754101"/>
    <n v="3"/>
    <n v="60"/>
    <n v="0"/>
    <n v="300"/>
    <s v="No"/>
    <s v=""/>
    <n v="0"/>
    <n v="0"/>
    <n v="0"/>
    <s v="Yes"/>
    <s v="Shalom"/>
    <x v="0"/>
    <x v="1"/>
    <x v="0"/>
    <n v="24.2631743589744"/>
    <n v="97.240183461538507"/>
    <s v="MMR001CMP049"/>
    <x v="0"/>
    <m/>
    <n v="134"/>
    <n v="767"/>
  </r>
  <r>
    <x v="0"/>
    <x v="7"/>
    <x v="4"/>
    <s v="USAID, HOPE-71, HOPE-94"/>
    <x v="1"/>
    <x v="1"/>
    <x v="0"/>
    <x v="73"/>
    <n v="65"/>
    <n v="334"/>
    <s v="13-8-2021, 6-1-2020, 1-7-2021"/>
    <s v="12-2-2022, 30-11-2021, 30.4.2021"/>
    <m/>
    <m/>
    <m/>
    <m/>
    <s v="Yes"/>
    <n v="8"/>
    <n v="15"/>
    <n v="1"/>
    <m/>
    <m/>
    <n v="3"/>
    <m/>
    <m/>
    <m/>
    <m/>
    <m/>
    <m/>
    <m/>
    <m/>
    <m/>
    <n v="3"/>
    <m/>
    <m/>
    <m/>
    <m/>
    <m/>
    <n v="14"/>
    <m/>
    <m/>
    <m/>
    <n v="48"/>
    <m/>
    <m/>
    <m/>
    <m/>
    <m/>
    <m/>
    <m/>
    <x v="1"/>
    <x v="1"/>
    <m/>
    <m/>
    <n v="2"/>
    <m/>
    <m/>
    <m/>
    <n v="3"/>
    <m/>
    <m/>
    <n v="2"/>
    <m/>
    <m/>
    <n v="1"/>
    <n v="88"/>
    <n v="100"/>
    <m/>
    <m/>
    <m/>
    <m/>
    <m/>
    <m/>
    <m/>
    <m/>
    <m/>
    <m/>
    <m/>
    <m/>
    <m/>
    <m/>
    <m/>
    <s v="no test"/>
    <s v="no test"/>
    <s v="No Test"/>
    <n v="1"/>
    <n v="3"/>
    <n v="0"/>
    <n v="0"/>
    <n v="0"/>
    <n v="0"/>
    <n v="0"/>
    <n v="1"/>
    <n v="1"/>
    <n v="1"/>
    <n v="334"/>
    <n v="0"/>
    <n v="0"/>
    <n v="1"/>
    <n v="334"/>
    <n v="0.66800000000000004"/>
    <n v="0"/>
    <n v="0"/>
    <n v="0.33199999999999996"/>
    <n v="1"/>
    <n v="48"/>
    <n v="1"/>
    <n v="334"/>
    <n v="0"/>
    <n v="0"/>
    <n v="0"/>
    <n v="17"/>
    <n v="0"/>
    <n v="0"/>
    <n v="0"/>
    <n v="334"/>
    <n v="334"/>
    <n v="100"/>
    <n v="334"/>
    <n v="334"/>
    <n v="1"/>
    <n v="0"/>
    <n v="1"/>
    <n v="1"/>
    <n v="1"/>
    <n v="3"/>
    <n v="60"/>
    <n v="0"/>
    <n v="300"/>
    <s v="No"/>
    <s v=""/>
    <n v="0"/>
    <n v="0"/>
    <n v="0"/>
    <s v="Yes"/>
    <s v="KBC-BMO"/>
    <x v="0"/>
    <x v="1"/>
    <x v="0"/>
    <n v="24.222349999999999"/>
    <n v="97.252650000000003"/>
    <s v="MMR001CMP193"/>
    <x v="0"/>
    <m/>
    <n v="64"/>
    <n v="339"/>
  </r>
  <r>
    <x v="0"/>
    <x v="7"/>
    <x v="4"/>
    <s v="UNICEF, USAID"/>
    <x v="0"/>
    <x v="14"/>
    <x v="0"/>
    <x v="74"/>
    <n v="40"/>
    <n v="206"/>
    <s v="11-11-2021, 07-01-2020"/>
    <s v="10-11-2022, 28-2-2022"/>
    <m/>
    <m/>
    <n v="1"/>
    <m/>
    <s v="Yes"/>
    <m/>
    <n v="5"/>
    <n v="4"/>
    <m/>
    <m/>
    <n v="1"/>
    <m/>
    <m/>
    <m/>
    <m/>
    <m/>
    <m/>
    <m/>
    <m/>
    <m/>
    <m/>
    <m/>
    <m/>
    <m/>
    <m/>
    <m/>
    <m/>
    <m/>
    <m/>
    <m/>
    <m/>
    <n v="10"/>
    <m/>
    <m/>
    <m/>
    <m/>
    <m/>
    <m/>
    <x v="1"/>
    <x v="1"/>
    <m/>
    <m/>
    <m/>
    <m/>
    <m/>
    <m/>
    <n v="1"/>
    <m/>
    <m/>
    <n v="3"/>
    <m/>
    <m/>
    <n v="1"/>
    <n v="41"/>
    <n v="85"/>
    <m/>
    <m/>
    <m/>
    <m/>
    <m/>
    <m/>
    <m/>
    <m/>
    <m/>
    <m/>
    <m/>
    <m/>
    <m/>
    <m/>
    <m/>
    <s v="no test"/>
    <s v="no test"/>
    <s v="No Test"/>
    <n v="4"/>
    <n v="1"/>
    <n v="0"/>
    <n v="0"/>
    <n v="0"/>
    <n v="0"/>
    <n v="0"/>
    <n v="1"/>
    <n v="1"/>
    <n v="1"/>
    <n v="206"/>
    <n v="0"/>
    <n v="0"/>
    <n v="1"/>
    <n v="206"/>
    <n v="0.41199999999999998"/>
    <n v="0"/>
    <n v="0"/>
    <n v="0.58800000000000008"/>
    <n v="1"/>
    <n v="10"/>
    <n v="0.970873786407767"/>
    <n v="200"/>
    <n v="0"/>
    <n v="0"/>
    <n v="0"/>
    <n v="10"/>
    <n v="0"/>
    <n v="2.9126213592232997E-2"/>
    <n v="0"/>
    <n v="206"/>
    <n v="205"/>
    <n v="85"/>
    <n v="205"/>
    <n v="206"/>
    <n v="1"/>
    <n v="0"/>
    <n v="1"/>
    <n v="1"/>
    <n v="1"/>
    <n v="1"/>
    <n v="20"/>
    <n v="0"/>
    <n v="100"/>
    <s v="No"/>
    <s v=""/>
    <n v="0"/>
    <n v="0"/>
    <n v="0"/>
    <s v="Yes"/>
    <s v="KBC-NSS"/>
    <x v="0"/>
    <x v="1"/>
    <x v="0"/>
    <n v="23.354268999999999"/>
    <n v="98.218626999999998"/>
    <s v="MMR015CMP036"/>
    <x v="0"/>
    <m/>
    <n v="36"/>
    <n v="180"/>
  </r>
  <r>
    <x v="0"/>
    <x v="7"/>
    <x v="4"/>
    <s v="UNICEF, USAID"/>
    <x v="0"/>
    <x v="14"/>
    <x v="0"/>
    <x v="75"/>
    <n v="42"/>
    <n v="195"/>
    <s v="11-11-2021, 07-01-2020"/>
    <s v="10-11-2022, 28-2-2022"/>
    <m/>
    <m/>
    <m/>
    <m/>
    <m/>
    <n v="4"/>
    <n v="4"/>
    <m/>
    <m/>
    <m/>
    <n v="1"/>
    <m/>
    <m/>
    <m/>
    <n v="1"/>
    <m/>
    <m/>
    <m/>
    <m/>
    <m/>
    <m/>
    <n v="1"/>
    <m/>
    <m/>
    <m/>
    <m/>
    <n v="1"/>
    <m/>
    <m/>
    <m/>
    <n v="38"/>
    <m/>
    <m/>
    <m/>
    <m/>
    <m/>
    <m/>
    <m/>
    <x v="0"/>
    <x v="0"/>
    <m/>
    <m/>
    <m/>
    <m/>
    <m/>
    <m/>
    <n v="1"/>
    <m/>
    <m/>
    <n v="3"/>
    <m/>
    <m/>
    <n v="1"/>
    <n v="41"/>
    <n v="85"/>
    <m/>
    <m/>
    <m/>
    <m/>
    <m/>
    <m/>
    <m/>
    <m/>
    <m/>
    <m/>
    <m/>
    <m/>
    <m/>
    <m/>
    <m/>
    <s v="no test"/>
    <s v="no test"/>
    <s v="No Test"/>
    <n v="0"/>
    <n v="1"/>
    <n v="1"/>
    <n v="0"/>
    <n v="0"/>
    <n v="0"/>
    <n v="0"/>
    <n v="1"/>
    <n v="1"/>
    <n v="1"/>
    <n v="195"/>
    <n v="0"/>
    <n v="0"/>
    <n v="1"/>
    <n v="195"/>
    <n v="0.39"/>
    <n v="0"/>
    <n v="0"/>
    <n v="0.61"/>
    <n v="1"/>
    <n v="38"/>
    <n v="1"/>
    <n v="195"/>
    <n v="0"/>
    <n v="0"/>
    <n v="0"/>
    <n v="10"/>
    <n v="0"/>
    <n v="0"/>
    <n v="0"/>
    <n v="195"/>
    <n v="195"/>
    <n v="85"/>
    <n v="195"/>
    <n v="195"/>
    <n v="1"/>
    <n v="0"/>
    <n v="1"/>
    <n v="1"/>
    <n v="1"/>
    <n v="1"/>
    <n v="20"/>
    <n v="0"/>
    <n v="100"/>
    <s v="No"/>
    <s v=""/>
    <n v="0"/>
    <n v="0"/>
    <n v="0"/>
    <n v="0"/>
    <n v="0"/>
    <x v="0"/>
    <x v="3"/>
    <x v="0"/>
    <n v="23.353999999999999"/>
    <n v="98.221000000000004"/>
    <s v="MMR015CMP226"/>
    <x v="0"/>
    <m/>
    <n v="0"/>
    <n v="0"/>
  </r>
  <r>
    <x v="0"/>
    <x v="7"/>
    <x v="4"/>
    <s v="UNICEF"/>
    <x v="0"/>
    <x v="15"/>
    <x v="0"/>
    <x v="76"/>
    <n v="27"/>
    <n v="162"/>
    <d v="2021-11-11T00:00:00"/>
    <d v="2022-10-11T00:00:00"/>
    <m/>
    <m/>
    <m/>
    <m/>
    <m/>
    <m/>
    <m/>
    <m/>
    <m/>
    <m/>
    <m/>
    <m/>
    <m/>
    <m/>
    <m/>
    <m/>
    <m/>
    <m/>
    <m/>
    <m/>
    <m/>
    <m/>
    <m/>
    <m/>
    <m/>
    <m/>
    <m/>
    <m/>
    <m/>
    <m/>
    <m/>
    <m/>
    <m/>
    <m/>
    <m/>
    <m/>
    <m/>
    <m/>
    <x v="2"/>
    <x v="2"/>
    <m/>
    <m/>
    <m/>
    <m/>
    <m/>
    <m/>
    <n v="7"/>
    <m/>
    <m/>
    <n v="4"/>
    <m/>
    <m/>
    <m/>
    <n v="124"/>
    <n v="198"/>
    <m/>
    <m/>
    <m/>
    <m/>
    <m/>
    <m/>
    <m/>
    <m/>
    <m/>
    <m/>
    <m/>
    <m/>
    <m/>
    <m/>
    <m/>
    <s v="no test"/>
    <s v="no test"/>
    <s v="No Test"/>
    <n v="0"/>
    <n v="0"/>
    <n v="0"/>
    <n v="0"/>
    <n v="0"/>
    <n v="0"/>
    <n v="0"/>
    <n v="0"/>
    <n v="0"/>
    <n v="0"/>
    <n v="0"/>
    <n v="0"/>
    <n v="0"/>
    <n v="0"/>
    <n v="0"/>
    <n v="0"/>
    <n v="1"/>
    <n v="162"/>
    <n v="1"/>
    <n v="1"/>
    <n v="0"/>
    <n v="0"/>
    <n v="0"/>
    <n v="0"/>
    <n v="0"/>
    <n v="0"/>
    <n v="8"/>
    <n v="8"/>
    <n v="1"/>
    <n v="0"/>
    <n v="0"/>
    <n v="162"/>
    <n v="162"/>
    <n v="162"/>
    <n v="162"/>
    <n v="1"/>
    <n v="0"/>
    <n v="0"/>
    <n v="1"/>
    <n v="1"/>
    <n v="7"/>
    <n v="27"/>
    <n v="0"/>
    <n v="162"/>
    <s v="No"/>
    <s v=""/>
    <n v="0"/>
    <n v="0"/>
    <n v="0"/>
    <n v="0"/>
    <n v="0"/>
    <x v="0"/>
    <x v="4"/>
    <x v="0"/>
    <n v="23.400155999999999"/>
    <n v="98.220614999999995"/>
    <s v="MMR015CMP071"/>
    <x v="0"/>
    <m/>
    <n v="27"/>
    <n v="162"/>
  </r>
  <r>
    <x v="0"/>
    <x v="7"/>
    <x v="4"/>
    <s v="UNICEF, USAID"/>
    <x v="0"/>
    <x v="15"/>
    <x v="0"/>
    <x v="77"/>
    <n v="74"/>
    <n v="439"/>
    <s v="11-11-2021, 07-01-2020"/>
    <s v="10-11-2022, 28-2-2022"/>
    <m/>
    <n v="1"/>
    <m/>
    <m/>
    <s v="Yes"/>
    <n v="5"/>
    <n v="1"/>
    <m/>
    <m/>
    <m/>
    <m/>
    <m/>
    <m/>
    <m/>
    <n v="14"/>
    <m/>
    <m/>
    <m/>
    <m/>
    <m/>
    <m/>
    <m/>
    <m/>
    <m/>
    <m/>
    <m/>
    <m/>
    <m/>
    <m/>
    <m/>
    <n v="40"/>
    <m/>
    <m/>
    <m/>
    <m/>
    <m/>
    <m/>
    <m/>
    <x v="2"/>
    <x v="2"/>
    <m/>
    <m/>
    <m/>
    <m/>
    <m/>
    <m/>
    <n v="3"/>
    <m/>
    <m/>
    <n v="2"/>
    <m/>
    <m/>
    <n v="1"/>
    <n v="10"/>
    <n v="18"/>
    <m/>
    <m/>
    <m/>
    <m/>
    <m/>
    <m/>
    <m/>
    <m/>
    <m/>
    <m/>
    <m/>
    <m/>
    <m/>
    <m/>
    <m/>
    <s v="no test"/>
    <s v="no test"/>
    <s v="No Test"/>
    <n v="0"/>
    <n v="0"/>
    <n v="14"/>
    <n v="0"/>
    <n v="0"/>
    <n v="0"/>
    <n v="0"/>
    <n v="1"/>
    <n v="1"/>
    <n v="1"/>
    <n v="439"/>
    <n v="0"/>
    <n v="0"/>
    <n v="1"/>
    <n v="439"/>
    <n v="0.878"/>
    <n v="0"/>
    <n v="0"/>
    <n v="0.122"/>
    <n v="1"/>
    <n v="40"/>
    <n v="1"/>
    <n v="439"/>
    <n v="0"/>
    <n v="0"/>
    <n v="0"/>
    <n v="22"/>
    <n v="0"/>
    <n v="0"/>
    <n v="0"/>
    <n v="439"/>
    <n v="50"/>
    <n v="18"/>
    <n v="50"/>
    <n v="439"/>
    <n v="1"/>
    <n v="0"/>
    <n v="1"/>
    <n v="0.54054054054054057"/>
    <n v="0.24324324324324326"/>
    <n v="3"/>
    <n v="60"/>
    <n v="0"/>
    <n v="300"/>
    <s v="No"/>
    <s v=""/>
    <n v="0"/>
    <n v="0"/>
    <n v="0"/>
    <n v="0"/>
    <s v="uncovered"/>
    <x v="0"/>
    <x v="0"/>
    <x v="0"/>
    <n v="23.234137"/>
    <n v="97.505339000000006"/>
    <s v="MMR015CMP030"/>
    <x v="0"/>
    <m/>
    <n v="86"/>
    <n v="525"/>
  </r>
  <r>
    <x v="0"/>
    <x v="7"/>
    <x v="4"/>
    <s v="UNICEF, USAID"/>
    <x v="0"/>
    <x v="15"/>
    <x v="0"/>
    <x v="78"/>
    <n v="26"/>
    <n v="132"/>
    <s v="11-11-2021, 07-01-2020"/>
    <s v="10-11-2022, 28-2-2022"/>
    <m/>
    <m/>
    <m/>
    <m/>
    <m/>
    <n v="3"/>
    <n v="2"/>
    <m/>
    <m/>
    <m/>
    <m/>
    <m/>
    <m/>
    <m/>
    <n v="8"/>
    <m/>
    <m/>
    <m/>
    <m/>
    <m/>
    <m/>
    <m/>
    <m/>
    <m/>
    <m/>
    <m/>
    <m/>
    <m/>
    <m/>
    <m/>
    <n v="27"/>
    <m/>
    <m/>
    <m/>
    <m/>
    <m/>
    <m/>
    <n v="2"/>
    <x v="1"/>
    <x v="0"/>
    <m/>
    <m/>
    <m/>
    <m/>
    <m/>
    <m/>
    <n v="7"/>
    <m/>
    <m/>
    <n v="7"/>
    <m/>
    <m/>
    <n v="1"/>
    <n v="104"/>
    <n v="148"/>
    <m/>
    <m/>
    <m/>
    <m/>
    <m/>
    <m/>
    <m/>
    <m/>
    <m/>
    <m/>
    <m/>
    <m/>
    <m/>
    <m/>
    <m/>
    <s v="no test"/>
    <s v="no test"/>
    <s v="No Test"/>
    <n v="0"/>
    <n v="0"/>
    <n v="8"/>
    <n v="0"/>
    <n v="0"/>
    <n v="0"/>
    <n v="0"/>
    <n v="1"/>
    <n v="1"/>
    <n v="1"/>
    <n v="132"/>
    <n v="0"/>
    <n v="0"/>
    <n v="1"/>
    <n v="132"/>
    <n v="0.26400000000000001"/>
    <n v="0"/>
    <n v="0"/>
    <n v="0.73599999999999999"/>
    <n v="1"/>
    <n v="27"/>
    <n v="1"/>
    <n v="132"/>
    <n v="0"/>
    <n v="0"/>
    <n v="0"/>
    <n v="7"/>
    <n v="0"/>
    <n v="0"/>
    <n v="0"/>
    <n v="132"/>
    <n v="132"/>
    <n v="132"/>
    <n v="132"/>
    <n v="132"/>
    <n v="1"/>
    <n v="0"/>
    <n v="1"/>
    <n v="1"/>
    <n v="1"/>
    <n v="7"/>
    <n v="26"/>
    <n v="0"/>
    <n v="132"/>
    <s v="No"/>
    <s v=""/>
    <n v="0"/>
    <n v="0"/>
    <n v="0"/>
    <s v="Yes"/>
    <s v="KMSS-LSO"/>
    <x v="0"/>
    <x v="1"/>
    <x v="0"/>
    <n v="23.38503"/>
    <n v="97.837040000000002"/>
    <s v="MMR015CMP017"/>
    <x v="0"/>
    <m/>
    <n v="26"/>
    <n v="133"/>
  </r>
  <r>
    <x v="0"/>
    <x v="7"/>
    <x v="4"/>
    <s v="UNICEF, USAID"/>
    <x v="0"/>
    <x v="15"/>
    <x v="0"/>
    <x v="79"/>
    <n v="29"/>
    <n v="130"/>
    <s v="11-11-2021, 07-01-2020"/>
    <s v="10-11-2022, 28-2-2022"/>
    <m/>
    <n v="1"/>
    <m/>
    <m/>
    <s v="Yes"/>
    <n v="4"/>
    <n v="5"/>
    <m/>
    <m/>
    <m/>
    <m/>
    <m/>
    <m/>
    <m/>
    <n v="13"/>
    <m/>
    <m/>
    <m/>
    <m/>
    <m/>
    <m/>
    <m/>
    <m/>
    <m/>
    <m/>
    <m/>
    <m/>
    <m/>
    <m/>
    <m/>
    <n v="30"/>
    <m/>
    <m/>
    <m/>
    <m/>
    <m/>
    <m/>
    <m/>
    <x v="1"/>
    <x v="1"/>
    <m/>
    <m/>
    <m/>
    <m/>
    <m/>
    <m/>
    <n v="7"/>
    <m/>
    <m/>
    <n v="4"/>
    <m/>
    <m/>
    <n v="1"/>
    <n v="124"/>
    <n v="198"/>
    <m/>
    <m/>
    <m/>
    <m/>
    <m/>
    <m/>
    <m/>
    <m/>
    <m/>
    <m/>
    <m/>
    <m/>
    <m/>
    <m/>
    <m/>
    <s v="no test"/>
    <s v="no test"/>
    <s v="No Test"/>
    <n v="0"/>
    <n v="0"/>
    <n v="13"/>
    <n v="0"/>
    <n v="0"/>
    <n v="0"/>
    <n v="0"/>
    <n v="1"/>
    <n v="1"/>
    <n v="1"/>
    <n v="130"/>
    <n v="0"/>
    <n v="0"/>
    <n v="1"/>
    <n v="130"/>
    <n v="0.26"/>
    <n v="0"/>
    <n v="0"/>
    <n v="0.74"/>
    <n v="1"/>
    <n v="30"/>
    <n v="1"/>
    <n v="130"/>
    <n v="0"/>
    <n v="0"/>
    <n v="0"/>
    <n v="7"/>
    <n v="0"/>
    <n v="0"/>
    <n v="0"/>
    <n v="130"/>
    <n v="130"/>
    <n v="130"/>
    <n v="130"/>
    <n v="130"/>
    <n v="1"/>
    <n v="0"/>
    <n v="1"/>
    <n v="1"/>
    <n v="1"/>
    <n v="7"/>
    <n v="29"/>
    <n v="0"/>
    <n v="130"/>
    <s v="No"/>
    <s v=""/>
    <n v="0"/>
    <n v="0"/>
    <n v="0"/>
    <s v="Yes"/>
    <s v="KMSS-LSO"/>
    <x v="0"/>
    <x v="1"/>
    <x v="0"/>
    <n v="23.638999999999999"/>
    <n v="97.861999999999995"/>
    <s v="MMR015CMP068"/>
    <x v="0"/>
    <m/>
    <n v="31"/>
    <n v="133"/>
  </r>
  <r>
    <x v="0"/>
    <x v="7"/>
    <x v="4"/>
    <s v="UNICEF, USAID"/>
    <x v="0"/>
    <x v="15"/>
    <x v="0"/>
    <x v="80"/>
    <n v="40"/>
    <n v="244"/>
    <s v="11-11-2021, 07-01-2020"/>
    <s v="10-11-2022, 28-2-2022"/>
    <m/>
    <n v="1"/>
    <m/>
    <m/>
    <s v="Yes"/>
    <n v="3"/>
    <n v="3"/>
    <n v="1"/>
    <m/>
    <m/>
    <n v="1"/>
    <n v="2"/>
    <m/>
    <m/>
    <m/>
    <m/>
    <m/>
    <m/>
    <m/>
    <m/>
    <m/>
    <m/>
    <m/>
    <m/>
    <m/>
    <m/>
    <m/>
    <m/>
    <m/>
    <m/>
    <n v="12"/>
    <m/>
    <m/>
    <m/>
    <m/>
    <m/>
    <m/>
    <m/>
    <x v="1"/>
    <x v="0"/>
    <m/>
    <m/>
    <n v="1"/>
    <m/>
    <m/>
    <m/>
    <n v="1"/>
    <m/>
    <m/>
    <n v="1"/>
    <m/>
    <m/>
    <n v="1"/>
    <n v="6"/>
    <n v="5"/>
    <m/>
    <m/>
    <m/>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30"/>
    <n v="5"/>
    <n v="30"/>
    <n v="244"/>
    <n v="1"/>
    <n v="0"/>
    <n v="1"/>
    <n v="0.6"/>
    <n v="0.125"/>
    <n v="1"/>
    <n v="20"/>
    <n v="0"/>
    <n v="100"/>
    <s v="No"/>
    <s v=""/>
    <n v="0"/>
    <n v="0"/>
    <n v="0"/>
    <s v="Yes"/>
    <s v="KBC-NSS"/>
    <x v="0"/>
    <x v="1"/>
    <x v="0"/>
    <n v="23.450914000000001"/>
    <n v="97.926813999999993"/>
    <s v="MMR015CMP016"/>
    <x v="0"/>
    <m/>
    <n v="40"/>
    <n v="251"/>
  </r>
  <r>
    <x v="0"/>
    <x v="7"/>
    <x v="4"/>
    <s v="UNICEF, USAID"/>
    <x v="0"/>
    <x v="15"/>
    <x v="0"/>
    <x v="81"/>
    <n v="38"/>
    <n v="180"/>
    <s v="11-11-2021, 07-01-2020"/>
    <s v="10-11-2022, 28-2-2022"/>
    <m/>
    <m/>
    <m/>
    <m/>
    <m/>
    <n v="4"/>
    <n v="5"/>
    <n v="1"/>
    <m/>
    <m/>
    <n v="1"/>
    <m/>
    <m/>
    <m/>
    <m/>
    <m/>
    <m/>
    <m/>
    <m/>
    <m/>
    <m/>
    <m/>
    <m/>
    <m/>
    <m/>
    <m/>
    <m/>
    <m/>
    <m/>
    <m/>
    <n v="9"/>
    <m/>
    <m/>
    <m/>
    <m/>
    <m/>
    <m/>
    <m/>
    <x v="1"/>
    <x v="1"/>
    <m/>
    <m/>
    <m/>
    <m/>
    <m/>
    <m/>
    <n v="8"/>
    <m/>
    <m/>
    <n v="3"/>
    <m/>
    <m/>
    <n v="1"/>
    <n v="91"/>
    <n v="124"/>
    <m/>
    <m/>
    <m/>
    <m/>
    <m/>
    <m/>
    <m/>
    <m/>
    <m/>
    <m/>
    <m/>
    <m/>
    <m/>
    <m/>
    <m/>
    <s v="no test"/>
    <s v="no test"/>
    <s v="No Test"/>
    <n v="1"/>
    <n v="1"/>
    <n v="0"/>
    <n v="0"/>
    <n v="0"/>
    <n v="0"/>
    <n v="0"/>
    <n v="1"/>
    <n v="1"/>
    <n v="1"/>
    <n v="180"/>
    <n v="0"/>
    <n v="0"/>
    <n v="1"/>
    <n v="180"/>
    <n v="0.36"/>
    <n v="0"/>
    <n v="0"/>
    <n v="0.64"/>
    <n v="1"/>
    <n v="9"/>
    <n v="1"/>
    <n v="180"/>
    <n v="0"/>
    <n v="0"/>
    <n v="0"/>
    <n v="9"/>
    <n v="0"/>
    <n v="0"/>
    <n v="0"/>
    <n v="180"/>
    <n v="180"/>
    <n v="124"/>
    <n v="180"/>
    <n v="180"/>
    <n v="1"/>
    <n v="0"/>
    <n v="1"/>
    <n v="1"/>
    <n v="1"/>
    <n v="8"/>
    <n v="38"/>
    <n v="0"/>
    <n v="180"/>
    <s v="No"/>
    <s v=""/>
    <n v="0"/>
    <n v="0"/>
    <n v="0"/>
    <s v="Yes"/>
    <s v="KBC-NSS"/>
    <x v="0"/>
    <x v="1"/>
    <x v="0"/>
    <n v="23.460349999999998"/>
    <n v="97.947360000000003"/>
    <s v="MMR015CMP063"/>
    <x v="0"/>
    <m/>
    <n v="36"/>
    <n v="158"/>
  </r>
  <r>
    <x v="0"/>
    <x v="7"/>
    <x v="4"/>
    <s v="UNICEF, USAID"/>
    <x v="0"/>
    <x v="15"/>
    <x v="0"/>
    <x v="82"/>
    <n v="74"/>
    <n v="502"/>
    <s v="11-11-2021, 07-01-2020"/>
    <s v="10-11-2022, 28-2-2022"/>
    <m/>
    <m/>
    <m/>
    <m/>
    <m/>
    <n v="6"/>
    <n v="3"/>
    <m/>
    <m/>
    <m/>
    <m/>
    <m/>
    <m/>
    <m/>
    <n v="8"/>
    <m/>
    <m/>
    <m/>
    <m/>
    <m/>
    <m/>
    <m/>
    <m/>
    <m/>
    <m/>
    <m/>
    <n v="1"/>
    <n v="2"/>
    <m/>
    <m/>
    <n v="85"/>
    <m/>
    <m/>
    <m/>
    <m/>
    <m/>
    <m/>
    <n v="5"/>
    <x v="1"/>
    <x v="3"/>
    <m/>
    <m/>
    <m/>
    <m/>
    <m/>
    <m/>
    <n v="1"/>
    <m/>
    <m/>
    <n v="3"/>
    <m/>
    <n v="1"/>
    <m/>
    <n v="41"/>
    <n v="85"/>
    <m/>
    <m/>
    <m/>
    <m/>
    <m/>
    <m/>
    <m/>
    <m/>
    <m/>
    <m/>
    <m/>
    <m/>
    <m/>
    <m/>
    <m/>
    <s v="no test"/>
    <s v="no test"/>
    <s v="No Test"/>
    <n v="0"/>
    <n v="0"/>
    <n v="8"/>
    <n v="0"/>
    <n v="0"/>
    <n v="502"/>
    <n v="0"/>
    <n v="1"/>
    <n v="1"/>
    <n v="1"/>
    <n v="502"/>
    <n v="0"/>
    <n v="0"/>
    <n v="1"/>
    <n v="502"/>
    <n v="1.004"/>
    <n v="0"/>
    <n v="0"/>
    <n v="0"/>
    <n v="1"/>
    <n v="85"/>
    <n v="1"/>
    <n v="502"/>
    <n v="0"/>
    <n v="0"/>
    <n v="0"/>
    <n v="25"/>
    <n v="0"/>
    <n v="0"/>
    <n v="0"/>
    <n v="500"/>
    <n v="205"/>
    <n v="85"/>
    <n v="205"/>
    <n v="500"/>
    <n v="0.99601593625498008"/>
    <n v="3.9840637450199168E-3"/>
    <n v="0.99601593625498008"/>
    <n v="1"/>
    <n v="1"/>
    <n v="1"/>
    <n v="20"/>
    <n v="0"/>
    <n v="100"/>
    <s v="No"/>
    <s v=""/>
    <n v="0"/>
    <n v="502"/>
    <n v="0"/>
    <s v="Yes"/>
    <s v="KMSS-LSO"/>
    <x v="0"/>
    <x v="1"/>
    <x v="0"/>
    <n v="23.591999999999999"/>
    <n v="97.796999999999997"/>
    <s v="MMR015CMP038"/>
    <x v="0"/>
    <m/>
    <n v="75"/>
    <n v="395"/>
  </r>
  <r>
    <x v="0"/>
    <x v="7"/>
    <x v="4"/>
    <s v="UNICEF, USAID"/>
    <x v="0"/>
    <x v="15"/>
    <x v="0"/>
    <x v="83"/>
    <n v="26"/>
    <n v="104"/>
    <s v="11-11-2021, 07-01-2020"/>
    <s v="10-11-2022, 28-2-2022"/>
    <m/>
    <m/>
    <m/>
    <m/>
    <m/>
    <m/>
    <m/>
    <m/>
    <m/>
    <m/>
    <m/>
    <n v="1"/>
    <m/>
    <m/>
    <m/>
    <m/>
    <n v="1"/>
    <m/>
    <m/>
    <m/>
    <m/>
    <m/>
    <m/>
    <m/>
    <m/>
    <m/>
    <m/>
    <m/>
    <m/>
    <m/>
    <n v="4"/>
    <m/>
    <m/>
    <m/>
    <m/>
    <m/>
    <m/>
    <m/>
    <x v="2"/>
    <x v="2"/>
    <m/>
    <m/>
    <m/>
    <m/>
    <m/>
    <m/>
    <n v="8"/>
    <m/>
    <m/>
    <n v="3"/>
    <m/>
    <m/>
    <m/>
    <n v="91"/>
    <n v="124"/>
    <m/>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104"/>
    <n v="104"/>
    <n v="104"/>
    <n v="104"/>
    <n v="1"/>
    <n v="0"/>
    <n v="0"/>
    <n v="1"/>
    <n v="1"/>
    <n v="8"/>
    <n v="26"/>
    <n v="0"/>
    <n v="104"/>
    <s v="No"/>
    <s v=""/>
    <n v="0"/>
    <n v="0"/>
    <n v="0"/>
    <n v="0"/>
    <s v="uncovered"/>
    <x v="0"/>
    <x v="0"/>
    <x v="0"/>
    <n v="23.621317999999999"/>
    <n v="97.795981999999995"/>
    <s v="MMR015CMP064"/>
    <x v="0"/>
    <m/>
    <n v="24"/>
    <n v="84"/>
  </r>
  <r>
    <x v="0"/>
    <x v="7"/>
    <x v="4"/>
    <s v="UNICEF, USAID"/>
    <x v="0"/>
    <x v="15"/>
    <x v="0"/>
    <x v="84"/>
    <n v="64"/>
    <n v="251"/>
    <s v="11-11-2021, 07-01-2020"/>
    <s v="10-11-2022, 28-2-2022"/>
    <m/>
    <n v="1"/>
    <m/>
    <m/>
    <s v="Yes"/>
    <n v="4"/>
    <n v="5"/>
    <m/>
    <m/>
    <m/>
    <m/>
    <m/>
    <m/>
    <m/>
    <n v="14"/>
    <m/>
    <m/>
    <m/>
    <m/>
    <m/>
    <m/>
    <n v="1"/>
    <m/>
    <m/>
    <m/>
    <m/>
    <n v="3"/>
    <m/>
    <m/>
    <m/>
    <n v="71"/>
    <m/>
    <m/>
    <m/>
    <m/>
    <m/>
    <m/>
    <m/>
    <x v="0"/>
    <x v="3"/>
    <m/>
    <m/>
    <n v="4"/>
    <m/>
    <m/>
    <m/>
    <n v="3"/>
    <m/>
    <m/>
    <n v="2"/>
    <m/>
    <n v="1"/>
    <m/>
    <n v="10"/>
    <n v="18"/>
    <m/>
    <m/>
    <m/>
    <m/>
    <m/>
    <m/>
    <m/>
    <m/>
    <m/>
    <m/>
    <m/>
    <m/>
    <m/>
    <m/>
    <m/>
    <s v="no test"/>
    <s v="no test"/>
    <s v="No Test"/>
    <n v="0"/>
    <n v="0"/>
    <n v="14"/>
    <n v="0"/>
    <n v="0"/>
    <n v="0"/>
    <n v="0"/>
    <n v="1"/>
    <n v="1"/>
    <n v="1"/>
    <n v="251"/>
    <n v="0"/>
    <n v="0"/>
    <n v="1"/>
    <n v="251"/>
    <n v="0.502"/>
    <n v="0"/>
    <n v="0"/>
    <n v="0.498"/>
    <n v="1"/>
    <n v="71"/>
    <n v="1"/>
    <n v="251"/>
    <n v="0"/>
    <n v="0"/>
    <n v="0"/>
    <n v="42"/>
    <n v="0"/>
    <n v="0"/>
    <n v="0"/>
    <n v="251"/>
    <n v="50"/>
    <n v="18"/>
    <n v="50"/>
    <n v="251"/>
    <n v="1"/>
    <n v="0"/>
    <n v="1"/>
    <n v="0.625"/>
    <n v="0.28125"/>
    <n v="3"/>
    <n v="60"/>
    <n v="0"/>
    <n v="251"/>
    <s v="No"/>
    <s v=""/>
    <n v="0"/>
    <n v="0"/>
    <n v="0"/>
    <s v="Yes"/>
    <s v="KMSS-LSO"/>
    <x v="1"/>
    <x v="1"/>
    <x v="0"/>
    <n v="23.588920000000002"/>
    <n v="97.793019999999999"/>
    <s v="MMR015CMP018"/>
    <x v="0"/>
    <m/>
    <n v="66"/>
    <n v="248"/>
  </r>
  <r>
    <x v="0"/>
    <x v="7"/>
    <x v="4"/>
    <s v="UNICEF, USAID"/>
    <x v="0"/>
    <x v="15"/>
    <x v="0"/>
    <x v="85"/>
    <n v="31"/>
    <n v="176"/>
    <s v="11-11-2021, 07-01-2020"/>
    <s v="10-11-2022, 28-2-2022"/>
    <m/>
    <m/>
    <m/>
    <m/>
    <m/>
    <n v="5"/>
    <n v="4"/>
    <m/>
    <m/>
    <m/>
    <m/>
    <m/>
    <m/>
    <m/>
    <n v="14"/>
    <m/>
    <m/>
    <m/>
    <m/>
    <m/>
    <m/>
    <m/>
    <m/>
    <m/>
    <m/>
    <m/>
    <m/>
    <m/>
    <m/>
    <m/>
    <n v="34"/>
    <m/>
    <m/>
    <m/>
    <m/>
    <m/>
    <m/>
    <m/>
    <x v="1"/>
    <x v="1"/>
    <m/>
    <m/>
    <n v="2"/>
    <m/>
    <m/>
    <m/>
    <n v="8"/>
    <m/>
    <m/>
    <n v="3"/>
    <m/>
    <m/>
    <n v="1"/>
    <n v="91"/>
    <n v="124"/>
    <m/>
    <m/>
    <m/>
    <m/>
    <m/>
    <m/>
    <m/>
    <m/>
    <m/>
    <m/>
    <m/>
    <m/>
    <m/>
    <m/>
    <m/>
    <s v="no test"/>
    <s v="no test"/>
    <s v="No Test"/>
    <n v="0"/>
    <n v="0"/>
    <n v="14"/>
    <n v="0"/>
    <n v="0"/>
    <n v="0"/>
    <n v="0"/>
    <n v="1"/>
    <n v="1"/>
    <n v="1"/>
    <n v="176"/>
    <n v="0"/>
    <n v="0"/>
    <n v="1"/>
    <n v="176"/>
    <n v="0.35199999999999998"/>
    <n v="0"/>
    <n v="0"/>
    <n v="0.64800000000000002"/>
    <n v="1"/>
    <n v="34"/>
    <n v="1"/>
    <n v="176"/>
    <n v="0"/>
    <n v="0"/>
    <n v="0"/>
    <n v="9"/>
    <n v="0"/>
    <n v="0"/>
    <n v="0"/>
    <n v="176"/>
    <n v="176"/>
    <n v="124"/>
    <n v="176"/>
    <n v="176"/>
    <n v="1"/>
    <n v="0"/>
    <n v="1"/>
    <n v="1"/>
    <n v="1"/>
    <n v="8"/>
    <n v="31"/>
    <n v="0"/>
    <n v="176"/>
    <s v="No"/>
    <s v=""/>
    <n v="0"/>
    <n v="0"/>
    <n v="0"/>
    <n v="0"/>
    <s v="uncovered"/>
    <x v="0"/>
    <x v="0"/>
    <x v="0"/>
    <n v="23.850999999999999"/>
    <n v="98.337999999999994"/>
    <s v="MMR015CMP045"/>
    <x v="0"/>
    <m/>
    <n v="30"/>
    <n v="170"/>
  </r>
  <r>
    <x v="0"/>
    <x v="7"/>
    <x v="4"/>
    <s v="UNICEF, USAID"/>
    <x v="0"/>
    <x v="15"/>
    <x v="0"/>
    <x v="86"/>
    <n v="54"/>
    <n v="250"/>
    <s v="11-11-2021, 07-01-2020"/>
    <s v="10-11-2022, 28-2-2022"/>
    <m/>
    <n v="1"/>
    <m/>
    <m/>
    <s v="Yes"/>
    <n v="5"/>
    <n v="4"/>
    <m/>
    <m/>
    <m/>
    <m/>
    <m/>
    <m/>
    <m/>
    <n v="12"/>
    <m/>
    <m/>
    <m/>
    <m/>
    <m/>
    <m/>
    <n v="1"/>
    <m/>
    <m/>
    <m/>
    <m/>
    <m/>
    <m/>
    <m/>
    <m/>
    <n v="18"/>
    <m/>
    <m/>
    <m/>
    <m/>
    <m/>
    <m/>
    <m/>
    <x v="1"/>
    <x v="1"/>
    <m/>
    <m/>
    <m/>
    <m/>
    <m/>
    <m/>
    <n v="3"/>
    <m/>
    <m/>
    <n v="2"/>
    <m/>
    <m/>
    <n v="2"/>
    <n v="88"/>
    <n v="100"/>
    <m/>
    <m/>
    <m/>
    <m/>
    <m/>
    <m/>
    <m/>
    <m/>
    <m/>
    <m/>
    <m/>
    <m/>
    <m/>
    <m/>
    <m/>
    <s v="no test"/>
    <s v="no test"/>
    <s v="No Test"/>
    <n v="0"/>
    <n v="0"/>
    <n v="12"/>
    <n v="0"/>
    <n v="0"/>
    <n v="0"/>
    <n v="0"/>
    <n v="1"/>
    <n v="1"/>
    <n v="1"/>
    <n v="250"/>
    <n v="0"/>
    <n v="0"/>
    <n v="1"/>
    <n v="250"/>
    <n v="0.5"/>
    <n v="0"/>
    <n v="0"/>
    <n v="0.5"/>
    <n v="1"/>
    <n v="18"/>
    <n v="1"/>
    <n v="250"/>
    <n v="0"/>
    <n v="0"/>
    <n v="0"/>
    <n v="13"/>
    <n v="0"/>
    <n v="0"/>
    <n v="0"/>
    <n v="250"/>
    <n v="250"/>
    <n v="100"/>
    <n v="250"/>
    <n v="250"/>
    <n v="1"/>
    <n v="0"/>
    <n v="1"/>
    <n v="1"/>
    <n v="1"/>
    <n v="3"/>
    <n v="54"/>
    <n v="0"/>
    <n v="250"/>
    <s v="No"/>
    <s v=""/>
    <n v="0"/>
    <n v="0"/>
    <n v="0"/>
    <s v="Yes"/>
    <s v="KBC-NSS"/>
    <x v="0"/>
    <x v="1"/>
    <x v="0"/>
    <n v="23.694130000000001"/>
    <n v="97.818979999999996"/>
    <s v="MMR015CMP007"/>
    <x v="0"/>
    <m/>
    <n v="54"/>
    <n v="279"/>
  </r>
  <r>
    <x v="0"/>
    <x v="7"/>
    <x v="4"/>
    <s v="UNICEF, USAID"/>
    <x v="0"/>
    <x v="15"/>
    <x v="0"/>
    <x v="87"/>
    <n v="35"/>
    <n v="158"/>
    <s v="11-11-2021, 07-01-2020"/>
    <s v="10-11-2022, 28-2-2022"/>
    <m/>
    <n v="1"/>
    <m/>
    <m/>
    <s v="Yes"/>
    <n v="5"/>
    <n v="4"/>
    <m/>
    <m/>
    <m/>
    <n v="2"/>
    <m/>
    <m/>
    <m/>
    <m/>
    <m/>
    <m/>
    <m/>
    <m/>
    <m/>
    <m/>
    <n v="1"/>
    <m/>
    <m/>
    <m/>
    <m/>
    <m/>
    <m/>
    <m/>
    <m/>
    <n v="8"/>
    <m/>
    <m/>
    <m/>
    <m/>
    <m/>
    <m/>
    <m/>
    <x v="1"/>
    <x v="0"/>
    <m/>
    <m/>
    <m/>
    <m/>
    <m/>
    <m/>
    <n v="3"/>
    <m/>
    <m/>
    <n v="2"/>
    <m/>
    <m/>
    <n v="2"/>
    <n v="10"/>
    <n v="18"/>
    <m/>
    <m/>
    <m/>
    <m/>
    <m/>
    <m/>
    <m/>
    <m/>
    <m/>
    <m/>
    <m/>
    <m/>
    <m/>
    <m/>
    <m/>
    <s v="no test"/>
    <s v="no test"/>
    <s v="No Test"/>
    <n v="0"/>
    <n v="2"/>
    <n v="0"/>
    <n v="0"/>
    <n v="0"/>
    <n v="0"/>
    <n v="0"/>
    <n v="1"/>
    <n v="1"/>
    <n v="1"/>
    <n v="158"/>
    <n v="0"/>
    <n v="0"/>
    <n v="1"/>
    <n v="158"/>
    <n v="0.316"/>
    <n v="0"/>
    <n v="0"/>
    <n v="0.68399999999999994"/>
    <n v="1"/>
    <n v="8"/>
    <n v="1"/>
    <n v="158"/>
    <n v="0"/>
    <n v="0"/>
    <n v="0"/>
    <n v="8"/>
    <n v="0"/>
    <n v="0"/>
    <n v="0"/>
    <n v="158"/>
    <n v="50"/>
    <n v="18"/>
    <n v="50"/>
    <n v="158"/>
    <n v="1"/>
    <n v="0"/>
    <n v="1"/>
    <n v="1"/>
    <n v="0.51428571428571423"/>
    <n v="3"/>
    <n v="35"/>
    <n v="0"/>
    <n v="158"/>
    <s v="No"/>
    <s v=""/>
    <n v="0"/>
    <n v="0"/>
    <n v="0"/>
    <s v="Yes"/>
    <s v="KMSS-LSO"/>
    <x v="0"/>
    <x v="1"/>
    <x v="0"/>
    <n v="23.682887999999998"/>
    <n v="97.810101000000003"/>
    <s v="MMR015CMP043"/>
    <x v="0"/>
    <m/>
    <n v="34"/>
    <n v="144"/>
  </r>
  <r>
    <x v="0"/>
    <x v="7"/>
    <x v="4"/>
    <s v="UNICEF, USAID"/>
    <x v="0"/>
    <x v="15"/>
    <x v="0"/>
    <x v="88"/>
    <n v="121"/>
    <n v="664"/>
    <s v="11-11-2021, 07-01-2020"/>
    <s v="10-11-2022, 28-2-2022"/>
    <m/>
    <n v="1"/>
    <m/>
    <m/>
    <s v="Yes"/>
    <n v="4"/>
    <n v="5"/>
    <m/>
    <m/>
    <m/>
    <m/>
    <m/>
    <m/>
    <m/>
    <n v="8"/>
    <m/>
    <m/>
    <m/>
    <m/>
    <m/>
    <m/>
    <m/>
    <m/>
    <m/>
    <m/>
    <m/>
    <n v="1"/>
    <m/>
    <m/>
    <m/>
    <n v="105"/>
    <m/>
    <m/>
    <m/>
    <m/>
    <m/>
    <m/>
    <m/>
    <x v="1"/>
    <x v="1"/>
    <m/>
    <m/>
    <m/>
    <m/>
    <m/>
    <m/>
    <n v="8"/>
    <m/>
    <m/>
    <n v="3"/>
    <m/>
    <m/>
    <n v="1"/>
    <n v="91"/>
    <n v="124"/>
    <m/>
    <m/>
    <m/>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455"/>
    <n v="124"/>
    <n v="455"/>
    <n v="500"/>
    <n v="0.75301204819277112"/>
    <n v="0.24698795180722888"/>
    <n v="0.75301204819277112"/>
    <n v="1"/>
    <n v="1"/>
    <n v="8"/>
    <n v="121"/>
    <n v="0"/>
    <n v="664"/>
    <s v="No"/>
    <s v=""/>
    <n v="0"/>
    <n v="0"/>
    <n v="0"/>
    <s v="Yes"/>
    <s v="KMSS-LSO"/>
    <x v="1"/>
    <x v="1"/>
    <x v="0"/>
    <n v="23.447111"/>
    <n v="97.868876999999998"/>
    <s v="MMR015CMP037"/>
    <x v="0"/>
    <m/>
    <n v="123"/>
    <n v="706"/>
  </r>
  <r>
    <x v="0"/>
    <x v="7"/>
    <x v="4"/>
    <s v="UNICEF, USAID"/>
    <x v="0"/>
    <x v="15"/>
    <x v="0"/>
    <x v="89"/>
    <n v="45"/>
    <n v="221"/>
    <s v="11-11-2021, 07-01-2020"/>
    <s v="10-11-2022, 28-2-2022"/>
    <m/>
    <m/>
    <m/>
    <m/>
    <m/>
    <n v="5"/>
    <n v="4"/>
    <m/>
    <m/>
    <m/>
    <m/>
    <m/>
    <m/>
    <m/>
    <n v="8"/>
    <m/>
    <m/>
    <m/>
    <m/>
    <m/>
    <m/>
    <n v="1"/>
    <m/>
    <m/>
    <m/>
    <m/>
    <n v="2"/>
    <n v="1"/>
    <m/>
    <m/>
    <n v="37"/>
    <m/>
    <m/>
    <m/>
    <m/>
    <m/>
    <m/>
    <n v="3"/>
    <x v="0"/>
    <x v="3"/>
    <m/>
    <m/>
    <n v="2"/>
    <m/>
    <m/>
    <m/>
    <n v="7"/>
    <m/>
    <m/>
    <n v="7"/>
    <m/>
    <m/>
    <n v="1"/>
    <n v="104"/>
    <n v="148"/>
    <m/>
    <m/>
    <m/>
    <m/>
    <m/>
    <m/>
    <m/>
    <m/>
    <m/>
    <m/>
    <m/>
    <m/>
    <m/>
    <m/>
    <m/>
    <s v="no test"/>
    <s v="no test"/>
    <s v="No Test"/>
    <n v="0"/>
    <n v="0"/>
    <n v="8"/>
    <n v="0"/>
    <n v="0"/>
    <n v="221"/>
    <n v="0"/>
    <n v="1"/>
    <n v="1"/>
    <n v="1"/>
    <n v="221"/>
    <n v="0"/>
    <n v="0"/>
    <n v="1"/>
    <n v="221"/>
    <n v="0.442"/>
    <n v="0"/>
    <n v="0"/>
    <n v="0.55800000000000005"/>
    <n v="1"/>
    <n v="37"/>
    <n v="1"/>
    <n v="221"/>
    <n v="0"/>
    <n v="0"/>
    <n v="0"/>
    <n v="11"/>
    <n v="0"/>
    <n v="0"/>
    <n v="0"/>
    <n v="221"/>
    <n v="221"/>
    <n v="148"/>
    <n v="221"/>
    <n v="221"/>
    <n v="1"/>
    <n v="0"/>
    <n v="1"/>
    <n v="1"/>
    <n v="1"/>
    <n v="7"/>
    <n v="45"/>
    <n v="0"/>
    <n v="221"/>
    <s v="No"/>
    <s v=""/>
    <n v="0"/>
    <n v="221"/>
    <n v="0"/>
    <s v="Yes"/>
    <s v="KMSS-LSO"/>
    <x v="0"/>
    <x v="1"/>
    <x v="0"/>
    <n v="23.59"/>
    <n v="97.805999999999997"/>
    <s v="MMR015CMP067"/>
    <x v="0"/>
    <m/>
    <n v="47"/>
    <n v="230"/>
  </r>
  <r>
    <x v="0"/>
    <x v="7"/>
    <x v="4"/>
    <s v="UNICEF, USAID"/>
    <x v="0"/>
    <x v="15"/>
    <x v="0"/>
    <x v="90"/>
    <n v="209"/>
    <n v="1101"/>
    <s v="11-11-2021, 07-01-2020"/>
    <s v="10-11-2022, 28-2-2022"/>
    <m/>
    <n v="2"/>
    <m/>
    <m/>
    <s v="Yes"/>
    <n v="5"/>
    <n v="4"/>
    <n v="2"/>
    <m/>
    <m/>
    <n v="1"/>
    <m/>
    <m/>
    <m/>
    <n v="48"/>
    <m/>
    <m/>
    <m/>
    <m/>
    <m/>
    <m/>
    <n v="1"/>
    <m/>
    <m/>
    <m/>
    <m/>
    <m/>
    <n v="2"/>
    <m/>
    <m/>
    <n v="200"/>
    <n v="5"/>
    <m/>
    <m/>
    <m/>
    <m/>
    <m/>
    <n v="18"/>
    <x v="0"/>
    <x v="0"/>
    <m/>
    <m/>
    <n v="2"/>
    <m/>
    <m/>
    <m/>
    <n v="7"/>
    <m/>
    <m/>
    <n v="4"/>
    <m/>
    <m/>
    <n v="1"/>
    <n v="124"/>
    <n v="198"/>
    <m/>
    <m/>
    <m/>
    <m/>
    <m/>
    <m/>
    <m/>
    <m/>
    <m/>
    <m/>
    <m/>
    <m/>
    <m/>
    <m/>
    <m/>
    <s v="no test"/>
    <s v="no test"/>
    <s v="No Test"/>
    <n v="2"/>
    <n v="1"/>
    <n v="48"/>
    <n v="0"/>
    <n v="0"/>
    <n v="1000"/>
    <n v="0"/>
    <n v="1"/>
    <n v="1"/>
    <n v="1"/>
    <n v="1101"/>
    <n v="0"/>
    <n v="0"/>
    <n v="1"/>
    <n v="1101"/>
    <n v="2.202"/>
    <n v="0"/>
    <n v="0"/>
    <n v="0"/>
    <n v="2"/>
    <n v="205"/>
    <n v="0.93097184377838327"/>
    <n v="1025"/>
    <n v="0"/>
    <n v="0"/>
    <n v="0"/>
    <n v="184"/>
    <n v="0"/>
    <n v="6.9028156221616732E-2"/>
    <n v="0"/>
    <n v="500"/>
    <n v="620"/>
    <n v="198"/>
    <n v="620"/>
    <n v="620"/>
    <n v="0.56312443233424159"/>
    <n v="0.43687556766575841"/>
    <n v="0.45413260672116257"/>
    <n v="1"/>
    <n v="0.94736842105263153"/>
    <n v="7"/>
    <n v="140"/>
    <n v="0"/>
    <n v="700"/>
    <s v="No"/>
    <s v=""/>
    <n v="0"/>
    <n v="1000"/>
    <n v="0"/>
    <s v="Yes"/>
    <s v="KBC-NSS"/>
    <x v="1"/>
    <x v="1"/>
    <x v="0"/>
    <n v="23.38503"/>
    <n v="97.837040000000002"/>
    <s v="MMR015CMP020"/>
    <x v="0"/>
    <m/>
    <n v="209"/>
    <n v="1084"/>
  </r>
  <r>
    <x v="0"/>
    <x v="7"/>
    <x v="4"/>
    <s v="UNICEF, MHF"/>
    <x v="0"/>
    <x v="16"/>
    <x v="1"/>
    <x v="91"/>
    <n v="23"/>
    <n v="103"/>
    <s v="11-11-2021, 07-01-2020"/>
    <s v="10-11-2022, 28-2-2022"/>
    <m/>
    <m/>
    <m/>
    <m/>
    <s v="Yes"/>
    <n v="5"/>
    <n v="1"/>
    <n v="1"/>
    <m/>
    <m/>
    <m/>
    <n v="1"/>
    <m/>
    <m/>
    <m/>
    <m/>
    <m/>
    <m/>
    <m/>
    <m/>
    <m/>
    <m/>
    <m/>
    <m/>
    <m/>
    <m/>
    <m/>
    <m/>
    <m/>
    <m/>
    <n v="23"/>
    <m/>
    <m/>
    <m/>
    <m/>
    <m/>
    <m/>
    <m/>
    <x v="2"/>
    <x v="2"/>
    <m/>
    <m/>
    <m/>
    <m/>
    <m/>
    <m/>
    <n v="3"/>
    <m/>
    <m/>
    <n v="2"/>
    <m/>
    <m/>
    <m/>
    <n v="88"/>
    <n v="100"/>
    <m/>
    <m/>
    <m/>
    <m/>
    <m/>
    <m/>
    <m/>
    <m/>
    <m/>
    <m/>
    <m/>
    <m/>
    <m/>
    <m/>
    <m/>
    <s v="no test"/>
    <s v="no test"/>
    <s v="No Test"/>
    <n v="1"/>
    <n v="1"/>
    <n v="0"/>
    <n v="0"/>
    <n v="0"/>
    <n v="0"/>
    <n v="0"/>
    <n v="1"/>
    <n v="1"/>
    <n v="1"/>
    <n v="103"/>
    <n v="0"/>
    <n v="0"/>
    <n v="1"/>
    <n v="103"/>
    <n v="0.20599999999999999"/>
    <n v="0"/>
    <n v="0"/>
    <n v="0.79400000000000004"/>
    <n v="1"/>
    <n v="23"/>
    <n v="1"/>
    <n v="103"/>
    <n v="0"/>
    <n v="0"/>
    <n v="0"/>
    <n v="5"/>
    <n v="0"/>
    <n v="0"/>
    <n v="0"/>
    <n v="0"/>
    <n v="103"/>
    <n v="100"/>
    <n v="103"/>
    <n v="103"/>
    <n v="1"/>
    <n v="0"/>
    <n v="0"/>
    <n v="1"/>
    <n v="1"/>
    <n v="3"/>
    <n v="23"/>
    <n v="0"/>
    <n v="103"/>
    <s v="No"/>
    <s v=""/>
    <n v="0"/>
    <n v="0"/>
    <n v="0"/>
    <n v="0"/>
    <n v="0"/>
    <x v="0"/>
    <x v="0"/>
    <x v="0"/>
    <n v="0"/>
    <n v="0"/>
    <n v="0"/>
    <x v="0"/>
    <m/>
    <n v="0"/>
    <n v="0"/>
  </r>
  <r>
    <x v="0"/>
    <x v="7"/>
    <x v="4"/>
    <s v="UNICEF, USAID"/>
    <x v="1"/>
    <x v="4"/>
    <x v="0"/>
    <x v="92"/>
    <n v="97"/>
    <n v="544"/>
    <s v="2-01-2019, 07-01-2020"/>
    <s v="30-09-2021, 28-2-2022"/>
    <m/>
    <m/>
    <m/>
    <m/>
    <m/>
    <m/>
    <m/>
    <n v="3"/>
    <m/>
    <m/>
    <m/>
    <m/>
    <m/>
    <m/>
    <m/>
    <m/>
    <m/>
    <m/>
    <m/>
    <m/>
    <m/>
    <m/>
    <m/>
    <m/>
    <m/>
    <m/>
    <m/>
    <m/>
    <m/>
    <m/>
    <m/>
    <m/>
    <m/>
    <m/>
    <m/>
    <m/>
    <m/>
    <m/>
    <x v="2"/>
    <x v="2"/>
    <m/>
    <m/>
    <m/>
    <m/>
    <m/>
    <m/>
    <n v="7"/>
    <m/>
    <m/>
    <n v="7"/>
    <m/>
    <m/>
    <m/>
    <n v="104"/>
    <n v="148"/>
    <m/>
    <m/>
    <m/>
    <m/>
    <m/>
    <m/>
    <m/>
    <m/>
    <m/>
    <m/>
    <m/>
    <m/>
    <m/>
    <m/>
    <m/>
    <s v="no test"/>
    <s v="no test"/>
    <s v="No Test"/>
    <n v="3"/>
    <n v="0"/>
    <n v="0"/>
    <n v="0"/>
    <n v="0"/>
    <n v="0"/>
    <n v="0"/>
    <n v="1"/>
    <n v="1"/>
    <n v="1"/>
    <n v="544"/>
    <n v="0"/>
    <n v="0"/>
    <n v="1"/>
    <n v="544"/>
    <n v="1.0880000000000001"/>
    <n v="0"/>
    <n v="0"/>
    <n v="0"/>
    <n v="1"/>
    <n v="0"/>
    <n v="0"/>
    <n v="0"/>
    <n v="0"/>
    <n v="0"/>
    <n v="0"/>
    <n v="27"/>
    <n v="27"/>
    <n v="1"/>
    <n v="0"/>
    <n v="0"/>
    <n v="520"/>
    <n v="148"/>
    <n v="520"/>
    <n v="520"/>
    <n v="0.95588235294117652"/>
    <n v="4.4117647058823484E-2"/>
    <n v="0"/>
    <n v="1"/>
    <n v="1"/>
    <n v="7"/>
    <n v="97"/>
    <n v="0"/>
    <n v="544"/>
    <s v="No"/>
    <s v=""/>
    <n v="0"/>
    <n v="0"/>
    <n v="0"/>
    <n v="0"/>
    <s v="uncovered"/>
    <x v="0"/>
    <x v="4"/>
    <x v="0"/>
    <n v="23.827870999999998"/>
    <n v="97.588291999999996"/>
    <s v="MMR001CMP134"/>
    <x v="0"/>
    <m/>
    <n v="120"/>
    <n v="664"/>
  </r>
  <r>
    <x v="0"/>
    <x v="7"/>
    <x v="4"/>
    <s v="USAID, HOPE-20, Hope-21"/>
    <x v="1"/>
    <x v="4"/>
    <x v="0"/>
    <x v="93"/>
    <n v="172"/>
    <n v="789"/>
    <s v="13-8-2021, 6-1-2020, 1-7-2021"/>
    <s v="12-20-2022, 30-8-2021, 30-6-2022"/>
    <m/>
    <m/>
    <m/>
    <m/>
    <s v="Yes"/>
    <m/>
    <n v="7"/>
    <n v="2"/>
    <m/>
    <m/>
    <n v="2"/>
    <n v="3"/>
    <m/>
    <m/>
    <m/>
    <m/>
    <m/>
    <m/>
    <m/>
    <m/>
    <m/>
    <m/>
    <m/>
    <m/>
    <m/>
    <m/>
    <n v="1"/>
    <m/>
    <m/>
    <m/>
    <n v="40"/>
    <m/>
    <m/>
    <m/>
    <m/>
    <m/>
    <m/>
    <m/>
    <x v="1"/>
    <x v="1"/>
    <m/>
    <n v="1"/>
    <n v="3"/>
    <m/>
    <n v="1"/>
    <m/>
    <n v="3"/>
    <m/>
    <m/>
    <n v="2"/>
    <m/>
    <m/>
    <n v="3"/>
    <n v="88"/>
    <n v="100"/>
    <m/>
    <m/>
    <m/>
    <m/>
    <m/>
    <m/>
    <m/>
    <m/>
    <m/>
    <m/>
    <m/>
    <m/>
    <m/>
    <m/>
    <m/>
    <s v="no test"/>
    <s v="no test"/>
    <s v="No Test"/>
    <n v="2"/>
    <n v="5"/>
    <n v="0"/>
    <n v="0"/>
    <n v="0"/>
    <n v="0"/>
    <n v="0"/>
    <n v="1"/>
    <n v="1"/>
    <n v="1"/>
    <n v="789"/>
    <n v="0"/>
    <n v="0"/>
    <n v="1"/>
    <n v="789"/>
    <n v="1.5780000000000001"/>
    <n v="0"/>
    <n v="0"/>
    <n v="0.42199999999999993"/>
    <n v="2"/>
    <n v="40"/>
    <n v="1"/>
    <n v="789"/>
    <n v="0"/>
    <n v="0"/>
    <n v="0"/>
    <n v="39"/>
    <n v="0"/>
    <n v="0"/>
    <n v="0"/>
    <n v="789"/>
    <n v="440"/>
    <n v="100"/>
    <n v="440"/>
    <n v="789"/>
    <n v="1"/>
    <n v="0"/>
    <n v="1"/>
    <n v="1"/>
    <n v="0.58139534883720934"/>
    <n v="3"/>
    <n v="60"/>
    <n v="0"/>
    <n v="300"/>
    <s v="No"/>
    <s v=""/>
    <n v="0"/>
    <n v="0"/>
    <n v="0"/>
    <s v="Yes"/>
    <s v="KBC-BMO"/>
    <x v="0"/>
    <x v="1"/>
    <x v="0"/>
    <n v="24.129059999999999"/>
    <n v="97.291820000000001"/>
    <s v="MMR001CMP066"/>
    <x v="0"/>
    <m/>
    <n v="181"/>
    <n v="815"/>
  </r>
  <r>
    <x v="0"/>
    <x v="7"/>
    <x v="4"/>
    <s v="UNICEF, USAID"/>
    <x v="0"/>
    <x v="17"/>
    <x v="0"/>
    <x v="94"/>
    <n v="28"/>
    <n v="125"/>
    <s v="11-11-2021, 07-01-2020"/>
    <s v="10-11-2022, 28-2-2022"/>
    <m/>
    <m/>
    <n v="1"/>
    <m/>
    <s v="Yes"/>
    <m/>
    <m/>
    <m/>
    <m/>
    <m/>
    <n v="1"/>
    <n v="1"/>
    <m/>
    <m/>
    <m/>
    <m/>
    <m/>
    <m/>
    <m/>
    <m/>
    <m/>
    <m/>
    <m/>
    <m/>
    <m/>
    <m/>
    <m/>
    <m/>
    <m/>
    <m/>
    <n v="18"/>
    <m/>
    <m/>
    <m/>
    <m/>
    <m/>
    <m/>
    <m/>
    <x v="1"/>
    <x v="1"/>
    <m/>
    <m/>
    <m/>
    <m/>
    <m/>
    <m/>
    <n v="7"/>
    <m/>
    <m/>
    <n v="4"/>
    <m/>
    <m/>
    <n v="1"/>
    <n v="124"/>
    <n v="198"/>
    <m/>
    <m/>
    <m/>
    <m/>
    <m/>
    <m/>
    <m/>
    <m/>
    <m/>
    <m/>
    <m/>
    <m/>
    <m/>
    <m/>
    <m/>
    <s v="no test"/>
    <s v="no test"/>
    <s v="No Test"/>
    <n v="0"/>
    <n v="2"/>
    <n v="0"/>
    <n v="0"/>
    <n v="0"/>
    <n v="0"/>
    <n v="0"/>
    <n v="1"/>
    <n v="1"/>
    <n v="1"/>
    <n v="125"/>
    <n v="0"/>
    <n v="0"/>
    <n v="1"/>
    <n v="125"/>
    <n v="0.25"/>
    <n v="0"/>
    <n v="0"/>
    <n v="0.75"/>
    <n v="1"/>
    <n v="18"/>
    <n v="1"/>
    <n v="125"/>
    <n v="0"/>
    <n v="0"/>
    <n v="0"/>
    <n v="6"/>
    <n v="0"/>
    <n v="0"/>
    <n v="0"/>
    <n v="125"/>
    <n v="125"/>
    <n v="125"/>
    <n v="125"/>
    <n v="125"/>
    <n v="1"/>
    <n v="0"/>
    <n v="1"/>
    <n v="1"/>
    <n v="1"/>
    <n v="7"/>
    <n v="28"/>
    <n v="0"/>
    <n v="125"/>
    <s v="No"/>
    <s v=""/>
    <n v="0"/>
    <n v="0"/>
    <n v="0"/>
    <s v="Yes"/>
    <s v="KBC-NSS"/>
    <x v="0"/>
    <x v="3"/>
    <x v="0"/>
    <n v="23.250678000000001"/>
    <n v="97.124403000000001"/>
    <s v="MMR015CMP009"/>
    <x v="0"/>
    <m/>
    <n v="28"/>
    <n v="147"/>
  </r>
  <r>
    <x v="0"/>
    <x v="7"/>
    <x v="4"/>
    <s v="USAID, HOPE-71, HOPE-94"/>
    <x v="1"/>
    <x v="7"/>
    <x v="1"/>
    <x v="95"/>
    <n v="139"/>
    <n v="605"/>
    <s v="13-8-2021, 6-1-2020, 1-7-2021"/>
    <s v="12-2-2022, 30-11-2021, 30.4.2021"/>
    <m/>
    <m/>
    <m/>
    <m/>
    <s v="Yes"/>
    <n v="2"/>
    <n v="3"/>
    <n v="1"/>
    <m/>
    <m/>
    <n v="1"/>
    <n v="1"/>
    <m/>
    <m/>
    <m/>
    <m/>
    <m/>
    <m/>
    <m/>
    <m/>
    <m/>
    <m/>
    <m/>
    <m/>
    <m/>
    <m/>
    <n v="2"/>
    <m/>
    <m/>
    <m/>
    <n v="28"/>
    <m/>
    <m/>
    <m/>
    <m/>
    <m/>
    <m/>
    <m/>
    <x v="1"/>
    <x v="1"/>
    <m/>
    <m/>
    <n v="3"/>
    <m/>
    <m/>
    <m/>
    <n v="8"/>
    <m/>
    <m/>
    <n v="3"/>
    <m/>
    <m/>
    <n v="1"/>
    <n v="91"/>
    <n v="124"/>
    <m/>
    <m/>
    <m/>
    <m/>
    <m/>
    <m/>
    <m/>
    <m/>
    <m/>
    <m/>
    <m/>
    <m/>
    <m/>
    <m/>
    <m/>
    <s v="no test"/>
    <s v="no test"/>
    <s v="No Test"/>
    <n v="1"/>
    <n v="2"/>
    <n v="0"/>
    <n v="0"/>
    <n v="0"/>
    <n v="0"/>
    <n v="0"/>
    <n v="1"/>
    <n v="1"/>
    <n v="1"/>
    <n v="605"/>
    <n v="0"/>
    <n v="0"/>
    <n v="1"/>
    <n v="605"/>
    <n v="1.21"/>
    <n v="0"/>
    <n v="0"/>
    <n v="0"/>
    <n v="1"/>
    <n v="28"/>
    <n v="0.92561983471074383"/>
    <n v="560"/>
    <n v="0"/>
    <n v="0"/>
    <n v="0"/>
    <n v="30"/>
    <n v="2"/>
    <n v="7.4380165289256173E-2"/>
    <n v="0"/>
    <n v="500"/>
    <n v="455"/>
    <n v="124"/>
    <n v="455"/>
    <n v="500"/>
    <n v="0.82644628099173556"/>
    <n v="0.17355371900826444"/>
    <n v="0.82644628099173556"/>
    <n v="1"/>
    <n v="0.8920863309352518"/>
    <n v="8"/>
    <n v="139"/>
    <n v="0"/>
    <n v="605"/>
    <s v="No"/>
    <s v=""/>
    <n v="0"/>
    <n v="0"/>
    <n v="0"/>
    <n v="0"/>
    <n v="0"/>
    <x v="0"/>
    <x v="1"/>
    <x v="0"/>
    <n v="0"/>
    <n v="0"/>
    <n v="0"/>
    <x v="0"/>
    <m/>
    <n v="0"/>
    <n v="0"/>
  </r>
  <r>
    <x v="0"/>
    <x v="7"/>
    <x v="4"/>
    <s v="USAID, HOPE-71, HOPE-94"/>
    <x v="1"/>
    <x v="7"/>
    <x v="0"/>
    <x v="96"/>
    <n v="715"/>
    <n v="3789"/>
    <s v="13-8-2021, 6-1-2020, 1-7-2021"/>
    <s v="12-2-2022, 30-11-2021, 30.4.2021"/>
    <m/>
    <m/>
    <n v="3"/>
    <m/>
    <s v="Yes"/>
    <n v="4"/>
    <n v="3"/>
    <n v="3"/>
    <m/>
    <m/>
    <m/>
    <m/>
    <m/>
    <m/>
    <n v="1"/>
    <m/>
    <m/>
    <m/>
    <m/>
    <n v="265230"/>
    <m/>
    <m/>
    <m/>
    <m/>
    <m/>
    <m/>
    <n v="4"/>
    <n v="3"/>
    <m/>
    <m/>
    <n v="306"/>
    <m/>
    <m/>
    <m/>
    <m/>
    <m/>
    <m/>
    <m/>
    <x v="1"/>
    <x v="1"/>
    <n v="13"/>
    <m/>
    <n v="46"/>
    <n v="4"/>
    <m/>
    <s v="Because of the fully lockdown situation and shotage of materials causes latrines unfunctional"/>
    <n v="1"/>
    <m/>
    <m/>
    <n v="1"/>
    <m/>
    <m/>
    <n v="1"/>
    <n v="6"/>
    <n v="5"/>
    <s v="Yes"/>
    <m/>
    <m/>
    <m/>
    <m/>
    <m/>
    <m/>
    <m/>
    <m/>
    <m/>
    <m/>
    <m/>
    <m/>
    <m/>
    <m/>
    <s v="no test"/>
    <s v="no test"/>
    <s v="No Test"/>
    <n v="3"/>
    <n v="0"/>
    <n v="1"/>
    <n v="0"/>
    <n v="196.46666666666667"/>
    <n v="1500"/>
    <n v="0"/>
    <n v="0.38615289874197239"/>
    <n v="0.26738805313627168"/>
    <n v="0.38615289874197239"/>
    <n v="1463.1333333333334"/>
    <n v="0"/>
    <n v="0"/>
    <n v="0.38615289874197239"/>
    <n v="1463.1333333333334"/>
    <n v="2.9262666666666668"/>
    <n v="0.61384710125802755"/>
    <n v="2325.8666666666663"/>
    <n v="5.0737333333333332"/>
    <n v="8"/>
    <n v="306"/>
    <n v="1"/>
    <n v="3789"/>
    <n v="0"/>
    <n v="0"/>
    <n v="200"/>
    <n v="189"/>
    <n v="0"/>
    <n v="0"/>
    <n v="0"/>
    <n v="500"/>
    <n v="30"/>
    <n v="5"/>
    <n v="30"/>
    <n v="500"/>
    <n v="0.13196093956188967"/>
    <n v="0.8680390604381103"/>
    <n v="0.13196093956188967"/>
    <n v="8.3916083916083916E-3"/>
    <n v="6.993006993006993E-3"/>
    <n v="1"/>
    <n v="20"/>
    <n v="4"/>
    <n v="100"/>
    <s v="No"/>
    <s v=""/>
    <n v="0"/>
    <n v="1500"/>
    <n v="200"/>
    <s v="Yes"/>
    <s v="KMSS-MYT"/>
    <x v="0"/>
    <x v="1"/>
    <x v="1"/>
    <n v="24.661905999999998"/>
    <n v="97.573126000000002"/>
    <s v="MMR001CMP122"/>
    <x v="0"/>
    <m/>
    <n v="664"/>
    <n v="3491"/>
  </r>
  <r>
    <x v="0"/>
    <x v="7"/>
    <x v="4"/>
    <s v="USAID, HOPE-71, HOPE-94"/>
    <x v="1"/>
    <x v="7"/>
    <x v="1"/>
    <x v="97"/>
    <n v="17"/>
    <n v="100"/>
    <s v="13-8-2021, 6-1-2020, 1-7-2021"/>
    <s v="12-2-2022, 30-11-2021, 30.4.2021"/>
    <m/>
    <m/>
    <m/>
    <m/>
    <s v="No"/>
    <m/>
    <m/>
    <n v="1"/>
    <m/>
    <m/>
    <m/>
    <m/>
    <m/>
    <m/>
    <m/>
    <m/>
    <m/>
    <m/>
    <m/>
    <m/>
    <m/>
    <m/>
    <m/>
    <m/>
    <m/>
    <m/>
    <m/>
    <m/>
    <m/>
    <m/>
    <n v="4"/>
    <m/>
    <m/>
    <m/>
    <m/>
    <m/>
    <m/>
    <m/>
    <x v="1"/>
    <x v="1"/>
    <m/>
    <m/>
    <m/>
    <m/>
    <m/>
    <m/>
    <n v="3"/>
    <m/>
    <m/>
    <n v="2"/>
    <m/>
    <m/>
    <n v="1"/>
    <n v="10"/>
    <n v="18"/>
    <m/>
    <m/>
    <m/>
    <m/>
    <m/>
    <m/>
    <m/>
    <m/>
    <m/>
    <m/>
    <m/>
    <m/>
    <m/>
    <m/>
    <m/>
    <s v="no test"/>
    <s v="no test"/>
    <s v="No Test"/>
    <n v="1"/>
    <n v="0"/>
    <n v="0"/>
    <n v="0"/>
    <n v="0"/>
    <n v="0"/>
    <n v="0"/>
    <n v="1"/>
    <n v="1"/>
    <n v="1"/>
    <n v="100"/>
    <n v="0"/>
    <n v="0"/>
    <n v="1"/>
    <n v="100"/>
    <n v="0.2"/>
    <n v="0"/>
    <n v="0"/>
    <n v="0.8"/>
    <n v="1"/>
    <n v="4"/>
    <n v="0.8"/>
    <n v="80"/>
    <n v="0"/>
    <n v="0"/>
    <n v="0"/>
    <n v="5"/>
    <n v="1"/>
    <n v="0.19999999999999996"/>
    <n v="0"/>
    <n v="100"/>
    <n v="50"/>
    <n v="18"/>
    <n v="50"/>
    <n v="100"/>
    <n v="1"/>
    <n v="0"/>
    <n v="1"/>
    <n v="1"/>
    <n v="1"/>
    <n v="3"/>
    <n v="17"/>
    <n v="0"/>
    <n v="100"/>
    <s v="No"/>
    <s v=""/>
    <n v="0"/>
    <n v="0"/>
    <n v="0"/>
    <n v="0"/>
    <n v="0"/>
    <x v="0"/>
    <x v="1"/>
    <x v="0"/>
    <n v="0"/>
    <n v="0"/>
    <n v="0"/>
    <x v="0"/>
    <m/>
    <n v="0"/>
    <n v="0"/>
  </r>
  <r>
    <x v="0"/>
    <x v="7"/>
    <x v="4"/>
    <s v="USAID, HOPE-71, HOPE-94"/>
    <x v="1"/>
    <x v="7"/>
    <x v="1"/>
    <x v="98"/>
    <n v="22"/>
    <n v="106"/>
    <s v="13-8-2021, 6-1-2020, 1-7-2021"/>
    <s v="12-2-2022, 30-11-2021, 30.4.2021"/>
    <m/>
    <m/>
    <m/>
    <m/>
    <s v="No"/>
    <m/>
    <m/>
    <m/>
    <m/>
    <m/>
    <m/>
    <n v="1"/>
    <m/>
    <m/>
    <m/>
    <m/>
    <m/>
    <m/>
    <m/>
    <m/>
    <m/>
    <m/>
    <m/>
    <m/>
    <m/>
    <m/>
    <m/>
    <m/>
    <m/>
    <m/>
    <n v="5"/>
    <m/>
    <m/>
    <m/>
    <m/>
    <m/>
    <m/>
    <m/>
    <x v="1"/>
    <x v="1"/>
    <m/>
    <m/>
    <m/>
    <m/>
    <m/>
    <m/>
    <n v="1"/>
    <m/>
    <m/>
    <n v="3"/>
    <m/>
    <m/>
    <n v="1"/>
    <n v="41"/>
    <n v="85"/>
    <m/>
    <m/>
    <m/>
    <m/>
    <m/>
    <m/>
    <m/>
    <m/>
    <m/>
    <m/>
    <m/>
    <m/>
    <m/>
    <m/>
    <m/>
    <s v="no test"/>
    <s v="no test"/>
    <s v="No Test"/>
    <n v="0"/>
    <n v="1"/>
    <n v="0"/>
    <n v="0"/>
    <n v="0"/>
    <n v="0"/>
    <n v="0"/>
    <n v="1"/>
    <n v="1"/>
    <n v="1"/>
    <n v="106"/>
    <n v="0"/>
    <n v="0"/>
    <n v="1"/>
    <n v="106"/>
    <n v="0.21199999999999999"/>
    <n v="0"/>
    <n v="0"/>
    <n v="0.78800000000000003"/>
    <n v="1"/>
    <n v="5"/>
    <n v="0.94339622641509435"/>
    <n v="100"/>
    <n v="0"/>
    <n v="0"/>
    <n v="0"/>
    <n v="5"/>
    <n v="0"/>
    <n v="5.6603773584905648E-2"/>
    <n v="0"/>
    <n v="106"/>
    <n v="106"/>
    <n v="85"/>
    <n v="106"/>
    <n v="106"/>
    <n v="1"/>
    <n v="0"/>
    <n v="1"/>
    <n v="1"/>
    <n v="1"/>
    <n v="1"/>
    <n v="20"/>
    <n v="0"/>
    <n v="100"/>
    <s v="No"/>
    <s v=""/>
    <n v="0"/>
    <n v="0"/>
    <n v="0"/>
    <n v="0"/>
    <n v="0"/>
    <x v="0"/>
    <x v="1"/>
    <x v="0"/>
    <n v="0"/>
    <n v="0"/>
    <n v="0"/>
    <x v="0"/>
    <m/>
    <n v="0"/>
    <n v="0"/>
  </r>
  <r>
    <x v="0"/>
    <x v="7"/>
    <x v="4"/>
    <s v="USAID, HOPE-20, Hope-21"/>
    <x v="1"/>
    <x v="7"/>
    <x v="0"/>
    <x v="99"/>
    <n v="127"/>
    <n v="741"/>
    <s v="13-8-2021, 6-1-2020, 1-7-2021"/>
    <s v="12-20-2022, 30-8-2021, 30-6-22"/>
    <m/>
    <m/>
    <m/>
    <m/>
    <s v="No"/>
    <m/>
    <m/>
    <m/>
    <m/>
    <m/>
    <n v="2"/>
    <n v="1"/>
    <m/>
    <m/>
    <m/>
    <m/>
    <m/>
    <m/>
    <m/>
    <m/>
    <m/>
    <m/>
    <m/>
    <m/>
    <m/>
    <m/>
    <m/>
    <m/>
    <m/>
    <m/>
    <n v="40"/>
    <m/>
    <m/>
    <m/>
    <m/>
    <m/>
    <m/>
    <m/>
    <x v="1"/>
    <x v="1"/>
    <m/>
    <m/>
    <m/>
    <m/>
    <m/>
    <m/>
    <n v="1"/>
    <m/>
    <m/>
    <n v="1"/>
    <m/>
    <m/>
    <n v="1"/>
    <n v="6"/>
    <n v="5"/>
    <m/>
    <m/>
    <m/>
    <m/>
    <m/>
    <m/>
    <m/>
    <m/>
    <m/>
    <m/>
    <m/>
    <m/>
    <m/>
    <m/>
    <m/>
    <s v="no test"/>
    <s v="no test"/>
    <s v="No Test"/>
    <n v="0"/>
    <n v="3"/>
    <n v="0"/>
    <n v="0"/>
    <n v="0"/>
    <n v="0"/>
    <n v="0"/>
    <n v="1"/>
    <n v="1"/>
    <n v="1"/>
    <n v="741"/>
    <n v="0"/>
    <n v="0"/>
    <n v="1"/>
    <n v="741"/>
    <n v="1.482"/>
    <n v="0"/>
    <n v="0"/>
    <n v="0"/>
    <n v="1"/>
    <n v="40"/>
    <n v="1"/>
    <n v="741"/>
    <n v="0"/>
    <n v="0"/>
    <n v="0"/>
    <n v="37"/>
    <n v="0"/>
    <n v="0"/>
    <n v="0"/>
    <n v="500"/>
    <n v="30"/>
    <n v="5"/>
    <n v="30"/>
    <n v="500"/>
    <n v="0.67476383265856954"/>
    <n v="0.32523616734143046"/>
    <n v="0.67476383265856954"/>
    <n v="0.1889763779527559"/>
    <n v="3.937007874015748E-2"/>
    <n v="1"/>
    <n v="20"/>
    <n v="0"/>
    <n v="100"/>
    <s v="No"/>
    <s v=""/>
    <n v="0"/>
    <n v="0"/>
    <n v="0"/>
    <s v="Yes"/>
    <s v="KMSS-BMO"/>
    <x v="0"/>
    <x v="1"/>
    <x v="0"/>
    <n v="24.245100000000001"/>
    <n v="97.325019999999995"/>
    <s v="MMR001CMP062"/>
    <x v="0"/>
    <m/>
    <n v="122"/>
    <n v="571"/>
  </r>
  <r>
    <x v="0"/>
    <x v="7"/>
    <x v="4"/>
    <s v="USAID, HOPE-71, HOPE-94"/>
    <x v="1"/>
    <x v="7"/>
    <x v="0"/>
    <x v="100"/>
    <n v="86"/>
    <n v="424"/>
    <s v="13-8-2021, 6-1-2020, 1-7-2021"/>
    <s v="12-2-2022, 30-11-2021, 30.4.2021"/>
    <m/>
    <m/>
    <m/>
    <m/>
    <s v="Yes"/>
    <n v="5"/>
    <n v="3"/>
    <n v="2"/>
    <m/>
    <m/>
    <n v="2"/>
    <m/>
    <m/>
    <m/>
    <m/>
    <m/>
    <m/>
    <m/>
    <m/>
    <m/>
    <m/>
    <m/>
    <m/>
    <m/>
    <m/>
    <m/>
    <n v="1"/>
    <m/>
    <m/>
    <m/>
    <n v="28"/>
    <m/>
    <m/>
    <m/>
    <m/>
    <m/>
    <m/>
    <m/>
    <x v="1"/>
    <x v="1"/>
    <m/>
    <m/>
    <n v="2"/>
    <m/>
    <m/>
    <m/>
    <n v="1"/>
    <m/>
    <m/>
    <n v="3"/>
    <m/>
    <m/>
    <n v="1"/>
    <n v="41"/>
    <n v="85"/>
    <m/>
    <m/>
    <m/>
    <m/>
    <m/>
    <m/>
    <m/>
    <m/>
    <m/>
    <m/>
    <m/>
    <m/>
    <m/>
    <m/>
    <m/>
    <s v="no test"/>
    <s v="no test"/>
    <s v="No Test"/>
    <n v="2"/>
    <n v="2"/>
    <n v="0"/>
    <n v="0"/>
    <n v="0"/>
    <n v="0"/>
    <n v="0"/>
    <n v="1"/>
    <n v="1"/>
    <n v="1"/>
    <n v="424"/>
    <n v="0"/>
    <n v="0"/>
    <n v="1"/>
    <n v="424"/>
    <n v="0.84799999999999998"/>
    <n v="0"/>
    <n v="0"/>
    <n v="0.15200000000000002"/>
    <n v="1"/>
    <n v="28"/>
    <n v="1"/>
    <n v="424"/>
    <n v="0"/>
    <n v="0"/>
    <n v="0"/>
    <n v="21"/>
    <n v="0"/>
    <n v="0"/>
    <n v="0"/>
    <n v="424"/>
    <n v="205"/>
    <n v="85"/>
    <n v="205"/>
    <n v="424"/>
    <n v="1"/>
    <n v="0"/>
    <n v="1"/>
    <n v="1"/>
    <n v="0.98837209302325579"/>
    <n v="1"/>
    <n v="20"/>
    <n v="0"/>
    <n v="100"/>
    <s v="No"/>
    <s v=""/>
    <n v="0"/>
    <n v="0"/>
    <n v="0"/>
    <s v="Yes"/>
    <s v="KBC-BMO"/>
    <x v="0"/>
    <x v="1"/>
    <x v="0"/>
    <n v="24.250689999999999"/>
    <n v="97.344359999999995"/>
    <s v="MMR001CMP056"/>
    <x v="0"/>
    <m/>
    <n v="646"/>
    <n v="2978"/>
  </r>
  <r>
    <x v="0"/>
    <x v="7"/>
    <x v="4"/>
    <s v="UNICEF, USAID"/>
    <x v="0"/>
    <x v="18"/>
    <x v="0"/>
    <x v="101"/>
    <n v="180"/>
    <n v="934"/>
    <s v="11-11-2021, 07-01-2020"/>
    <s v="10-11-2022, 28-2-2022"/>
    <m/>
    <m/>
    <m/>
    <m/>
    <m/>
    <n v="5"/>
    <n v="1"/>
    <m/>
    <m/>
    <m/>
    <m/>
    <m/>
    <m/>
    <m/>
    <n v="18"/>
    <m/>
    <m/>
    <m/>
    <m/>
    <m/>
    <m/>
    <n v="1"/>
    <m/>
    <m/>
    <m/>
    <m/>
    <m/>
    <m/>
    <m/>
    <m/>
    <n v="40"/>
    <m/>
    <m/>
    <m/>
    <m/>
    <m/>
    <m/>
    <m/>
    <x v="0"/>
    <x v="3"/>
    <m/>
    <m/>
    <m/>
    <m/>
    <m/>
    <m/>
    <n v="1"/>
    <m/>
    <m/>
    <n v="3"/>
    <m/>
    <m/>
    <n v="2"/>
    <n v="41"/>
    <n v="85"/>
    <m/>
    <m/>
    <m/>
    <m/>
    <m/>
    <m/>
    <m/>
    <m/>
    <m/>
    <m/>
    <m/>
    <m/>
    <m/>
    <m/>
    <m/>
    <s v="no test"/>
    <s v="no test"/>
    <s v="No Test"/>
    <n v="0"/>
    <n v="0"/>
    <n v="18"/>
    <n v="0"/>
    <n v="0"/>
    <n v="0"/>
    <n v="0"/>
    <n v="1"/>
    <n v="1"/>
    <n v="1"/>
    <n v="934"/>
    <n v="0"/>
    <n v="0"/>
    <n v="1"/>
    <n v="934"/>
    <n v="1.8680000000000001"/>
    <n v="0"/>
    <n v="0"/>
    <n v="0.1319999999999999"/>
    <n v="2"/>
    <n v="40"/>
    <n v="0.85653104925053536"/>
    <n v="800"/>
    <n v="0"/>
    <n v="0"/>
    <n v="0"/>
    <n v="47"/>
    <n v="7"/>
    <n v="0.14346895074946464"/>
    <n v="0"/>
    <n v="934"/>
    <n v="205"/>
    <n v="85"/>
    <n v="205"/>
    <n v="934"/>
    <n v="1"/>
    <n v="0"/>
    <n v="1"/>
    <n v="0.91111111111111109"/>
    <n v="0.47222222222222221"/>
    <n v="1"/>
    <n v="20"/>
    <n v="0"/>
    <n v="100"/>
    <s v="No"/>
    <s v=""/>
    <n v="0"/>
    <n v="0"/>
    <n v="0"/>
    <s v="Yes"/>
    <s v="KBC-NSS"/>
    <x v="0"/>
    <x v="1"/>
    <x v="0"/>
    <n v="24.08738"/>
    <n v="98.115809999999996"/>
    <s v="MMR015CMP065"/>
    <x v="0"/>
    <m/>
    <n v="306"/>
    <n v="1573"/>
  </r>
  <r>
    <x v="0"/>
    <x v="7"/>
    <x v="4"/>
    <s v="UNICEF, USAID"/>
    <x v="0"/>
    <x v="19"/>
    <x v="2"/>
    <x v="102"/>
    <n v="64"/>
    <n v="292"/>
    <s v="11-11-2021, 07-01-2020"/>
    <s v="10-11-2022, 28-2-2022"/>
    <m/>
    <m/>
    <m/>
    <m/>
    <m/>
    <n v="4"/>
    <n v="5"/>
    <m/>
    <m/>
    <m/>
    <m/>
    <m/>
    <m/>
    <m/>
    <n v="8"/>
    <m/>
    <m/>
    <m/>
    <m/>
    <m/>
    <m/>
    <m/>
    <m/>
    <m/>
    <m/>
    <m/>
    <m/>
    <m/>
    <m/>
    <m/>
    <n v="25"/>
    <m/>
    <m/>
    <m/>
    <m/>
    <m/>
    <m/>
    <n v="25"/>
    <x v="1"/>
    <x v="1"/>
    <m/>
    <m/>
    <m/>
    <m/>
    <m/>
    <m/>
    <n v="1"/>
    <m/>
    <m/>
    <n v="1"/>
    <m/>
    <m/>
    <n v="1"/>
    <n v="6"/>
    <n v="5"/>
    <m/>
    <m/>
    <m/>
    <m/>
    <m/>
    <m/>
    <m/>
    <m/>
    <m/>
    <m/>
    <m/>
    <m/>
    <m/>
    <m/>
    <m/>
    <s v="no test"/>
    <s v="no test"/>
    <s v="No Test"/>
    <n v="0"/>
    <n v="0"/>
    <n v="8"/>
    <n v="0"/>
    <n v="0"/>
    <n v="0"/>
    <n v="0"/>
    <n v="1"/>
    <n v="1"/>
    <n v="1"/>
    <n v="292"/>
    <n v="0"/>
    <n v="0"/>
    <n v="1"/>
    <n v="292"/>
    <n v="0.58399999999999996"/>
    <n v="0"/>
    <n v="0"/>
    <n v="0.41600000000000004"/>
    <n v="1"/>
    <n v="25"/>
    <n v="0.42808219178082191"/>
    <n v="125"/>
    <n v="0"/>
    <n v="0"/>
    <n v="0"/>
    <n v="49"/>
    <n v="24"/>
    <n v="0.57191780821917804"/>
    <n v="0"/>
    <n v="292"/>
    <n v="30"/>
    <n v="5"/>
    <n v="30"/>
    <n v="292"/>
    <n v="1"/>
    <n v="0"/>
    <n v="1"/>
    <n v="0.375"/>
    <n v="7.8125E-2"/>
    <n v="1"/>
    <n v="20"/>
    <n v="0"/>
    <n v="100"/>
    <s v="No"/>
    <s v=""/>
    <n v="0"/>
    <n v="0"/>
    <n v="0"/>
    <n v="0"/>
    <s v="uncovered"/>
    <x v="2"/>
    <x v="3"/>
    <x v="0"/>
    <n v="23.611999999999998"/>
    <n v="97.506"/>
    <s v="MMR015CMP042"/>
    <x v="0"/>
    <m/>
    <n v="67"/>
    <n v="307"/>
  </r>
  <r>
    <x v="0"/>
    <x v="7"/>
    <x v="4"/>
    <s v="UNICEF, USAID"/>
    <x v="0"/>
    <x v="19"/>
    <x v="0"/>
    <x v="103"/>
    <n v="64"/>
    <n v="323"/>
    <s v="11-11-2021, 07-01-2020"/>
    <s v="10-11-2022, 28-2-2022"/>
    <m/>
    <n v="1"/>
    <n v="1"/>
    <m/>
    <s v="Yes"/>
    <m/>
    <m/>
    <m/>
    <m/>
    <m/>
    <m/>
    <n v="1"/>
    <m/>
    <m/>
    <m/>
    <m/>
    <m/>
    <m/>
    <m/>
    <m/>
    <m/>
    <m/>
    <m/>
    <m/>
    <m/>
    <m/>
    <m/>
    <m/>
    <m/>
    <m/>
    <n v="10"/>
    <m/>
    <m/>
    <m/>
    <m/>
    <m/>
    <m/>
    <m/>
    <x v="2"/>
    <x v="2"/>
    <m/>
    <m/>
    <m/>
    <m/>
    <m/>
    <m/>
    <n v="7"/>
    <m/>
    <m/>
    <n v="7"/>
    <m/>
    <m/>
    <m/>
    <n v="104"/>
    <n v="148"/>
    <m/>
    <m/>
    <m/>
    <m/>
    <m/>
    <m/>
    <m/>
    <m/>
    <m/>
    <m/>
    <m/>
    <m/>
    <m/>
    <m/>
    <m/>
    <s v="no test"/>
    <s v="no test"/>
    <s v="No Test"/>
    <n v="0"/>
    <n v="1"/>
    <n v="0"/>
    <n v="0"/>
    <n v="0"/>
    <n v="0"/>
    <n v="0"/>
    <n v="1"/>
    <n v="0.77399380804953566"/>
    <n v="1"/>
    <n v="323"/>
    <n v="0"/>
    <n v="0"/>
    <n v="1"/>
    <n v="323"/>
    <n v="0.64600000000000002"/>
    <n v="0"/>
    <n v="0"/>
    <n v="0.35399999999999998"/>
    <n v="1"/>
    <n v="10"/>
    <n v="0.61919504643962853"/>
    <n v="200"/>
    <n v="0"/>
    <n v="0"/>
    <n v="0"/>
    <n v="16"/>
    <n v="6"/>
    <n v="0.38080495356037147"/>
    <n v="0"/>
    <n v="0"/>
    <n v="323"/>
    <n v="148"/>
    <n v="323"/>
    <n v="323"/>
    <n v="1"/>
    <n v="0"/>
    <n v="0"/>
    <n v="1"/>
    <n v="1"/>
    <n v="7"/>
    <n v="64"/>
    <n v="0"/>
    <n v="323"/>
    <s v="No"/>
    <s v=""/>
    <n v="0"/>
    <n v="0"/>
    <n v="0"/>
    <s v="Yes"/>
    <s v="KBC-NSS"/>
    <x v="0"/>
    <x v="1"/>
    <x v="0"/>
    <n v="23.828520000000001"/>
    <n v="97.669557999999995"/>
    <s v="MMR015CMP001"/>
    <x v="0"/>
    <m/>
    <n v="66"/>
    <n v="333"/>
  </r>
  <r>
    <x v="0"/>
    <x v="7"/>
    <x v="4"/>
    <s v="UNICEF, USAID"/>
    <x v="0"/>
    <x v="19"/>
    <x v="0"/>
    <x v="104"/>
    <n v="6"/>
    <n v="31"/>
    <s v="11-11-2021, 07-01-2020"/>
    <s v="10-11-2022, 28-2-2022"/>
    <m/>
    <m/>
    <n v="1"/>
    <m/>
    <m/>
    <m/>
    <m/>
    <m/>
    <m/>
    <m/>
    <m/>
    <n v="1"/>
    <m/>
    <m/>
    <m/>
    <m/>
    <m/>
    <m/>
    <m/>
    <m/>
    <m/>
    <m/>
    <m/>
    <m/>
    <m/>
    <m/>
    <m/>
    <m/>
    <m/>
    <m/>
    <m/>
    <n v="10"/>
    <m/>
    <m/>
    <m/>
    <m/>
    <m/>
    <m/>
    <x v="2"/>
    <x v="2"/>
    <m/>
    <m/>
    <m/>
    <m/>
    <m/>
    <m/>
    <n v="7"/>
    <m/>
    <m/>
    <n v="4"/>
    <m/>
    <m/>
    <n v="1"/>
    <n v="124"/>
    <n v="198"/>
    <m/>
    <m/>
    <m/>
    <m/>
    <m/>
    <m/>
    <m/>
    <m/>
    <m/>
    <m/>
    <m/>
    <m/>
    <m/>
    <m/>
    <m/>
    <s v="no test"/>
    <s v="no test"/>
    <s v="No Test"/>
    <n v="0"/>
    <n v="1"/>
    <n v="0"/>
    <n v="0"/>
    <n v="0"/>
    <n v="0"/>
    <n v="0"/>
    <n v="1"/>
    <n v="1"/>
    <n v="1"/>
    <n v="31"/>
    <n v="0"/>
    <n v="0"/>
    <n v="1"/>
    <n v="31"/>
    <n v="6.2E-2"/>
    <n v="0"/>
    <n v="0"/>
    <n v="0.93799999999999994"/>
    <n v="1"/>
    <n v="10"/>
    <n v="1"/>
    <n v="31"/>
    <n v="0"/>
    <n v="0"/>
    <n v="0"/>
    <n v="2"/>
    <n v="0"/>
    <n v="0"/>
    <n v="0"/>
    <n v="31"/>
    <n v="31"/>
    <n v="31"/>
    <n v="31"/>
    <n v="31"/>
    <n v="1"/>
    <n v="0"/>
    <n v="1"/>
    <n v="1"/>
    <n v="1"/>
    <n v="7"/>
    <n v="6"/>
    <n v="0"/>
    <n v="31"/>
    <s v="No"/>
    <s v=""/>
    <n v="0"/>
    <n v="0"/>
    <n v="0"/>
    <s v="Yes"/>
    <s v="KBC-NSS"/>
    <x v="0"/>
    <x v="3"/>
    <x v="0"/>
    <n v="23.841646999999998"/>
    <n v="97.700940000000003"/>
    <s v="MMR015CMP214"/>
    <x v="0"/>
    <m/>
    <n v="7"/>
    <n v="32"/>
  </r>
  <r>
    <x v="0"/>
    <x v="7"/>
    <x v="4"/>
    <s v="UNICEF"/>
    <x v="0"/>
    <x v="20"/>
    <x v="2"/>
    <x v="105"/>
    <n v="19"/>
    <n v="77"/>
    <d v="2021-11-11T00:00:00"/>
    <d v="2022-10-11T00:00:00"/>
    <m/>
    <m/>
    <m/>
    <m/>
    <m/>
    <m/>
    <m/>
    <m/>
    <m/>
    <m/>
    <m/>
    <m/>
    <m/>
    <m/>
    <m/>
    <m/>
    <m/>
    <m/>
    <m/>
    <m/>
    <m/>
    <m/>
    <m/>
    <m/>
    <m/>
    <m/>
    <m/>
    <m/>
    <m/>
    <m/>
    <m/>
    <n v="4"/>
    <m/>
    <m/>
    <m/>
    <m/>
    <m/>
    <m/>
    <x v="2"/>
    <x v="2"/>
    <m/>
    <m/>
    <m/>
    <m/>
    <m/>
    <m/>
    <n v="8"/>
    <m/>
    <m/>
    <n v="3"/>
    <m/>
    <m/>
    <m/>
    <n v="91"/>
    <n v="124"/>
    <m/>
    <m/>
    <m/>
    <m/>
    <m/>
    <m/>
    <m/>
    <m/>
    <m/>
    <m/>
    <m/>
    <m/>
    <m/>
    <m/>
    <m/>
    <s v="no test"/>
    <s v="no test"/>
    <s v="No Test"/>
    <n v="0"/>
    <n v="0"/>
    <n v="0"/>
    <n v="0"/>
    <n v="0"/>
    <n v="0"/>
    <n v="0"/>
    <n v="0"/>
    <n v="0"/>
    <n v="0"/>
    <n v="0"/>
    <n v="0"/>
    <n v="0"/>
    <n v="0"/>
    <n v="0"/>
    <n v="0"/>
    <n v="1"/>
    <n v="77"/>
    <n v="1"/>
    <n v="1"/>
    <n v="4"/>
    <n v="0.25974025974025972"/>
    <n v="20"/>
    <n v="0"/>
    <n v="0"/>
    <n v="0"/>
    <n v="13"/>
    <n v="9"/>
    <n v="0.74025974025974028"/>
    <n v="0"/>
    <n v="0"/>
    <n v="77"/>
    <n v="77"/>
    <n v="77"/>
    <n v="77"/>
    <n v="1"/>
    <n v="0"/>
    <n v="0"/>
    <n v="1"/>
    <n v="1"/>
    <n v="8"/>
    <n v="19"/>
    <n v="0"/>
    <n v="77"/>
    <s v="No"/>
    <s v=""/>
    <n v="0"/>
    <n v="0"/>
    <n v="0"/>
    <n v="0"/>
    <n v="0"/>
    <x v="2"/>
    <x v="5"/>
    <x v="0"/>
    <n v="23.078210830688501"/>
    <n v="97.411773681640597"/>
    <s v="MMR015CMP074"/>
    <x v="0"/>
    <m/>
    <n v="19"/>
    <n v="77"/>
  </r>
  <r>
    <x v="0"/>
    <x v="7"/>
    <x v="4"/>
    <s v="UNICEF, USAID"/>
    <x v="0"/>
    <x v="20"/>
    <x v="0"/>
    <x v="106"/>
    <n v="60"/>
    <n v="270"/>
    <s v="11-11-2021, 07-01-2020"/>
    <s v="10-11-2022, 28-2-2022"/>
    <m/>
    <m/>
    <n v="1"/>
    <m/>
    <s v="Yes"/>
    <n v="4"/>
    <n v="3"/>
    <n v="1"/>
    <m/>
    <m/>
    <n v="1"/>
    <n v="1"/>
    <m/>
    <m/>
    <m/>
    <m/>
    <m/>
    <m/>
    <m/>
    <m/>
    <m/>
    <m/>
    <m/>
    <m/>
    <m/>
    <m/>
    <n v="2"/>
    <m/>
    <m/>
    <m/>
    <n v="16"/>
    <m/>
    <m/>
    <m/>
    <m/>
    <m/>
    <m/>
    <m/>
    <x v="1"/>
    <x v="1"/>
    <m/>
    <m/>
    <m/>
    <m/>
    <m/>
    <m/>
    <n v="7"/>
    <m/>
    <m/>
    <n v="4"/>
    <m/>
    <m/>
    <n v="1"/>
    <n v="124"/>
    <n v="198"/>
    <m/>
    <m/>
    <m/>
    <m/>
    <m/>
    <m/>
    <m/>
    <m/>
    <m/>
    <m/>
    <m/>
    <m/>
    <m/>
    <m/>
    <m/>
    <s v="no test"/>
    <s v="no test"/>
    <s v="No Test"/>
    <n v="1"/>
    <n v="2"/>
    <n v="0"/>
    <n v="0"/>
    <n v="0"/>
    <n v="0"/>
    <n v="0"/>
    <n v="1"/>
    <n v="1"/>
    <n v="1"/>
    <n v="270"/>
    <n v="0"/>
    <n v="0"/>
    <n v="1"/>
    <n v="270"/>
    <n v="0.54"/>
    <n v="0"/>
    <n v="0"/>
    <n v="0.45999999999999996"/>
    <n v="1"/>
    <n v="16"/>
    <n v="1"/>
    <n v="270"/>
    <n v="0"/>
    <n v="0"/>
    <n v="0"/>
    <n v="14"/>
    <n v="0"/>
    <n v="0"/>
    <n v="0"/>
    <n v="270"/>
    <n v="270"/>
    <n v="198"/>
    <n v="270"/>
    <n v="270"/>
    <n v="1"/>
    <n v="0"/>
    <n v="1"/>
    <n v="1"/>
    <n v="1"/>
    <n v="7"/>
    <n v="60"/>
    <n v="0"/>
    <n v="270"/>
    <s v="No"/>
    <s v=""/>
    <n v="0"/>
    <n v="0"/>
    <n v="0"/>
    <s v="Yes"/>
    <s v="KMSS-LSO"/>
    <x v="0"/>
    <x v="1"/>
    <x v="0"/>
    <n v="23.099304"/>
    <n v="97.400671000000003"/>
    <s v="MMR015CMP066"/>
    <x v="0"/>
    <m/>
    <n v="60"/>
    <n v="272"/>
  </r>
  <r>
    <x v="0"/>
    <x v="7"/>
    <x v="4"/>
    <s v="UNICEF, USAID"/>
    <x v="0"/>
    <x v="20"/>
    <x v="0"/>
    <x v="107"/>
    <n v="30"/>
    <n v="127"/>
    <s v="11-11-2021, 07-01-2020"/>
    <s v="10-11-2022, 28-2-2022"/>
    <m/>
    <m/>
    <n v="1"/>
    <m/>
    <s v="Yes"/>
    <n v="3"/>
    <n v="3"/>
    <m/>
    <m/>
    <m/>
    <n v="2"/>
    <n v="1"/>
    <m/>
    <m/>
    <m/>
    <m/>
    <m/>
    <m/>
    <m/>
    <m/>
    <m/>
    <m/>
    <m/>
    <m/>
    <m/>
    <m/>
    <m/>
    <m/>
    <m/>
    <m/>
    <n v="10"/>
    <n v="2"/>
    <m/>
    <m/>
    <m/>
    <m/>
    <m/>
    <n v="2"/>
    <x v="1"/>
    <x v="1"/>
    <m/>
    <m/>
    <m/>
    <m/>
    <m/>
    <m/>
    <n v="3"/>
    <m/>
    <m/>
    <n v="2"/>
    <m/>
    <m/>
    <n v="1"/>
    <n v="10"/>
    <n v="18"/>
    <m/>
    <m/>
    <m/>
    <m/>
    <m/>
    <m/>
    <m/>
    <m/>
    <m/>
    <m/>
    <m/>
    <m/>
    <m/>
    <m/>
    <m/>
    <s v="no test"/>
    <s v="no test"/>
    <s v="No Test"/>
    <n v="0"/>
    <n v="3"/>
    <n v="0"/>
    <n v="0"/>
    <n v="0"/>
    <n v="0"/>
    <n v="0"/>
    <n v="1"/>
    <n v="1"/>
    <n v="1"/>
    <n v="127"/>
    <n v="0"/>
    <n v="0"/>
    <n v="1"/>
    <n v="127"/>
    <n v="0.254"/>
    <n v="0"/>
    <n v="0"/>
    <n v="0.746"/>
    <n v="1"/>
    <n v="12"/>
    <n v="1"/>
    <n v="127"/>
    <n v="0"/>
    <n v="0"/>
    <n v="0"/>
    <n v="6"/>
    <n v="0"/>
    <n v="0"/>
    <n v="0"/>
    <n v="127"/>
    <n v="50"/>
    <n v="18"/>
    <n v="50"/>
    <n v="127"/>
    <n v="1"/>
    <n v="0"/>
    <n v="1"/>
    <n v="1"/>
    <n v="0.6"/>
    <n v="3"/>
    <n v="30"/>
    <n v="0"/>
    <n v="127"/>
    <s v="No"/>
    <s v=""/>
    <n v="0"/>
    <n v="0"/>
    <n v="0"/>
    <s v="Yes"/>
    <s v="KMSS-LSO"/>
    <x v="0"/>
    <x v="1"/>
    <x v="0"/>
    <n v="23.088011000000002"/>
    <n v="97.398698999999993"/>
    <s v="MMR015CMP050"/>
    <x v="0"/>
    <m/>
    <n v="30"/>
    <n v="129"/>
  </r>
  <r>
    <x v="0"/>
    <x v="7"/>
    <x v="4"/>
    <s v="UNICEF, USAID"/>
    <x v="0"/>
    <x v="20"/>
    <x v="0"/>
    <x v="108"/>
    <n v="32"/>
    <n v="141"/>
    <s v="11-11-2021, 07-01-2020"/>
    <s v="10-11-2022, 28-2-2022"/>
    <m/>
    <m/>
    <n v="1"/>
    <m/>
    <s v="Yes"/>
    <n v="3"/>
    <n v="3"/>
    <m/>
    <m/>
    <m/>
    <m/>
    <m/>
    <m/>
    <m/>
    <n v="1"/>
    <m/>
    <m/>
    <m/>
    <m/>
    <m/>
    <m/>
    <m/>
    <m/>
    <m/>
    <m/>
    <m/>
    <m/>
    <m/>
    <m/>
    <m/>
    <n v="8"/>
    <m/>
    <m/>
    <m/>
    <m/>
    <m/>
    <m/>
    <m/>
    <x v="1"/>
    <x v="1"/>
    <m/>
    <m/>
    <m/>
    <m/>
    <m/>
    <m/>
    <n v="1"/>
    <m/>
    <m/>
    <n v="1"/>
    <m/>
    <m/>
    <n v="1"/>
    <n v="6"/>
    <n v="5"/>
    <m/>
    <m/>
    <m/>
    <m/>
    <m/>
    <m/>
    <m/>
    <m/>
    <m/>
    <m/>
    <m/>
    <m/>
    <m/>
    <m/>
    <m/>
    <s v="no test"/>
    <s v="no test"/>
    <s v="No Test"/>
    <n v="0"/>
    <n v="0"/>
    <n v="1"/>
    <n v="0"/>
    <n v="0"/>
    <n v="0"/>
    <n v="0"/>
    <n v="0.4728132387706856"/>
    <n v="0.4728132387706856"/>
    <n v="0.4728132387706856"/>
    <n v="66.666666666666671"/>
    <n v="0"/>
    <n v="0"/>
    <n v="0.4728132387706856"/>
    <n v="66.666666666666671"/>
    <n v="0.13333333333333333"/>
    <n v="0.5271867612293144"/>
    <n v="74.333333333333329"/>
    <n v="0.8666666666666667"/>
    <n v="1"/>
    <n v="8"/>
    <n v="1"/>
    <n v="141"/>
    <n v="0"/>
    <n v="0"/>
    <n v="0"/>
    <n v="7"/>
    <n v="0"/>
    <n v="0"/>
    <n v="0"/>
    <n v="141"/>
    <n v="30"/>
    <n v="5"/>
    <n v="30"/>
    <n v="141"/>
    <n v="1"/>
    <n v="0"/>
    <n v="1"/>
    <n v="0.75"/>
    <n v="0.15625"/>
    <n v="1"/>
    <n v="20"/>
    <n v="0"/>
    <n v="100"/>
    <s v="No"/>
    <s v=""/>
    <n v="0"/>
    <n v="0"/>
    <n v="0"/>
    <s v="Yes"/>
    <s v="KBC-NSS"/>
    <x v="0"/>
    <x v="1"/>
    <x v="0"/>
    <n v="23.094290000000001"/>
    <n v="97.404089999999997"/>
    <s v="MMR015CMP014"/>
    <x v="0"/>
    <m/>
    <n v="30"/>
    <n v="126"/>
  </r>
  <r>
    <x v="0"/>
    <x v="7"/>
    <x v="4"/>
    <s v="UNICEF, USAID"/>
    <x v="0"/>
    <x v="20"/>
    <x v="0"/>
    <x v="109"/>
    <n v="16"/>
    <n v="91"/>
    <s v="2-01-2019, 07-01-2020"/>
    <s v="30-09-2021, 28-2-2022"/>
    <m/>
    <m/>
    <m/>
    <m/>
    <m/>
    <m/>
    <m/>
    <m/>
    <m/>
    <m/>
    <n v="1"/>
    <m/>
    <m/>
    <m/>
    <m/>
    <m/>
    <m/>
    <m/>
    <m/>
    <m/>
    <m/>
    <m/>
    <m/>
    <m/>
    <m/>
    <m/>
    <m/>
    <m/>
    <m/>
    <m/>
    <n v="6"/>
    <m/>
    <m/>
    <m/>
    <m/>
    <m/>
    <m/>
    <m/>
    <x v="0"/>
    <x v="3"/>
    <m/>
    <m/>
    <m/>
    <m/>
    <m/>
    <m/>
    <n v="7"/>
    <m/>
    <m/>
    <n v="4"/>
    <m/>
    <m/>
    <m/>
    <n v="124"/>
    <n v="198"/>
    <m/>
    <m/>
    <m/>
    <m/>
    <m/>
    <m/>
    <m/>
    <m/>
    <m/>
    <m/>
    <m/>
    <m/>
    <m/>
    <m/>
    <m/>
    <s v="no test"/>
    <s v="no test"/>
    <s v="No Test"/>
    <n v="0"/>
    <n v="1"/>
    <n v="0"/>
    <n v="0"/>
    <n v="0"/>
    <n v="0"/>
    <n v="0"/>
    <n v="1"/>
    <n v="1"/>
    <n v="1"/>
    <n v="91"/>
    <n v="0"/>
    <n v="0"/>
    <n v="1"/>
    <n v="91"/>
    <n v="0.182"/>
    <n v="0"/>
    <n v="0"/>
    <n v="0.81800000000000006"/>
    <n v="1"/>
    <n v="6"/>
    <n v="1"/>
    <n v="91"/>
    <n v="0"/>
    <n v="0"/>
    <n v="0"/>
    <n v="5"/>
    <n v="0"/>
    <n v="0"/>
    <n v="0"/>
    <n v="0"/>
    <n v="91"/>
    <n v="91"/>
    <n v="91"/>
    <n v="91"/>
    <n v="1"/>
    <n v="0"/>
    <n v="0"/>
    <n v="1"/>
    <n v="1"/>
    <n v="7"/>
    <n v="16"/>
    <n v="0"/>
    <n v="91"/>
    <s v="No"/>
    <s v=""/>
    <n v="0"/>
    <n v="0"/>
    <n v="0"/>
    <n v="0"/>
    <s v="uncovered"/>
    <x v="0"/>
    <x v="3"/>
    <x v="0"/>
    <n v="22.765999999999998"/>
    <n v="97.358999999999995"/>
    <s v="MMR015CMP221"/>
    <x v="0"/>
    <m/>
    <n v="3"/>
    <n v="17"/>
  </r>
  <r>
    <x v="0"/>
    <x v="7"/>
    <x v="4"/>
    <s v="USAID, HOPE-71, HOPE-94"/>
    <x v="1"/>
    <x v="10"/>
    <x v="0"/>
    <x v="110"/>
    <n v="43"/>
    <n v="182"/>
    <s v="13-8-2021, 6-1-2020, 1-7-2021"/>
    <s v="12-2-2022, 30-11-2021, 30.4.2021"/>
    <m/>
    <m/>
    <m/>
    <m/>
    <s v="Yes"/>
    <n v="1"/>
    <n v="1"/>
    <m/>
    <m/>
    <m/>
    <m/>
    <n v="1"/>
    <m/>
    <m/>
    <m/>
    <m/>
    <m/>
    <m/>
    <m/>
    <m/>
    <m/>
    <m/>
    <m/>
    <m/>
    <m/>
    <m/>
    <m/>
    <m/>
    <m/>
    <m/>
    <n v="9"/>
    <m/>
    <m/>
    <m/>
    <m/>
    <m/>
    <m/>
    <m/>
    <x v="1"/>
    <x v="1"/>
    <m/>
    <m/>
    <m/>
    <m/>
    <m/>
    <m/>
    <n v="3"/>
    <m/>
    <m/>
    <n v="2"/>
    <m/>
    <m/>
    <n v="1"/>
    <n v="10"/>
    <n v="18"/>
    <m/>
    <m/>
    <m/>
    <m/>
    <m/>
    <m/>
    <m/>
    <m/>
    <m/>
    <m/>
    <m/>
    <m/>
    <m/>
    <m/>
    <m/>
    <s v="no test"/>
    <s v="no test"/>
    <s v="No Test"/>
    <n v="0"/>
    <n v="1"/>
    <n v="0"/>
    <n v="0"/>
    <n v="0"/>
    <n v="0"/>
    <n v="0"/>
    <n v="1"/>
    <n v="1"/>
    <n v="1"/>
    <n v="182"/>
    <n v="0"/>
    <n v="0"/>
    <n v="1"/>
    <n v="182"/>
    <n v="0.36399999999999999"/>
    <n v="0"/>
    <n v="0"/>
    <n v="0.63600000000000001"/>
    <n v="1"/>
    <n v="9"/>
    <n v="0.98901098901098905"/>
    <n v="180"/>
    <n v="0"/>
    <n v="0"/>
    <n v="0"/>
    <n v="9"/>
    <n v="0"/>
    <n v="1.098901098901095E-2"/>
    <n v="0"/>
    <n v="182"/>
    <n v="50"/>
    <n v="18"/>
    <n v="50"/>
    <n v="182"/>
    <n v="1"/>
    <n v="0"/>
    <n v="1"/>
    <n v="0.93023255813953487"/>
    <n v="0.41860465116279072"/>
    <n v="3"/>
    <n v="43"/>
    <n v="0"/>
    <n v="182"/>
    <s v="No"/>
    <s v=""/>
    <n v="0"/>
    <n v="0"/>
    <n v="0"/>
    <s v="Yes"/>
    <s v="KMSS-BMO"/>
    <x v="0"/>
    <x v="1"/>
    <x v="0"/>
    <n v="24.200367"/>
    <n v="96.807353000000006"/>
    <s v="MMR001CMP068"/>
    <x v="0"/>
    <m/>
    <n v="35"/>
    <n v="170"/>
  </r>
  <r>
    <x v="0"/>
    <x v="7"/>
    <x v="4"/>
    <s v="USAID, HOPE-71, HOPE-94"/>
    <x v="1"/>
    <x v="13"/>
    <x v="0"/>
    <x v="111"/>
    <n v="426.2"/>
    <n v="2131"/>
    <s v="13-8-2021, 6-1-2020, 1-7-2021"/>
    <s v="12-2-2022, 30-11-2021, 30.4.2021"/>
    <m/>
    <m/>
    <m/>
    <m/>
    <s v="Yes"/>
    <n v="3"/>
    <n v="6"/>
    <m/>
    <m/>
    <m/>
    <m/>
    <m/>
    <m/>
    <m/>
    <n v="1"/>
    <m/>
    <m/>
    <m/>
    <m/>
    <n v="149170"/>
    <m/>
    <m/>
    <m/>
    <m/>
    <m/>
    <m/>
    <n v="14"/>
    <n v="2"/>
    <m/>
    <m/>
    <n v="89"/>
    <m/>
    <m/>
    <m/>
    <m/>
    <m/>
    <m/>
    <m/>
    <x v="1"/>
    <x v="1"/>
    <m/>
    <m/>
    <m/>
    <m/>
    <m/>
    <s v="Because of the fully lockdown situation and shotage of materials causes latrines unfunctional"/>
    <n v="3"/>
    <m/>
    <m/>
    <n v="2"/>
    <m/>
    <m/>
    <m/>
    <n v="88"/>
    <n v="100"/>
    <s v="Yes"/>
    <m/>
    <m/>
    <m/>
    <m/>
    <m/>
    <m/>
    <m/>
    <m/>
    <m/>
    <m/>
    <m/>
    <m/>
    <m/>
    <m/>
    <s v="no test"/>
    <s v="no test"/>
    <s v="No Test"/>
    <n v="0"/>
    <n v="0"/>
    <n v="1"/>
    <n v="0"/>
    <n v="110.49629629629629"/>
    <n v="1000"/>
    <n v="0"/>
    <n v="8.3136068964318618E-2"/>
    <n v="8.3136068964318618E-2"/>
    <n v="8.3136068964318618E-2"/>
    <n v="177.16296296296298"/>
    <n v="0"/>
    <n v="0"/>
    <n v="8.3136068964318618E-2"/>
    <n v="177.16296296296298"/>
    <n v="0.35432592592592593"/>
    <n v="0.91686393103568142"/>
    <n v="1953.8370370370371"/>
    <n v="3.6456740740740741"/>
    <n v="4"/>
    <n v="89"/>
    <n v="0.8352885969028625"/>
    <n v="1780"/>
    <n v="0"/>
    <n v="0"/>
    <n v="0"/>
    <n v="107"/>
    <n v="18"/>
    <n v="0.1647114030971375"/>
    <n v="0"/>
    <n v="0"/>
    <n v="440"/>
    <n v="100"/>
    <n v="440"/>
    <n v="440"/>
    <n v="0.20647583294228061"/>
    <n v="0.79352416705771933"/>
    <n v="0"/>
    <n v="0.20647583294228061"/>
    <n v="0.23463162834350071"/>
    <n v="3"/>
    <n v="60"/>
    <n v="14"/>
    <n v="300"/>
    <s v="No"/>
    <s v=""/>
    <n v="0"/>
    <n v="1000"/>
    <n v="0"/>
    <n v="0"/>
    <s v="uncovered"/>
    <x v="0"/>
    <x v="6"/>
    <x v="1"/>
    <n v="24.752471"/>
    <n v="97.541793999999996"/>
    <s v="MMR001CMP208"/>
    <x v="0"/>
    <m/>
    <n v="0"/>
    <n v="366"/>
  </r>
  <r>
    <x v="0"/>
    <x v="7"/>
    <x v="4"/>
    <s v="USAID, HOPE-71, HOPE-94"/>
    <x v="1"/>
    <x v="13"/>
    <x v="0"/>
    <x v="112"/>
    <n v="1294"/>
    <n v="6861"/>
    <s v="13-8-2021, 6-1-2020, 1-7-2021"/>
    <s v="12-2-2022, 30-11-2021, 30.4.2021"/>
    <m/>
    <m/>
    <n v="3"/>
    <m/>
    <s v="Yes"/>
    <n v="3"/>
    <n v="3"/>
    <m/>
    <m/>
    <m/>
    <m/>
    <m/>
    <m/>
    <m/>
    <n v="1"/>
    <m/>
    <m/>
    <m/>
    <m/>
    <n v="480270"/>
    <m/>
    <m/>
    <m/>
    <m/>
    <m/>
    <m/>
    <n v="12"/>
    <n v="3"/>
    <m/>
    <m/>
    <n v="242"/>
    <m/>
    <m/>
    <m/>
    <m/>
    <m/>
    <m/>
    <m/>
    <x v="1"/>
    <x v="1"/>
    <n v="4"/>
    <n v="2"/>
    <m/>
    <m/>
    <m/>
    <s v="Because of the fully lockdown situation and shotage of materials causes latrines unfunctional"/>
    <n v="1"/>
    <m/>
    <m/>
    <n v="1"/>
    <m/>
    <m/>
    <n v="3"/>
    <n v="6"/>
    <n v="5"/>
    <s v="Yes"/>
    <m/>
    <m/>
    <m/>
    <m/>
    <m/>
    <m/>
    <m/>
    <m/>
    <m/>
    <m/>
    <m/>
    <m/>
    <m/>
    <m/>
    <s v="no test"/>
    <s v="no test"/>
    <s v="No Test"/>
    <n v="0"/>
    <n v="0"/>
    <n v="1"/>
    <n v="0"/>
    <n v="355.75555555555553"/>
    <n v="1500"/>
    <n v="0"/>
    <n v="6.1568608398516578E-2"/>
    <n v="6.1568608398516578E-2"/>
    <n v="6.1568608398516578E-2"/>
    <n v="422.42222222222222"/>
    <n v="0"/>
    <n v="0"/>
    <n v="6.1568608398516578E-2"/>
    <n v="422.42222222222222"/>
    <n v="0.8448444444444444"/>
    <n v="0.93843139160148348"/>
    <n v="6438.5777777777785"/>
    <n v="13.155155555555556"/>
    <n v="14"/>
    <n v="242"/>
    <n v="0.71709663314385663"/>
    <n v="4920"/>
    <n v="0"/>
    <n v="0"/>
    <n v="0"/>
    <n v="343"/>
    <n v="101"/>
    <n v="0.28290336685614337"/>
    <n v="0"/>
    <n v="1500"/>
    <n v="30"/>
    <n v="5"/>
    <n v="30"/>
    <n v="1500"/>
    <n v="0.21862702229995629"/>
    <n v="0.78137297770004377"/>
    <n v="0.21862702229995629"/>
    <n v="4.6367851622874804E-3"/>
    <n v="3.8639876352395673E-3"/>
    <n v="1"/>
    <n v="20"/>
    <n v="12"/>
    <n v="100"/>
    <s v="No"/>
    <s v=""/>
    <n v="0"/>
    <n v="1500"/>
    <n v="0"/>
    <s v="Yes"/>
    <s v="KMSS-MYT"/>
    <x v="0"/>
    <x v="1"/>
    <x v="1"/>
    <n v="24.755253"/>
    <n v="97.546893999999995"/>
    <s v="MMR001CMP116"/>
    <x v="0"/>
    <m/>
    <n v="1333"/>
    <n v="7163"/>
  </r>
  <r>
    <x v="0"/>
    <x v="7"/>
    <x v="4"/>
    <s v="USAID, HOPE-71, HOPE-94"/>
    <x v="1"/>
    <x v="13"/>
    <x v="1"/>
    <x v="113"/>
    <n v="134"/>
    <n v="709"/>
    <s v="13-8-2021, 6-1-2020, 1-7-2021"/>
    <s v="12-2-2022, 30-11-2021, 30.4.2021"/>
    <m/>
    <m/>
    <m/>
    <m/>
    <m/>
    <m/>
    <m/>
    <m/>
    <m/>
    <m/>
    <m/>
    <m/>
    <m/>
    <m/>
    <m/>
    <m/>
    <m/>
    <m/>
    <m/>
    <m/>
    <m/>
    <m/>
    <m/>
    <m/>
    <m/>
    <m/>
    <m/>
    <m/>
    <m/>
    <m/>
    <m/>
    <m/>
    <m/>
    <m/>
    <m/>
    <m/>
    <m/>
    <m/>
    <x v="1"/>
    <x v="3"/>
    <m/>
    <m/>
    <m/>
    <m/>
    <m/>
    <m/>
    <n v="8"/>
    <m/>
    <m/>
    <n v="3"/>
    <m/>
    <m/>
    <m/>
    <n v="91"/>
    <n v="124"/>
    <m/>
    <m/>
    <m/>
    <m/>
    <m/>
    <m/>
    <m/>
    <m/>
    <m/>
    <m/>
    <m/>
    <m/>
    <m/>
    <m/>
    <m/>
    <s v="no test"/>
    <s v="no test"/>
    <s v="No Test"/>
    <n v="0"/>
    <n v="0"/>
    <n v="0"/>
    <n v="0"/>
    <n v="0"/>
    <n v="0"/>
    <n v="0"/>
    <n v="0"/>
    <n v="0"/>
    <n v="0"/>
    <n v="0"/>
    <n v="0"/>
    <n v="0"/>
    <n v="0"/>
    <n v="0"/>
    <n v="0"/>
    <n v="1"/>
    <n v="709"/>
    <n v="1"/>
    <n v="1"/>
    <n v="0"/>
    <n v="0"/>
    <n v="0"/>
    <n v="0"/>
    <n v="0"/>
    <n v="0"/>
    <n v="35"/>
    <n v="35"/>
    <n v="1"/>
    <n v="0"/>
    <n v="0"/>
    <n v="455"/>
    <n v="124"/>
    <n v="455"/>
    <n v="455"/>
    <n v="0.64174894217207334"/>
    <n v="0.35825105782792666"/>
    <n v="0"/>
    <n v="0.67910447761194026"/>
    <n v="0.92537313432835822"/>
    <n v="8"/>
    <n v="134"/>
    <n v="0"/>
    <n v="709"/>
    <s v="No"/>
    <s v=""/>
    <n v="0"/>
    <n v="0"/>
    <n v="0"/>
    <n v="0"/>
    <n v="0"/>
    <x v="0"/>
    <x v="1"/>
    <x v="1"/>
    <n v="0"/>
    <n v="0"/>
    <n v="0"/>
    <x v="0"/>
    <m/>
    <n v="0"/>
    <n v="0"/>
  </r>
  <r>
    <x v="0"/>
    <x v="7"/>
    <x v="4"/>
    <s v="USAID, HOPE-71, HOPE-94"/>
    <x v="1"/>
    <x v="13"/>
    <x v="1"/>
    <x v="114"/>
    <n v="546"/>
    <n v="2550"/>
    <s v="13-8-2021, 6-1-2020, 1-7-2021"/>
    <s v="12-2-2022, 30-11-2021, 30.4.2021"/>
    <m/>
    <m/>
    <m/>
    <m/>
    <m/>
    <m/>
    <m/>
    <m/>
    <m/>
    <m/>
    <m/>
    <m/>
    <m/>
    <m/>
    <m/>
    <m/>
    <m/>
    <m/>
    <m/>
    <m/>
    <m/>
    <m/>
    <m/>
    <m/>
    <m/>
    <m/>
    <m/>
    <m/>
    <m/>
    <m/>
    <m/>
    <m/>
    <m/>
    <m/>
    <m/>
    <m/>
    <m/>
    <m/>
    <x v="0"/>
    <x v="0"/>
    <m/>
    <m/>
    <m/>
    <m/>
    <m/>
    <m/>
    <n v="7"/>
    <m/>
    <m/>
    <n v="7"/>
    <m/>
    <m/>
    <m/>
    <n v="104"/>
    <n v="148"/>
    <m/>
    <m/>
    <m/>
    <m/>
    <m/>
    <m/>
    <m/>
    <m/>
    <m/>
    <m/>
    <m/>
    <m/>
    <m/>
    <m/>
    <m/>
    <s v="no test"/>
    <s v="no test"/>
    <s v="No Test"/>
    <n v="0"/>
    <n v="0"/>
    <n v="0"/>
    <n v="0"/>
    <n v="0"/>
    <n v="0"/>
    <n v="0"/>
    <n v="0"/>
    <n v="0"/>
    <n v="0"/>
    <n v="0"/>
    <n v="0"/>
    <n v="0"/>
    <n v="0"/>
    <n v="0"/>
    <n v="0"/>
    <n v="1"/>
    <n v="2550"/>
    <n v="5"/>
    <n v="5"/>
    <n v="0"/>
    <n v="0"/>
    <n v="0"/>
    <n v="0"/>
    <n v="0"/>
    <n v="0"/>
    <n v="128"/>
    <n v="128"/>
    <n v="1"/>
    <n v="0"/>
    <n v="0"/>
    <n v="520"/>
    <n v="148"/>
    <n v="520"/>
    <n v="520"/>
    <n v="0.20392156862745098"/>
    <n v="0.79607843137254908"/>
    <n v="0"/>
    <n v="0.19047619047619047"/>
    <n v="0.27106227106227104"/>
    <n v="7"/>
    <n v="140"/>
    <n v="0"/>
    <n v="700"/>
    <s v="No"/>
    <s v=""/>
    <n v="0"/>
    <n v="0"/>
    <n v="0"/>
    <n v="0"/>
    <n v="0"/>
    <x v="0"/>
    <x v="7"/>
    <x v="1"/>
    <n v="0"/>
    <n v="0"/>
    <n v="0"/>
    <x v="0"/>
    <m/>
    <n v="0"/>
    <n v="0"/>
  </r>
  <r>
    <x v="0"/>
    <x v="8"/>
    <x v="5"/>
    <s v="UNICEF, USAID"/>
    <x v="0"/>
    <x v="19"/>
    <x v="0"/>
    <x v="115"/>
    <n v="85"/>
    <n v="396"/>
    <s v="11-11-2021, 07-01-2020"/>
    <s v="10-11-2022, 28-2-2022"/>
    <m/>
    <n v="2"/>
    <m/>
    <m/>
    <s v="Yes"/>
    <n v="7"/>
    <n v="9"/>
    <m/>
    <m/>
    <m/>
    <m/>
    <n v="1"/>
    <m/>
    <m/>
    <n v="1"/>
    <m/>
    <m/>
    <m/>
    <m/>
    <m/>
    <m/>
    <n v="2"/>
    <m/>
    <m/>
    <m/>
    <m/>
    <n v="8"/>
    <m/>
    <m/>
    <m/>
    <n v="14"/>
    <n v="6"/>
    <m/>
    <m/>
    <m/>
    <m/>
    <m/>
    <n v="14"/>
    <x v="1"/>
    <x v="1"/>
    <m/>
    <m/>
    <m/>
    <m/>
    <m/>
    <m/>
    <n v="3"/>
    <m/>
    <m/>
    <n v="2"/>
    <m/>
    <n v="1"/>
    <n v="1"/>
    <n v="88"/>
    <n v="100"/>
    <m/>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396"/>
    <n v="100"/>
    <n v="396"/>
    <n v="396"/>
    <n v="1"/>
    <n v="0"/>
    <n v="1"/>
    <n v="1"/>
    <n v="1"/>
    <n v="3"/>
    <n v="60"/>
    <n v="0"/>
    <n v="300"/>
    <s v="No"/>
    <s v=""/>
    <n v="0"/>
    <n v="0"/>
    <n v="0"/>
    <s v="Yes"/>
    <s v="KBC-NSS"/>
    <x v="0"/>
    <x v="1"/>
    <x v="0"/>
    <n v="23.821380000000001"/>
    <n v="97.681970000000007"/>
    <s v="MMR015CMP004"/>
    <x v="0"/>
    <m/>
    <n v="89"/>
    <n v="401"/>
  </r>
  <r>
    <x v="0"/>
    <x v="8"/>
    <x v="5"/>
    <s v="UNICEF, USAID"/>
    <x v="0"/>
    <x v="19"/>
    <x v="0"/>
    <x v="116"/>
    <n v="44"/>
    <n v="213"/>
    <s v="11-11-2021, 07-01-2020"/>
    <s v="10-11-2022, 28-2-2022"/>
    <m/>
    <n v="2"/>
    <m/>
    <m/>
    <s v="Yes"/>
    <n v="3"/>
    <n v="9"/>
    <n v="1"/>
    <m/>
    <m/>
    <m/>
    <n v="2"/>
    <m/>
    <m/>
    <m/>
    <m/>
    <m/>
    <m/>
    <n v="1"/>
    <m/>
    <m/>
    <n v="2"/>
    <m/>
    <m/>
    <m/>
    <m/>
    <n v="3"/>
    <m/>
    <m/>
    <m/>
    <n v="14"/>
    <m/>
    <m/>
    <m/>
    <m/>
    <m/>
    <m/>
    <n v="14"/>
    <x v="1"/>
    <x v="1"/>
    <m/>
    <m/>
    <m/>
    <m/>
    <m/>
    <m/>
    <n v="3"/>
    <m/>
    <m/>
    <n v="2"/>
    <m/>
    <n v="1"/>
    <n v="1"/>
    <n v="10"/>
    <n v="18"/>
    <m/>
    <m/>
    <m/>
    <m/>
    <m/>
    <m/>
    <m/>
    <m/>
    <m/>
    <m/>
    <m/>
    <m/>
    <m/>
    <m/>
    <m/>
    <s v="no test"/>
    <s v="no test"/>
    <s v="No Test"/>
    <n v="1"/>
    <n v="2"/>
    <n v="0"/>
    <n v="0"/>
    <n v="0"/>
    <n v="0"/>
    <n v="0"/>
    <n v="1"/>
    <n v="1"/>
    <n v="1"/>
    <n v="213"/>
    <n v="1"/>
    <n v="213"/>
    <n v="1"/>
    <n v="213"/>
    <n v="0.42599999999999999"/>
    <n v="0"/>
    <n v="0"/>
    <n v="0.57400000000000007"/>
    <n v="1"/>
    <n v="14"/>
    <n v="1"/>
    <n v="213"/>
    <n v="0"/>
    <n v="0"/>
    <n v="0"/>
    <n v="11"/>
    <n v="0"/>
    <n v="0"/>
    <n v="0"/>
    <n v="213"/>
    <n v="50"/>
    <n v="18"/>
    <n v="50"/>
    <n v="213"/>
    <n v="1"/>
    <n v="0"/>
    <n v="1"/>
    <n v="0.90909090909090906"/>
    <n v="0.40909090909090912"/>
    <n v="3"/>
    <n v="44"/>
    <n v="0"/>
    <n v="213"/>
    <s v="No"/>
    <s v=""/>
    <n v="0"/>
    <n v="0"/>
    <n v="0"/>
    <s v="Yes"/>
    <s v="KMSS-LSO"/>
    <x v="0"/>
    <x v="1"/>
    <x v="0"/>
    <n v="23.828150000000001"/>
    <n v="97.670360000000002"/>
    <s v="MMR015CMP003"/>
    <x v="0"/>
    <m/>
    <n v="44"/>
    <n v="217"/>
  </r>
  <r>
    <x v="0"/>
    <x v="9"/>
    <x v="6"/>
    <s v="UNICEF, USAID"/>
    <x v="0"/>
    <x v="17"/>
    <x v="0"/>
    <x v="117"/>
    <n v="30"/>
    <n v="157"/>
    <s v="11-11-2021, 07-01-2020"/>
    <s v="10-11-2022, 28-2-2022"/>
    <m/>
    <n v="2"/>
    <m/>
    <m/>
    <s v="Yes"/>
    <n v="2"/>
    <n v="8"/>
    <n v="1"/>
    <m/>
    <m/>
    <n v="2"/>
    <m/>
    <m/>
    <m/>
    <m/>
    <m/>
    <m/>
    <m/>
    <n v="2"/>
    <m/>
    <m/>
    <n v="1"/>
    <m/>
    <m/>
    <m/>
    <m/>
    <n v="4"/>
    <m/>
    <m/>
    <m/>
    <n v="8"/>
    <m/>
    <m/>
    <m/>
    <m/>
    <m/>
    <m/>
    <n v="8"/>
    <x v="1"/>
    <x v="1"/>
    <m/>
    <m/>
    <m/>
    <m/>
    <m/>
    <m/>
    <n v="1"/>
    <m/>
    <m/>
    <n v="3"/>
    <m/>
    <m/>
    <n v="2"/>
    <n v="41"/>
    <n v="85"/>
    <m/>
    <m/>
    <m/>
    <m/>
    <m/>
    <m/>
    <m/>
    <m/>
    <m/>
    <m/>
    <m/>
    <m/>
    <m/>
    <m/>
    <m/>
    <s v="no test"/>
    <s v="no test"/>
    <s v="No Test"/>
    <n v="1"/>
    <n v="2"/>
    <n v="0"/>
    <n v="0"/>
    <n v="0"/>
    <n v="0"/>
    <n v="0"/>
    <n v="1"/>
    <n v="1"/>
    <n v="1"/>
    <n v="157"/>
    <n v="1"/>
    <n v="157"/>
    <n v="1"/>
    <n v="157"/>
    <n v="0.314"/>
    <n v="0"/>
    <n v="0"/>
    <n v="0.68599999999999994"/>
    <n v="1"/>
    <n v="8"/>
    <n v="1"/>
    <n v="157"/>
    <n v="0"/>
    <n v="0"/>
    <n v="0"/>
    <n v="8"/>
    <n v="0"/>
    <n v="0"/>
    <n v="0"/>
    <n v="157"/>
    <n v="157"/>
    <n v="85"/>
    <n v="157"/>
    <n v="157"/>
    <n v="1"/>
    <n v="0"/>
    <n v="1"/>
    <n v="1"/>
    <n v="1"/>
    <n v="1"/>
    <n v="20"/>
    <n v="0"/>
    <n v="100"/>
    <s v="No"/>
    <s v=""/>
    <n v="0"/>
    <n v="0"/>
    <n v="0"/>
    <s v="Yes"/>
    <s v="KMSS-LSO"/>
    <x v="0"/>
    <x v="1"/>
    <x v="0"/>
    <n v="23.24661"/>
    <n v="97.116680000000002"/>
    <s v="MMR015CMP027"/>
    <x v="0"/>
    <m/>
    <n v="30"/>
    <n v="159"/>
  </r>
  <r>
    <x v="0"/>
    <x v="10"/>
    <x v="7"/>
    <m/>
    <x v="1"/>
    <x v="1"/>
    <x v="0"/>
    <x v="118"/>
    <n v="12"/>
    <n v="60"/>
    <m/>
    <m/>
    <m/>
    <m/>
    <m/>
    <m/>
    <m/>
    <m/>
    <m/>
    <m/>
    <m/>
    <m/>
    <m/>
    <m/>
    <m/>
    <m/>
    <m/>
    <m/>
    <m/>
    <m/>
    <m/>
    <m/>
    <m/>
    <m/>
    <m/>
    <m/>
    <m/>
    <m/>
    <m/>
    <m/>
    <m/>
    <m/>
    <m/>
    <m/>
    <m/>
    <m/>
    <m/>
    <m/>
    <m/>
    <m/>
    <x v="2"/>
    <x v="2"/>
    <m/>
    <m/>
    <m/>
    <m/>
    <m/>
    <m/>
    <n v="1"/>
    <m/>
    <m/>
    <n v="1"/>
    <m/>
    <m/>
    <m/>
    <n v="6"/>
    <n v="5"/>
    <m/>
    <m/>
    <m/>
    <m/>
    <m/>
    <m/>
    <m/>
    <m/>
    <m/>
    <m/>
    <m/>
    <m/>
    <m/>
    <m/>
    <m/>
    <s v="no test"/>
    <s v="no test"/>
    <s v="No Test"/>
    <n v="0"/>
    <n v="0"/>
    <n v="0"/>
    <n v="0"/>
    <n v="0"/>
    <n v="0"/>
    <n v="0"/>
    <n v="0"/>
    <n v="0"/>
    <n v="0"/>
    <n v="0"/>
    <n v="0"/>
    <n v="0"/>
    <n v="0"/>
    <n v="0"/>
    <n v="0"/>
    <n v="1"/>
    <n v="60"/>
    <n v="1"/>
    <n v="1"/>
    <n v="0"/>
    <n v="0"/>
    <n v="0"/>
    <n v="0"/>
    <n v="0"/>
    <n v="0"/>
    <n v="3"/>
    <n v="3"/>
    <n v="1"/>
    <n v="0"/>
    <n v="0"/>
    <n v="30"/>
    <n v="5"/>
    <n v="30"/>
    <n v="30"/>
    <n v="0.5"/>
    <n v="0.5"/>
    <n v="0"/>
    <n v="1"/>
    <n v="0.41666666666666669"/>
    <n v="1"/>
    <n v="12"/>
    <n v="0"/>
    <n v="60"/>
    <s v="No"/>
    <s v=""/>
    <n v="0"/>
    <n v="0"/>
    <n v="0"/>
    <s v="Yes"/>
    <s v="Shalom"/>
    <x v="0"/>
    <x v="1"/>
    <x v="0"/>
    <n v="24.154199999999999"/>
    <n v="97.160600000000002"/>
    <s v="MMR001CMP281"/>
    <x v="1"/>
    <m/>
    <n v="97"/>
    <n v="480"/>
  </r>
  <r>
    <x v="0"/>
    <x v="10"/>
    <x v="7"/>
    <m/>
    <x v="1"/>
    <x v="1"/>
    <x v="1"/>
    <x v="119"/>
    <m/>
    <m/>
    <d v="2020-01-03T00:00:00"/>
    <d v="2022-02-28T00:00:00"/>
    <m/>
    <m/>
    <m/>
    <m/>
    <s v="Yes"/>
    <m/>
    <m/>
    <m/>
    <m/>
    <m/>
    <m/>
    <m/>
    <m/>
    <m/>
    <m/>
    <m/>
    <m/>
    <m/>
    <m/>
    <m/>
    <m/>
    <m/>
    <m/>
    <m/>
    <m/>
    <m/>
    <m/>
    <m/>
    <m/>
    <m/>
    <n v="8"/>
    <m/>
    <m/>
    <m/>
    <m/>
    <m/>
    <m/>
    <m/>
    <x v="1"/>
    <x v="2"/>
    <m/>
    <m/>
    <m/>
    <m/>
    <m/>
    <m/>
    <n v="1"/>
    <m/>
    <m/>
    <n v="3"/>
    <m/>
    <m/>
    <m/>
    <n v="41"/>
    <n v="85"/>
    <m/>
    <m/>
    <m/>
    <m/>
    <m/>
    <m/>
    <m/>
    <m/>
    <m/>
    <m/>
    <m/>
    <m/>
    <m/>
    <m/>
    <m/>
    <s v="no test"/>
    <s v="no test"/>
    <s v="No Test"/>
    <n v="0"/>
    <n v="0"/>
    <n v="0"/>
    <n v="0"/>
    <n v="0"/>
    <n v="0"/>
    <n v="0"/>
    <s v=""/>
    <s v=""/>
    <s v=""/>
    <m/>
    <m/>
    <n v="0"/>
    <m/>
    <m/>
    <n v="0"/>
    <m/>
    <m/>
    <n v="1"/>
    <n v="1"/>
    <n v="8"/>
    <m/>
    <n v="0"/>
    <n v="0"/>
    <n v="0"/>
    <n v="0"/>
    <n v="0"/>
    <n v="0"/>
    <m/>
    <m/>
    <n v="0"/>
    <n v="0"/>
    <n v="0"/>
    <n v="0"/>
    <n v="0"/>
    <m/>
    <m/>
    <m/>
    <m/>
    <m/>
    <n v="1"/>
    <n v="0"/>
    <n v="0"/>
    <n v="0"/>
    <s v="No"/>
    <s v=""/>
    <n v="0"/>
    <n v="0"/>
    <n v="0"/>
    <n v="0"/>
    <n v="0"/>
    <x v="0"/>
    <x v="2"/>
    <x v="0"/>
    <n v="0"/>
    <n v="0"/>
    <n v="0"/>
    <x v="1"/>
    <m/>
    <n v="0"/>
    <n v="0"/>
  </r>
  <r>
    <x v="0"/>
    <x v="10"/>
    <x v="7"/>
    <m/>
    <x v="1"/>
    <x v="1"/>
    <x v="0"/>
    <x v="120"/>
    <n v="181"/>
    <n v="906"/>
    <s v="13-8-2021, 6-1-2020"/>
    <s v="12-20-2022, 30-7-2021"/>
    <m/>
    <m/>
    <m/>
    <m/>
    <m/>
    <m/>
    <n v="4"/>
    <m/>
    <m/>
    <m/>
    <m/>
    <m/>
    <m/>
    <m/>
    <m/>
    <m/>
    <m/>
    <m/>
    <m/>
    <m/>
    <m/>
    <m/>
    <m/>
    <m/>
    <m/>
    <m/>
    <m/>
    <m/>
    <m/>
    <m/>
    <m/>
    <m/>
    <m/>
    <m/>
    <m/>
    <m/>
    <m/>
    <m/>
    <x v="2"/>
    <x v="2"/>
    <m/>
    <m/>
    <m/>
    <m/>
    <m/>
    <m/>
    <n v="7"/>
    <m/>
    <m/>
    <n v="7"/>
    <m/>
    <m/>
    <m/>
    <n v="104"/>
    <n v="148"/>
    <m/>
    <m/>
    <m/>
    <m/>
    <m/>
    <m/>
    <m/>
    <m/>
    <m/>
    <m/>
    <m/>
    <m/>
    <m/>
    <m/>
    <m/>
    <s v="no test"/>
    <s v="no test"/>
    <s v="No Test"/>
    <n v="0"/>
    <n v="0"/>
    <n v="0"/>
    <n v="0"/>
    <n v="0"/>
    <n v="0"/>
    <n v="0"/>
    <n v="0"/>
    <n v="0"/>
    <n v="0"/>
    <n v="0"/>
    <n v="0"/>
    <n v="0"/>
    <n v="0"/>
    <n v="0"/>
    <n v="0"/>
    <n v="1"/>
    <n v="906"/>
    <n v="2"/>
    <n v="2"/>
    <n v="0"/>
    <n v="0"/>
    <n v="0"/>
    <n v="0"/>
    <n v="0"/>
    <n v="0"/>
    <n v="45"/>
    <n v="45"/>
    <n v="1"/>
    <n v="0"/>
    <n v="0"/>
    <n v="520"/>
    <n v="148"/>
    <n v="520"/>
    <n v="520"/>
    <n v="0.57395143487858724"/>
    <n v="0.42604856512141276"/>
    <n v="0"/>
    <n v="1"/>
    <n v="0.81767955801104975"/>
    <n v="7"/>
    <n v="140"/>
    <n v="0"/>
    <n v="700"/>
    <s v="No"/>
    <s v=""/>
    <n v="0"/>
    <n v="0"/>
    <n v="0"/>
    <n v="0"/>
    <s v="uncovered"/>
    <x v="0"/>
    <x v="4"/>
    <x v="0"/>
    <n v="24.263786"/>
    <n v="97.228835000000004"/>
    <s v="MMR001CMP163"/>
    <x v="1"/>
    <m/>
    <n v="65"/>
    <n v="337"/>
  </r>
  <r>
    <x v="0"/>
    <x v="10"/>
    <x v="7"/>
    <m/>
    <x v="1"/>
    <x v="1"/>
    <x v="0"/>
    <x v="121"/>
    <n v="40"/>
    <n v="168"/>
    <m/>
    <m/>
    <m/>
    <m/>
    <m/>
    <m/>
    <m/>
    <m/>
    <m/>
    <m/>
    <m/>
    <m/>
    <m/>
    <m/>
    <m/>
    <m/>
    <m/>
    <m/>
    <m/>
    <m/>
    <m/>
    <m/>
    <m/>
    <m/>
    <m/>
    <m/>
    <m/>
    <m/>
    <m/>
    <m/>
    <m/>
    <m/>
    <m/>
    <m/>
    <m/>
    <m/>
    <m/>
    <m/>
    <m/>
    <m/>
    <x v="2"/>
    <x v="2"/>
    <m/>
    <m/>
    <m/>
    <m/>
    <m/>
    <m/>
    <n v="8"/>
    <m/>
    <m/>
    <n v="3"/>
    <m/>
    <m/>
    <m/>
    <n v="91"/>
    <n v="124"/>
    <m/>
    <m/>
    <m/>
    <m/>
    <m/>
    <m/>
    <m/>
    <m/>
    <m/>
    <m/>
    <m/>
    <m/>
    <m/>
    <m/>
    <m/>
    <s v="no test"/>
    <s v="no test"/>
    <s v="No Test"/>
    <n v="0"/>
    <n v="0"/>
    <n v="0"/>
    <n v="0"/>
    <n v="0"/>
    <n v="0"/>
    <n v="0"/>
    <n v="0"/>
    <n v="0"/>
    <n v="0"/>
    <n v="0"/>
    <n v="0"/>
    <n v="0"/>
    <n v="0"/>
    <n v="0"/>
    <n v="0"/>
    <n v="1"/>
    <n v="168"/>
    <n v="1"/>
    <n v="1"/>
    <n v="0"/>
    <n v="0"/>
    <n v="0"/>
    <n v="0"/>
    <n v="0"/>
    <n v="0"/>
    <n v="8"/>
    <n v="8"/>
    <n v="1"/>
    <n v="0"/>
    <n v="0"/>
    <n v="168"/>
    <n v="124"/>
    <n v="168"/>
    <n v="168"/>
    <n v="1"/>
    <n v="0"/>
    <n v="0"/>
    <n v="1"/>
    <n v="1"/>
    <n v="8"/>
    <n v="40"/>
    <n v="0"/>
    <n v="168"/>
    <s v="No"/>
    <s v=""/>
    <n v="0"/>
    <n v="0"/>
    <n v="0"/>
    <n v="0"/>
    <n v="0"/>
    <x v="0"/>
    <x v="1"/>
    <x v="0"/>
    <n v="24.314934000000001"/>
    <n v="97.305190999999994"/>
    <s v="MMR001CMP285"/>
    <x v="1"/>
    <m/>
    <n v="40"/>
    <n v="190"/>
  </r>
  <r>
    <x v="0"/>
    <x v="10"/>
    <x v="7"/>
    <m/>
    <x v="1"/>
    <x v="1"/>
    <x v="1"/>
    <x v="122"/>
    <m/>
    <m/>
    <d v="2020-01-03T00:00:00"/>
    <d v="2022-02-28T00:00:00"/>
    <m/>
    <m/>
    <m/>
    <m/>
    <s v="Yes"/>
    <m/>
    <m/>
    <m/>
    <m/>
    <m/>
    <n v="5"/>
    <m/>
    <m/>
    <m/>
    <m/>
    <m/>
    <m/>
    <m/>
    <m/>
    <m/>
    <m/>
    <m/>
    <m/>
    <m/>
    <m/>
    <m/>
    <m/>
    <m/>
    <m/>
    <m/>
    <n v="18"/>
    <m/>
    <m/>
    <m/>
    <m/>
    <m/>
    <m/>
    <m/>
    <x v="1"/>
    <x v="2"/>
    <m/>
    <m/>
    <m/>
    <m/>
    <m/>
    <m/>
    <n v="7"/>
    <m/>
    <m/>
    <n v="4"/>
    <m/>
    <m/>
    <m/>
    <n v="124"/>
    <n v="198"/>
    <m/>
    <m/>
    <m/>
    <m/>
    <m/>
    <m/>
    <m/>
    <m/>
    <m/>
    <m/>
    <m/>
    <m/>
    <m/>
    <m/>
    <m/>
    <s v="no test"/>
    <s v="no test"/>
    <s v="No Test"/>
    <n v="0"/>
    <n v="5"/>
    <n v="0"/>
    <n v="0"/>
    <n v="0"/>
    <n v="0"/>
    <n v="0"/>
    <s v=""/>
    <s v=""/>
    <s v=""/>
    <m/>
    <m/>
    <n v="0"/>
    <m/>
    <m/>
    <n v="0"/>
    <m/>
    <m/>
    <n v="1"/>
    <n v="1"/>
    <n v="18"/>
    <m/>
    <n v="0"/>
    <n v="0"/>
    <n v="0"/>
    <n v="0"/>
    <n v="0"/>
    <n v="0"/>
    <m/>
    <m/>
    <n v="0"/>
    <n v="0"/>
    <n v="0"/>
    <n v="0"/>
    <n v="0"/>
    <m/>
    <m/>
    <m/>
    <m/>
    <m/>
    <n v="7"/>
    <n v="0"/>
    <n v="0"/>
    <n v="0"/>
    <s v="No"/>
    <s v=""/>
    <n v="0"/>
    <n v="0"/>
    <n v="0"/>
    <s v="No"/>
    <n v="0"/>
    <x v="0"/>
    <x v="1"/>
    <x v="0"/>
    <n v="0"/>
    <n v="0"/>
    <n v="0"/>
    <x v="1"/>
    <m/>
    <n v="0"/>
    <n v="0"/>
  </r>
  <r>
    <x v="0"/>
    <x v="10"/>
    <x v="7"/>
    <m/>
    <x v="1"/>
    <x v="2"/>
    <x v="0"/>
    <x v="123"/>
    <n v="57"/>
    <n v="264"/>
    <m/>
    <m/>
    <m/>
    <m/>
    <m/>
    <m/>
    <s v="Yes"/>
    <m/>
    <m/>
    <m/>
    <m/>
    <m/>
    <m/>
    <m/>
    <m/>
    <m/>
    <m/>
    <m/>
    <m/>
    <m/>
    <m/>
    <m/>
    <m/>
    <m/>
    <m/>
    <m/>
    <m/>
    <m/>
    <m/>
    <m/>
    <m/>
    <m/>
    <n v="28"/>
    <m/>
    <m/>
    <m/>
    <m/>
    <m/>
    <m/>
    <m/>
    <x v="1"/>
    <x v="1"/>
    <n v="2"/>
    <m/>
    <m/>
    <m/>
    <m/>
    <m/>
    <n v="3"/>
    <m/>
    <m/>
    <n v="2"/>
    <m/>
    <m/>
    <m/>
    <n v="88"/>
    <n v="100"/>
    <m/>
    <m/>
    <m/>
    <m/>
    <m/>
    <m/>
    <m/>
    <m/>
    <m/>
    <m/>
    <m/>
    <m/>
    <m/>
    <m/>
    <m/>
    <s v="no test"/>
    <s v="no test"/>
    <s v="No Test"/>
    <n v="0"/>
    <n v="0"/>
    <n v="0"/>
    <n v="0"/>
    <n v="0"/>
    <n v="0"/>
    <n v="0"/>
    <n v="0"/>
    <n v="0"/>
    <n v="0"/>
    <n v="0"/>
    <n v="0"/>
    <n v="0"/>
    <n v="0"/>
    <n v="0"/>
    <n v="0"/>
    <n v="1"/>
    <n v="264"/>
    <n v="1"/>
    <n v="1"/>
    <n v="28"/>
    <n v="1"/>
    <n v="264"/>
    <n v="0"/>
    <n v="0"/>
    <n v="0"/>
    <n v="13"/>
    <n v="0"/>
    <n v="0"/>
    <n v="0"/>
    <n v="0"/>
    <n v="264"/>
    <n v="100"/>
    <n v="264"/>
    <n v="264"/>
    <n v="1"/>
    <n v="0"/>
    <n v="0"/>
    <n v="1"/>
    <n v="1"/>
    <n v="3"/>
    <n v="57"/>
    <n v="0"/>
    <n v="264"/>
    <s v="No"/>
    <s v=""/>
    <n v="0"/>
    <n v="0"/>
    <n v="0"/>
    <s v="Yes"/>
    <s v="KMSS-MYT"/>
    <x v="0"/>
    <x v="4"/>
    <x v="0"/>
    <n v="25.60867"/>
    <n v="98.377780000000001"/>
    <s v="MMR001CMP210"/>
    <x v="1"/>
    <m/>
    <n v="4"/>
    <n v="20"/>
  </r>
  <r>
    <x v="0"/>
    <x v="10"/>
    <x v="7"/>
    <m/>
    <x v="1"/>
    <x v="3"/>
    <x v="0"/>
    <x v="124"/>
    <n v="49"/>
    <n v="242"/>
    <m/>
    <m/>
    <m/>
    <m/>
    <m/>
    <m/>
    <s v="Yes"/>
    <n v="1"/>
    <n v="2"/>
    <n v="1"/>
    <m/>
    <m/>
    <m/>
    <n v="1"/>
    <m/>
    <m/>
    <m/>
    <m/>
    <m/>
    <m/>
    <m/>
    <m/>
    <m/>
    <m/>
    <m/>
    <m/>
    <m/>
    <m/>
    <n v="2"/>
    <m/>
    <m/>
    <m/>
    <n v="8"/>
    <n v="4"/>
    <m/>
    <m/>
    <m/>
    <m/>
    <m/>
    <m/>
    <x v="1"/>
    <x v="0"/>
    <n v="2"/>
    <m/>
    <m/>
    <m/>
    <m/>
    <m/>
    <n v="7"/>
    <m/>
    <n v="2"/>
    <n v="4"/>
    <m/>
    <m/>
    <m/>
    <n v="124"/>
    <n v="198"/>
    <m/>
    <m/>
    <m/>
    <m/>
    <m/>
    <m/>
    <m/>
    <m/>
    <m/>
    <m/>
    <m/>
    <m/>
    <m/>
    <m/>
    <m/>
    <s v="no test"/>
    <s v="no test"/>
    <s v="No Test"/>
    <n v="1"/>
    <n v="1"/>
    <n v="0"/>
    <n v="0"/>
    <n v="0"/>
    <n v="0"/>
    <n v="0"/>
    <n v="1"/>
    <n v="1"/>
    <n v="1"/>
    <n v="242"/>
    <n v="0"/>
    <n v="0"/>
    <n v="1"/>
    <n v="242"/>
    <n v="0.48399999999999999"/>
    <n v="0"/>
    <n v="0"/>
    <n v="0.51600000000000001"/>
    <n v="1"/>
    <n v="12"/>
    <n v="1"/>
    <n v="242"/>
    <n v="0"/>
    <n v="0"/>
    <n v="0"/>
    <n v="12"/>
    <n v="0"/>
    <n v="0"/>
    <n v="0"/>
    <n v="0"/>
    <n v="242"/>
    <n v="198"/>
    <n v="242"/>
    <n v="242"/>
    <n v="1"/>
    <n v="0"/>
    <n v="0"/>
    <n v="1"/>
    <n v="1"/>
    <n v="7"/>
    <n v="49"/>
    <n v="0"/>
    <n v="242"/>
    <s v="No"/>
    <s v=""/>
    <n v="0"/>
    <n v="0"/>
    <n v="0"/>
    <n v="0"/>
    <s v="KMSS-MYT"/>
    <x v="0"/>
    <x v="3"/>
    <x v="0"/>
    <n v="25.54677963"/>
    <n v="96.793539999999993"/>
    <s v="MMR001CMP268"/>
    <x v="1"/>
    <m/>
    <n v="50"/>
    <n v="250"/>
  </r>
  <r>
    <x v="0"/>
    <x v="10"/>
    <x v="7"/>
    <m/>
    <x v="1"/>
    <x v="3"/>
    <x v="0"/>
    <x v="125"/>
    <n v="3"/>
    <n v="15"/>
    <s v="13-8-2021, 6-1-2020"/>
    <s v="12-20-2022, 30-7-2021"/>
    <m/>
    <n v="0"/>
    <m/>
    <m/>
    <s v="Yes"/>
    <m/>
    <n v="5"/>
    <n v="1"/>
    <m/>
    <m/>
    <n v="1"/>
    <m/>
    <m/>
    <m/>
    <m/>
    <m/>
    <m/>
    <m/>
    <m/>
    <m/>
    <m/>
    <n v="1"/>
    <m/>
    <m/>
    <m/>
    <m/>
    <m/>
    <m/>
    <m/>
    <m/>
    <n v="0"/>
    <m/>
    <m/>
    <m/>
    <m/>
    <m/>
    <m/>
    <n v="0"/>
    <x v="1"/>
    <x v="3"/>
    <m/>
    <m/>
    <m/>
    <m/>
    <m/>
    <m/>
    <n v="7"/>
    <m/>
    <n v="0"/>
    <n v="4"/>
    <m/>
    <m/>
    <m/>
    <n v="124"/>
    <n v="198"/>
    <m/>
    <m/>
    <m/>
    <m/>
    <m/>
    <m/>
    <m/>
    <m/>
    <m/>
    <m/>
    <m/>
    <m/>
    <m/>
    <m/>
    <m/>
    <s v="no test"/>
    <s v="no test"/>
    <s v="No Test"/>
    <n v="1"/>
    <n v="1"/>
    <n v="0"/>
    <n v="0"/>
    <n v="0"/>
    <n v="0"/>
    <n v="0"/>
    <n v="1"/>
    <n v="1"/>
    <n v="1"/>
    <n v="15"/>
    <n v="0"/>
    <n v="0"/>
    <n v="1"/>
    <n v="15"/>
    <n v="0.03"/>
    <n v="0"/>
    <n v="0"/>
    <n v="0.97"/>
    <n v="1"/>
    <n v="0"/>
    <n v="0"/>
    <n v="0"/>
    <n v="0"/>
    <n v="0"/>
    <n v="0"/>
    <n v="1"/>
    <n v="1"/>
    <n v="1"/>
    <n v="0"/>
    <n v="0"/>
    <n v="15"/>
    <n v="15"/>
    <n v="15"/>
    <n v="15"/>
    <n v="1"/>
    <n v="0"/>
    <n v="0"/>
    <n v="1"/>
    <n v="1"/>
    <n v="7"/>
    <n v="3"/>
    <n v="0"/>
    <n v="15"/>
    <s v="No"/>
    <s v=""/>
    <n v="0"/>
    <n v="0"/>
    <n v="0"/>
    <s v="Yes"/>
    <s v="Shalom"/>
    <x v="0"/>
    <x v="0"/>
    <x v="0"/>
    <n v="25.6145"/>
    <n v="96.319829999999996"/>
    <s v="MMR001CMP091"/>
    <x v="1"/>
    <m/>
    <n v="3"/>
    <n v="14"/>
  </r>
  <r>
    <x v="0"/>
    <x v="10"/>
    <x v="7"/>
    <m/>
    <x v="1"/>
    <x v="3"/>
    <x v="0"/>
    <x v="126"/>
    <n v="95"/>
    <n v="472"/>
    <m/>
    <m/>
    <m/>
    <m/>
    <m/>
    <m/>
    <m/>
    <m/>
    <m/>
    <m/>
    <m/>
    <m/>
    <m/>
    <m/>
    <m/>
    <m/>
    <m/>
    <m/>
    <m/>
    <m/>
    <m/>
    <m/>
    <m/>
    <m/>
    <m/>
    <m/>
    <m/>
    <m/>
    <m/>
    <m/>
    <m/>
    <m/>
    <m/>
    <m/>
    <m/>
    <m/>
    <m/>
    <m/>
    <m/>
    <m/>
    <x v="2"/>
    <x v="2"/>
    <m/>
    <m/>
    <m/>
    <m/>
    <m/>
    <m/>
    <n v="8"/>
    <m/>
    <m/>
    <n v="3"/>
    <m/>
    <m/>
    <m/>
    <n v="91"/>
    <n v="124"/>
    <m/>
    <m/>
    <m/>
    <m/>
    <m/>
    <m/>
    <m/>
    <m/>
    <m/>
    <m/>
    <m/>
    <m/>
    <m/>
    <m/>
    <m/>
    <s v="no test"/>
    <s v="no test"/>
    <s v="No Test"/>
    <n v="0"/>
    <n v="0"/>
    <n v="0"/>
    <n v="0"/>
    <n v="0"/>
    <n v="0"/>
    <n v="0"/>
    <n v="0"/>
    <n v="0"/>
    <n v="0"/>
    <n v="0"/>
    <n v="0"/>
    <n v="0"/>
    <n v="0"/>
    <n v="0"/>
    <n v="0"/>
    <n v="1"/>
    <n v="472"/>
    <n v="1"/>
    <n v="1"/>
    <n v="0"/>
    <n v="0"/>
    <n v="0"/>
    <n v="0"/>
    <n v="0"/>
    <n v="0"/>
    <n v="24"/>
    <n v="24"/>
    <n v="1"/>
    <n v="0"/>
    <n v="0"/>
    <n v="455"/>
    <n v="124"/>
    <n v="455"/>
    <n v="455"/>
    <n v="0.96398305084745761"/>
    <n v="3.6016949152542388E-2"/>
    <n v="0"/>
    <n v="1"/>
    <n v="1"/>
    <n v="8"/>
    <n v="95"/>
    <n v="0"/>
    <n v="472"/>
    <s v="No"/>
    <s v=""/>
    <n v="0"/>
    <n v="0"/>
    <n v="0"/>
    <s v="Yes"/>
    <s v="KMSS-MYT"/>
    <x v="0"/>
    <x v="1"/>
    <x v="0"/>
    <n v="25.656009999999998"/>
    <n v="96.361609999999999"/>
    <s v="MMR001CMP168"/>
    <x v="1"/>
    <m/>
    <n v="90"/>
    <n v="456"/>
  </r>
  <r>
    <x v="0"/>
    <x v="10"/>
    <x v="7"/>
    <m/>
    <x v="0"/>
    <x v="21"/>
    <x v="0"/>
    <x v="127"/>
    <n v="13"/>
    <n v="29"/>
    <m/>
    <m/>
    <m/>
    <m/>
    <m/>
    <m/>
    <m/>
    <m/>
    <m/>
    <m/>
    <m/>
    <m/>
    <m/>
    <m/>
    <m/>
    <m/>
    <m/>
    <m/>
    <m/>
    <m/>
    <m/>
    <m/>
    <m/>
    <m/>
    <m/>
    <m/>
    <m/>
    <m/>
    <m/>
    <m/>
    <m/>
    <m/>
    <m/>
    <m/>
    <m/>
    <m/>
    <m/>
    <m/>
    <m/>
    <m/>
    <x v="2"/>
    <x v="2"/>
    <m/>
    <m/>
    <m/>
    <m/>
    <m/>
    <m/>
    <n v="1"/>
    <m/>
    <m/>
    <n v="3"/>
    <m/>
    <m/>
    <m/>
    <n v="41"/>
    <n v="85"/>
    <m/>
    <m/>
    <m/>
    <m/>
    <m/>
    <m/>
    <m/>
    <m/>
    <m/>
    <m/>
    <m/>
    <m/>
    <m/>
    <m/>
    <m/>
    <s v="no test"/>
    <s v="no test"/>
    <s v="No Test"/>
    <n v="0"/>
    <n v="0"/>
    <n v="0"/>
    <n v="0"/>
    <n v="0"/>
    <n v="0"/>
    <n v="0"/>
    <n v="0"/>
    <n v="0"/>
    <n v="0"/>
    <n v="0"/>
    <n v="0"/>
    <n v="0"/>
    <n v="0"/>
    <n v="0"/>
    <n v="0"/>
    <n v="1"/>
    <n v="29"/>
    <n v="1"/>
    <n v="1"/>
    <n v="0"/>
    <n v="0"/>
    <n v="0"/>
    <n v="0"/>
    <n v="0"/>
    <n v="0"/>
    <n v="1"/>
    <n v="1"/>
    <n v="1"/>
    <n v="0"/>
    <n v="0"/>
    <n v="29"/>
    <n v="29"/>
    <n v="29"/>
    <n v="29"/>
    <n v="1"/>
    <n v="0"/>
    <n v="0"/>
    <n v="1"/>
    <n v="1"/>
    <n v="1"/>
    <n v="13"/>
    <n v="0"/>
    <n v="29"/>
    <s v="No"/>
    <s v=""/>
    <n v="0"/>
    <n v="0"/>
    <n v="0"/>
    <n v="0"/>
    <s v="uncovered"/>
    <x v="0"/>
    <x v="3"/>
    <x v="0"/>
    <n v="22.6923503875732"/>
    <n v="97.434150695800795"/>
    <s v="MMR015CMP084"/>
    <x v="1"/>
    <m/>
    <n v="13"/>
    <n v="29"/>
  </r>
  <r>
    <x v="0"/>
    <x v="10"/>
    <x v="7"/>
    <m/>
    <x v="0"/>
    <x v="21"/>
    <x v="0"/>
    <x v="128"/>
    <n v="37"/>
    <n v="120"/>
    <m/>
    <m/>
    <m/>
    <m/>
    <m/>
    <m/>
    <m/>
    <m/>
    <m/>
    <m/>
    <m/>
    <m/>
    <m/>
    <m/>
    <m/>
    <m/>
    <m/>
    <m/>
    <m/>
    <m/>
    <m/>
    <m/>
    <m/>
    <m/>
    <m/>
    <m/>
    <m/>
    <m/>
    <m/>
    <m/>
    <m/>
    <m/>
    <m/>
    <m/>
    <m/>
    <m/>
    <m/>
    <m/>
    <m/>
    <m/>
    <x v="2"/>
    <x v="2"/>
    <m/>
    <m/>
    <m/>
    <m/>
    <m/>
    <m/>
    <n v="1"/>
    <m/>
    <m/>
    <n v="1"/>
    <m/>
    <m/>
    <m/>
    <n v="6"/>
    <n v="5"/>
    <m/>
    <m/>
    <m/>
    <m/>
    <m/>
    <m/>
    <m/>
    <m/>
    <m/>
    <m/>
    <m/>
    <m/>
    <m/>
    <m/>
    <m/>
    <s v="no test"/>
    <s v="no test"/>
    <s v="No Test"/>
    <n v="0"/>
    <n v="0"/>
    <n v="0"/>
    <n v="0"/>
    <n v="0"/>
    <n v="0"/>
    <n v="0"/>
    <n v="0"/>
    <n v="0"/>
    <n v="0"/>
    <n v="0"/>
    <n v="0"/>
    <n v="0"/>
    <n v="0"/>
    <n v="0"/>
    <n v="0"/>
    <n v="1"/>
    <n v="120"/>
    <n v="1"/>
    <n v="1"/>
    <n v="0"/>
    <n v="0"/>
    <n v="0"/>
    <n v="0"/>
    <n v="0"/>
    <n v="0"/>
    <n v="6"/>
    <n v="6"/>
    <n v="1"/>
    <n v="0"/>
    <n v="0"/>
    <n v="30"/>
    <n v="5"/>
    <n v="30"/>
    <n v="30"/>
    <n v="0.25"/>
    <n v="0.75"/>
    <n v="0"/>
    <n v="0.64864864864864868"/>
    <n v="0.13513513513513514"/>
    <n v="1"/>
    <n v="20"/>
    <n v="0"/>
    <n v="100"/>
    <s v="No"/>
    <s v=""/>
    <n v="0"/>
    <n v="0"/>
    <n v="0"/>
    <n v="0"/>
    <s v="uncovered"/>
    <x v="0"/>
    <x v="0"/>
    <x v="0"/>
    <n v="22.677008000000001"/>
    <n v="97.314762999999999"/>
    <s v="MMR015CMP062"/>
    <x v="1"/>
    <m/>
    <n v="37"/>
    <n v="120"/>
  </r>
  <r>
    <x v="0"/>
    <x v="10"/>
    <x v="7"/>
    <m/>
    <x v="0"/>
    <x v="22"/>
    <x v="0"/>
    <x v="129"/>
    <n v="142"/>
    <n v="504"/>
    <m/>
    <m/>
    <m/>
    <m/>
    <m/>
    <m/>
    <m/>
    <m/>
    <m/>
    <m/>
    <m/>
    <m/>
    <m/>
    <m/>
    <m/>
    <m/>
    <m/>
    <m/>
    <m/>
    <m/>
    <m/>
    <m/>
    <m/>
    <m/>
    <m/>
    <m/>
    <m/>
    <m/>
    <m/>
    <m/>
    <m/>
    <m/>
    <m/>
    <m/>
    <m/>
    <m/>
    <m/>
    <m/>
    <m/>
    <m/>
    <x v="2"/>
    <x v="2"/>
    <m/>
    <m/>
    <m/>
    <m/>
    <m/>
    <m/>
    <n v="7"/>
    <m/>
    <m/>
    <n v="7"/>
    <m/>
    <m/>
    <m/>
    <n v="104"/>
    <n v="148"/>
    <m/>
    <m/>
    <m/>
    <m/>
    <m/>
    <m/>
    <m/>
    <m/>
    <m/>
    <m/>
    <m/>
    <m/>
    <m/>
    <m/>
    <m/>
    <s v="no test"/>
    <s v="no test"/>
    <s v="No Test"/>
    <n v="0"/>
    <n v="0"/>
    <n v="0"/>
    <n v="0"/>
    <n v="0"/>
    <n v="0"/>
    <n v="0"/>
    <n v="0"/>
    <n v="0"/>
    <n v="0"/>
    <n v="0"/>
    <n v="0"/>
    <n v="0"/>
    <n v="0"/>
    <n v="0"/>
    <n v="0"/>
    <n v="1"/>
    <n v="504"/>
    <n v="1"/>
    <n v="1"/>
    <n v="0"/>
    <n v="0"/>
    <n v="0"/>
    <n v="0"/>
    <n v="0"/>
    <n v="0"/>
    <n v="25"/>
    <n v="25"/>
    <n v="1"/>
    <n v="0"/>
    <n v="0"/>
    <n v="504"/>
    <n v="148"/>
    <n v="504"/>
    <n v="504"/>
    <n v="1"/>
    <n v="0"/>
    <n v="0"/>
    <n v="1"/>
    <n v="1"/>
    <n v="7"/>
    <n v="140"/>
    <n v="0"/>
    <n v="504"/>
    <s v="No"/>
    <s v=""/>
    <n v="0"/>
    <n v="0"/>
    <n v="0"/>
    <n v="0"/>
    <s v="uncovered"/>
    <x v="0"/>
    <x v="4"/>
    <x v="0"/>
    <n v="22.325900000000001"/>
    <n v="97.021000000000001"/>
    <s v="MMR015CMP075"/>
    <x v="1"/>
    <m/>
    <n v="1036"/>
    <n v="3986"/>
  </r>
  <r>
    <x v="0"/>
    <x v="10"/>
    <x v="7"/>
    <m/>
    <x v="1"/>
    <x v="4"/>
    <x v="0"/>
    <x v="130"/>
    <n v="154"/>
    <n v="694"/>
    <m/>
    <m/>
    <m/>
    <n v="2"/>
    <m/>
    <m/>
    <s v="Yes"/>
    <n v="7"/>
    <n v="7"/>
    <n v="1"/>
    <n v="1"/>
    <m/>
    <m/>
    <n v="2"/>
    <m/>
    <n v="1"/>
    <m/>
    <m/>
    <m/>
    <m/>
    <n v="1"/>
    <m/>
    <n v="2"/>
    <n v="8"/>
    <m/>
    <m/>
    <m/>
    <m/>
    <m/>
    <m/>
    <m/>
    <m/>
    <n v="61"/>
    <m/>
    <m/>
    <n v="6"/>
    <n v="0"/>
    <n v="11"/>
    <n v="732"/>
    <m/>
    <x v="1"/>
    <x v="1"/>
    <m/>
    <n v="2"/>
    <m/>
    <m/>
    <n v="7"/>
    <m/>
    <n v="4"/>
    <m/>
    <n v="0"/>
    <n v="3"/>
    <n v="0"/>
    <m/>
    <n v="2"/>
    <n v="41"/>
    <n v="85"/>
    <m/>
    <m/>
    <n v="0.4"/>
    <m/>
    <m/>
    <m/>
    <m/>
    <m/>
    <m/>
    <m/>
    <m/>
    <m/>
    <m/>
    <m/>
    <m/>
    <s v="no test"/>
    <s v="no test"/>
    <s v="No Test"/>
    <n v="0"/>
    <n v="2"/>
    <n v="0"/>
    <n v="0"/>
    <n v="0"/>
    <n v="0"/>
    <n v="0"/>
    <n v="1"/>
    <n v="0.72046109510086453"/>
    <n v="1"/>
    <n v="694"/>
    <n v="0.36023054755043227"/>
    <n v="250"/>
    <n v="1"/>
    <n v="694"/>
    <n v="1.3879999999999999"/>
    <n v="0"/>
    <n v="0"/>
    <n v="0"/>
    <n v="1"/>
    <n v="55"/>
    <n v="1"/>
    <n v="694"/>
    <n v="220"/>
    <n v="0"/>
    <n v="0"/>
    <n v="35"/>
    <n v="0"/>
    <n v="0"/>
    <n v="9.8360655737704916E-2"/>
    <n v="694"/>
    <n v="205"/>
    <n v="85"/>
    <n v="205"/>
    <n v="694"/>
    <n v="1"/>
    <n v="0"/>
    <n v="1"/>
    <n v="1"/>
    <n v="0.55194805194805197"/>
    <n v="4"/>
    <n v="80"/>
    <n v="0"/>
    <n v="400"/>
    <s v="No"/>
    <s v=""/>
    <n v="0"/>
    <n v="0"/>
    <n v="0"/>
    <s v="Yes"/>
    <s v="KMSS-BMO"/>
    <x v="0"/>
    <x v="1"/>
    <x v="0"/>
    <n v="23.976571"/>
    <n v="97.227057000000002"/>
    <s v="MMR001CMP223"/>
    <x v="1"/>
    <m/>
    <n v="151"/>
    <n v="732"/>
  </r>
  <r>
    <x v="0"/>
    <x v="10"/>
    <x v="7"/>
    <m/>
    <x v="1"/>
    <x v="4"/>
    <x v="0"/>
    <x v="131"/>
    <n v="67"/>
    <n v="308"/>
    <s v="13-8-2021, 6-1-2020"/>
    <s v="12-20-2022, 30-7-2021"/>
    <m/>
    <m/>
    <m/>
    <m/>
    <m/>
    <m/>
    <n v="4"/>
    <m/>
    <m/>
    <m/>
    <m/>
    <m/>
    <m/>
    <m/>
    <m/>
    <m/>
    <m/>
    <m/>
    <m/>
    <m/>
    <m/>
    <m/>
    <m/>
    <m/>
    <m/>
    <m/>
    <m/>
    <m/>
    <m/>
    <m/>
    <m/>
    <m/>
    <m/>
    <m/>
    <m/>
    <m/>
    <m/>
    <m/>
    <x v="2"/>
    <x v="2"/>
    <m/>
    <m/>
    <m/>
    <m/>
    <m/>
    <m/>
    <n v="7"/>
    <m/>
    <m/>
    <n v="7"/>
    <m/>
    <m/>
    <m/>
    <n v="104"/>
    <n v="148"/>
    <m/>
    <m/>
    <m/>
    <m/>
    <m/>
    <m/>
    <m/>
    <m/>
    <m/>
    <m/>
    <m/>
    <m/>
    <m/>
    <m/>
    <m/>
    <s v="no test"/>
    <s v="no test"/>
    <s v="No Test"/>
    <n v="0"/>
    <n v="0"/>
    <n v="0"/>
    <n v="0"/>
    <n v="0"/>
    <n v="0"/>
    <n v="0"/>
    <n v="0"/>
    <n v="0"/>
    <n v="0"/>
    <n v="0"/>
    <n v="0"/>
    <n v="0"/>
    <n v="0"/>
    <n v="0"/>
    <n v="0"/>
    <n v="1"/>
    <n v="308"/>
    <n v="1"/>
    <n v="1"/>
    <n v="0"/>
    <n v="0"/>
    <n v="0"/>
    <n v="0"/>
    <n v="0"/>
    <n v="0"/>
    <n v="15"/>
    <n v="15"/>
    <n v="1"/>
    <n v="0"/>
    <n v="0"/>
    <n v="308"/>
    <n v="148"/>
    <n v="308"/>
    <n v="308"/>
    <n v="1"/>
    <n v="0"/>
    <n v="0"/>
    <n v="1"/>
    <n v="1"/>
    <n v="7"/>
    <n v="67"/>
    <n v="0"/>
    <n v="308"/>
    <s v="No"/>
    <s v=""/>
    <n v="0"/>
    <n v="0"/>
    <n v="0"/>
    <n v="0"/>
    <s v="uncovered"/>
    <x v="0"/>
    <x v="4"/>
    <x v="0"/>
    <n v="24.118618999999999"/>
    <n v="97.298055000000005"/>
    <s v="MMR001CMP196"/>
    <x v="1"/>
    <m/>
    <n v="70"/>
    <n v="344"/>
  </r>
  <r>
    <x v="0"/>
    <x v="10"/>
    <x v="7"/>
    <m/>
    <x v="1"/>
    <x v="5"/>
    <x v="0"/>
    <x v="132"/>
    <n v="6"/>
    <n v="32"/>
    <s v="13-8-2021, 6-1-2020"/>
    <s v="12-20-2022, 30-7-2021"/>
    <m/>
    <m/>
    <m/>
    <m/>
    <m/>
    <m/>
    <m/>
    <m/>
    <m/>
    <m/>
    <m/>
    <m/>
    <m/>
    <m/>
    <m/>
    <m/>
    <m/>
    <m/>
    <m/>
    <m/>
    <m/>
    <m/>
    <m/>
    <m/>
    <m/>
    <m/>
    <m/>
    <m/>
    <m/>
    <m/>
    <m/>
    <m/>
    <m/>
    <m/>
    <m/>
    <m/>
    <m/>
    <m/>
    <x v="2"/>
    <x v="2"/>
    <m/>
    <m/>
    <m/>
    <m/>
    <m/>
    <m/>
    <n v="3"/>
    <m/>
    <m/>
    <n v="2"/>
    <m/>
    <m/>
    <m/>
    <n v="10"/>
    <n v="18"/>
    <m/>
    <m/>
    <m/>
    <m/>
    <m/>
    <m/>
    <m/>
    <m/>
    <m/>
    <m/>
    <m/>
    <m/>
    <m/>
    <m/>
    <m/>
    <s v="no test"/>
    <s v="no test"/>
    <s v="No Test"/>
    <n v="0"/>
    <n v="0"/>
    <n v="0"/>
    <n v="0"/>
    <n v="0"/>
    <n v="0"/>
    <n v="0"/>
    <n v="0"/>
    <n v="0"/>
    <n v="0"/>
    <n v="0"/>
    <n v="0"/>
    <n v="0"/>
    <n v="0"/>
    <n v="0"/>
    <n v="0"/>
    <n v="1"/>
    <n v="32"/>
    <n v="1"/>
    <n v="1"/>
    <n v="0"/>
    <n v="0"/>
    <n v="0"/>
    <n v="0"/>
    <n v="0"/>
    <n v="0"/>
    <n v="2"/>
    <n v="2"/>
    <n v="1"/>
    <n v="0"/>
    <n v="0"/>
    <n v="32"/>
    <n v="18"/>
    <n v="32"/>
    <n v="32"/>
    <n v="1"/>
    <n v="0"/>
    <n v="0"/>
    <n v="1"/>
    <n v="1"/>
    <n v="3"/>
    <n v="6"/>
    <n v="0"/>
    <n v="32"/>
    <s v="No"/>
    <s v=""/>
    <n v="0"/>
    <n v="0"/>
    <n v="0"/>
    <n v="0"/>
    <s v="uncovered"/>
    <x v="0"/>
    <x v="0"/>
    <x v="0"/>
    <n v="25.30274"/>
    <n v="96.940380000000005"/>
    <s v="MMR001CMP262"/>
    <x v="1"/>
    <m/>
    <n v="5"/>
    <n v="32"/>
  </r>
  <r>
    <x v="0"/>
    <x v="10"/>
    <x v="7"/>
    <m/>
    <x v="1"/>
    <x v="6"/>
    <x v="0"/>
    <x v="133"/>
    <n v="27"/>
    <n v="126"/>
    <s v="13-8-2021, 6-1-2020"/>
    <s v="12-20-2022, 30-7-2021"/>
    <m/>
    <m/>
    <m/>
    <m/>
    <m/>
    <m/>
    <m/>
    <m/>
    <m/>
    <m/>
    <m/>
    <m/>
    <m/>
    <m/>
    <m/>
    <m/>
    <m/>
    <m/>
    <m/>
    <m/>
    <m/>
    <m/>
    <m/>
    <m/>
    <m/>
    <m/>
    <m/>
    <m/>
    <m/>
    <m/>
    <m/>
    <m/>
    <m/>
    <m/>
    <m/>
    <m/>
    <m/>
    <m/>
    <x v="2"/>
    <x v="2"/>
    <m/>
    <m/>
    <m/>
    <m/>
    <m/>
    <m/>
    <n v="8"/>
    <m/>
    <m/>
    <n v="3"/>
    <m/>
    <m/>
    <m/>
    <n v="91"/>
    <n v="124"/>
    <m/>
    <m/>
    <m/>
    <m/>
    <m/>
    <m/>
    <m/>
    <m/>
    <m/>
    <m/>
    <m/>
    <m/>
    <m/>
    <m/>
    <m/>
    <s v="no test"/>
    <s v="no test"/>
    <s v="No Test"/>
    <n v="0"/>
    <n v="0"/>
    <n v="0"/>
    <n v="0"/>
    <n v="0"/>
    <n v="0"/>
    <n v="0"/>
    <n v="0"/>
    <n v="0"/>
    <n v="0"/>
    <n v="0"/>
    <n v="0"/>
    <n v="0"/>
    <n v="0"/>
    <n v="0"/>
    <n v="0"/>
    <n v="1"/>
    <n v="126"/>
    <n v="1"/>
    <n v="1"/>
    <n v="0"/>
    <n v="0"/>
    <n v="0"/>
    <n v="0"/>
    <n v="0"/>
    <n v="0"/>
    <n v="6"/>
    <n v="6"/>
    <n v="1"/>
    <n v="0"/>
    <n v="0"/>
    <n v="126"/>
    <n v="124"/>
    <n v="126"/>
    <n v="126"/>
    <n v="1"/>
    <n v="0"/>
    <n v="0"/>
    <n v="1"/>
    <n v="1"/>
    <n v="8"/>
    <n v="27"/>
    <n v="0"/>
    <n v="126"/>
    <s v="No"/>
    <s v=""/>
    <n v="0"/>
    <n v="0"/>
    <n v="0"/>
    <n v="0"/>
    <s v="uncovered"/>
    <x v="0"/>
    <x v="4"/>
    <x v="0"/>
    <n v="24.996279999999999"/>
    <n v="96.52534"/>
    <s v="MMR001CMP232"/>
    <x v="1"/>
    <m/>
    <n v="26"/>
    <n v="125"/>
  </r>
  <r>
    <x v="0"/>
    <x v="10"/>
    <x v="7"/>
    <m/>
    <x v="1"/>
    <x v="6"/>
    <x v="0"/>
    <x v="134"/>
    <n v="15"/>
    <n v="71"/>
    <s v="13-8-2021, 6-1-2020"/>
    <s v="12-20-2022, 30-7-2021"/>
    <m/>
    <m/>
    <m/>
    <m/>
    <m/>
    <m/>
    <n v="4"/>
    <m/>
    <m/>
    <m/>
    <m/>
    <m/>
    <m/>
    <m/>
    <m/>
    <m/>
    <m/>
    <m/>
    <m/>
    <m/>
    <m/>
    <m/>
    <m/>
    <m/>
    <m/>
    <m/>
    <m/>
    <m/>
    <m/>
    <m/>
    <m/>
    <m/>
    <m/>
    <m/>
    <m/>
    <m/>
    <m/>
    <m/>
    <x v="2"/>
    <x v="2"/>
    <m/>
    <m/>
    <m/>
    <m/>
    <m/>
    <m/>
    <n v="3"/>
    <m/>
    <m/>
    <n v="2"/>
    <m/>
    <m/>
    <m/>
    <n v="88"/>
    <n v="100"/>
    <m/>
    <m/>
    <m/>
    <m/>
    <m/>
    <m/>
    <m/>
    <m/>
    <m/>
    <m/>
    <m/>
    <m/>
    <m/>
    <m/>
    <m/>
    <s v="no test"/>
    <s v="no test"/>
    <s v="No Test"/>
    <n v="0"/>
    <n v="0"/>
    <n v="0"/>
    <n v="0"/>
    <n v="0"/>
    <n v="0"/>
    <n v="0"/>
    <n v="0"/>
    <n v="0"/>
    <n v="0"/>
    <n v="0"/>
    <n v="0"/>
    <n v="0"/>
    <n v="0"/>
    <n v="0"/>
    <n v="0"/>
    <n v="1"/>
    <n v="71"/>
    <n v="1"/>
    <n v="1"/>
    <n v="0"/>
    <n v="0"/>
    <n v="0"/>
    <n v="0"/>
    <n v="0"/>
    <n v="0"/>
    <n v="4"/>
    <n v="4"/>
    <n v="1"/>
    <n v="0"/>
    <n v="0"/>
    <n v="71"/>
    <n v="71"/>
    <n v="71"/>
    <n v="71"/>
    <n v="1"/>
    <n v="0"/>
    <n v="0"/>
    <n v="1"/>
    <n v="1"/>
    <n v="3"/>
    <n v="15"/>
    <n v="0"/>
    <n v="71"/>
    <s v="No"/>
    <s v=""/>
    <n v="0"/>
    <n v="0"/>
    <n v="0"/>
    <n v="0"/>
    <s v="uncovered"/>
    <x v="0"/>
    <x v="4"/>
    <x v="0"/>
    <n v="24.764959999999999"/>
    <n v="96.366919999999993"/>
    <s v="MMR001CMP233"/>
    <x v="1"/>
    <m/>
    <n v="7"/>
    <n v="35"/>
  </r>
  <r>
    <x v="0"/>
    <x v="10"/>
    <x v="7"/>
    <m/>
    <x v="1"/>
    <x v="7"/>
    <x v="1"/>
    <x v="135"/>
    <m/>
    <m/>
    <d v="2020-01-03T00:00:00"/>
    <d v="2022-02-28T00:00:00"/>
    <m/>
    <m/>
    <m/>
    <m/>
    <s v="Yes"/>
    <m/>
    <m/>
    <n v="2"/>
    <m/>
    <m/>
    <n v="1"/>
    <m/>
    <m/>
    <m/>
    <m/>
    <m/>
    <m/>
    <m/>
    <m/>
    <m/>
    <m/>
    <m/>
    <m/>
    <m/>
    <m/>
    <m/>
    <m/>
    <m/>
    <m/>
    <m/>
    <n v="7"/>
    <m/>
    <m/>
    <m/>
    <m/>
    <m/>
    <m/>
    <m/>
    <x v="1"/>
    <x v="2"/>
    <m/>
    <m/>
    <m/>
    <m/>
    <n v="5"/>
    <m/>
    <n v="1"/>
    <m/>
    <m/>
    <n v="3"/>
    <m/>
    <m/>
    <m/>
    <n v="41"/>
    <n v="85"/>
    <m/>
    <m/>
    <m/>
    <m/>
    <m/>
    <m/>
    <m/>
    <m/>
    <m/>
    <m/>
    <m/>
    <m/>
    <m/>
    <m/>
    <m/>
    <s v="no test"/>
    <s v="no test"/>
    <s v="No Test"/>
    <n v="2"/>
    <n v="1"/>
    <n v="0"/>
    <n v="0"/>
    <n v="0"/>
    <n v="0"/>
    <n v="0"/>
    <s v=""/>
    <s v=""/>
    <s v=""/>
    <m/>
    <m/>
    <n v="0"/>
    <m/>
    <m/>
    <n v="0"/>
    <m/>
    <m/>
    <n v="1"/>
    <n v="1"/>
    <n v="7"/>
    <m/>
    <n v="0"/>
    <n v="0"/>
    <n v="0"/>
    <n v="0"/>
    <n v="0"/>
    <n v="0"/>
    <m/>
    <m/>
    <n v="0"/>
    <n v="0"/>
    <n v="0"/>
    <n v="0"/>
    <n v="0"/>
    <m/>
    <m/>
    <m/>
    <m/>
    <m/>
    <n v="1"/>
    <n v="0"/>
    <n v="0"/>
    <n v="0"/>
    <s v="No"/>
    <s v=""/>
    <n v="0"/>
    <n v="0"/>
    <n v="0"/>
    <n v="0"/>
    <n v="0"/>
    <x v="0"/>
    <x v="2"/>
    <x v="0"/>
    <n v="0"/>
    <n v="0"/>
    <n v="0"/>
    <x v="1"/>
    <m/>
    <n v="0"/>
    <n v="0"/>
  </r>
  <r>
    <x v="0"/>
    <x v="10"/>
    <x v="7"/>
    <m/>
    <x v="1"/>
    <x v="7"/>
    <x v="0"/>
    <x v="136"/>
    <n v="223"/>
    <n v="1067"/>
    <s v="13-8-2021, 6-1-2020"/>
    <s v="12-20-2022, 30-7-2021"/>
    <m/>
    <m/>
    <m/>
    <m/>
    <m/>
    <m/>
    <n v="4"/>
    <m/>
    <m/>
    <m/>
    <m/>
    <m/>
    <m/>
    <m/>
    <m/>
    <m/>
    <m/>
    <m/>
    <m/>
    <m/>
    <m/>
    <m/>
    <m/>
    <m/>
    <m/>
    <m/>
    <m/>
    <m/>
    <m/>
    <m/>
    <m/>
    <m/>
    <m/>
    <m/>
    <m/>
    <m/>
    <m/>
    <m/>
    <x v="2"/>
    <x v="2"/>
    <m/>
    <m/>
    <m/>
    <m/>
    <m/>
    <m/>
    <n v="3"/>
    <m/>
    <m/>
    <n v="2"/>
    <m/>
    <m/>
    <m/>
    <n v="10"/>
    <n v="18"/>
    <m/>
    <m/>
    <m/>
    <m/>
    <m/>
    <m/>
    <m/>
    <m/>
    <m/>
    <m/>
    <m/>
    <m/>
    <m/>
    <m/>
    <m/>
    <s v="no test"/>
    <s v="no test"/>
    <s v="No Test"/>
    <n v="0"/>
    <n v="0"/>
    <n v="0"/>
    <n v="0"/>
    <n v="0"/>
    <n v="0"/>
    <n v="0"/>
    <n v="0"/>
    <n v="0"/>
    <n v="0"/>
    <n v="0"/>
    <n v="0"/>
    <n v="0"/>
    <n v="0"/>
    <n v="0"/>
    <n v="0"/>
    <n v="1"/>
    <n v="1067"/>
    <n v="2"/>
    <n v="2"/>
    <n v="0"/>
    <n v="0"/>
    <n v="0"/>
    <n v="0"/>
    <n v="0"/>
    <n v="0"/>
    <n v="53"/>
    <n v="53"/>
    <n v="1"/>
    <n v="0"/>
    <n v="0"/>
    <n v="50"/>
    <n v="18"/>
    <n v="50"/>
    <n v="50"/>
    <n v="4.6860356138706656E-2"/>
    <n v="0.95313964386129335"/>
    <n v="0"/>
    <n v="0.17937219730941703"/>
    <n v="8.0717488789237665E-2"/>
    <n v="3"/>
    <n v="60"/>
    <n v="0"/>
    <n v="300"/>
    <s v="No"/>
    <s v=""/>
    <n v="0"/>
    <n v="0"/>
    <n v="0"/>
    <n v="0"/>
    <s v="uncovered"/>
    <x v="0"/>
    <x v="4"/>
    <x v="0"/>
    <n v="24.251232000000002"/>
    <n v="97.348405"/>
    <s v="MMR001CMP197"/>
    <x v="1"/>
    <m/>
    <n v="171"/>
    <n v="882"/>
  </r>
  <r>
    <x v="0"/>
    <x v="10"/>
    <x v="7"/>
    <m/>
    <x v="1"/>
    <x v="7"/>
    <x v="0"/>
    <x v="137"/>
    <n v="15"/>
    <n v="101"/>
    <s v="13-8-2021, 6-1-2020"/>
    <s v="12-20-2022, 30-7-2021"/>
    <m/>
    <m/>
    <m/>
    <m/>
    <m/>
    <m/>
    <n v="1"/>
    <m/>
    <m/>
    <m/>
    <m/>
    <m/>
    <m/>
    <m/>
    <m/>
    <m/>
    <m/>
    <m/>
    <m/>
    <m/>
    <m/>
    <m/>
    <m/>
    <m/>
    <m/>
    <m/>
    <m/>
    <m/>
    <m/>
    <m/>
    <m/>
    <m/>
    <m/>
    <m/>
    <m/>
    <m/>
    <m/>
    <m/>
    <x v="2"/>
    <x v="2"/>
    <m/>
    <m/>
    <m/>
    <m/>
    <m/>
    <m/>
    <n v="1"/>
    <m/>
    <m/>
    <n v="3"/>
    <m/>
    <m/>
    <m/>
    <n v="41"/>
    <n v="85"/>
    <m/>
    <m/>
    <m/>
    <m/>
    <m/>
    <m/>
    <m/>
    <m/>
    <m/>
    <m/>
    <m/>
    <m/>
    <m/>
    <m/>
    <m/>
    <s v="no test"/>
    <s v="no test"/>
    <s v="No Test"/>
    <n v="0"/>
    <n v="0"/>
    <n v="0"/>
    <n v="0"/>
    <n v="0"/>
    <n v="0"/>
    <n v="0"/>
    <n v="0"/>
    <n v="0"/>
    <n v="0"/>
    <n v="0"/>
    <n v="0"/>
    <n v="0"/>
    <n v="0"/>
    <n v="0"/>
    <n v="0"/>
    <n v="1"/>
    <n v="101"/>
    <n v="1"/>
    <n v="1"/>
    <n v="0"/>
    <n v="0"/>
    <n v="0"/>
    <n v="0"/>
    <n v="0"/>
    <n v="0"/>
    <n v="5"/>
    <n v="5"/>
    <n v="1"/>
    <n v="0"/>
    <n v="0"/>
    <n v="101"/>
    <n v="85"/>
    <n v="101"/>
    <n v="101"/>
    <n v="1"/>
    <n v="0"/>
    <n v="0"/>
    <n v="1"/>
    <n v="1"/>
    <n v="1"/>
    <n v="15"/>
    <n v="0"/>
    <n v="100"/>
    <s v="No"/>
    <s v=""/>
    <n v="0"/>
    <n v="0"/>
    <n v="0"/>
    <n v="0"/>
    <s v="uncovered"/>
    <x v="0"/>
    <x v="4"/>
    <x v="0"/>
    <n v="24.404876999999999"/>
    <n v="97.407787999999996"/>
    <s v="MMR001CMP061"/>
    <x v="1"/>
    <m/>
    <n v="15"/>
    <n v="101"/>
  </r>
  <r>
    <x v="0"/>
    <x v="10"/>
    <x v="7"/>
    <m/>
    <x v="0"/>
    <x v="18"/>
    <x v="0"/>
    <x v="138"/>
    <n v="16"/>
    <n v="91"/>
    <s v="11-11-2021, 07-01-2020"/>
    <s v="10-11-2022, 28-2-2022"/>
    <m/>
    <m/>
    <m/>
    <m/>
    <m/>
    <m/>
    <m/>
    <m/>
    <m/>
    <m/>
    <m/>
    <m/>
    <m/>
    <m/>
    <m/>
    <m/>
    <m/>
    <m/>
    <m/>
    <m/>
    <m/>
    <m/>
    <m/>
    <m/>
    <m/>
    <m/>
    <m/>
    <m/>
    <m/>
    <m/>
    <m/>
    <m/>
    <m/>
    <m/>
    <m/>
    <m/>
    <m/>
    <m/>
    <x v="2"/>
    <x v="2"/>
    <m/>
    <m/>
    <m/>
    <m/>
    <m/>
    <m/>
    <n v="8"/>
    <m/>
    <m/>
    <n v="3"/>
    <m/>
    <m/>
    <m/>
    <n v="91"/>
    <n v="124"/>
    <m/>
    <m/>
    <m/>
    <m/>
    <m/>
    <m/>
    <m/>
    <m/>
    <m/>
    <m/>
    <m/>
    <m/>
    <m/>
    <m/>
    <m/>
    <s v="no test"/>
    <s v="no test"/>
    <s v="No Test"/>
    <n v="0"/>
    <n v="0"/>
    <n v="0"/>
    <n v="0"/>
    <n v="0"/>
    <n v="0"/>
    <n v="0"/>
    <n v="0"/>
    <n v="0"/>
    <n v="0"/>
    <n v="0"/>
    <n v="0"/>
    <n v="0"/>
    <n v="0"/>
    <n v="0"/>
    <n v="0"/>
    <n v="1"/>
    <n v="91"/>
    <n v="1"/>
    <n v="1"/>
    <n v="0"/>
    <n v="0"/>
    <n v="0"/>
    <n v="0"/>
    <n v="0"/>
    <n v="0"/>
    <n v="5"/>
    <n v="5"/>
    <n v="1"/>
    <n v="0"/>
    <n v="0"/>
    <n v="91"/>
    <n v="91"/>
    <n v="91"/>
    <n v="91"/>
    <n v="1"/>
    <n v="0"/>
    <n v="0"/>
    <n v="1"/>
    <n v="1"/>
    <n v="8"/>
    <n v="16"/>
    <n v="0"/>
    <n v="91"/>
    <s v="No"/>
    <s v=""/>
    <n v="0"/>
    <n v="0"/>
    <n v="0"/>
    <n v="0"/>
    <n v="0"/>
    <x v="0"/>
    <x v="4"/>
    <x v="0"/>
    <n v="23.963060379028299"/>
    <n v="98.127189636230497"/>
    <s v="MMR015CMP076"/>
    <x v="1"/>
    <m/>
    <n v="19"/>
    <n v="60"/>
  </r>
  <r>
    <x v="0"/>
    <x v="10"/>
    <x v="7"/>
    <m/>
    <x v="1"/>
    <x v="8"/>
    <x v="0"/>
    <x v="139"/>
    <n v="26"/>
    <n v="147"/>
    <s v="13-8-2021, 6-1-2020"/>
    <s v="12-20-2022, 30-7-2021"/>
    <m/>
    <m/>
    <m/>
    <m/>
    <m/>
    <m/>
    <n v="4"/>
    <m/>
    <m/>
    <m/>
    <m/>
    <m/>
    <m/>
    <m/>
    <m/>
    <m/>
    <m/>
    <m/>
    <m/>
    <m/>
    <m/>
    <m/>
    <m/>
    <m/>
    <m/>
    <m/>
    <m/>
    <m/>
    <m/>
    <m/>
    <m/>
    <m/>
    <m/>
    <m/>
    <m/>
    <m/>
    <m/>
    <m/>
    <x v="2"/>
    <x v="2"/>
    <m/>
    <m/>
    <m/>
    <m/>
    <m/>
    <m/>
    <n v="1"/>
    <m/>
    <m/>
    <n v="1"/>
    <m/>
    <m/>
    <m/>
    <n v="6"/>
    <n v="5"/>
    <m/>
    <m/>
    <m/>
    <m/>
    <m/>
    <m/>
    <m/>
    <m/>
    <m/>
    <m/>
    <m/>
    <m/>
    <m/>
    <m/>
    <m/>
    <s v="no test"/>
    <s v="no test"/>
    <s v="No Test"/>
    <n v="0"/>
    <n v="0"/>
    <n v="0"/>
    <n v="0"/>
    <n v="0"/>
    <n v="0"/>
    <n v="0"/>
    <n v="0"/>
    <n v="0"/>
    <n v="0"/>
    <n v="0"/>
    <n v="0"/>
    <n v="0"/>
    <n v="0"/>
    <n v="0"/>
    <n v="0"/>
    <n v="1"/>
    <n v="147"/>
    <n v="1"/>
    <n v="1"/>
    <n v="0"/>
    <n v="0"/>
    <n v="0"/>
    <n v="0"/>
    <n v="0"/>
    <n v="0"/>
    <n v="7"/>
    <n v="7"/>
    <n v="1"/>
    <n v="0"/>
    <n v="0"/>
    <n v="30"/>
    <n v="5"/>
    <n v="30"/>
    <n v="30"/>
    <n v="0.20408163265306123"/>
    <n v="0.79591836734693877"/>
    <n v="0"/>
    <n v="0.92307692307692313"/>
    <n v="0.19230769230769232"/>
    <n v="1"/>
    <n v="20"/>
    <n v="0"/>
    <n v="100"/>
    <s v="No"/>
    <s v=""/>
    <n v="0"/>
    <n v="0"/>
    <n v="0"/>
    <n v="0"/>
    <s v="uncovered"/>
    <x v="0"/>
    <x v="1"/>
    <x v="0"/>
    <n v="25.387892000000001"/>
    <n v="97.325181999999998"/>
    <s v="MMR001CMP276"/>
    <x v="1"/>
    <m/>
    <n v="26"/>
    <n v="138"/>
  </r>
  <r>
    <x v="0"/>
    <x v="10"/>
    <x v="7"/>
    <m/>
    <x v="1"/>
    <x v="11"/>
    <x v="0"/>
    <x v="140"/>
    <n v="31"/>
    <n v="171"/>
    <s v="13-8-2021, 6-1-2020"/>
    <s v="12-20-2022, 30-7-2021"/>
    <m/>
    <m/>
    <m/>
    <m/>
    <m/>
    <m/>
    <n v="4"/>
    <m/>
    <m/>
    <m/>
    <m/>
    <m/>
    <m/>
    <m/>
    <m/>
    <m/>
    <m/>
    <m/>
    <m/>
    <m/>
    <m/>
    <m/>
    <m/>
    <m/>
    <m/>
    <m/>
    <m/>
    <m/>
    <m/>
    <m/>
    <m/>
    <m/>
    <m/>
    <m/>
    <m/>
    <m/>
    <m/>
    <m/>
    <x v="2"/>
    <x v="2"/>
    <m/>
    <m/>
    <m/>
    <m/>
    <m/>
    <m/>
    <n v="1"/>
    <m/>
    <m/>
    <n v="1"/>
    <m/>
    <m/>
    <m/>
    <n v="6"/>
    <n v="5"/>
    <m/>
    <m/>
    <m/>
    <m/>
    <m/>
    <m/>
    <m/>
    <m/>
    <m/>
    <m/>
    <m/>
    <m/>
    <m/>
    <m/>
    <m/>
    <s v="no test"/>
    <s v="no test"/>
    <s v="No Test"/>
    <n v="0"/>
    <n v="0"/>
    <n v="0"/>
    <n v="0"/>
    <n v="0"/>
    <n v="0"/>
    <n v="0"/>
    <n v="0"/>
    <n v="0"/>
    <n v="0"/>
    <n v="0"/>
    <n v="0"/>
    <n v="0"/>
    <n v="0"/>
    <n v="0"/>
    <n v="0"/>
    <n v="1"/>
    <n v="171"/>
    <n v="1"/>
    <n v="1"/>
    <n v="0"/>
    <n v="0"/>
    <n v="0"/>
    <n v="0"/>
    <n v="0"/>
    <n v="0"/>
    <n v="9"/>
    <n v="9"/>
    <n v="1"/>
    <n v="0"/>
    <n v="0"/>
    <n v="30"/>
    <n v="5"/>
    <n v="30"/>
    <n v="30"/>
    <n v="0.17543859649122806"/>
    <n v="0.82456140350877194"/>
    <n v="0"/>
    <n v="0.77419354838709675"/>
    <n v="0.16129032258064516"/>
    <n v="1"/>
    <n v="20"/>
    <n v="0"/>
    <n v="100"/>
    <s v="No"/>
    <s v=""/>
    <n v="0"/>
    <n v="0"/>
    <n v="0"/>
    <n v="0"/>
    <s v="uncovered"/>
    <x v="0"/>
    <x v="0"/>
    <x v="0"/>
    <n v="26.299828999999999"/>
    <n v="97.487258999999995"/>
    <s v="MMR001CMP272"/>
    <x v="1"/>
    <m/>
    <n v="31"/>
    <n v="171"/>
  </r>
  <r>
    <x v="0"/>
    <x v="10"/>
    <x v="7"/>
    <m/>
    <x v="1"/>
    <x v="13"/>
    <x v="0"/>
    <x v="141"/>
    <n v="48"/>
    <n v="240"/>
    <m/>
    <m/>
    <m/>
    <m/>
    <m/>
    <m/>
    <m/>
    <m/>
    <m/>
    <m/>
    <m/>
    <m/>
    <m/>
    <m/>
    <m/>
    <m/>
    <m/>
    <m/>
    <m/>
    <m/>
    <m/>
    <m/>
    <m/>
    <m/>
    <m/>
    <m/>
    <m/>
    <m/>
    <m/>
    <m/>
    <m/>
    <m/>
    <m/>
    <m/>
    <m/>
    <m/>
    <m/>
    <m/>
    <m/>
    <m/>
    <x v="2"/>
    <x v="2"/>
    <m/>
    <m/>
    <m/>
    <m/>
    <m/>
    <m/>
    <n v="7"/>
    <m/>
    <m/>
    <n v="4"/>
    <m/>
    <m/>
    <m/>
    <n v="124"/>
    <n v="198"/>
    <m/>
    <m/>
    <m/>
    <m/>
    <m/>
    <m/>
    <m/>
    <m/>
    <m/>
    <m/>
    <m/>
    <m/>
    <m/>
    <m/>
    <m/>
    <s v="no test"/>
    <s v="no test"/>
    <s v="No Test"/>
    <n v="0"/>
    <n v="0"/>
    <n v="0"/>
    <n v="0"/>
    <n v="0"/>
    <n v="0"/>
    <n v="0"/>
    <n v="0"/>
    <n v="0"/>
    <n v="0"/>
    <n v="0"/>
    <n v="0"/>
    <n v="0"/>
    <n v="0"/>
    <n v="0"/>
    <n v="0"/>
    <n v="1"/>
    <n v="240"/>
    <n v="1"/>
    <n v="1"/>
    <n v="0"/>
    <n v="0"/>
    <n v="0"/>
    <n v="0"/>
    <n v="0"/>
    <n v="0"/>
    <n v="12"/>
    <n v="12"/>
    <n v="1"/>
    <n v="0"/>
    <n v="0"/>
    <n v="240"/>
    <n v="198"/>
    <n v="240"/>
    <n v="240"/>
    <n v="1"/>
    <n v="0"/>
    <n v="0"/>
    <n v="1"/>
    <n v="1"/>
    <n v="7"/>
    <n v="48"/>
    <n v="0"/>
    <n v="240"/>
    <s v="No"/>
    <s v=""/>
    <n v="0"/>
    <n v="0"/>
    <n v="0"/>
    <n v="0"/>
    <s v="Uncovered  "/>
    <x v="0"/>
    <x v="0"/>
    <x v="0"/>
    <n v="0"/>
    <n v="0"/>
    <s v="MMR001CMP293"/>
    <x v="1"/>
    <m/>
    <n v="48"/>
    <n v="240"/>
  </r>
  <r>
    <x v="0"/>
    <x v="10"/>
    <x v="7"/>
    <m/>
    <x v="1"/>
    <x v="13"/>
    <x v="0"/>
    <x v="142"/>
    <n v="34"/>
    <n v="189"/>
    <m/>
    <m/>
    <m/>
    <m/>
    <m/>
    <m/>
    <m/>
    <m/>
    <m/>
    <m/>
    <m/>
    <m/>
    <m/>
    <m/>
    <m/>
    <m/>
    <m/>
    <m/>
    <m/>
    <m/>
    <m/>
    <m/>
    <m/>
    <m/>
    <m/>
    <m/>
    <m/>
    <m/>
    <m/>
    <m/>
    <m/>
    <m/>
    <m/>
    <m/>
    <m/>
    <m/>
    <m/>
    <m/>
    <m/>
    <m/>
    <x v="2"/>
    <x v="2"/>
    <m/>
    <m/>
    <m/>
    <m/>
    <m/>
    <m/>
    <n v="3"/>
    <m/>
    <m/>
    <n v="2"/>
    <m/>
    <m/>
    <m/>
    <n v="88"/>
    <n v="100"/>
    <m/>
    <m/>
    <m/>
    <m/>
    <m/>
    <m/>
    <m/>
    <m/>
    <m/>
    <m/>
    <m/>
    <m/>
    <m/>
    <m/>
    <m/>
    <s v="no test"/>
    <s v="no test"/>
    <s v="No Test"/>
    <n v="0"/>
    <n v="0"/>
    <n v="0"/>
    <n v="0"/>
    <n v="0"/>
    <n v="0"/>
    <n v="0"/>
    <n v="0"/>
    <n v="0"/>
    <n v="0"/>
    <n v="0"/>
    <n v="0"/>
    <n v="0"/>
    <n v="0"/>
    <n v="0"/>
    <n v="0"/>
    <n v="1"/>
    <n v="189"/>
    <n v="1"/>
    <n v="1"/>
    <n v="0"/>
    <n v="0"/>
    <n v="0"/>
    <n v="0"/>
    <n v="0"/>
    <n v="0"/>
    <n v="9"/>
    <n v="9"/>
    <n v="1"/>
    <n v="0"/>
    <n v="0"/>
    <n v="189"/>
    <n v="100"/>
    <n v="189"/>
    <n v="189"/>
    <n v="1"/>
    <n v="0"/>
    <n v="0"/>
    <n v="1"/>
    <n v="1"/>
    <n v="3"/>
    <n v="34"/>
    <n v="0"/>
    <n v="189"/>
    <s v="No"/>
    <s v=""/>
    <n v="0"/>
    <n v="0"/>
    <n v="0"/>
    <n v="0"/>
    <s v="Uncovered  "/>
    <x v="0"/>
    <x v="0"/>
    <x v="0"/>
    <n v="0"/>
    <n v="0"/>
    <s v="MMR001CMP294"/>
    <x v="1"/>
    <m/>
    <n v="34"/>
    <n v="189"/>
  </r>
  <r>
    <x v="0"/>
    <x v="10"/>
    <x v="7"/>
    <m/>
    <x v="1"/>
    <x v="13"/>
    <x v="0"/>
    <x v="143"/>
    <n v="45"/>
    <n v="247"/>
    <m/>
    <m/>
    <m/>
    <m/>
    <m/>
    <m/>
    <m/>
    <m/>
    <m/>
    <m/>
    <m/>
    <m/>
    <m/>
    <m/>
    <m/>
    <m/>
    <m/>
    <m/>
    <m/>
    <m/>
    <m/>
    <m/>
    <m/>
    <m/>
    <m/>
    <m/>
    <m/>
    <m/>
    <m/>
    <m/>
    <m/>
    <m/>
    <m/>
    <m/>
    <m/>
    <m/>
    <m/>
    <m/>
    <m/>
    <m/>
    <x v="2"/>
    <x v="2"/>
    <m/>
    <m/>
    <m/>
    <m/>
    <m/>
    <m/>
    <n v="3"/>
    <m/>
    <m/>
    <n v="2"/>
    <m/>
    <m/>
    <m/>
    <n v="88"/>
    <n v="100"/>
    <m/>
    <m/>
    <m/>
    <m/>
    <m/>
    <m/>
    <m/>
    <m/>
    <m/>
    <m/>
    <m/>
    <m/>
    <m/>
    <m/>
    <m/>
    <s v="no test"/>
    <s v="no test"/>
    <s v="No Test"/>
    <n v="0"/>
    <n v="0"/>
    <n v="0"/>
    <n v="0"/>
    <n v="0"/>
    <n v="0"/>
    <n v="0"/>
    <n v="0"/>
    <n v="0"/>
    <n v="0"/>
    <n v="0"/>
    <n v="0"/>
    <n v="0"/>
    <n v="0"/>
    <n v="0"/>
    <n v="0"/>
    <n v="1"/>
    <n v="247"/>
    <n v="1"/>
    <n v="1"/>
    <n v="0"/>
    <n v="0"/>
    <n v="0"/>
    <n v="0"/>
    <n v="0"/>
    <n v="0"/>
    <n v="12"/>
    <n v="12"/>
    <n v="1"/>
    <n v="0"/>
    <n v="0"/>
    <n v="247"/>
    <n v="100"/>
    <n v="247"/>
    <n v="247"/>
    <n v="1"/>
    <n v="0"/>
    <n v="0"/>
    <n v="1"/>
    <n v="1"/>
    <n v="3"/>
    <n v="45"/>
    <n v="0"/>
    <n v="247"/>
    <s v="No"/>
    <s v=""/>
    <n v="0"/>
    <n v="0"/>
    <n v="0"/>
    <n v="0"/>
    <s v="Uncovered  "/>
    <x v="0"/>
    <x v="0"/>
    <x v="0"/>
    <n v="0"/>
    <n v="0"/>
    <s v="MMR001CMP292"/>
    <x v="1"/>
    <m/>
    <n v="87"/>
    <n v="478"/>
  </r>
  <r>
    <x v="0"/>
    <x v="10"/>
    <x v="7"/>
    <m/>
    <x v="1"/>
    <x v="13"/>
    <x v="0"/>
    <x v="144"/>
    <n v="40"/>
    <n v="220"/>
    <m/>
    <m/>
    <m/>
    <m/>
    <m/>
    <m/>
    <m/>
    <m/>
    <m/>
    <m/>
    <m/>
    <m/>
    <m/>
    <m/>
    <m/>
    <m/>
    <m/>
    <m/>
    <m/>
    <m/>
    <m/>
    <m/>
    <m/>
    <m/>
    <m/>
    <m/>
    <m/>
    <m/>
    <m/>
    <m/>
    <m/>
    <m/>
    <m/>
    <m/>
    <m/>
    <m/>
    <m/>
    <m/>
    <m/>
    <m/>
    <x v="2"/>
    <x v="2"/>
    <m/>
    <m/>
    <m/>
    <m/>
    <m/>
    <m/>
    <n v="3"/>
    <m/>
    <m/>
    <n v="2"/>
    <m/>
    <m/>
    <m/>
    <n v="10"/>
    <n v="18"/>
    <m/>
    <m/>
    <m/>
    <m/>
    <m/>
    <m/>
    <m/>
    <m/>
    <m/>
    <m/>
    <m/>
    <m/>
    <m/>
    <m/>
    <m/>
    <s v="no test"/>
    <s v="no test"/>
    <s v="No Test"/>
    <n v="0"/>
    <n v="0"/>
    <n v="0"/>
    <n v="0"/>
    <n v="0"/>
    <n v="0"/>
    <n v="0"/>
    <n v="0"/>
    <n v="0"/>
    <n v="0"/>
    <n v="0"/>
    <n v="0"/>
    <n v="0"/>
    <n v="0"/>
    <n v="0"/>
    <n v="0"/>
    <n v="1"/>
    <n v="220"/>
    <n v="1"/>
    <n v="1"/>
    <n v="0"/>
    <n v="0"/>
    <n v="0"/>
    <n v="0"/>
    <n v="0"/>
    <n v="0"/>
    <n v="11"/>
    <n v="11"/>
    <n v="1"/>
    <n v="0"/>
    <n v="0"/>
    <n v="50"/>
    <n v="18"/>
    <n v="50"/>
    <n v="50"/>
    <n v="0.22727272727272727"/>
    <n v="0.77272727272727271"/>
    <n v="0"/>
    <n v="1"/>
    <n v="0.45"/>
    <n v="3"/>
    <n v="40"/>
    <n v="0"/>
    <n v="220"/>
    <s v="No"/>
    <s v=""/>
    <n v="0"/>
    <n v="0"/>
    <n v="0"/>
    <n v="0"/>
    <s v="Uncovered  "/>
    <x v="0"/>
    <x v="0"/>
    <x v="0"/>
    <n v="25.210599999999999"/>
    <n v="97.264700000000005"/>
    <s v="MMR001CMP289"/>
    <x v="1"/>
    <m/>
    <n v="40"/>
    <n v="220"/>
  </r>
  <r>
    <x v="0"/>
    <x v="10"/>
    <x v="7"/>
    <m/>
    <x v="1"/>
    <x v="13"/>
    <x v="0"/>
    <x v="145"/>
    <n v="12"/>
    <n v="59"/>
    <m/>
    <m/>
    <m/>
    <m/>
    <m/>
    <m/>
    <m/>
    <m/>
    <m/>
    <m/>
    <m/>
    <m/>
    <m/>
    <m/>
    <m/>
    <m/>
    <m/>
    <m/>
    <m/>
    <m/>
    <m/>
    <m/>
    <m/>
    <m/>
    <m/>
    <m/>
    <m/>
    <m/>
    <m/>
    <m/>
    <m/>
    <m/>
    <m/>
    <m/>
    <m/>
    <m/>
    <m/>
    <m/>
    <m/>
    <m/>
    <x v="2"/>
    <x v="2"/>
    <m/>
    <m/>
    <m/>
    <m/>
    <m/>
    <m/>
    <n v="7"/>
    <m/>
    <m/>
    <n v="7"/>
    <m/>
    <m/>
    <m/>
    <n v="104"/>
    <n v="148"/>
    <m/>
    <m/>
    <m/>
    <m/>
    <m/>
    <m/>
    <m/>
    <m/>
    <m/>
    <m/>
    <m/>
    <m/>
    <m/>
    <m/>
    <m/>
    <s v="no test"/>
    <s v="no test"/>
    <s v="No Test"/>
    <n v="0"/>
    <n v="0"/>
    <n v="0"/>
    <n v="0"/>
    <n v="0"/>
    <n v="0"/>
    <n v="0"/>
    <n v="0"/>
    <n v="0"/>
    <n v="0"/>
    <n v="0"/>
    <n v="0"/>
    <n v="0"/>
    <n v="0"/>
    <n v="0"/>
    <n v="0"/>
    <n v="1"/>
    <n v="59"/>
    <n v="1"/>
    <n v="1"/>
    <n v="0"/>
    <n v="0"/>
    <n v="0"/>
    <n v="0"/>
    <n v="0"/>
    <n v="0"/>
    <n v="3"/>
    <n v="3"/>
    <n v="1"/>
    <n v="0"/>
    <n v="0"/>
    <n v="59"/>
    <n v="59"/>
    <n v="59"/>
    <n v="59"/>
    <n v="1"/>
    <n v="0"/>
    <n v="0"/>
    <n v="1"/>
    <n v="1"/>
    <n v="7"/>
    <n v="12"/>
    <n v="0"/>
    <n v="59"/>
    <s v="No"/>
    <s v=""/>
    <n v="0"/>
    <n v="0"/>
    <n v="0"/>
    <n v="0"/>
    <s v="Uncovered  "/>
    <x v="0"/>
    <x v="0"/>
    <x v="0"/>
    <n v="0"/>
    <n v="0"/>
    <s v="MMR001CMP295"/>
    <x v="1"/>
    <m/>
    <n v="12"/>
    <n v="59"/>
  </r>
  <r>
    <x v="0"/>
    <x v="10"/>
    <x v="7"/>
    <m/>
    <x v="1"/>
    <x v="13"/>
    <x v="0"/>
    <x v="146"/>
    <n v="12"/>
    <n v="80"/>
    <m/>
    <m/>
    <m/>
    <m/>
    <m/>
    <m/>
    <m/>
    <m/>
    <m/>
    <m/>
    <m/>
    <m/>
    <m/>
    <m/>
    <m/>
    <m/>
    <m/>
    <m/>
    <m/>
    <m/>
    <m/>
    <m/>
    <m/>
    <m/>
    <m/>
    <m/>
    <m/>
    <m/>
    <m/>
    <m/>
    <m/>
    <m/>
    <m/>
    <m/>
    <m/>
    <m/>
    <m/>
    <m/>
    <m/>
    <m/>
    <x v="2"/>
    <x v="2"/>
    <m/>
    <m/>
    <m/>
    <m/>
    <m/>
    <m/>
    <n v="7"/>
    <m/>
    <m/>
    <n v="4"/>
    <m/>
    <m/>
    <m/>
    <n v="124"/>
    <n v="198"/>
    <m/>
    <m/>
    <m/>
    <m/>
    <m/>
    <m/>
    <m/>
    <m/>
    <m/>
    <m/>
    <m/>
    <m/>
    <m/>
    <m/>
    <m/>
    <s v="no test"/>
    <s v="no test"/>
    <s v="No Test"/>
    <n v="0"/>
    <n v="0"/>
    <n v="0"/>
    <n v="0"/>
    <n v="0"/>
    <n v="0"/>
    <n v="0"/>
    <n v="0"/>
    <n v="0"/>
    <n v="0"/>
    <n v="0"/>
    <n v="0"/>
    <n v="0"/>
    <n v="0"/>
    <n v="0"/>
    <n v="0"/>
    <n v="1"/>
    <n v="80"/>
    <n v="1"/>
    <n v="1"/>
    <n v="0"/>
    <n v="0"/>
    <n v="0"/>
    <n v="0"/>
    <n v="0"/>
    <n v="0"/>
    <n v="4"/>
    <n v="4"/>
    <n v="1"/>
    <n v="0"/>
    <n v="0"/>
    <n v="80"/>
    <n v="80"/>
    <n v="80"/>
    <n v="80"/>
    <n v="1"/>
    <n v="0"/>
    <n v="0"/>
    <n v="1"/>
    <n v="1"/>
    <n v="7"/>
    <n v="12"/>
    <n v="0"/>
    <n v="80"/>
    <s v="No"/>
    <s v=""/>
    <n v="0"/>
    <n v="0"/>
    <n v="0"/>
    <s v="Yes"/>
    <s v="Shalom"/>
    <x v="0"/>
    <x v="0"/>
    <x v="0"/>
    <n v="25.221299999999999"/>
    <n v="97.255300000000005"/>
    <s v="MMR001CMP286"/>
    <x v="1"/>
    <m/>
    <n v="12"/>
    <n v="80"/>
  </r>
  <r>
    <x v="0"/>
    <x v="10"/>
    <x v="7"/>
    <m/>
    <x v="1"/>
    <x v="13"/>
    <x v="0"/>
    <x v="147"/>
    <n v="39"/>
    <n v="183"/>
    <m/>
    <m/>
    <m/>
    <m/>
    <m/>
    <m/>
    <m/>
    <m/>
    <m/>
    <m/>
    <m/>
    <m/>
    <m/>
    <m/>
    <m/>
    <m/>
    <m/>
    <m/>
    <m/>
    <m/>
    <m/>
    <m/>
    <m/>
    <m/>
    <m/>
    <m/>
    <m/>
    <m/>
    <m/>
    <m/>
    <m/>
    <m/>
    <m/>
    <m/>
    <m/>
    <m/>
    <m/>
    <m/>
    <m/>
    <m/>
    <x v="2"/>
    <x v="2"/>
    <m/>
    <m/>
    <m/>
    <m/>
    <m/>
    <m/>
    <n v="3"/>
    <m/>
    <m/>
    <n v="2"/>
    <m/>
    <m/>
    <m/>
    <n v="10"/>
    <n v="18"/>
    <m/>
    <m/>
    <m/>
    <m/>
    <m/>
    <m/>
    <m/>
    <m/>
    <m/>
    <m/>
    <m/>
    <m/>
    <m/>
    <m/>
    <m/>
    <s v="no test"/>
    <s v="no test"/>
    <s v="No Test"/>
    <n v="0"/>
    <n v="0"/>
    <n v="0"/>
    <n v="0"/>
    <n v="0"/>
    <n v="0"/>
    <n v="0"/>
    <n v="0"/>
    <n v="0"/>
    <n v="0"/>
    <n v="0"/>
    <n v="0"/>
    <n v="0"/>
    <n v="0"/>
    <n v="0"/>
    <n v="0"/>
    <n v="1"/>
    <n v="183"/>
    <n v="1"/>
    <n v="1"/>
    <n v="0"/>
    <n v="0"/>
    <n v="0"/>
    <n v="0"/>
    <n v="0"/>
    <n v="0"/>
    <n v="9"/>
    <n v="9"/>
    <n v="1"/>
    <n v="0"/>
    <n v="0"/>
    <n v="50"/>
    <n v="18"/>
    <n v="50"/>
    <n v="50"/>
    <n v="0.27322404371584702"/>
    <n v="0.72677595628415292"/>
    <n v="0"/>
    <n v="1"/>
    <n v="0.46153846153846156"/>
    <n v="3"/>
    <n v="39"/>
    <n v="0"/>
    <n v="183"/>
    <s v="No"/>
    <s v=""/>
    <n v="0"/>
    <n v="0"/>
    <n v="0"/>
    <n v="0"/>
    <s v="Uncovered  "/>
    <x v="0"/>
    <x v="8"/>
    <x v="0"/>
    <n v="25.2057"/>
    <n v="97.262200000000007"/>
    <s v="MMR001CMP290"/>
    <x v="1"/>
    <m/>
    <n v="39"/>
    <n v="183"/>
  </r>
  <r>
    <x v="0"/>
    <x v="10"/>
    <x v="7"/>
    <m/>
    <x v="1"/>
    <x v="13"/>
    <x v="0"/>
    <x v="148"/>
    <n v="45"/>
    <n v="247"/>
    <s v="13-8-2021, 6-1-2020"/>
    <s v="12-20-2022, 30-7-2021"/>
    <m/>
    <m/>
    <m/>
    <m/>
    <m/>
    <m/>
    <n v="2"/>
    <m/>
    <m/>
    <m/>
    <m/>
    <m/>
    <m/>
    <m/>
    <m/>
    <m/>
    <m/>
    <m/>
    <m/>
    <m/>
    <m/>
    <m/>
    <m/>
    <m/>
    <m/>
    <m/>
    <m/>
    <m/>
    <m/>
    <m/>
    <m/>
    <m/>
    <m/>
    <m/>
    <m/>
    <m/>
    <m/>
    <m/>
    <x v="2"/>
    <x v="2"/>
    <m/>
    <m/>
    <m/>
    <m/>
    <m/>
    <m/>
    <n v="1"/>
    <m/>
    <m/>
    <n v="3"/>
    <m/>
    <m/>
    <m/>
    <n v="41"/>
    <n v="85"/>
    <m/>
    <m/>
    <m/>
    <m/>
    <m/>
    <m/>
    <m/>
    <m/>
    <m/>
    <m/>
    <m/>
    <m/>
    <m/>
    <m/>
    <m/>
    <s v="no test"/>
    <s v="no test"/>
    <s v="No Test"/>
    <n v="0"/>
    <n v="0"/>
    <n v="0"/>
    <n v="0"/>
    <n v="0"/>
    <n v="0"/>
    <n v="0"/>
    <n v="0"/>
    <n v="0"/>
    <n v="0"/>
    <n v="0"/>
    <n v="0"/>
    <n v="0"/>
    <n v="0"/>
    <n v="0"/>
    <n v="0"/>
    <n v="1"/>
    <n v="247"/>
    <n v="1"/>
    <n v="1"/>
    <n v="0"/>
    <n v="0"/>
    <n v="0"/>
    <n v="0"/>
    <n v="0"/>
    <n v="0"/>
    <n v="12"/>
    <n v="12"/>
    <n v="1"/>
    <n v="0"/>
    <n v="0"/>
    <n v="205"/>
    <n v="85"/>
    <n v="205"/>
    <n v="205"/>
    <n v="0.82995951417004044"/>
    <n v="0.17004048582995956"/>
    <n v="0"/>
    <n v="1"/>
    <n v="1"/>
    <n v="1"/>
    <n v="20"/>
    <n v="0"/>
    <n v="100"/>
    <s v="No"/>
    <s v=""/>
    <n v="0"/>
    <n v="0"/>
    <n v="0"/>
    <n v="0"/>
    <s v="uncovered"/>
    <x v="0"/>
    <x v="0"/>
    <x v="0"/>
    <n v="25.391428000000001"/>
    <n v="97.898184999999998"/>
    <s v="MMR001CMP258"/>
    <x v="1"/>
    <m/>
    <n v="45"/>
    <n v="247"/>
  </r>
  <r>
    <x v="0"/>
    <x v="10"/>
    <x v="7"/>
    <m/>
    <x v="1"/>
    <x v="13"/>
    <x v="0"/>
    <x v="149"/>
    <n v="42"/>
    <n v="231"/>
    <m/>
    <m/>
    <m/>
    <m/>
    <m/>
    <m/>
    <m/>
    <m/>
    <m/>
    <m/>
    <m/>
    <m/>
    <m/>
    <m/>
    <m/>
    <m/>
    <m/>
    <m/>
    <m/>
    <m/>
    <m/>
    <m/>
    <m/>
    <m/>
    <m/>
    <m/>
    <m/>
    <m/>
    <m/>
    <m/>
    <m/>
    <m/>
    <m/>
    <m/>
    <m/>
    <m/>
    <m/>
    <m/>
    <m/>
    <m/>
    <x v="2"/>
    <x v="2"/>
    <m/>
    <m/>
    <m/>
    <m/>
    <m/>
    <m/>
    <n v="8"/>
    <m/>
    <m/>
    <n v="3"/>
    <m/>
    <m/>
    <m/>
    <n v="91"/>
    <n v="124"/>
    <m/>
    <m/>
    <m/>
    <m/>
    <m/>
    <m/>
    <m/>
    <m/>
    <m/>
    <m/>
    <m/>
    <m/>
    <m/>
    <m/>
    <m/>
    <s v="no test"/>
    <s v="no test"/>
    <s v="No Test"/>
    <n v="0"/>
    <n v="0"/>
    <n v="0"/>
    <n v="0"/>
    <n v="0"/>
    <n v="0"/>
    <n v="0"/>
    <n v="0"/>
    <n v="0"/>
    <n v="0"/>
    <n v="0"/>
    <n v="0"/>
    <n v="0"/>
    <n v="0"/>
    <n v="0"/>
    <n v="0"/>
    <n v="1"/>
    <n v="231"/>
    <n v="1"/>
    <n v="1"/>
    <n v="0"/>
    <n v="0"/>
    <n v="0"/>
    <n v="0"/>
    <n v="0"/>
    <n v="0"/>
    <n v="12"/>
    <n v="12"/>
    <n v="1"/>
    <n v="0"/>
    <n v="0"/>
    <n v="231"/>
    <n v="124"/>
    <n v="231"/>
    <n v="231"/>
    <n v="1"/>
    <n v="0"/>
    <n v="0"/>
    <n v="1"/>
    <n v="1"/>
    <n v="8"/>
    <n v="42"/>
    <n v="0"/>
    <n v="231"/>
    <s v="No"/>
    <s v=""/>
    <n v="0"/>
    <n v="0"/>
    <n v="0"/>
    <n v="0"/>
    <s v="Uncovered  "/>
    <x v="0"/>
    <x v="3"/>
    <x v="0"/>
    <n v="25.211600000000001"/>
    <n v="97.262799999999999"/>
    <s v="MMR001CMP288"/>
    <x v="1"/>
    <m/>
    <n v="42"/>
    <n v="231"/>
  </r>
  <r>
    <x v="0"/>
    <x v="10"/>
    <x v="7"/>
    <m/>
    <x v="1"/>
    <x v="13"/>
    <x v="0"/>
    <x v="150"/>
    <n v="27"/>
    <n v="139"/>
    <m/>
    <m/>
    <m/>
    <m/>
    <m/>
    <m/>
    <m/>
    <m/>
    <m/>
    <m/>
    <m/>
    <m/>
    <m/>
    <m/>
    <m/>
    <m/>
    <m/>
    <m/>
    <m/>
    <m/>
    <m/>
    <m/>
    <m/>
    <m/>
    <m/>
    <m/>
    <m/>
    <m/>
    <m/>
    <m/>
    <m/>
    <m/>
    <m/>
    <m/>
    <m/>
    <m/>
    <m/>
    <m/>
    <m/>
    <m/>
    <x v="2"/>
    <x v="2"/>
    <m/>
    <m/>
    <m/>
    <m/>
    <m/>
    <m/>
    <n v="7"/>
    <m/>
    <m/>
    <n v="7"/>
    <m/>
    <m/>
    <m/>
    <n v="104"/>
    <n v="148"/>
    <m/>
    <m/>
    <m/>
    <m/>
    <m/>
    <m/>
    <m/>
    <m/>
    <m/>
    <m/>
    <m/>
    <m/>
    <m/>
    <m/>
    <m/>
    <s v="no test"/>
    <s v="no test"/>
    <s v="No Test"/>
    <n v="0"/>
    <n v="0"/>
    <n v="0"/>
    <n v="0"/>
    <n v="0"/>
    <n v="0"/>
    <n v="0"/>
    <n v="0"/>
    <n v="0"/>
    <n v="0"/>
    <n v="0"/>
    <n v="0"/>
    <n v="0"/>
    <n v="0"/>
    <n v="0"/>
    <n v="0"/>
    <n v="1"/>
    <n v="139"/>
    <n v="1"/>
    <n v="1"/>
    <n v="0"/>
    <n v="0"/>
    <n v="0"/>
    <n v="0"/>
    <n v="0"/>
    <n v="0"/>
    <n v="7"/>
    <n v="7"/>
    <n v="1"/>
    <n v="0"/>
    <n v="0"/>
    <n v="139"/>
    <n v="139"/>
    <n v="139"/>
    <n v="139"/>
    <n v="1"/>
    <n v="0"/>
    <n v="0"/>
    <n v="1"/>
    <n v="1"/>
    <n v="7"/>
    <n v="27"/>
    <n v="0"/>
    <n v="139"/>
    <s v="No"/>
    <s v=""/>
    <n v="0"/>
    <n v="0"/>
    <n v="0"/>
    <n v="0"/>
    <s v="Uncovered  "/>
    <x v="0"/>
    <x v="0"/>
    <x v="0"/>
    <n v="25.211500000000001"/>
    <n v="97.261799999999994"/>
    <s v="MMR001CMP287"/>
    <x v="1"/>
    <m/>
    <n v="27"/>
    <n v="139"/>
  </r>
  <r>
    <x v="0"/>
    <x v="10"/>
    <x v="7"/>
    <m/>
    <x v="1"/>
    <x v="13"/>
    <x v="0"/>
    <x v="151"/>
    <n v="45"/>
    <n v="247"/>
    <m/>
    <m/>
    <m/>
    <m/>
    <m/>
    <m/>
    <m/>
    <m/>
    <m/>
    <m/>
    <m/>
    <m/>
    <m/>
    <m/>
    <m/>
    <m/>
    <m/>
    <m/>
    <m/>
    <m/>
    <m/>
    <m/>
    <m/>
    <m/>
    <m/>
    <m/>
    <m/>
    <m/>
    <m/>
    <m/>
    <m/>
    <m/>
    <m/>
    <m/>
    <m/>
    <m/>
    <m/>
    <m/>
    <m/>
    <m/>
    <x v="2"/>
    <x v="2"/>
    <m/>
    <m/>
    <m/>
    <m/>
    <m/>
    <m/>
    <n v="7"/>
    <m/>
    <m/>
    <n v="4"/>
    <m/>
    <m/>
    <m/>
    <n v="124"/>
    <n v="198"/>
    <m/>
    <m/>
    <m/>
    <m/>
    <m/>
    <m/>
    <m/>
    <m/>
    <m/>
    <m/>
    <m/>
    <m/>
    <m/>
    <m/>
    <m/>
    <s v="no test"/>
    <s v="no test"/>
    <s v="No Test"/>
    <n v="0"/>
    <n v="0"/>
    <n v="0"/>
    <n v="0"/>
    <n v="0"/>
    <n v="0"/>
    <n v="0"/>
    <n v="0"/>
    <n v="0"/>
    <n v="0"/>
    <n v="0"/>
    <n v="0"/>
    <n v="0"/>
    <n v="0"/>
    <n v="0"/>
    <n v="0"/>
    <n v="1"/>
    <n v="247"/>
    <n v="1"/>
    <n v="1"/>
    <n v="0"/>
    <n v="0"/>
    <n v="0"/>
    <n v="0"/>
    <n v="0"/>
    <n v="0"/>
    <n v="12"/>
    <n v="12"/>
    <n v="1"/>
    <n v="0"/>
    <n v="0"/>
    <n v="247"/>
    <n v="198"/>
    <n v="247"/>
    <n v="247"/>
    <n v="1"/>
    <n v="0"/>
    <n v="0"/>
    <n v="1"/>
    <n v="1"/>
    <n v="7"/>
    <n v="45"/>
    <n v="0"/>
    <n v="247"/>
    <s v="No"/>
    <s v=""/>
    <n v="0"/>
    <n v="0"/>
    <n v="0"/>
    <n v="0"/>
    <s v="Uncovered  "/>
    <x v="0"/>
    <x v="8"/>
    <x v="0"/>
    <n v="25.2056"/>
    <n v="97.260800000000003"/>
    <s v="MMR001CMP291"/>
    <x v="1"/>
    <m/>
    <n v="45"/>
    <n v="247"/>
  </r>
  <r>
    <x v="0"/>
    <x v="11"/>
    <x v="8"/>
    <s v="DFID"/>
    <x v="1"/>
    <x v="2"/>
    <x v="0"/>
    <x v="152"/>
    <n v="165"/>
    <n v="878"/>
    <d v="2021-01-01T00:00:00"/>
    <d v="2022-03-31T00:00:00"/>
    <m/>
    <n v="1"/>
    <m/>
    <m/>
    <s v="Yes"/>
    <n v="2"/>
    <n v="5"/>
    <m/>
    <m/>
    <m/>
    <m/>
    <m/>
    <m/>
    <m/>
    <n v="4"/>
    <m/>
    <n v="4"/>
    <m/>
    <n v="9"/>
    <m/>
    <m/>
    <n v="2"/>
    <m/>
    <m/>
    <m/>
    <m/>
    <n v="6"/>
    <m/>
    <m/>
    <s v="မိုးတွင်းတွင် ရေခက်ခဲ"/>
    <n v="30"/>
    <n v="12"/>
    <s v="ICRC"/>
    <n v="10"/>
    <m/>
    <n v="6"/>
    <m/>
    <n v="0"/>
    <x v="1"/>
    <x v="1"/>
    <m/>
    <m/>
    <n v="2"/>
    <m/>
    <m/>
    <m/>
    <n v="2"/>
    <m/>
    <m/>
    <n v="1"/>
    <m/>
    <m/>
    <n v="1"/>
    <n v="6"/>
    <n v="5"/>
    <m/>
    <m/>
    <n v="0.5"/>
    <s v="သွားတိုက်ဆေး၊ သွားတိုက်တံ"/>
    <n v="0.7"/>
    <n v="0.8"/>
    <m/>
    <n v="0.9"/>
    <n v="2"/>
    <n v="165"/>
    <n v="1"/>
    <m/>
    <m/>
    <m/>
    <m/>
    <s v="no test"/>
    <s v="no test"/>
    <s v="No Test"/>
    <n v="0"/>
    <n v="0"/>
    <n v="4"/>
    <n v="0"/>
    <n v="0"/>
    <n v="0"/>
    <n v="0"/>
    <n v="0.30372057706909644"/>
    <n v="0.30372057706909644"/>
    <n v="0.30372057706909644"/>
    <n v="266.66666666666669"/>
    <n v="1"/>
    <n v="878"/>
    <n v="1"/>
    <n v="878"/>
    <n v="1.756"/>
    <n v="0"/>
    <n v="0"/>
    <n v="0.24399999999999999"/>
    <n v="2"/>
    <n v="32"/>
    <n v="0.72892938496583148"/>
    <n v="640"/>
    <n v="120"/>
    <n v="0"/>
    <n v="0"/>
    <n v="44"/>
    <n v="2"/>
    <n v="0.27107061503416852"/>
    <n v="0.23809523809523808"/>
    <n v="500"/>
    <n v="30"/>
    <n v="5"/>
    <n v="30"/>
    <n v="500"/>
    <n v="0.56947608200455579"/>
    <n v="0.43052391799544421"/>
    <n v="0.56947608200455579"/>
    <n v="0.14545454545454545"/>
    <n v="3.0303030303030304E-2"/>
    <n v="2"/>
    <n v="40"/>
    <n v="0"/>
    <n v="200"/>
    <s v="No"/>
    <s v=""/>
    <n v="168"/>
    <n v="0"/>
    <n v="0"/>
    <s v="Yes"/>
    <s v="Shalom"/>
    <x v="0"/>
    <x v="1"/>
    <x v="0"/>
    <n v="25.889410000000002"/>
    <n v="98.131550000000004"/>
    <s v="MMR001CMP042"/>
    <x v="0"/>
    <m/>
    <n v="138"/>
    <n v="706"/>
  </r>
  <r>
    <x v="0"/>
    <x v="11"/>
    <x v="8"/>
    <s v="DFID"/>
    <x v="1"/>
    <x v="2"/>
    <x v="0"/>
    <x v="153"/>
    <n v="201"/>
    <n v="884"/>
    <d v="2021-01-01T00:00:00"/>
    <d v="2022-03-31T00:00:00"/>
    <n v="270"/>
    <n v="1"/>
    <m/>
    <m/>
    <s v="Yes"/>
    <n v="3"/>
    <n v="3"/>
    <m/>
    <m/>
    <m/>
    <m/>
    <m/>
    <m/>
    <m/>
    <n v="3"/>
    <n v="1"/>
    <n v="2"/>
    <m/>
    <n v="13"/>
    <m/>
    <m/>
    <m/>
    <m/>
    <m/>
    <m/>
    <m/>
    <n v="1"/>
    <n v="1"/>
    <m/>
    <m/>
    <n v="51"/>
    <n v="14"/>
    <s v="Oxfam/ ICRC"/>
    <m/>
    <m/>
    <n v="3"/>
    <m/>
    <n v="0"/>
    <x v="1"/>
    <x v="1"/>
    <m/>
    <m/>
    <n v="31"/>
    <n v="31"/>
    <m/>
    <m/>
    <n v="8"/>
    <m/>
    <m/>
    <n v="3"/>
    <n v="1"/>
    <n v="1"/>
    <m/>
    <n v="91"/>
    <n v="124"/>
    <s v="Yes"/>
    <n v="5"/>
    <n v="0.5"/>
    <m/>
    <n v="0.8"/>
    <n v="0.8"/>
    <n v="10"/>
    <n v="0.6"/>
    <m/>
    <n v="201"/>
    <n v="3"/>
    <m/>
    <m/>
    <m/>
    <m/>
    <s v="no test"/>
    <s v="no test"/>
    <s v="No Test"/>
    <n v="0"/>
    <n v="0"/>
    <n v="2"/>
    <n v="0"/>
    <n v="0"/>
    <n v="500"/>
    <n v="0"/>
    <n v="0.1508295625942685"/>
    <n v="0.1508295625942685"/>
    <n v="0.1508295625942685"/>
    <n v="133.33333333333334"/>
    <n v="1"/>
    <n v="884"/>
    <n v="1"/>
    <n v="884"/>
    <n v="1.768"/>
    <n v="0"/>
    <n v="0"/>
    <n v="0.23199999999999998"/>
    <n v="2"/>
    <n v="65"/>
    <n v="1"/>
    <n v="884"/>
    <n v="60"/>
    <n v="270"/>
    <n v="1550"/>
    <n v="44"/>
    <n v="0"/>
    <n v="0"/>
    <n v="0"/>
    <n v="500"/>
    <n v="455"/>
    <n v="124"/>
    <n v="455"/>
    <n v="500"/>
    <n v="0.56561085972850678"/>
    <n v="0.43438914027149322"/>
    <n v="0.56561085972850678"/>
    <n v="1"/>
    <n v="0.61691542288557211"/>
    <n v="8"/>
    <n v="160"/>
    <n v="1"/>
    <n v="800"/>
    <s v="Yes"/>
    <n v="1.1312217194570135E-2"/>
    <n v="204"/>
    <n v="500"/>
    <n v="1550"/>
    <s v="Yes"/>
    <s v="Shalom"/>
    <x v="0"/>
    <x v="1"/>
    <x v="0"/>
    <n v="25.887339999999998"/>
    <n v="98.129990000000006"/>
    <s v="MMR001CMP195"/>
    <x v="0"/>
    <m/>
    <n v="195"/>
    <n v="854"/>
  </r>
  <r>
    <x v="0"/>
    <x v="11"/>
    <x v="8"/>
    <s v="DFID"/>
    <x v="1"/>
    <x v="3"/>
    <x v="0"/>
    <x v="154"/>
    <n v="94"/>
    <n v="435"/>
    <d v="2021-01-01T00:00:00"/>
    <d v="2022-03-31T00:00:00"/>
    <n v="60"/>
    <n v="1"/>
    <m/>
    <m/>
    <s v="Yes"/>
    <n v="5"/>
    <n v="5"/>
    <n v="3"/>
    <m/>
    <m/>
    <m/>
    <n v="3"/>
    <m/>
    <m/>
    <m/>
    <m/>
    <m/>
    <m/>
    <m/>
    <m/>
    <m/>
    <m/>
    <m/>
    <m/>
    <m/>
    <m/>
    <m/>
    <n v="1"/>
    <m/>
    <s v="ရေပိုက်နှင့် ရေမော်တာလိုအပ်"/>
    <n v="7"/>
    <n v="8"/>
    <s v="Chruch"/>
    <m/>
    <m/>
    <m/>
    <m/>
    <m/>
    <x v="1"/>
    <x v="0"/>
    <m/>
    <m/>
    <m/>
    <m/>
    <n v="8"/>
    <s v="ရေနုတ်မြောင်းလိုအပ်/ အိမ်သာအသစ်(၄)လုံးလိုအပ်"/>
    <n v="7"/>
    <m/>
    <m/>
    <n v="7"/>
    <m/>
    <m/>
    <n v="1"/>
    <n v="104"/>
    <n v="148"/>
    <m/>
    <n v="3"/>
    <m/>
    <s v="Hygiene Promotion ပြုလုပ်ရန်"/>
    <m/>
    <m/>
    <n v="5"/>
    <m/>
    <m/>
    <m/>
    <m/>
    <m/>
    <m/>
    <m/>
    <m/>
    <s v="no test"/>
    <s v="no test"/>
    <s v="No Test"/>
    <n v="3"/>
    <n v="3"/>
    <n v="0"/>
    <n v="0"/>
    <n v="0"/>
    <n v="435"/>
    <n v="0"/>
    <n v="1"/>
    <n v="1"/>
    <n v="1"/>
    <n v="435"/>
    <n v="0"/>
    <n v="0"/>
    <n v="1"/>
    <n v="435"/>
    <n v="0.87"/>
    <n v="0"/>
    <n v="0"/>
    <n v="0.13"/>
    <n v="1"/>
    <n v="15"/>
    <n v="0.7080459770114943"/>
    <n v="308"/>
    <n v="0"/>
    <n v="0"/>
    <n v="0"/>
    <n v="22"/>
    <n v="7"/>
    <n v="0.2919540229885057"/>
    <n v="0"/>
    <n v="435"/>
    <n v="435"/>
    <n v="148"/>
    <n v="435"/>
    <n v="435"/>
    <n v="1"/>
    <n v="0"/>
    <n v="1"/>
    <n v="1"/>
    <n v="1"/>
    <n v="7"/>
    <n v="94"/>
    <n v="0"/>
    <n v="435"/>
    <s v="Yes"/>
    <n v="1.1494252873563218E-2"/>
    <n v="0"/>
    <n v="435"/>
    <n v="0"/>
    <s v="Yes"/>
    <s v="Shalom"/>
    <x v="0"/>
    <x v="1"/>
    <x v="0"/>
    <n v="25.635300000000001"/>
    <n v="96.345569999999995"/>
    <s v="MMR001CMP176"/>
    <x v="0"/>
    <m/>
    <n v="94"/>
    <n v="438"/>
  </r>
  <r>
    <x v="0"/>
    <x v="11"/>
    <x v="8"/>
    <s v="DFID"/>
    <x v="1"/>
    <x v="3"/>
    <x v="0"/>
    <x v="155"/>
    <n v="14"/>
    <n v="72"/>
    <d v="2021-01-01T00:00:00"/>
    <d v="2022-03-31T00:00:00"/>
    <m/>
    <n v="1"/>
    <m/>
    <m/>
    <s v="Yes"/>
    <n v="2"/>
    <n v="3"/>
    <n v="1"/>
    <m/>
    <m/>
    <m/>
    <m/>
    <m/>
    <m/>
    <n v="2"/>
    <m/>
    <m/>
    <m/>
    <m/>
    <m/>
    <n v="1"/>
    <m/>
    <m/>
    <m/>
    <m/>
    <m/>
    <n v="3"/>
    <n v="1"/>
    <m/>
    <m/>
    <n v="5"/>
    <m/>
    <m/>
    <m/>
    <m/>
    <m/>
    <m/>
    <m/>
    <x v="1"/>
    <x v="1"/>
    <m/>
    <n v="1"/>
    <m/>
    <m/>
    <m/>
    <m/>
    <n v="7"/>
    <m/>
    <m/>
    <n v="4"/>
    <m/>
    <m/>
    <n v="1"/>
    <n v="124"/>
    <n v="198"/>
    <s v="Yes"/>
    <n v="3"/>
    <n v="0.75"/>
    <s v="သင်တန်းများ ပြန်လည်ပို့ချပေးစေလိုပါသည်။"/>
    <n v="0.8"/>
    <n v="1"/>
    <n v="4"/>
    <n v="0.7"/>
    <m/>
    <m/>
    <m/>
    <m/>
    <m/>
    <m/>
    <m/>
    <s v="no test"/>
    <s v="no test"/>
    <s v="No Test"/>
    <n v="1"/>
    <n v="0"/>
    <n v="2"/>
    <n v="0"/>
    <n v="0"/>
    <n v="72"/>
    <n v="0"/>
    <n v="1"/>
    <n v="1"/>
    <n v="1"/>
    <n v="72"/>
    <n v="0"/>
    <n v="0"/>
    <n v="1"/>
    <n v="72"/>
    <n v="0.14399999999999999"/>
    <n v="0"/>
    <n v="0"/>
    <n v="0.85599999999999998"/>
    <n v="1"/>
    <n v="5"/>
    <n v="1"/>
    <n v="72"/>
    <n v="0"/>
    <n v="0"/>
    <n v="0"/>
    <n v="4"/>
    <n v="0"/>
    <n v="0"/>
    <n v="0"/>
    <n v="72"/>
    <n v="72"/>
    <n v="72"/>
    <n v="72"/>
    <n v="72"/>
    <n v="1"/>
    <n v="0"/>
    <n v="1"/>
    <n v="1"/>
    <n v="1"/>
    <n v="7"/>
    <n v="14"/>
    <n v="3"/>
    <n v="72"/>
    <s v="No"/>
    <n v="5.5555555555555552E-2"/>
    <n v="0"/>
    <n v="72"/>
    <n v="0"/>
    <s v="Yes"/>
    <s v="Shalom"/>
    <x v="0"/>
    <x v="1"/>
    <x v="0"/>
    <n v="25.616509000000001"/>
    <n v="96.317350000000005"/>
    <s v="MMR001CMP190"/>
    <x v="0"/>
    <m/>
    <n v="14"/>
    <n v="72"/>
  </r>
  <r>
    <x v="0"/>
    <x v="11"/>
    <x v="8"/>
    <s v="DFID"/>
    <x v="1"/>
    <x v="3"/>
    <x v="0"/>
    <x v="156"/>
    <n v="41"/>
    <n v="250"/>
    <d v="2021-01-01T00:00:00"/>
    <d v="2022-03-31T00:00:00"/>
    <m/>
    <n v="1"/>
    <m/>
    <m/>
    <s v="Yes"/>
    <n v="1"/>
    <n v="5"/>
    <n v="2"/>
    <m/>
    <m/>
    <m/>
    <m/>
    <m/>
    <m/>
    <m/>
    <m/>
    <m/>
    <m/>
    <m/>
    <m/>
    <n v="1"/>
    <m/>
    <m/>
    <m/>
    <m/>
    <m/>
    <m/>
    <m/>
    <m/>
    <s v="ရေတွင်း ရေမလုံလောက်ခြင်းကြောင့် စခန်းအနီးရှိ ဘုန်းကြီးကျောင်းမှ ရေပိုက်သွယ်ယူရန်လိုအပ်လျက်ရှိ"/>
    <n v="10"/>
    <m/>
    <m/>
    <m/>
    <m/>
    <m/>
    <m/>
    <m/>
    <x v="0"/>
    <x v="1"/>
    <m/>
    <m/>
    <m/>
    <m/>
    <m/>
    <s v="အမှိုက်စွန့်ပစ်ရန် ဆီဖိုးထောက်ပံ့မူများလိုအပ်နေပါသည်။"/>
    <n v="3"/>
    <m/>
    <n v="1"/>
    <n v="2"/>
    <m/>
    <m/>
    <n v="1"/>
    <n v="88"/>
    <n v="100"/>
    <m/>
    <n v="4"/>
    <m/>
    <s v="အိမ်သာအနီးလက်ဆေးစင်(၃)လုံးထောက်ပံ့ပေးရန်။ Hygiene Kits ထောက်ပံ့ပေးပါရန်"/>
    <m/>
    <m/>
    <n v="10"/>
    <m/>
    <m/>
    <m/>
    <m/>
    <m/>
    <m/>
    <m/>
    <m/>
    <s v="no test"/>
    <s v="no test"/>
    <s v="No Test"/>
    <n v="2"/>
    <n v="0"/>
    <n v="0"/>
    <n v="0"/>
    <n v="0"/>
    <n v="0"/>
    <n v="0"/>
    <n v="1"/>
    <n v="1"/>
    <n v="1"/>
    <n v="250"/>
    <n v="0"/>
    <n v="0"/>
    <n v="1"/>
    <n v="250"/>
    <n v="0.5"/>
    <n v="0"/>
    <n v="0"/>
    <n v="0.5"/>
    <n v="1"/>
    <n v="10"/>
    <n v="0.8"/>
    <n v="200"/>
    <n v="0"/>
    <n v="0"/>
    <n v="0"/>
    <n v="13"/>
    <n v="3"/>
    <n v="0.19999999999999996"/>
    <n v="0"/>
    <n v="250"/>
    <n v="250"/>
    <n v="100"/>
    <n v="250"/>
    <n v="250"/>
    <n v="1"/>
    <n v="0"/>
    <n v="1"/>
    <n v="1"/>
    <n v="1"/>
    <n v="3"/>
    <n v="41"/>
    <n v="0"/>
    <n v="250"/>
    <s v="No"/>
    <n v="0.04"/>
    <n v="0"/>
    <n v="0"/>
    <n v="0"/>
    <s v="Yes"/>
    <s v="KBC-MYT"/>
    <x v="0"/>
    <x v="1"/>
    <x v="0"/>
    <n v="25.647649999999999"/>
    <n v="96.346469999999997"/>
    <s v="MMR001CMP169"/>
    <x v="0"/>
    <m/>
    <n v="41"/>
    <n v="249"/>
  </r>
  <r>
    <x v="0"/>
    <x v="11"/>
    <x v="8"/>
    <s v="DFID"/>
    <x v="1"/>
    <x v="3"/>
    <x v="0"/>
    <x v="157"/>
    <n v="5"/>
    <n v="24"/>
    <d v="2021-01-01T00:00:00"/>
    <d v="2022-03-31T00:00:00"/>
    <m/>
    <n v="1"/>
    <m/>
    <m/>
    <s v="Yes"/>
    <n v="2"/>
    <n v="1"/>
    <n v="0"/>
    <m/>
    <m/>
    <m/>
    <m/>
    <m/>
    <m/>
    <n v="4"/>
    <m/>
    <m/>
    <m/>
    <m/>
    <m/>
    <m/>
    <m/>
    <m/>
    <m/>
    <m/>
    <m/>
    <n v="1"/>
    <m/>
    <m/>
    <m/>
    <n v="2"/>
    <m/>
    <m/>
    <m/>
    <m/>
    <m/>
    <m/>
    <m/>
    <x v="1"/>
    <x v="1"/>
    <m/>
    <m/>
    <m/>
    <m/>
    <m/>
    <s v="အိမ်သာ(အသစ်)လိုချင်သော်လည်းနေရာမရှိ"/>
    <n v="3"/>
    <m/>
    <m/>
    <n v="2"/>
    <m/>
    <m/>
    <n v="1"/>
    <n v="10"/>
    <n v="18"/>
    <s v="Yes"/>
    <n v="1"/>
    <n v="0.85"/>
    <s v="Hygiene Kit ပုံမှန်ပေးစေလို"/>
    <n v="0.8"/>
    <n v="0.5"/>
    <n v="5"/>
    <n v="0.8"/>
    <m/>
    <m/>
    <m/>
    <m/>
    <m/>
    <m/>
    <m/>
    <s v="no test"/>
    <s v="no test"/>
    <s v="No Test"/>
    <n v="0"/>
    <n v="0"/>
    <n v="4"/>
    <n v="0"/>
    <n v="0"/>
    <n v="0"/>
    <n v="0"/>
    <n v="1"/>
    <n v="1"/>
    <n v="1"/>
    <n v="24"/>
    <n v="0"/>
    <n v="0"/>
    <n v="1"/>
    <n v="24"/>
    <n v="4.8000000000000001E-2"/>
    <n v="0"/>
    <n v="0"/>
    <n v="0.95199999999999996"/>
    <n v="1"/>
    <n v="2"/>
    <n v="1"/>
    <n v="24"/>
    <n v="0"/>
    <n v="0"/>
    <n v="0"/>
    <n v="1"/>
    <n v="0"/>
    <n v="0"/>
    <n v="0"/>
    <n v="24"/>
    <n v="24"/>
    <n v="18"/>
    <n v="24"/>
    <n v="24"/>
    <n v="1"/>
    <n v="0"/>
    <n v="1"/>
    <n v="1"/>
    <n v="1"/>
    <n v="3"/>
    <n v="5"/>
    <n v="1"/>
    <n v="24"/>
    <s v="No"/>
    <n v="0.20833333333333334"/>
    <n v="0"/>
    <n v="0"/>
    <n v="0"/>
    <s v="Yes"/>
    <s v="Shalom"/>
    <x v="0"/>
    <x v="0"/>
    <x v="0"/>
    <n v="25.582065"/>
    <n v="96.283377000000002"/>
    <s v="MMR001CMP109"/>
    <x v="0"/>
    <m/>
    <n v="5"/>
    <n v="24"/>
  </r>
  <r>
    <x v="0"/>
    <x v="11"/>
    <x v="8"/>
    <s v="DFID"/>
    <x v="1"/>
    <x v="3"/>
    <x v="0"/>
    <x v="158"/>
    <n v="91"/>
    <n v="442"/>
    <d v="2021-01-01T00:00:00"/>
    <d v="2022-03-31T00:00:00"/>
    <n v="125"/>
    <n v="1"/>
    <m/>
    <m/>
    <s v="Yes"/>
    <n v="3"/>
    <n v="6"/>
    <m/>
    <m/>
    <m/>
    <n v="1"/>
    <m/>
    <m/>
    <m/>
    <m/>
    <m/>
    <m/>
    <m/>
    <n v="2"/>
    <m/>
    <m/>
    <m/>
    <m/>
    <m/>
    <m/>
    <m/>
    <n v="1"/>
    <n v="1"/>
    <m/>
    <s v="နွေရာသီတွင် သောက်သုံးရေခက်ခဲ။ ရေမသန့်ရှင်းသောကြောင့် ကလေး၊လူကြီးများတွင် အရေပြားရောဂါများဖြစ်ပွားနေပါသည်။"/>
    <n v="23"/>
    <m/>
    <m/>
    <m/>
    <m/>
    <n v="3"/>
    <m/>
    <m/>
    <x v="1"/>
    <x v="1"/>
    <m/>
    <n v="1"/>
    <m/>
    <m/>
    <n v="7"/>
    <s v="မိလု္လာတွင်းတိမ်သည့် အတွက် မကြာမဏပြည့်။"/>
    <n v="3"/>
    <m/>
    <m/>
    <n v="3"/>
    <m/>
    <m/>
    <n v="1"/>
    <n v="41"/>
    <n v="85"/>
    <s v="No"/>
    <n v="3"/>
    <m/>
    <s v="Hygiene Promotion ပြုလုပ်ရန်"/>
    <m/>
    <m/>
    <n v="50"/>
    <m/>
    <m/>
    <m/>
    <m/>
    <m/>
    <m/>
    <m/>
    <m/>
    <s v="no test"/>
    <s v="no test"/>
    <s v="No Test"/>
    <n v="0"/>
    <n v="1"/>
    <n v="0"/>
    <n v="0"/>
    <n v="0"/>
    <n v="442"/>
    <n v="0"/>
    <n v="1"/>
    <n v="0.56561085972850678"/>
    <n v="1"/>
    <n v="442"/>
    <n v="1"/>
    <n v="442"/>
    <n v="1"/>
    <n v="442"/>
    <n v="0.88400000000000001"/>
    <n v="0"/>
    <n v="0"/>
    <n v="0.11599999999999999"/>
    <n v="1"/>
    <n v="23"/>
    <n v="1"/>
    <n v="442"/>
    <n v="60"/>
    <n v="0"/>
    <n v="0"/>
    <n v="22"/>
    <n v="0"/>
    <n v="0"/>
    <n v="0"/>
    <n v="442"/>
    <n v="205"/>
    <n v="85"/>
    <n v="205"/>
    <n v="442"/>
    <n v="1"/>
    <n v="0"/>
    <n v="1"/>
    <n v="1"/>
    <n v="0.93406593406593408"/>
    <n v="3"/>
    <n v="60"/>
    <n v="0"/>
    <n v="300"/>
    <s v="Yes"/>
    <n v="0.11312217194570136"/>
    <n v="0"/>
    <n v="442"/>
    <n v="0"/>
    <s v="Yes"/>
    <s v="Shalom"/>
    <x v="0"/>
    <x v="1"/>
    <x v="0"/>
    <n v="25.637309999999999"/>
    <n v="96.35257"/>
    <s v="MMR001CMP174"/>
    <x v="0"/>
    <m/>
    <n v="91"/>
    <n v="442"/>
  </r>
  <r>
    <x v="0"/>
    <x v="11"/>
    <x v="8"/>
    <s v="DFID"/>
    <x v="1"/>
    <x v="3"/>
    <x v="0"/>
    <x v="159"/>
    <n v="104"/>
    <n v="504"/>
    <d v="2021-01-01T00:00:00"/>
    <d v="2022-03-31T00:00:00"/>
    <n v="50"/>
    <n v="1"/>
    <m/>
    <m/>
    <s v="Yes"/>
    <n v="7"/>
    <n v="2"/>
    <n v="0"/>
    <m/>
    <m/>
    <m/>
    <m/>
    <m/>
    <m/>
    <n v="2"/>
    <m/>
    <m/>
    <m/>
    <n v="2"/>
    <m/>
    <n v="3"/>
    <m/>
    <m/>
    <m/>
    <m/>
    <m/>
    <n v="7"/>
    <n v="4"/>
    <m/>
    <s v="ရေသန့်(ကလိုရင်း ဆေး)"/>
    <n v="30"/>
    <m/>
    <m/>
    <n v="2"/>
    <m/>
    <n v="6"/>
    <m/>
    <m/>
    <x v="1"/>
    <x v="1"/>
    <n v="2"/>
    <m/>
    <m/>
    <m/>
    <m/>
    <s v="အိမ်သာထပ်မံလိုအပ်ပါသည်။"/>
    <n v="1"/>
    <m/>
    <m/>
    <n v="1"/>
    <m/>
    <n v="1"/>
    <n v="1"/>
    <n v="6"/>
    <n v="5"/>
    <s v="Yes"/>
    <n v="3"/>
    <n v="0.55000000000000004"/>
    <s v="(12-50)ကြား အမျိုးသမီးသုံးဆောင်ပစ္စည်းများပေးစေလို"/>
    <n v="1"/>
    <n v="1"/>
    <n v="10"/>
    <n v="0.75"/>
    <m/>
    <m/>
    <m/>
    <m/>
    <m/>
    <m/>
    <m/>
    <s v="no test"/>
    <s v="no test"/>
    <s v="No Test"/>
    <n v="0"/>
    <n v="0"/>
    <n v="2"/>
    <n v="0"/>
    <n v="0"/>
    <n v="504"/>
    <n v="0"/>
    <n v="0.26455026455026459"/>
    <n v="0.26455026455026459"/>
    <n v="0.26455026455026459"/>
    <n v="133.33333333333334"/>
    <n v="0.99206349206349209"/>
    <n v="500"/>
    <n v="1"/>
    <n v="504"/>
    <n v="1.008"/>
    <n v="0"/>
    <n v="0"/>
    <n v="0"/>
    <n v="1"/>
    <n v="28"/>
    <n v="1"/>
    <n v="504"/>
    <n v="120"/>
    <n v="0"/>
    <n v="0"/>
    <n v="25"/>
    <n v="0"/>
    <n v="0"/>
    <n v="6.6666666666666666E-2"/>
    <n v="504"/>
    <n v="30"/>
    <n v="5"/>
    <n v="30"/>
    <n v="504"/>
    <n v="1"/>
    <n v="0"/>
    <n v="1"/>
    <n v="0.23076923076923078"/>
    <n v="4.807692307692308E-2"/>
    <n v="1"/>
    <n v="20"/>
    <n v="7"/>
    <n v="100"/>
    <s v="Yes"/>
    <n v="1.984126984126984E-2"/>
    <n v="0"/>
    <n v="504"/>
    <n v="0"/>
    <s v="Yes"/>
    <s v="KBC-MYT"/>
    <x v="0"/>
    <x v="1"/>
    <x v="0"/>
    <n v="25.611160000000002"/>
    <n v="96.312790000000007"/>
    <s v="MMR001CMP229"/>
    <x v="0"/>
    <m/>
    <n v="97"/>
    <n v="484"/>
  </r>
  <r>
    <x v="0"/>
    <x v="11"/>
    <x v="8"/>
    <s v="DFID"/>
    <x v="1"/>
    <x v="3"/>
    <x v="0"/>
    <x v="160"/>
    <n v="124"/>
    <n v="633"/>
    <d v="2021-01-01T00:00:00"/>
    <d v="2022-03-31T00:00:00"/>
    <n v="221"/>
    <n v="1"/>
    <m/>
    <m/>
    <s v="Yes"/>
    <n v="4"/>
    <n v="6"/>
    <n v="1"/>
    <m/>
    <m/>
    <n v="1"/>
    <m/>
    <n v="1"/>
    <m/>
    <n v="1"/>
    <m/>
    <n v="1"/>
    <m/>
    <n v="1"/>
    <m/>
    <n v="1"/>
    <m/>
    <m/>
    <m/>
    <m/>
    <m/>
    <n v="5"/>
    <m/>
    <m/>
    <m/>
    <n v="28"/>
    <m/>
    <m/>
    <m/>
    <n v="10"/>
    <n v="7"/>
    <m/>
    <n v="0"/>
    <x v="1"/>
    <x v="1"/>
    <n v="1"/>
    <n v="0"/>
    <n v="1"/>
    <m/>
    <n v="6"/>
    <s v="အိမ်သာ(၁၀)လုံးပြုပြင်ရန်လိုအပ်နေ"/>
    <n v="8"/>
    <m/>
    <m/>
    <n v="3"/>
    <m/>
    <m/>
    <n v="1"/>
    <n v="91"/>
    <n v="124"/>
    <s v="Yes"/>
    <n v="4"/>
    <m/>
    <s v="ရေစင်(၂)လုံးလိုအပ်နေ။ Hygiene Promotion ပြုလုပ်ရန်လို။ Hygiene Kitsဆက်လက်ပေးရန်"/>
    <m/>
    <m/>
    <n v="35"/>
    <m/>
    <m/>
    <m/>
    <m/>
    <m/>
    <m/>
    <m/>
    <m/>
    <s v="no test"/>
    <s v="no test"/>
    <s v="No Test"/>
    <n v="1"/>
    <n v="0"/>
    <n v="1"/>
    <n v="0"/>
    <n v="0"/>
    <n v="0"/>
    <n v="0"/>
    <n v="0.73723012111637709"/>
    <n v="0.50026329647182732"/>
    <n v="0.73723012111637709"/>
    <n v="466.66666666666669"/>
    <n v="0.39494470774091628"/>
    <n v="250"/>
    <n v="1"/>
    <n v="633"/>
    <n v="1.266"/>
    <n v="0"/>
    <n v="0"/>
    <n v="0"/>
    <n v="1"/>
    <n v="28"/>
    <n v="0.92575039494470779"/>
    <n v="586"/>
    <n v="140"/>
    <n v="50"/>
    <n v="0"/>
    <n v="32"/>
    <n v="4"/>
    <n v="7.4249605055292212E-2"/>
    <n v="0"/>
    <n v="500"/>
    <n v="455"/>
    <n v="124"/>
    <n v="455"/>
    <n v="500"/>
    <n v="0.78988941548183256"/>
    <n v="0.21011058451816744"/>
    <n v="0.78988941548183256"/>
    <n v="1"/>
    <n v="1"/>
    <n v="8"/>
    <n v="124"/>
    <n v="5"/>
    <n v="633"/>
    <s v="Yes"/>
    <n v="5.5292259083728278E-2"/>
    <n v="0"/>
    <n v="50"/>
    <n v="0"/>
    <s v="Yes"/>
    <s v="KBC-MYT"/>
    <x v="0"/>
    <x v="1"/>
    <x v="0"/>
    <n v="25.664000000000001"/>
    <n v="96.34"/>
    <s v="MMR001CMP250"/>
    <x v="0"/>
    <m/>
    <n v="124"/>
    <n v="634"/>
  </r>
  <r>
    <x v="0"/>
    <x v="11"/>
    <x v="8"/>
    <s v="DFID"/>
    <x v="1"/>
    <x v="3"/>
    <x v="0"/>
    <x v="161"/>
    <n v="19"/>
    <n v="100"/>
    <d v="2021-01-01T00:00:00"/>
    <d v="2022-03-31T00:00:00"/>
    <n v="15"/>
    <n v="1"/>
    <m/>
    <m/>
    <s v="Yes"/>
    <n v="3"/>
    <n v="2"/>
    <m/>
    <m/>
    <m/>
    <m/>
    <m/>
    <m/>
    <m/>
    <n v="2"/>
    <m/>
    <m/>
    <m/>
    <n v="1"/>
    <n v="13500"/>
    <m/>
    <m/>
    <m/>
    <m/>
    <m/>
    <m/>
    <n v="2"/>
    <n v="1"/>
    <m/>
    <s v="တောင်ကျရေလုံလောက်မူမရှိ"/>
    <n v="8"/>
    <m/>
    <m/>
    <m/>
    <m/>
    <n v="1"/>
    <m/>
    <m/>
    <x v="1"/>
    <x v="1"/>
    <m/>
    <m/>
    <m/>
    <m/>
    <m/>
    <m/>
    <n v="2"/>
    <m/>
    <m/>
    <n v="2"/>
    <m/>
    <n v="1"/>
    <m/>
    <n v="19"/>
    <n v="26"/>
    <s v="Yes"/>
    <n v="3"/>
    <n v="0.8"/>
    <s v="သင်တန်းများ ပြန်လည်ပို့ချပေးစေလိုပါသည်။"/>
    <n v="1"/>
    <n v="0.8"/>
    <n v="5"/>
    <n v="0.8"/>
    <m/>
    <m/>
    <m/>
    <m/>
    <m/>
    <m/>
    <m/>
    <s v="no test"/>
    <s v="no test"/>
    <s v="No Test"/>
    <n v="0"/>
    <n v="0"/>
    <n v="2"/>
    <n v="0"/>
    <n v="10"/>
    <n v="100"/>
    <n v="0"/>
    <n v="1"/>
    <n v="1"/>
    <n v="1"/>
    <n v="100"/>
    <n v="1"/>
    <n v="100"/>
    <n v="1"/>
    <n v="100"/>
    <n v="0.2"/>
    <n v="0"/>
    <n v="0"/>
    <n v="0.8"/>
    <n v="1"/>
    <n v="8"/>
    <n v="1"/>
    <n v="100"/>
    <n v="20"/>
    <n v="0"/>
    <n v="0"/>
    <n v="5"/>
    <n v="0"/>
    <n v="0"/>
    <n v="0"/>
    <n v="100"/>
    <n v="100"/>
    <n v="26"/>
    <n v="100"/>
    <n v="100"/>
    <n v="1"/>
    <n v="0"/>
    <n v="1"/>
    <n v="1"/>
    <n v="1"/>
    <n v="2"/>
    <n v="19"/>
    <n v="2"/>
    <n v="100"/>
    <s v="Yes"/>
    <n v="0.05"/>
    <n v="0"/>
    <n v="100"/>
    <n v="0"/>
    <s v="Yes"/>
    <s v="Shalom"/>
    <x v="0"/>
    <x v="1"/>
    <x v="0"/>
    <n v="25.566510000000001"/>
    <n v="96.269199999999998"/>
    <s v="MMR001CMP181"/>
    <x v="0"/>
    <m/>
    <n v="19"/>
    <n v="100"/>
  </r>
  <r>
    <x v="0"/>
    <x v="11"/>
    <x v="8"/>
    <s v="DFID"/>
    <x v="1"/>
    <x v="3"/>
    <x v="0"/>
    <x v="162"/>
    <n v="10"/>
    <n v="54"/>
    <d v="2021-01-01T00:00:00"/>
    <d v="2022-03-31T00:00:00"/>
    <n v="23"/>
    <n v="1"/>
    <m/>
    <m/>
    <s v="Yes"/>
    <n v="3"/>
    <n v="4"/>
    <n v="1"/>
    <m/>
    <m/>
    <m/>
    <m/>
    <m/>
    <m/>
    <m/>
    <m/>
    <m/>
    <m/>
    <n v="1"/>
    <n v="1000"/>
    <n v="1"/>
    <m/>
    <m/>
    <m/>
    <m/>
    <m/>
    <m/>
    <m/>
    <m/>
    <s v="ရေအရည်သွေးစစ်ဆေးမူပြုလုပ်စေချင်။ ရေတွင်းသန့်ရှင်းရေးလုပ်ချင်ပါသည်"/>
    <n v="2"/>
    <m/>
    <m/>
    <m/>
    <m/>
    <m/>
    <m/>
    <m/>
    <x v="1"/>
    <x v="1"/>
    <m/>
    <m/>
    <m/>
    <m/>
    <m/>
    <m/>
    <n v="3"/>
    <m/>
    <m/>
    <n v="2"/>
    <m/>
    <m/>
    <n v="1"/>
    <n v="10"/>
    <n v="13"/>
    <s v="No"/>
    <n v="4"/>
    <m/>
    <s v="အတွင်းခံဆိုဒ်ကြီးများလဲ ထည့်ပေးစေချင်ပါသည်။ အသက်(၅၀)ထိလစဉ်သုံးပစ္စည်းရချင်"/>
    <m/>
    <m/>
    <m/>
    <m/>
    <m/>
    <m/>
    <m/>
    <m/>
    <m/>
    <m/>
    <m/>
    <s v="no test"/>
    <s v="no test"/>
    <s v="No Test"/>
    <n v="1"/>
    <n v="0"/>
    <n v="0"/>
    <n v="0"/>
    <n v="0.7407407407407407"/>
    <n v="0"/>
    <n v="0"/>
    <n v="1"/>
    <n v="1"/>
    <n v="1"/>
    <n v="54"/>
    <n v="1"/>
    <n v="54"/>
    <n v="1"/>
    <n v="54"/>
    <n v="0.108"/>
    <n v="0"/>
    <n v="0"/>
    <n v="0.89200000000000002"/>
    <n v="1"/>
    <n v="2"/>
    <n v="0.7407407407407407"/>
    <n v="40"/>
    <n v="0"/>
    <n v="0"/>
    <n v="0"/>
    <n v="3"/>
    <n v="1"/>
    <n v="0.2592592592592593"/>
    <n v="0"/>
    <n v="54"/>
    <n v="54"/>
    <n v="13"/>
    <n v="54"/>
    <n v="54"/>
    <n v="1"/>
    <n v="0"/>
    <n v="1"/>
    <n v="1"/>
    <n v="1"/>
    <n v="3"/>
    <n v="10"/>
    <n v="0"/>
    <n v="54"/>
    <s v="Yes"/>
    <s v=""/>
    <n v="0"/>
    <n v="0"/>
    <n v="0"/>
    <s v="Yes"/>
    <s v="Shalom"/>
    <x v="0"/>
    <x v="1"/>
    <x v="0"/>
    <n v="25.61842"/>
    <n v="96.316400000000002"/>
    <s v="MMR001CMP167"/>
    <x v="0"/>
    <m/>
    <n v="10"/>
    <n v="54"/>
  </r>
  <r>
    <x v="0"/>
    <x v="11"/>
    <x v="8"/>
    <s v="DFID"/>
    <x v="1"/>
    <x v="3"/>
    <x v="0"/>
    <x v="163"/>
    <n v="7"/>
    <n v="24"/>
    <d v="2021-01-01T00:00:00"/>
    <d v="2022-03-31T00:00:00"/>
    <m/>
    <n v="1"/>
    <m/>
    <m/>
    <s v="Yes"/>
    <n v="2"/>
    <n v="2"/>
    <n v="1"/>
    <m/>
    <m/>
    <m/>
    <m/>
    <m/>
    <n v="1"/>
    <n v="1"/>
    <m/>
    <m/>
    <m/>
    <n v="1"/>
    <m/>
    <n v="1"/>
    <m/>
    <m/>
    <m/>
    <m/>
    <m/>
    <m/>
    <m/>
    <m/>
    <m/>
    <n v="3"/>
    <m/>
    <m/>
    <m/>
    <m/>
    <m/>
    <m/>
    <m/>
    <x v="1"/>
    <x v="0"/>
    <m/>
    <m/>
    <m/>
    <m/>
    <m/>
    <m/>
    <n v="3"/>
    <m/>
    <m/>
    <n v="2"/>
    <m/>
    <n v="1"/>
    <m/>
    <n v="7"/>
    <n v="4"/>
    <s v="No"/>
    <m/>
    <m/>
    <s v="Hygiene Kits ထောက်ပံ့ပေးပါရန်"/>
    <m/>
    <m/>
    <n v="5"/>
    <m/>
    <m/>
    <m/>
    <m/>
    <m/>
    <m/>
    <m/>
    <m/>
    <s v="no test"/>
    <s v="no test"/>
    <s v="No Test"/>
    <n v="1"/>
    <n v="0"/>
    <n v="1"/>
    <n v="0"/>
    <n v="0"/>
    <n v="0"/>
    <n v="0"/>
    <n v="1"/>
    <n v="1"/>
    <n v="1"/>
    <n v="24"/>
    <n v="1"/>
    <n v="24"/>
    <n v="1"/>
    <n v="24"/>
    <n v="4.8000000000000001E-2"/>
    <n v="0"/>
    <n v="0"/>
    <n v="0.95199999999999996"/>
    <n v="1"/>
    <n v="3"/>
    <n v="1"/>
    <n v="24"/>
    <n v="0"/>
    <n v="0"/>
    <n v="0"/>
    <n v="1"/>
    <n v="0"/>
    <n v="0"/>
    <n v="0"/>
    <n v="24"/>
    <n v="24"/>
    <n v="4"/>
    <n v="24"/>
    <n v="24"/>
    <n v="1"/>
    <n v="0"/>
    <n v="1"/>
    <n v="1"/>
    <n v="0.5714285714285714"/>
    <n v="3"/>
    <n v="7"/>
    <n v="0"/>
    <n v="24"/>
    <s v="No"/>
    <n v="0.20833333333333334"/>
    <n v="0"/>
    <n v="0"/>
    <n v="0"/>
    <s v="Yes"/>
    <s v="Shalom"/>
    <x v="0"/>
    <x v="0"/>
    <x v="0"/>
    <n v="25.617998"/>
    <n v="96.339590000000001"/>
    <s v="MMR001CMP192"/>
    <x v="0"/>
    <m/>
    <n v="7"/>
    <n v="24"/>
  </r>
  <r>
    <x v="0"/>
    <x v="11"/>
    <x v="8"/>
    <s v="DFID"/>
    <x v="1"/>
    <x v="3"/>
    <x v="0"/>
    <x v="164"/>
    <n v="16"/>
    <n v="70"/>
    <d v="2021-01-01T00:00:00"/>
    <d v="2022-03-31T00:00:00"/>
    <m/>
    <n v="1"/>
    <m/>
    <m/>
    <s v="Yes"/>
    <n v="1"/>
    <n v="3"/>
    <n v="1"/>
    <m/>
    <m/>
    <m/>
    <n v="1"/>
    <m/>
    <m/>
    <n v="1"/>
    <m/>
    <m/>
    <m/>
    <m/>
    <n v="4500"/>
    <n v="1"/>
    <n v="1"/>
    <m/>
    <m/>
    <m/>
    <m/>
    <n v="4"/>
    <m/>
    <m/>
    <s v="မီးစက်ဒိုင်နမိုလို"/>
    <n v="2"/>
    <m/>
    <m/>
    <m/>
    <m/>
    <m/>
    <m/>
    <m/>
    <x v="1"/>
    <x v="1"/>
    <m/>
    <m/>
    <m/>
    <m/>
    <m/>
    <m/>
    <n v="4"/>
    <m/>
    <m/>
    <n v="2"/>
    <m/>
    <n v="1"/>
    <m/>
    <n v="16"/>
    <n v="25"/>
    <s v="Yes"/>
    <n v="3"/>
    <n v="0.75"/>
    <m/>
    <n v="1"/>
    <n v="0.5"/>
    <n v="2"/>
    <n v="0.7"/>
    <m/>
    <m/>
    <m/>
    <m/>
    <m/>
    <m/>
    <m/>
    <s v="no test"/>
    <s v="no test"/>
    <s v="No Test"/>
    <n v="1"/>
    <n v="1"/>
    <n v="1"/>
    <n v="0"/>
    <n v="3.3333333333333335"/>
    <n v="0"/>
    <n v="0"/>
    <n v="1"/>
    <n v="1"/>
    <n v="1"/>
    <n v="70"/>
    <n v="0"/>
    <n v="0"/>
    <n v="1"/>
    <n v="70"/>
    <n v="0.14000000000000001"/>
    <n v="0"/>
    <n v="0"/>
    <n v="0.86"/>
    <n v="1"/>
    <n v="2"/>
    <n v="0.5714285714285714"/>
    <n v="40"/>
    <n v="0"/>
    <n v="0"/>
    <n v="0"/>
    <n v="4"/>
    <n v="2"/>
    <n v="0.4285714285714286"/>
    <n v="0"/>
    <n v="70"/>
    <n v="70"/>
    <n v="25"/>
    <n v="70"/>
    <n v="70"/>
    <n v="1"/>
    <n v="0"/>
    <n v="1"/>
    <n v="1"/>
    <n v="1"/>
    <n v="4"/>
    <n v="16"/>
    <n v="4"/>
    <n v="70"/>
    <s v="No"/>
    <n v="2.8571428571428571E-2"/>
    <n v="0"/>
    <n v="0"/>
    <n v="0"/>
    <s v="Yes"/>
    <s v="Shalom"/>
    <x v="0"/>
    <x v="0"/>
    <x v="0"/>
    <n v="25.56551"/>
    <n v="96.279200000000003"/>
    <s v="MMR001CMP182"/>
    <x v="0"/>
    <m/>
    <n v="16"/>
    <n v="70"/>
  </r>
  <r>
    <x v="0"/>
    <x v="11"/>
    <x v="8"/>
    <s v="DFID"/>
    <x v="1"/>
    <x v="3"/>
    <x v="0"/>
    <x v="165"/>
    <n v="25"/>
    <n v="133"/>
    <d v="2021-01-01T00:00:00"/>
    <d v="2022-03-31T00:00:00"/>
    <n v="30"/>
    <m/>
    <n v="3"/>
    <m/>
    <s v="Yes"/>
    <n v="2"/>
    <n v="2"/>
    <n v="1"/>
    <m/>
    <m/>
    <m/>
    <m/>
    <m/>
    <m/>
    <n v="1"/>
    <m/>
    <m/>
    <m/>
    <n v="1"/>
    <m/>
    <m/>
    <m/>
    <m/>
    <m/>
    <m/>
    <m/>
    <n v="1"/>
    <n v="2"/>
    <m/>
    <s v="မီးကြိုးလှဲလှယ်ရန်လိုအပ် ရေအရည်အသွေးစစ်ဆေးရန်"/>
    <n v="8"/>
    <n v="3"/>
    <s v="Chruch"/>
    <m/>
    <m/>
    <m/>
    <m/>
    <n v="1"/>
    <x v="1"/>
    <x v="1"/>
    <m/>
    <m/>
    <m/>
    <m/>
    <n v="1"/>
    <m/>
    <n v="5"/>
    <m/>
    <m/>
    <n v="2"/>
    <m/>
    <n v="1"/>
    <n v="3"/>
    <n v="25"/>
    <n v="47"/>
    <s v="Yes"/>
    <n v="3"/>
    <n v="0.55000000000000004"/>
    <s v="သွားတိုက်ဆေး/တံ၊ အမျိုးသမီး(၅၀)ထိအသုံးအဆောင်ရစေလို"/>
    <n v="0.8"/>
    <n v="0.8"/>
    <n v="10"/>
    <n v="0.8"/>
    <m/>
    <m/>
    <m/>
    <m/>
    <m/>
    <m/>
    <m/>
    <s v="no test"/>
    <s v="no test"/>
    <s v="No Test"/>
    <n v="1"/>
    <n v="0"/>
    <n v="1"/>
    <n v="0"/>
    <n v="0"/>
    <n v="133"/>
    <n v="0"/>
    <n v="1"/>
    <n v="1"/>
    <n v="1"/>
    <n v="133"/>
    <n v="1"/>
    <n v="133"/>
    <n v="1"/>
    <n v="133"/>
    <n v="0.26600000000000001"/>
    <n v="0"/>
    <n v="0"/>
    <n v="0.73399999999999999"/>
    <n v="1"/>
    <n v="11"/>
    <n v="1"/>
    <n v="133"/>
    <n v="0"/>
    <n v="0"/>
    <n v="0"/>
    <n v="7"/>
    <n v="0"/>
    <n v="0"/>
    <n v="0"/>
    <n v="133"/>
    <n v="133"/>
    <n v="47"/>
    <n v="133"/>
    <n v="133"/>
    <n v="1"/>
    <n v="0"/>
    <n v="1"/>
    <n v="1"/>
    <n v="1"/>
    <n v="5"/>
    <n v="25"/>
    <n v="1"/>
    <n v="133"/>
    <s v="Yes"/>
    <n v="7.5187969924812026E-2"/>
    <n v="0"/>
    <n v="133"/>
    <n v="0"/>
    <s v="Yes"/>
    <s v="KBC-MYT"/>
    <x v="0"/>
    <x v="1"/>
    <x v="0"/>
    <n v="25.577559999999998"/>
    <n v="96.286680000000004"/>
    <s v="MMR001CMP184"/>
    <x v="0"/>
    <m/>
    <n v="25"/>
    <n v="133"/>
  </r>
  <r>
    <x v="0"/>
    <x v="11"/>
    <x v="8"/>
    <s v="DFID"/>
    <x v="1"/>
    <x v="3"/>
    <x v="0"/>
    <x v="166"/>
    <n v="16"/>
    <n v="66"/>
    <d v="2021-01-01T00:00:00"/>
    <d v="2022-03-31T00:00:00"/>
    <n v="15"/>
    <n v="1"/>
    <m/>
    <m/>
    <s v="Yes"/>
    <n v="2"/>
    <n v="4"/>
    <m/>
    <m/>
    <m/>
    <m/>
    <m/>
    <m/>
    <m/>
    <n v="1"/>
    <m/>
    <m/>
    <m/>
    <n v="1"/>
    <m/>
    <m/>
    <m/>
    <m/>
    <m/>
    <m/>
    <n v="3"/>
    <m/>
    <m/>
    <m/>
    <m/>
    <n v="5"/>
    <m/>
    <m/>
    <m/>
    <m/>
    <m/>
    <m/>
    <m/>
    <x v="1"/>
    <x v="1"/>
    <n v="2"/>
    <m/>
    <m/>
    <m/>
    <m/>
    <m/>
    <n v="3"/>
    <m/>
    <m/>
    <n v="2"/>
    <m/>
    <n v="2"/>
    <n v="1"/>
    <n v="16"/>
    <n v="18"/>
    <s v="Yes"/>
    <n v="4"/>
    <n v="0.5"/>
    <s v="Hygiene Kits များပုံမှန်ပေးစေလိုပါသည်။"/>
    <n v="0.8"/>
    <n v="0.8"/>
    <n v="7"/>
    <n v="0.75"/>
    <m/>
    <m/>
    <m/>
    <m/>
    <m/>
    <m/>
    <m/>
    <s v="no test"/>
    <s v="no test"/>
    <s v="No Test"/>
    <n v="0"/>
    <n v="0"/>
    <n v="1"/>
    <n v="0"/>
    <n v="0"/>
    <n v="0"/>
    <n v="0"/>
    <n v="1"/>
    <n v="1"/>
    <n v="1"/>
    <n v="66"/>
    <n v="1"/>
    <n v="66"/>
    <n v="1"/>
    <n v="66"/>
    <n v="0.13200000000000001"/>
    <n v="0"/>
    <n v="0"/>
    <n v="0.86799999999999999"/>
    <n v="1"/>
    <n v="5"/>
    <n v="1"/>
    <n v="66"/>
    <n v="0"/>
    <n v="0"/>
    <n v="0"/>
    <n v="3"/>
    <n v="0"/>
    <n v="0"/>
    <n v="0"/>
    <n v="66"/>
    <n v="66"/>
    <n v="18"/>
    <n v="66"/>
    <n v="66"/>
    <n v="1"/>
    <n v="0"/>
    <n v="1"/>
    <n v="1"/>
    <n v="1"/>
    <n v="3"/>
    <n v="16"/>
    <n v="0"/>
    <n v="66"/>
    <s v="Yes"/>
    <n v="0.10606060606060606"/>
    <n v="0"/>
    <n v="0"/>
    <n v="0"/>
    <s v="Yes"/>
    <s v="KBC-MYT"/>
    <x v="0"/>
    <x v="1"/>
    <x v="0"/>
    <n v="25.599250000000001"/>
    <n v="96.306910999999999"/>
    <s v="MMR001CMP105"/>
    <x v="0"/>
    <m/>
    <n v="16"/>
    <n v="64"/>
  </r>
  <r>
    <x v="0"/>
    <x v="11"/>
    <x v="8"/>
    <s v="DFID"/>
    <x v="1"/>
    <x v="8"/>
    <x v="0"/>
    <x v="167"/>
    <n v="22"/>
    <n v="90"/>
    <d v="2021-01-01T00:00:00"/>
    <d v="2022-03-31T00:00:00"/>
    <m/>
    <n v="1"/>
    <m/>
    <m/>
    <s v="Yes"/>
    <n v="2"/>
    <n v="3"/>
    <n v="1"/>
    <m/>
    <m/>
    <m/>
    <n v="1"/>
    <m/>
    <m/>
    <m/>
    <m/>
    <m/>
    <m/>
    <m/>
    <m/>
    <m/>
    <m/>
    <m/>
    <m/>
    <m/>
    <m/>
    <m/>
    <m/>
    <m/>
    <m/>
    <n v="4"/>
    <m/>
    <m/>
    <m/>
    <m/>
    <n v="4"/>
    <m/>
    <m/>
    <x v="1"/>
    <x v="1"/>
    <m/>
    <m/>
    <m/>
    <m/>
    <m/>
    <m/>
    <n v="8"/>
    <m/>
    <m/>
    <n v="3"/>
    <m/>
    <n v="1"/>
    <m/>
    <n v="91"/>
    <n v="124"/>
    <m/>
    <m/>
    <n v="0.5"/>
    <s v="ဆပ်ပြာလုံလောက်စွာရရှိရန်"/>
    <n v="0.5"/>
    <n v="0.8"/>
    <m/>
    <n v="0.5"/>
    <m/>
    <m/>
    <n v="2"/>
    <m/>
    <m/>
    <m/>
    <m/>
    <s v="no test"/>
    <s v="no test"/>
    <s v="No Test"/>
    <n v="1"/>
    <n v="1"/>
    <n v="0"/>
    <n v="0"/>
    <n v="0"/>
    <n v="0"/>
    <n v="0"/>
    <n v="1"/>
    <n v="1"/>
    <n v="1"/>
    <n v="90"/>
    <n v="0"/>
    <n v="0"/>
    <n v="1"/>
    <n v="90"/>
    <n v="0.18"/>
    <n v="0"/>
    <n v="0"/>
    <n v="0.82000000000000006"/>
    <n v="1"/>
    <n v="4"/>
    <n v="0.88888888888888884"/>
    <n v="80"/>
    <n v="80"/>
    <n v="0"/>
    <n v="0"/>
    <n v="5"/>
    <n v="1"/>
    <n v="0.11111111111111116"/>
    <n v="0"/>
    <n v="90"/>
    <n v="90"/>
    <n v="90"/>
    <n v="90"/>
    <n v="90"/>
    <n v="1"/>
    <n v="0"/>
    <n v="1"/>
    <n v="1"/>
    <n v="1"/>
    <n v="8"/>
    <n v="22"/>
    <n v="0"/>
    <n v="90"/>
    <s v="No"/>
    <s v=""/>
    <n v="2"/>
    <n v="0"/>
    <n v="0"/>
    <s v="Yes"/>
    <s v="Shalom"/>
    <x v="0"/>
    <x v="1"/>
    <x v="0"/>
    <n v="25.374343974359"/>
    <n v="97.2843958974359"/>
    <s v="MMR001CMP020"/>
    <x v="0"/>
    <m/>
    <n v="22"/>
    <n v="90"/>
  </r>
  <r>
    <x v="0"/>
    <x v="11"/>
    <x v="8"/>
    <s v="DFID"/>
    <x v="1"/>
    <x v="8"/>
    <x v="0"/>
    <x v="168"/>
    <n v="28"/>
    <n v="166"/>
    <d v="2021-01-01T00:00:00"/>
    <d v="2022-03-31T00:00:00"/>
    <n v="43"/>
    <n v="1"/>
    <m/>
    <m/>
    <s v="Yes"/>
    <m/>
    <n v="5"/>
    <n v="1"/>
    <m/>
    <n v="1"/>
    <n v="1"/>
    <n v="1"/>
    <m/>
    <n v="1"/>
    <m/>
    <m/>
    <m/>
    <m/>
    <n v="2"/>
    <m/>
    <m/>
    <m/>
    <m/>
    <m/>
    <m/>
    <m/>
    <n v="1"/>
    <m/>
    <m/>
    <s v="ရေမသန့်၍သောက်သုံးမရ"/>
    <n v="6"/>
    <m/>
    <m/>
    <m/>
    <m/>
    <m/>
    <m/>
    <m/>
    <x v="0"/>
    <x v="1"/>
    <m/>
    <m/>
    <m/>
    <m/>
    <m/>
    <s v="မိလ္လာစုပ်ထုတ်ရန်ရှိ"/>
    <n v="7"/>
    <m/>
    <m/>
    <n v="7"/>
    <m/>
    <m/>
    <n v="1"/>
    <n v="104"/>
    <n v="148"/>
    <s v="No"/>
    <n v="2"/>
    <n v="0.7"/>
    <s v="အသိပညာပေး"/>
    <n v="0.9"/>
    <n v="0.9"/>
    <n v="60"/>
    <n v="0.7"/>
    <m/>
    <m/>
    <m/>
    <m/>
    <m/>
    <m/>
    <m/>
    <s v="no test"/>
    <s v="no test"/>
    <s v="No Test"/>
    <n v="1"/>
    <n v="2"/>
    <n v="0"/>
    <n v="0"/>
    <n v="0"/>
    <n v="0"/>
    <n v="0"/>
    <n v="1"/>
    <n v="1"/>
    <n v="1"/>
    <n v="166"/>
    <n v="1"/>
    <n v="166"/>
    <n v="1"/>
    <n v="166"/>
    <n v="0.33200000000000002"/>
    <n v="0"/>
    <n v="0"/>
    <n v="0.66799999999999993"/>
    <n v="1"/>
    <n v="6"/>
    <n v="0.72289156626506024"/>
    <n v="120"/>
    <n v="0"/>
    <n v="0"/>
    <n v="0"/>
    <n v="8"/>
    <n v="2"/>
    <n v="0.27710843373493976"/>
    <n v="0"/>
    <n v="166"/>
    <n v="166"/>
    <n v="148"/>
    <n v="166"/>
    <n v="166"/>
    <n v="1"/>
    <n v="0"/>
    <n v="1"/>
    <n v="1"/>
    <n v="1"/>
    <n v="7"/>
    <n v="28"/>
    <n v="0"/>
    <n v="166"/>
    <s v="Yes"/>
    <n v="0.36144578313253012"/>
    <n v="0"/>
    <n v="0"/>
    <n v="0"/>
    <s v="Yes"/>
    <s v="Shalom"/>
    <x v="0"/>
    <x v="1"/>
    <x v="0"/>
    <n v="25.371049444444399"/>
    <n v="97.290952037037002"/>
    <s v="MMR001CMP021"/>
    <x v="0"/>
    <m/>
    <n v="30"/>
    <n v="177"/>
  </r>
  <r>
    <x v="0"/>
    <x v="11"/>
    <x v="8"/>
    <s v="DFID"/>
    <x v="1"/>
    <x v="8"/>
    <x v="0"/>
    <x v="169"/>
    <n v="16"/>
    <n v="83"/>
    <d v="2021-01-01T00:00:00"/>
    <d v="2022-03-31T00:00:00"/>
    <n v="14"/>
    <n v="1"/>
    <m/>
    <m/>
    <s v="Yes"/>
    <n v="2"/>
    <n v="3"/>
    <n v="1"/>
    <n v="1"/>
    <m/>
    <n v="3"/>
    <n v="2"/>
    <n v="1"/>
    <n v="3"/>
    <m/>
    <m/>
    <m/>
    <m/>
    <n v="2"/>
    <m/>
    <m/>
    <m/>
    <m/>
    <m/>
    <m/>
    <m/>
    <n v="4"/>
    <n v="5"/>
    <m/>
    <m/>
    <n v="2"/>
    <n v="3"/>
    <s v="Chruch"/>
    <m/>
    <m/>
    <m/>
    <m/>
    <m/>
    <x v="1"/>
    <x v="1"/>
    <n v="3"/>
    <m/>
    <n v="2"/>
    <m/>
    <m/>
    <m/>
    <n v="3"/>
    <m/>
    <m/>
    <n v="2"/>
    <m/>
    <m/>
    <n v="1"/>
    <n v="10"/>
    <n v="18"/>
    <s v="Yes"/>
    <m/>
    <n v="0.7"/>
    <m/>
    <n v="1"/>
    <n v="1"/>
    <m/>
    <n v="0.8"/>
    <m/>
    <m/>
    <m/>
    <m/>
    <m/>
    <m/>
    <m/>
    <s v="no test"/>
    <s v="no test"/>
    <s v="No Test"/>
    <n v="0"/>
    <n v="4"/>
    <n v="0"/>
    <n v="0"/>
    <n v="0"/>
    <n v="83"/>
    <n v="0"/>
    <n v="1"/>
    <n v="1"/>
    <n v="1"/>
    <n v="83"/>
    <n v="1"/>
    <n v="83"/>
    <n v="1"/>
    <n v="83"/>
    <n v="0.16600000000000001"/>
    <n v="0"/>
    <n v="0"/>
    <n v="0.83399999999999996"/>
    <n v="1"/>
    <n v="5"/>
    <n v="1"/>
    <n v="83"/>
    <n v="0"/>
    <n v="14"/>
    <n v="0"/>
    <n v="4"/>
    <n v="0"/>
    <n v="0"/>
    <n v="0"/>
    <n v="83"/>
    <n v="50"/>
    <n v="18"/>
    <n v="50"/>
    <n v="83"/>
    <n v="1"/>
    <n v="0"/>
    <n v="1"/>
    <n v="1"/>
    <n v="1"/>
    <n v="3"/>
    <n v="16"/>
    <n v="4"/>
    <n v="83"/>
    <s v="Yes"/>
    <s v=""/>
    <n v="0"/>
    <n v="83"/>
    <n v="0"/>
    <s v="Yes"/>
    <s v="Shalom"/>
    <x v="0"/>
    <x v="1"/>
    <x v="0"/>
    <n v="25.417733999999999"/>
    <n v="97.389778000000007"/>
    <s v="MMR001CMP004"/>
    <x v="0"/>
    <m/>
    <n v="16"/>
    <n v="83"/>
  </r>
  <r>
    <x v="0"/>
    <x v="11"/>
    <x v="8"/>
    <s v="DFID"/>
    <x v="1"/>
    <x v="8"/>
    <x v="0"/>
    <x v="170"/>
    <n v="26"/>
    <n v="119"/>
    <d v="2021-01-01T00:00:00"/>
    <d v="2022-03-31T00:00:00"/>
    <m/>
    <n v="1"/>
    <m/>
    <m/>
    <s v="Yes"/>
    <n v="1"/>
    <n v="4"/>
    <n v="1"/>
    <m/>
    <m/>
    <m/>
    <m/>
    <m/>
    <m/>
    <m/>
    <m/>
    <m/>
    <m/>
    <m/>
    <m/>
    <m/>
    <m/>
    <m/>
    <m/>
    <m/>
    <m/>
    <n v="2"/>
    <m/>
    <m/>
    <m/>
    <n v="2"/>
    <n v="5"/>
    <s v="Chruch"/>
    <m/>
    <m/>
    <m/>
    <m/>
    <m/>
    <x v="1"/>
    <x v="1"/>
    <m/>
    <m/>
    <m/>
    <m/>
    <m/>
    <m/>
    <n v="7"/>
    <m/>
    <m/>
    <n v="4"/>
    <m/>
    <m/>
    <n v="1"/>
    <n v="124"/>
    <n v="198"/>
    <m/>
    <m/>
    <m/>
    <m/>
    <m/>
    <m/>
    <n v="60"/>
    <n v="0.5"/>
    <m/>
    <m/>
    <m/>
    <m/>
    <m/>
    <m/>
    <m/>
    <s v="no test"/>
    <s v="no test"/>
    <s v="No Test"/>
    <n v="1"/>
    <n v="0"/>
    <n v="0"/>
    <n v="0"/>
    <n v="0"/>
    <n v="0"/>
    <n v="0"/>
    <n v="1"/>
    <n v="1"/>
    <n v="1"/>
    <n v="119"/>
    <n v="0"/>
    <n v="0"/>
    <n v="1"/>
    <n v="119"/>
    <n v="0.23799999999999999"/>
    <n v="0"/>
    <n v="0"/>
    <n v="0.76200000000000001"/>
    <n v="1"/>
    <n v="7"/>
    <n v="1"/>
    <n v="119"/>
    <n v="0"/>
    <n v="0"/>
    <n v="0"/>
    <n v="6"/>
    <n v="0"/>
    <n v="0"/>
    <n v="0"/>
    <n v="119"/>
    <n v="119"/>
    <n v="119"/>
    <n v="119"/>
    <n v="119"/>
    <n v="1"/>
    <n v="0"/>
    <n v="1"/>
    <n v="1"/>
    <n v="1"/>
    <n v="7"/>
    <n v="26"/>
    <n v="0"/>
    <n v="119"/>
    <s v="No"/>
    <n v="0.50420168067226889"/>
    <n v="0"/>
    <n v="0"/>
    <n v="0"/>
    <s v="Yes"/>
    <s v="Shalom"/>
    <x v="0"/>
    <x v="1"/>
    <x v="0"/>
    <n v="25.423817"/>
    <n v="97.418004999999994"/>
    <s v="MMR001CMP007"/>
    <x v="0"/>
    <m/>
    <n v="26"/>
    <n v="119"/>
  </r>
  <r>
    <x v="0"/>
    <x v="11"/>
    <x v="8"/>
    <s v="DFID"/>
    <x v="1"/>
    <x v="8"/>
    <x v="0"/>
    <x v="171"/>
    <n v="56"/>
    <n v="262"/>
    <d v="2021-01-01T00:00:00"/>
    <d v="2022-03-31T00:00:00"/>
    <n v="68"/>
    <n v="1"/>
    <m/>
    <m/>
    <s v="Yes"/>
    <n v="2"/>
    <n v="5"/>
    <n v="1"/>
    <m/>
    <m/>
    <n v="5"/>
    <n v="1"/>
    <n v="1"/>
    <n v="4"/>
    <m/>
    <m/>
    <m/>
    <m/>
    <n v="5"/>
    <m/>
    <m/>
    <m/>
    <m/>
    <m/>
    <m/>
    <m/>
    <n v="4"/>
    <m/>
    <m/>
    <s v="ရေတွင်းအသစ် တခုလိုအပ်"/>
    <n v="19"/>
    <m/>
    <m/>
    <m/>
    <m/>
    <m/>
    <m/>
    <m/>
    <x v="1"/>
    <x v="1"/>
    <m/>
    <m/>
    <m/>
    <m/>
    <n v="8"/>
    <m/>
    <n v="3"/>
    <m/>
    <m/>
    <n v="2"/>
    <m/>
    <m/>
    <n v="1"/>
    <n v="88"/>
    <n v="100"/>
    <s v="Yes"/>
    <n v="1"/>
    <n v="0.4"/>
    <m/>
    <n v="1"/>
    <n v="1"/>
    <m/>
    <n v="0.7"/>
    <m/>
    <m/>
    <m/>
    <m/>
    <m/>
    <m/>
    <m/>
    <s v="no test"/>
    <s v="no test"/>
    <s v="No Test"/>
    <n v="1"/>
    <n v="5"/>
    <n v="0"/>
    <n v="0"/>
    <n v="0"/>
    <n v="0"/>
    <n v="0"/>
    <n v="1"/>
    <n v="1"/>
    <n v="1"/>
    <n v="262"/>
    <n v="1"/>
    <n v="262"/>
    <n v="1"/>
    <n v="262"/>
    <n v="0.52400000000000002"/>
    <n v="0"/>
    <n v="0"/>
    <n v="0.47599999999999998"/>
    <n v="1"/>
    <n v="19"/>
    <n v="1"/>
    <n v="262"/>
    <n v="0"/>
    <n v="0"/>
    <n v="0"/>
    <n v="13"/>
    <n v="0"/>
    <n v="0"/>
    <n v="0"/>
    <n v="262"/>
    <n v="262"/>
    <n v="100"/>
    <n v="262"/>
    <n v="262"/>
    <n v="1"/>
    <n v="0"/>
    <n v="1"/>
    <n v="1"/>
    <n v="1"/>
    <n v="3"/>
    <n v="56"/>
    <n v="4"/>
    <n v="262"/>
    <s v="Yes"/>
    <s v=""/>
    <n v="0"/>
    <n v="0"/>
    <n v="0"/>
    <s v="Yes"/>
    <s v="Shalom"/>
    <x v="0"/>
    <x v="1"/>
    <x v="0"/>
    <n v="25.423209"/>
    <n v="97.379987"/>
    <s v="MMR001CMP023"/>
    <x v="0"/>
    <m/>
    <n v="56"/>
    <n v="266"/>
  </r>
  <r>
    <x v="0"/>
    <x v="11"/>
    <x v="8"/>
    <s v="DFID"/>
    <x v="1"/>
    <x v="13"/>
    <x v="0"/>
    <x v="172"/>
    <n v="59"/>
    <n v="291"/>
    <d v="2021-01-01T00:00:00"/>
    <d v="2022-03-31T00:00:00"/>
    <m/>
    <n v="1"/>
    <m/>
    <m/>
    <s v="Yes"/>
    <n v="4"/>
    <n v="2"/>
    <n v="2"/>
    <m/>
    <m/>
    <m/>
    <m/>
    <m/>
    <m/>
    <m/>
    <m/>
    <m/>
    <m/>
    <m/>
    <m/>
    <m/>
    <m/>
    <m/>
    <m/>
    <m/>
    <m/>
    <m/>
    <m/>
    <m/>
    <m/>
    <n v="24"/>
    <n v="20"/>
    <s v="Unicef &amp; World vision"/>
    <m/>
    <m/>
    <m/>
    <m/>
    <m/>
    <x v="1"/>
    <x v="1"/>
    <m/>
    <m/>
    <m/>
    <n v="4"/>
    <m/>
    <m/>
    <n v="1"/>
    <m/>
    <m/>
    <n v="3"/>
    <m/>
    <n v="1"/>
    <m/>
    <n v="41"/>
    <n v="85"/>
    <m/>
    <m/>
    <n v="0.45"/>
    <m/>
    <n v="0.9"/>
    <n v="0.9"/>
    <m/>
    <n v="0.95"/>
    <m/>
    <n v="59"/>
    <m/>
    <m/>
    <m/>
    <m/>
    <m/>
    <s v="no test"/>
    <s v="no test"/>
    <s v="No Test"/>
    <n v="2"/>
    <n v="0"/>
    <n v="0"/>
    <n v="0"/>
    <n v="0"/>
    <n v="0"/>
    <n v="0"/>
    <n v="1"/>
    <n v="1"/>
    <n v="1"/>
    <n v="291"/>
    <n v="0"/>
    <n v="0"/>
    <n v="1"/>
    <n v="291"/>
    <n v="0.58199999999999996"/>
    <n v="0"/>
    <n v="0"/>
    <n v="0.41800000000000004"/>
    <n v="1"/>
    <n v="44"/>
    <n v="1"/>
    <n v="291"/>
    <n v="0"/>
    <n v="0"/>
    <n v="200"/>
    <n v="15"/>
    <n v="0"/>
    <n v="0"/>
    <n v="0"/>
    <n v="291"/>
    <n v="205"/>
    <n v="85"/>
    <n v="205"/>
    <n v="291"/>
    <n v="1"/>
    <n v="0"/>
    <n v="1"/>
    <n v="1"/>
    <n v="1"/>
    <n v="1"/>
    <n v="20"/>
    <n v="0"/>
    <n v="100"/>
    <s v="No"/>
    <s v=""/>
    <n v="59"/>
    <n v="0"/>
    <n v="200"/>
    <s v="Yes"/>
    <s v="Shalom"/>
    <x v="0"/>
    <x v="1"/>
    <x v="0"/>
    <n v="25.321710740740698"/>
    <n v="97.404195925926004"/>
    <s v="MMR001CMP028"/>
    <x v="0"/>
    <m/>
    <n v="59"/>
    <n v="291"/>
  </r>
  <r>
    <x v="0"/>
    <x v="11"/>
    <x v="8"/>
    <s v="DFID"/>
    <x v="1"/>
    <x v="13"/>
    <x v="0"/>
    <x v="173"/>
    <n v="353"/>
    <n v="2160"/>
    <d v="2021-01-01T00:00:00"/>
    <d v="2022-03-31T00:00:00"/>
    <m/>
    <n v="1"/>
    <m/>
    <m/>
    <s v="Yes"/>
    <n v="1"/>
    <n v="6"/>
    <n v="3"/>
    <n v="3"/>
    <m/>
    <n v="1"/>
    <n v="2"/>
    <n v="1"/>
    <m/>
    <m/>
    <m/>
    <m/>
    <m/>
    <m/>
    <m/>
    <m/>
    <m/>
    <m/>
    <m/>
    <m/>
    <m/>
    <n v="2"/>
    <m/>
    <m/>
    <m/>
    <n v="20"/>
    <n v="4"/>
    <s v="worldvision/KBC"/>
    <n v="3"/>
    <m/>
    <m/>
    <m/>
    <m/>
    <x v="1"/>
    <x v="1"/>
    <m/>
    <n v="10"/>
    <n v="10"/>
    <n v="10"/>
    <m/>
    <s v="မိလ္လာစုပ်ထုတ်ရန် လိုအပ်ပါက ရုံးမှ တိုက်ရိုက်ဆက်သွယ်လုပ်ဆောင်ပေးပါရန်"/>
    <n v="1"/>
    <m/>
    <m/>
    <n v="1"/>
    <n v="1"/>
    <n v="1"/>
    <n v="1"/>
    <n v="6"/>
    <n v="5"/>
    <s v="Yes"/>
    <m/>
    <n v="0.8"/>
    <s v="12နှစ်မှ ၂၅နှစ်များကို တကိုယ်ရည်သန့်ရှင်းရေးသင်တန်းများ လိုအပ်"/>
    <n v="1"/>
    <n v="1"/>
    <m/>
    <m/>
    <m/>
    <m/>
    <m/>
    <m/>
    <m/>
    <m/>
    <m/>
    <s v="no test"/>
    <s v="no test"/>
    <s v="No Test"/>
    <n v="0"/>
    <n v="2"/>
    <n v="0"/>
    <n v="0"/>
    <n v="0"/>
    <n v="0"/>
    <n v="0"/>
    <n v="0.46296296296296297"/>
    <n v="0.23148148148148148"/>
    <n v="0.46296296296296297"/>
    <n v="1000"/>
    <n v="0"/>
    <n v="0"/>
    <n v="0.46296296296296297"/>
    <n v="1000"/>
    <n v="2"/>
    <n v="0.53703703703703698"/>
    <n v="1159.9999999999998"/>
    <n v="2"/>
    <n v="4"/>
    <n v="21"/>
    <n v="0.19444444444444445"/>
    <n v="420"/>
    <n v="0"/>
    <n v="0"/>
    <n v="500"/>
    <n v="108"/>
    <n v="84"/>
    <n v="0.80555555555555558"/>
    <n v="0.125"/>
    <n v="1000"/>
    <n v="30"/>
    <n v="5"/>
    <n v="30"/>
    <n v="1000"/>
    <n v="0.46296296296296297"/>
    <n v="0.53703703703703698"/>
    <n v="0.46296296296296297"/>
    <n v="6.79886685552408E-2"/>
    <n v="1.4164305949008499E-2"/>
    <n v="1"/>
    <n v="20"/>
    <n v="2"/>
    <n v="100"/>
    <s v="No"/>
    <s v=""/>
    <n v="0"/>
    <n v="0"/>
    <n v="500"/>
    <s v="Yes"/>
    <s v="Shalom"/>
    <x v="0"/>
    <x v="1"/>
    <x v="0"/>
    <n v="25.424529444444399"/>
    <n v="97.433419259259296"/>
    <s v="MMR001CMP031"/>
    <x v="0"/>
    <m/>
    <n v="353"/>
    <n v="2166"/>
  </r>
  <r>
    <x v="0"/>
    <x v="11"/>
    <x v="8"/>
    <s v="DFID"/>
    <x v="1"/>
    <x v="13"/>
    <x v="0"/>
    <x v="174"/>
    <n v="19"/>
    <n v="85"/>
    <d v="2021-01-01T00:00:00"/>
    <d v="2022-03-31T00:00:00"/>
    <n v="13"/>
    <n v="1"/>
    <m/>
    <m/>
    <s v="Yes"/>
    <m/>
    <n v="5"/>
    <n v="1"/>
    <m/>
    <m/>
    <n v="1"/>
    <m/>
    <m/>
    <m/>
    <m/>
    <m/>
    <m/>
    <m/>
    <m/>
    <m/>
    <m/>
    <m/>
    <m/>
    <m/>
    <m/>
    <m/>
    <n v="2"/>
    <m/>
    <m/>
    <s v="နွေရာသီတွင် ရေအခက်အခဲဖြစ်"/>
    <n v="4"/>
    <m/>
    <m/>
    <m/>
    <m/>
    <n v="4"/>
    <m/>
    <m/>
    <x v="1"/>
    <x v="1"/>
    <m/>
    <m/>
    <m/>
    <m/>
    <m/>
    <m/>
    <n v="8"/>
    <m/>
    <m/>
    <n v="3"/>
    <m/>
    <m/>
    <n v="1"/>
    <n v="91"/>
    <n v="124"/>
    <m/>
    <m/>
    <n v="0.7"/>
    <m/>
    <m/>
    <n v="0.7"/>
    <n v="4"/>
    <n v="0.9"/>
    <m/>
    <m/>
    <m/>
    <m/>
    <m/>
    <m/>
    <m/>
    <s v="no test"/>
    <s v="no test"/>
    <s v="No Test"/>
    <n v="1"/>
    <n v="1"/>
    <n v="0"/>
    <n v="0"/>
    <n v="0"/>
    <n v="0"/>
    <n v="0"/>
    <n v="1"/>
    <n v="1"/>
    <n v="1"/>
    <n v="85"/>
    <n v="0"/>
    <n v="0"/>
    <n v="1"/>
    <n v="85"/>
    <n v="0.17"/>
    <n v="0"/>
    <n v="0"/>
    <n v="0.83"/>
    <n v="1"/>
    <n v="4"/>
    <n v="0.94117647058823528"/>
    <n v="80"/>
    <n v="80"/>
    <n v="0"/>
    <n v="0"/>
    <n v="4"/>
    <n v="0"/>
    <n v="5.8823529411764719E-2"/>
    <n v="0"/>
    <n v="85"/>
    <n v="85"/>
    <n v="85"/>
    <n v="85"/>
    <n v="85"/>
    <n v="1"/>
    <n v="0"/>
    <n v="1"/>
    <n v="1"/>
    <n v="1"/>
    <n v="8"/>
    <n v="19"/>
    <n v="0"/>
    <n v="85"/>
    <s v="Yes"/>
    <n v="4.7058823529411764E-2"/>
    <n v="0"/>
    <n v="0"/>
    <n v="0"/>
    <s v="Yes"/>
    <s v="Shalom"/>
    <x v="0"/>
    <x v="1"/>
    <x v="0"/>
    <n v="25.351965"/>
    <n v="97.345039"/>
    <s v="MMR001CMP033"/>
    <x v="0"/>
    <m/>
    <n v="19"/>
    <n v="85"/>
  </r>
  <r>
    <x v="0"/>
    <x v="11"/>
    <x v="8"/>
    <s v="DFID"/>
    <x v="1"/>
    <x v="13"/>
    <x v="0"/>
    <x v="175"/>
    <n v="111"/>
    <n v="506"/>
    <d v="2021-01-01T00:00:00"/>
    <d v="2022-03-31T00:00:00"/>
    <n v="70"/>
    <n v="2"/>
    <m/>
    <m/>
    <s v="Yes"/>
    <n v="3"/>
    <n v="11"/>
    <n v="4"/>
    <n v="1"/>
    <n v="1"/>
    <n v="2"/>
    <m/>
    <n v="2"/>
    <n v="1"/>
    <m/>
    <m/>
    <m/>
    <m/>
    <m/>
    <m/>
    <m/>
    <m/>
    <m/>
    <m/>
    <m/>
    <m/>
    <n v="7"/>
    <m/>
    <m/>
    <s v="ရေသန့်လိုအပ်"/>
    <n v="15"/>
    <n v="10"/>
    <s v="ICRC &amp; DVB"/>
    <n v="4"/>
    <n v="2"/>
    <m/>
    <m/>
    <m/>
    <x v="1"/>
    <x v="1"/>
    <m/>
    <n v="1"/>
    <n v="6"/>
    <n v="6"/>
    <m/>
    <m/>
    <n v="10"/>
    <m/>
    <m/>
    <n v="7"/>
    <m/>
    <m/>
    <n v="2"/>
    <n v="104"/>
    <n v="148"/>
    <m/>
    <m/>
    <m/>
    <m/>
    <m/>
    <m/>
    <n v="5"/>
    <m/>
    <m/>
    <n v="111"/>
    <m/>
    <m/>
    <m/>
    <m/>
    <m/>
    <s v="no test"/>
    <s v="no test"/>
    <s v="No Test"/>
    <n v="3"/>
    <n v="0"/>
    <n v="0"/>
    <n v="0"/>
    <n v="0"/>
    <n v="0"/>
    <n v="0"/>
    <n v="1"/>
    <n v="1"/>
    <n v="1"/>
    <n v="506"/>
    <n v="0"/>
    <n v="0"/>
    <n v="1"/>
    <n v="506"/>
    <n v="1.012"/>
    <n v="0"/>
    <n v="0"/>
    <n v="0"/>
    <n v="1"/>
    <n v="21"/>
    <n v="0.83003952569169959"/>
    <n v="420"/>
    <n v="0"/>
    <n v="70"/>
    <n v="300"/>
    <n v="25"/>
    <n v="0"/>
    <n v="0.16996047430830041"/>
    <n v="0.16"/>
    <n v="506"/>
    <n v="506"/>
    <n v="148"/>
    <n v="506"/>
    <n v="506"/>
    <n v="1"/>
    <n v="0"/>
    <n v="1"/>
    <n v="1"/>
    <n v="1"/>
    <n v="10"/>
    <n v="111"/>
    <n v="0"/>
    <n v="506"/>
    <s v="Yes"/>
    <n v="9.881422924901186E-3"/>
    <n v="111"/>
    <n v="70"/>
    <n v="300"/>
    <s v="Yes"/>
    <s v="Shalom"/>
    <x v="0"/>
    <x v="1"/>
    <x v="0"/>
    <n v="25.3540362037037"/>
    <n v="97.441166388888902"/>
    <s v="MMR001CMP032"/>
    <x v="0"/>
    <m/>
    <n v="111"/>
    <n v="505"/>
  </r>
  <r>
    <x v="0"/>
    <x v="11"/>
    <x v="8"/>
    <s v="DFID"/>
    <x v="1"/>
    <x v="13"/>
    <x v="0"/>
    <x v="176"/>
    <n v="40"/>
    <n v="221"/>
    <d v="2021-01-01T00:00:00"/>
    <d v="2022-03-31T00:00:00"/>
    <m/>
    <n v="1"/>
    <m/>
    <m/>
    <s v="Yes"/>
    <n v="1"/>
    <n v="4"/>
    <n v="1"/>
    <m/>
    <m/>
    <m/>
    <m/>
    <m/>
    <m/>
    <m/>
    <m/>
    <m/>
    <m/>
    <m/>
    <m/>
    <m/>
    <m/>
    <m/>
    <m/>
    <m/>
    <m/>
    <m/>
    <m/>
    <m/>
    <s v="နွေရာသီတွင် ရေရှားပါးမှုဖြစ်"/>
    <n v="8"/>
    <m/>
    <m/>
    <m/>
    <m/>
    <m/>
    <m/>
    <m/>
    <x v="1"/>
    <x v="1"/>
    <m/>
    <m/>
    <m/>
    <m/>
    <m/>
    <m/>
    <n v="7"/>
    <m/>
    <m/>
    <n v="4"/>
    <m/>
    <n v="1"/>
    <m/>
    <n v="124"/>
    <n v="198"/>
    <s v="No"/>
    <m/>
    <n v="0.5"/>
    <m/>
    <n v="0.98"/>
    <n v="0.9"/>
    <n v="4"/>
    <n v="0.99"/>
    <m/>
    <m/>
    <m/>
    <m/>
    <m/>
    <m/>
    <m/>
    <s v="no test"/>
    <s v="no test"/>
    <s v="No Test"/>
    <n v="1"/>
    <n v="0"/>
    <n v="0"/>
    <n v="0"/>
    <n v="0"/>
    <n v="0"/>
    <n v="0"/>
    <n v="1"/>
    <n v="1"/>
    <n v="1"/>
    <n v="221"/>
    <n v="0"/>
    <n v="0"/>
    <n v="1"/>
    <n v="221"/>
    <n v="0.442"/>
    <n v="0"/>
    <n v="0"/>
    <n v="0.55800000000000005"/>
    <n v="1"/>
    <n v="8"/>
    <n v="0.72398190045248867"/>
    <n v="160"/>
    <n v="0"/>
    <n v="0"/>
    <n v="0"/>
    <n v="11"/>
    <n v="3"/>
    <n v="0.27601809954751133"/>
    <n v="0"/>
    <n v="221"/>
    <n v="221"/>
    <n v="198"/>
    <n v="221"/>
    <n v="221"/>
    <n v="1"/>
    <n v="0"/>
    <n v="1"/>
    <n v="1"/>
    <n v="1"/>
    <n v="7"/>
    <n v="40"/>
    <n v="0"/>
    <n v="221"/>
    <s v="No"/>
    <n v="1.8099547511312219E-2"/>
    <n v="0"/>
    <n v="0"/>
    <n v="0"/>
    <s v="Yes"/>
    <s v="Shalom"/>
    <x v="0"/>
    <x v="1"/>
    <x v="0"/>
    <n v="25.345918166666699"/>
    <n v="97.437472666666693"/>
    <s v="MMR001CMP030"/>
    <x v="0"/>
    <m/>
    <n v="40"/>
    <n v="221"/>
  </r>
  <r>
    <x v="0"/>
    <x v="11"/>
    <x v="8"/>
    <s v="DFID"/>
    <x v="1"/>
    <x v="13"/>
    <x v="0"/>
    <x v="177"/>
    <n v="46"/>
    <n v="192"/>
    <d v="2021-01-01T00:00:00"/>
    <d v="2022-03-31T00:00:00"/>
    <m/>
    <n v="1"/>
    <m/>
    <m/>
    <s v="Yes"/>
    <n v="1"/>
    <n v="4"/>
    <n v="1"/>
    <m/>
    <m/>
    <m/>
    <m/>
    <m/>
    <m/>
    <m/>
    <m/>
    <m/>
    <m/>
    <m/>
    <m/>
    <m/>
    <m/>
    <m/>
    <m/>
    <m/>
    <m/>
    <m/>
    <m/>
    <m/>
    <s v="နွေရာသီတွင် ရေခမ်း၍ ရေအနည်များခြင်း"/>
    <n v="6"/>
    <m/>
    <m/>
    <m/>
    <m/>
    <m/>
    <m/>
    <m/>
    <x v="1"/>
    <x v="1"/>
    <m/>
    <m/>
    <m/>
    <m/>
    <m/>
    <m/>
    <n v="3"/>
    <m/>
    <m/>
    <n v="2"/>
    <m/>
    <m/>
    <n v="1"/>
    <n v="88"/>
    <n v="100"/>
    <m/>
    <m/>
    <n v="0.4"/>
    <m/>
    <n v="0.95"/>
    <n v="0.9"/>
    <n v="3"/>
    <n v="0.99"/>
    <m/>
    <m/>
    <m/>
    <m/>
    <m/>
    <m/>
    <m/>
    <s v="no test"/>
    <s v="no test"/>
    <s v="No Test"/>
    <n v="1"/>
    <n v="0"/>
    <n v="0"/>
    <n v="0"/>
    <n v="0"/>
    <n v="0"/>
    <n v="0"/>
    <n v="1"/>
    <n v="1"/>
    <n v="1"/>
    <n v="192"/>
    <n v="0"/>
    <n v="0"/>
    <n v="1"/>
    <n v="192"/>
    <n v="0.38400000000000001"/>
    <n v="0"/>
    <n v="0"/>
    <n v="0.61599999999999999"/>
    <n v="1"/>
    <n v="6"/>
    <n v="0.625"/>
    <n v="120"/>
    <n v="0"/>
    <n v="0"/>
    <n v="0"/>
    <n v="10"/>
    <n v="4"/>
    <n v="0.375"/>
    <n v="0"/>
    <n v="192"/>
    <n v="192"/>
    <n v="100"/>
    <n v="192"/>
    <n v="192"/>
    <n v="1"/>
    <n v="0"/>
    <n v="1"/>
    <n v="1"/>
    <n v="1"/>
    <n v="3"/>
    <n v="46"/>
    <n v="0"/>
    <n v="192"/>
    <s v="No"/>
    <n v="1.5625E-2"/>
    <n v="0"/>
    <n v="0"/>
    <n v="0"/>
    <s v="Yes"/>
    <s v="Shalom"/>
    <x v="0"/>
    <x v="1"/>
    <x v="0"/>
    <n v="25.333683333333301"/>
    <n v="97.428251153846105"/>
    <s v="MMR001CMP037"/>
    <x v="0"/>
    <m/>
    <n v="46"/>
    <n v="192"/>
  </r>
  <r>
    <x v="0"/>
    <x v="11"/>
    <x v="8"/>
    <s v="DFID"/>
    <x v="1"/>
    <x v="13"/>
    <x v="0"/>
    <x v="178"/>
    <n v="68"/>
    <n v="293"/>
    <d v="2021-01-01T00:00:00"/>
    <d v="2022-03-31T00:00:00"/>
    <m/>
    <n v="1"/>
    <m/>
    <m/>
    <s v="Yes"/>
    <n v="1"/>
    <n v="4"/>
    <n v="2"/>
    <m/>
    <m/>
    <n v="1"/>
    <m/>
    <m/>
    <m/>
    <m/>
    <m/>
    <m/>
    <m/>
    <m/>
    <m/>
    <m/>
    <m/>
    <m/>
    <m/>
    <m/>
    <m/>
    <n v="1"/>
    <m/>
    <m/>
    <s v="နွေရာသီတွင် ရေခမ်း၍ ရေအနည်များခြင်း/မသန့်ခြင်း"/>
    <n v="9"/>
    <m/>
    <m/>
    <m/>
    <m/>
    <n v="5"/>
    <m/>
    <m/>
    <x v="1"/>
    <x v="1"/>
    <m/>
    <m/>
    <m/>
    <m/>
    <m/>
    <m/>
    <n v="3"/>
    <m/>
    <m/>
    <n v="2"/>
    <m/>
    <m/>
    <n v="1"/>
    <n v="10"/>
    <n v="18"/>
    <s v="Yes"/>
    <m/>
    <n v="0.5"/>
    <m/>
    <n v="0.96"/>
    <n v="0.9"/>
    <n v="4"/>
    <n v="0.99"/>
    <n v="4"/>
    <n v="68"/>
    <m/>
    <m/>
    <m/>
    <m/>
    <m/>
    <s v="no test"/>
    <s v="no test"/>
    <s v="No Test"/>
    <n v="2"/>
    <n v="1"/>
    <n v="0"/>
    <n v="0"/>
    <n v="0"/>
    <n v="0"/>
    <n v="0"/>
    <n v="1"/>
    <n v="1"/>
    <n v="1"/>
    <n v="293"/>
    <n v="0"/>
    <n v="0"/>
    <n v="1"/>
    <n v="293"/>
    <n v="0.58599999999999997"/>
    <n v="0"/>
    <n v="0"/>
    <n v="0.41400000000000003"/>
    <n v="1"/>
    <n v="9"/>
    <n v="0.61433447098976113"/>
    <n v="180"/>
    <n v="100"/>
    <n v="0"/>
    <n v="0"/>
    <n v="15"/>
    <n v="6"/>
    <n v="0.38566552901023887"/>
    <n v="0"/>
    <n v="293"/>
    <n v="50"/>
    <n v="18"/>
    <n v="50"/>
    <n v="293"/>
    <n v="1"/>
    <n v="0"/>
    <n v="1"/>
    <n v="0.58823529411764708"/>
    <n v="0.26470588235294118"/>
    <n v="3"/>
    <n v="60"/>
    <n v="1"/>
    <n v="293"/>
    <s v="No"/>
    <n v="1.3651877133105802E-2"/>
    <n v="72"/>
    <n v="0"/>
    <n v="0"/>
    <s v="Yes"/>
    <s v="Shalom"/>
    <x v="0"/>
    <x v="1"/>
    <x v="0"/>
    <n v="25.351250396825399"/>
    <n v="97.444283730158702"/>
    <s v="MMR001CMP038"/>
    <x v="0"/>
    <m/>
    <n v="71"/>
    <n v="307"/>
  </r>
  <r>
    <x v="0"/>
    <x v="12"/>
    <x v="9"/>
    <s v="ECHO"/>
    <x v="1"/>
    <x v="1"/>
    <x v="1"/>
    <x v="179"/>
    <n v="8"/>
    <n v="54"/>
    <d v="2022-04-01T00:00:00"/>
    <d v="2022-11-30T00:00:00"/>
    <m/>
    <m/>
    <m/>
    <m/>
    <s v="Yes"/>
    <n v="2"/>
    <n v="2"/>
    <m/>
    <m/>
    <m/>
    <n v="1"/>
    <m/>
    <m/>
    <m/>
    <m/>
    <m/>
    <m/>
    <m/>
    <m/>
    <m/>
    <m/>
    <m/>
    <n v="1"/>
    <n v="1"/>
    <n v="3"/>
    <n v="2"/>
    <n v="5"/>
    <m/>
    <m/>
    <m/>
    <n v="13"/>
    <m/>
    <m/>
    <m/>
    <m/>
    <m/>
    <m/>
    <m/>
    <x v="1"/>
    <x v="1"/>
    <m/>
    <m/>
    <m/>
    <m/>
    <n v="1"/>
    <m/>
    <n v="3"/>
    <m/>
    <m/>
    <n v="2"/>
    <m/>
    <m/>
    <m/>
    <m/>
    <m/>
    <m/>
    <m/>
    <m/>
    <m/>
    <m/>
    <m/>
    <m/>
    <m/>
    <m/>
    <m/>
    <m/>
    <m/>
    <m/>
    <m/>
    <m/>
    <n v="1"/>
    <n v="0.66666666666666663"/>
    <s v="Tested"/>
    <n v="0"/>
    <n v="1"/>
    <n v="0"/>
    <n v="0"/>
    <n v="0"/>
    <n v="0"/>
    <n v="0"/>
    <n v="1"/>
    <n v="1"/>
    <n v="1"/>
    <n v="54"/>
    <n v="0"/>
    <n v="0"/>
    <n v="1"/>
    <n v="54"/>
    <n v="0.108"/>
    <n v="0"/>
    <n v="0"/>
    <n v="0.89200000000000002"/>
    <n v="1"/>
    <n v="13"/>
    <n v="1"/>
    <n v="54"/>
    <n v="0"/>
    <n v="0"/>
    <n v="0"/>
    <n v="3"/>
    <n v="0"/>
    <n v="0"/>
    <n v="0"/>
    <n v="0"/>
    <n v="0"/>
    <n v="0"/>
    <n v="0"/>
    <n v="0"/>
    <n v="0"/>
    <n v="1"/>
    <n v="0"/>
    <n v="0"/>
    <n v="0"/>
    <n v="3"/>
    <n v="8"/>
    <n v="0"/>
    <n v="54"/>
    <s v="No"/>
    <s v=""/>
    <n v="0"/>
    <n v="0"/>
    <n v="0"/>
    <n v="0"/>
    <n v="0"/>
    <x v="0"/>
    <x v="1"/>
    <x v="0"/>
    <n v="0"/>
    <n v="0"/>
    <n v="0"/>
    <x v="0"/>
    <m/>
    <n v="0"/>
    <n v="0"/>
  </r>
  <r>
    <x v="0"/>
    <x v="12"/>
    <x v="9"/>
    <s v="ECHO"/>
    <x v="1"/>
    <x v="1"/>
    <x v="0"/>
    <x v="180"/>
    <n v="245"/>
    <n v="1226"/>
    <d v="2022-04-01T00:00:00"/>
    <d v="2022-11-30T00:00:00"/>
    <m/>
    <m/>
    <m/>
    <m/>
    <s v="Yes"/>
    <n v="7"/>
    <n v="5"/>
    <n v="2"/>
    <m/>
    <m/>
    <n v="8"/>
    <m/>
    <m/>
    <m/>
    <m/>
    <m/>
    <m/>
    <m/>
    <m/>
    <m/>
    <m/>
    <m/>
    <n v="4"/>
    <n v="4"/>
    <n v="18"/>
    <n v="18"/>
    <n v="9"/>
    <m/>
    <m/>
    <m/>
    <n v="39"/>
    <m/>
    <m/>
    <m/>
    <m/>
    <m/>
    <m/>
    <m/>
    <x v="1"/>
    <x v="1"/>
    <m/>
    <m/>
    <m/>
    <m/>
    <n v="9"/>
    <m/>
    <n v="6"/>
    <m/>
    <m/>
    <n v="3"/>
    <m/>
    <m/>
    <n v="3"/>
    <m/>
    <m/>
    <m/>
    <m/>
    <m/>
    <m/>
    <n v="1"/>
    <n v="1"/>
    <n v="26"/>
    <n v="1"/>
    <m/>
    <m/>
    <m/>
    <m/>
    <m/>
    <m/>
    <m/>
    <n v="1"/>
    <n v="1"/>
    <s v="Tested"/>
    <n v="2"/>
    <n v="8"/>
    <n v="0"/>
    <n v="0"/>
    <n v="0"/>
    <n v="0"/>
    <n v="0"/>
    <n v="1"/>
    <n v="1"/>
    <n v="1"/>
    <n v="1226"/>
    <n v="0"/>
    <n v="0"/>
    <n v="1"/>
    <n v="1226"/>
    <n v="2.452"/>
    <n v="0"/>
    <n v="0"/>
    <n v="0"/>
    <n v="2"/>
    <n v="39"/>
    <n v="0.64355628058727565"/>
    <n v="789"/>
    <n v="0"/>
    <n v="0"/>
    <n v="0"/>
    <n v="61"/>
    <n v="22"/>
    <n v="0.35644371941272435"/>
    <n v="0"/>
    <n v="1226"/>
    <n v="0"/>
    <n v="0"/>
    <n v="0"/>
    <n v="1226"/>
    <n v="1"/>
    <n v="0"/>
    <n v="1"/>
    <n v="0"/>
    <n v="0"/>
    <n v="6"/>
    <n v="120"/>
    <n v="0"/>
    <n v="600"/>
    <s v="No"/>
    <n v="2.1207177814029365E-2"/>
    <n v="0"/>
    <n v="0"/>
    <n v="0"/>
    <s v="Yes"/>
    <s v="KMSS-BMO"/>
    <x v="0"/>
    <x v="1"/>
    <x v="0"/>
    <n v="24.260719999999999"/>
    <n v="97.238829999999993"/>
    <s v="MMR001CMP050"/>
    <x v="0"/>
    <m/>
    <n v="222"/>
    <n v="1055"/>
  </r>
  <r>
    <x v="0"/>
    <x v="12"/>
    <x v="9"/>
    <s v="ECHO"/>
    <x v="1"/>
    <x v="1"/>
    <x v="0"/>
    <x v="181"/>
    <n v="610"/>
    <n v="3860"/>
    <d v="2022-04-01T00:00:00"/>
    <d v="2022-11-30T00:00:00"/>
    <m/>
    <m/>
    <m/>
    <m/>
    <s v="Yes"/>
    <n v="20"/>
    <n v="14"/>
    <n v="1"/>
    <m/>
    <m/>
    <n v="23"/>
    <m/>
    <m/>
    <n v="9"/>
    <m/>
    <m/>
    <m/>
    <m/>
    <m/>
    <m/>
    <m/>
    <m/>
    <n v="15"/>
    <n v="15"/>
    <n v="27"/>
    <n v="27"/>
    <n v="19"/>
    <m/>
    <m/>
    <m/>
    <n v="149"/>
    <m/>
    <m/>
    <m/>
    <m/>
    <m/>
    <m/>
    <m/>
    <x v="1"/>
    <x v="1"/>
    <m/>
    <m/>
    <m/>
    <m/>
    <n v="23"/>
    <m/>
    <n v="11"/>
    <m/>
    <m/>
    <n v="15"/>
    <m/>
    <n v="1"/>
    <n v="5"/>
    <m/>
    <m/>
    <m/>
    <m/>
    <m/>
    <m/>
    <n v="0.9838709677419355"/>
    <n v="0.967741935483871"/>
    <n v="58"/>
    <n v="0.5"/>
    <m/>
    <m/>
    <m/>
    <m/>
    <m/>
    <m/>
    <m/>
    <n v="1"/>
    <n v="1"/>
    <s v="Tested"/>
    <n v="1"/>
    <n v="23"/>
    <n v="0"/>
    <n v="0"/>
    <n v="0"/>
    <n v="0"/>
    <n v="0"/>
    <n v="1"/>
    <n v="1"/>
    <n v="1"/>
    <n v="3860"/>
    <n v="0"/>
    <n v="0"/>
    <n v="1"/>
    <n v="3860"/>
    <n v="7.72"/>
    <n v="0"/>
    <n v="0"/>
    <n v="0.28000000000000025"/>
    <n v="8"/>
    <n v="149"/>
    <n v="0.77797927461139893"/>
    <n v="3003"/>
    <n v="0"/>
    <n v="0"/>
    <n v="0"/>
    <n v="193"/>
    <n v="44"/>
    <n v="0.22202072538860107"/>
    <n v="0"/>
    <n v="3000"/>
    <n v="0"/>
    <n v="0"/>
    <n v="0"/>
    <n v="3000"/>
    <n v="0.77720207253886009"/>
    <n v="0.22279792746113991"/>
    <n v="0.77720207253886009"/>
    <n v="0"/>
    <n v="0"/>
    <n v="11"/>
    <n v="220"/>
    <n v="0"/>
    <n v="1100"/>
    <s v="No"/>
    <n v="1.5025906735751295E-2"/>
    <n v="0"/>
    <n v="0"/>
    <n v="0"/>
    <s v="Yes"/>
    <s v="KBC-BMO"/>
    <x v="0"/>
    <x v="1"/>
    <x v="0"/>
    <n v="24.268292826086999"/>
    <n v="97.229116811594196"/>
    <s v="MMR001CMP047"/>
    <x v="0"/>
    <m/>
    <n v="597"/>
    <n v="3765"/>
  </r>
  <r>
    <x v="0"/>
    <x v="12"/>
    <x v="9"/>
    <s v="ECHO"/>
    <x v="1"/>
    <x v="7"/>
    <x v="1"/>
    <x v="182"/>
    <n v="3"/>
    <n v="16"/>
    <d v="2022-04-01T00:00:00"/>
    <d v="2022-11-30T00:00:00"/>
    <m/>
    <m/>
    <m/>
    <m/>
    <s v="Yes"/>
    <n v="3"/>
    <n v="8"/>
    <m/>
    <m/>
    <m/>
    <n v="1"/>
    <m/>
    <m/>
    <m/>
    <n v="1"/>
    <m/>
    <n v="1"/>
    <m/>
    <m/>
    <m/>
    <m/>
    <m/>
    <m/>
    <m/>
    <m/>
    <m/>
    <n v="5"/>
    <m/>
    <m/>
    <m/>
    <n v="12"/>
    <m/>
    <m/>
    <m/>
    <m/>
    <m/>
    <m/>
    <m/>
    <x v="1"/>
    <x v="1"/>
    <m/>
    <m/>
    <m/>
    <m/>
    <m/>
    <m/>
    <n v="3"/>
    <m/>
    <m/>
    <n v="2"/>
    <m/>
    <m/>
    <n v="1"/>
    <m/>
    <m/>
    <m/>
    <m/>
    <m/>
    <m/>
    <n v="1"/>
    <n v="1"/>
    <n v="5"/>
    <n v="1"/>
    <m/>
    <m/>
    <m/>
    <m/>
    <m/>
    <m/>
    <m/>
    <s v="no test"/>
    <s v="no test"/>
    <s v="No Test"/>
    <n v="0"/>
    <n v="1"/>
    <n v="1"/>
    <n v="0"/>
    <n v="0"/>
    <n v="0"/>
    <n v="0"/>
    <n v="1"/>
    <n v="1"/>
    <n v="1"/>
    <n v="16"/>
    <n v="0"/>
    <n v="0"/>
    <n v="1"/>
    <n v="16"/>
    <n v="3.2000000000000001E-2"/>
    <n v="0"/>
    <n v="0"/>
    <n v="0.96799999999999997"/>
    <n v="1"/>
    <n v="12"/>
    <n v="1"/>
    <n v="16"/>
    <n v="0"/>
    <n v="0"/>
    <n v="0"/>
    <n v="1"/>
    <n v="0"/>
    <n v="0"/>
    <n v="0"/>
    <n v="16"/>
    <n v="0"/>
    <n v="0"/>
    <n v="0"/>
    <n v="16"/>
    <n v="1"/>
    <n v="0"/>
    <n v="1"/>
    <n v="0"/>
    <n v="0"/>
    <n v="3"/>
    <n v="3"/>
    <n v="0"/>
    <n v="16"/>
    <s v="No"/>
    <n v="0.3125"/>
    <n v="0"/>
    <n v="0"/>
    <n v="0"/>
    <n v="0"/>
    <n v="0"/>
    <x v="0"/>
    <x v="1"/>
    <x v="0"/>
    <n v="0"/>
    <n v="0"/>
    <n v="0"/>
    <x v="0"/>
    <m/>
    <n v="0"/>
    <n v="0"/>
  </r>
  <r>
    <x v="0"/>
    <x v="12"/>
    <x v="9"/>
    <s v="ECHO"/>
    <x v="1"/>
    <x v="7"/>
    <x v="0"/>
    <x v="183"/>
    <n v="39"/>
    <n v="239"/>
    <d v="2022-04-01T00:00:00"/>
    <d v="2022-11-30T00:00:00"/>
    <m/>
    <m/>
    <m/>
    <m/>
    <s v="Yes"/>
    <n v="3"/>
    <n v="6"/>
    <n v="1"/>
    <m/>
    <m/>
    <m/>
    <m/>
    <m/>
    <m/>
    <n v="1"/>
    <m/>
    <m/>
    <m/>
    <m/>
    <m/>
    <m/>
    <m/>
    <m/>
    <m/>
    <m/>
    <m/>
    <n v="5"/>
    <m/>
    <m/>
    <m/>
    <n v="9"/>
    <m/>
    <m/>
    <m/>
    <m/>
    <m/>
    <m/>
    <m/>
    <x v="1"/>
    <x v="1"/>
    <m/>
    <m/>
    <m/>
    <m/>
    <n v="2"/>
    <m/>
    <n v="4"/>
    <m/>
    <m/>
    <n v="1"/>
    <m/>
    <m/>
    <n v="1"/>
    <m/>
    <m/>
    <m/>
    <m/>
    <m/>
    <m/>
    <n v="1"/>
    <n v="1"/>
    <n v="7"/>
    <n v="0.5"/>
    <m/>
    <m/>
    <m/>
    <m/>
    <m/>
    <m/>
    <m/>
    <s v="no test"/>
    <s v="no test"/>
    <s v="No Test"/>
    <n v="1"/>
    <n v="0"/>
    <n v="1"/>
    <n v="0"/>
    <n v="0"/>
    <n v="0"/>
    <n v="0"/>
    <n v="1"/>
    <n v="1"/>
    <n v="1"/>
    <n v="239"/>
    <n v="0"/>
    <n v="0"/>
    <n v="1"/>
    <n v="239"/>
    <n v="0.47799999999999998"/>
    <n v="0"/>
    <n v="0"/>
    <n v="0.52200000000000002"/>
    <n v="1"/>
    <n v="9"/>
    <n v="0.7615062761506276"/>
    <n v="182"/>
    <n v="0"/>
    <n v="0"/>
    <n v="0"/>
    <n v="12"/>
    <n v="3"/>
    <n v="0.2384937238493724"/>
    <n v="0"/>
    <n v="239"/>
    <n v="0"/>
    <n v="0"/>
    <n v="0"/>
    <n v="239"/>
    <n v="1"/>
    <n v="0"/>
    <n v="1"/>
    <n v="0"/>
    <n v="0"/>
    <n v="4"/>
    <n v="39"/>
    <n v="0"/>
    <n v="239"/>
    <s v="No"/>
    <n v="2.9288702928870293E-2"/>
    <n v="0"/>
    <n v="0"/>
    <n v="0"/>
    <s v="Yes"/>
    <s v="KBC-BMO"/>
    <x v="0"/>
    <x v="1"/>
    <x v="0"/>
    <n v="24.200972"/>
    <n v="97.718582999999995"/>
    <s v="MMR001CMP071"/>
    <x v="0"/>
    <m/>
    <n v="40"/>
    <n v="247"/>
  </r>
  <r>
    <x v="0"/>
    <x v="12"/>
    <x v="9"/>
    <s v="ECHO"/>
    <x v="1"/>
    <x v="7"/>
    <x v="0"/>
    <x v="184"/>
    <n v="68"/>
    <n v="426"/>
    <d v="2022-04-01T00:00:00"/>
    <d v="2022-11-30T00:00:00"/>
    <m/>
    <m/>
    <m/>
    <m/>
    <s v="Yes"/>
    <n v="5"/>
    <n v="6"/>
    <m/>
    <m/>
    <m/>
    <n v="1"/>
    <m/>
    <m/>
    <m/>
    <n v="1"/>
    <m/>
    <m/>
    <m/>
    <m/>
    <m/>
    <m/>
    <m/>
    <m/>
    <m/>
    <m/>
    <m/>
    <m/>
    <m/>
    <m/>
    <m/>
    <n v="6"/>
    <m/>
    <m/>
    <m/>
    <m/>
    <m/>
    <m/>
    <m/>
    <x v="1"/>
    <x v="1"/>
    <m/>
    <m/>
    <m/>
    <m/>
    <n v="6"/>
    <m/>
    <m/>
    <m/>
    <m/>
    <n v="1"/>
    <m/>
    <m/>
    <n v="1"/>
    <m/>
    <m/>
    <m/>
    <m/>
    <m/>
    <m/>
    <n v="1"/>
    <n v="1"/>
    <n v="10"/>
    <m/>
    <m/>
    <m/>
    <m/>
    <m/>
    <m/>
    <m/>
    <m/>
    <s v="no test"/>
    <s v="no test"/>
    <s v="No Test"/>
    <n v="0"/>
    <n v="1"/>
    <n v="1"/>
    <n v="0"/>
    <n v="0"/>
    <n v="0"/>
    <n v="0"/>
    <n v="1"/>
    <n v="0.74334898278560257"/>
    <n v="1"/>
    <n v="426"/>
    <n v="0"/>
    <n v="0"/>
    <n v="1"/>
    <n v="426"/>
    <n v="0.85199999999999998"/>
    <n v="0"/>
    <n v="0"/>
    <n v="0.14800000000000002"/>
    <n v="1"/>
    <n v="6"/>
    <n v="0.29577464788732394"/>
    <n v="126"/>
    <n v="0"/>
    <n v="0"/>
    <n v="0"/>
    <n v="21"/>
    <n v="15"/>
    <n v="0.70422535211267601"/>
    <n v="0"/>
    <n v="426"/>
    <n v="0"/>
    <n v="0"/>
    <n v="0"/>
    <n v="426"/>
    <n v="1"/>
    <n v="0"/>
    <n v="1"/>
    <n v="0"/>
    <n v="0"/>
    <n v="0"/>
    <n v="0"/>
    <n v="0"/>
    <n v="0"/>
    <s v="No"/>
    <n v="2.3474178403755867E-2"/>
    <n v="0"/>
    <n v="0"/>
    <n v="0"/>
    <s v="Yes"/>
    <s v="KMSS-BMO"/>
    <x v="0"/>
    <x v="1"/>
    <x v="0"/>
    <n v="24.205417000000001"/>
    <n v="97.724566999999993"/>
    <s v="MMR001CMP069"/>
    <x v="0"/>
    <m/>
    <n v="79"/>
    <n v="448"/>
  </r>
  <r>
    <x v="0"/>
    <x v="12"/>
    <x v="9"/>
    <s v="ECHO"/>
    <x v="1"/>
    <x v="7"/>
    <x v="0"/>
    <x v="185"/>
    <n v="232"/>
    <n v="1322"/>
    <d v="2022-04-01T00:00:00"/>
    <d v="2022-11-30T00:00:00"/>
    <m/>
    <m/>
    <m/>
    <m/>
    <s v="Yes"/>
    <n v="11"/>
    <n v="13"/>
    <n v="5"/>
    <m/>
    <m/>
    <n v="5"/>
    <m/>
    <m/>
    <m/>
    <n v="4"/>
    <m/>
    <m/>
    <m/>
    <m/>
    <m/>
    <m/>
    <m/>
    <m/>
    <m/>
    <m/>
    <m/>
    <n v="15"/>
    <m/>
    <m/>
    <m/>
    <n v="47"/>
    <m/>
    <m/>
    <m/>
    <m/>
    <m/>
    <m/>
    <m/>
    <x v="1"/>
    <x v="1"/>
    <m/>
    <m/>
    <m/>
    <m/>
    <n v="3"/>
    <m/>
    <n v="15"/>
    <m/>
    <m/>
    <n v="6"/>
    <m/>
    <m/>
    <n v="4"/>
    <m/>
    <m/>
    <m/>
    <m/>
    <m/>
    <m/>
    <n v="1"/>
    <n v="1"/>
    <n v="41"/>
    <n v="1"/>
    <m/>
    <m/>
    <m/>
    <m/>
    <m/>
    <m/>
    <m/>
    <s v="no test"/>
    <s v="no test"/>
    <s v="No Test"/>
    <n v="5"/>
    <n v="5"/>
    <n v="4"/>
    <n v="0"/>
    <n v="0"/>
    <n v="0"/>
    <n v="0"/>
    <n v="1"/>
    <n v="1"/>
    <n v="1"/>
    <n v="1322"/>
    <n v="0"/>
    <n v="0"/>
    <n v="1"/>
    <n v="1322"/>
    <n v="2.6440000000000001"/>
    <n v="0"/>
    <n v="0"/>
    <n v="0.35599999999999987"/>
    <n v="3"/>
    <n v="47"/>
    <n v="0.71331316187594551"/>
    <n v="943"/>
    <n v="0"/>
    <n v="0"/>
    <n v="0"/>
    <n v="66"/>
    <n v="19"/>
    <n v="0.28668683812405449"/>
    <n v="0"/>
    <n v="1322"/>
    <n v="0"/>
    <n v="0"/>
    <n v="0"/>
    <n v="1322"/>
    <n v="1"/>
    <n v="0"/>
    <n v="1"/>
    <n v="0"/>
    <n v="0"/>
    <n v="15"/>
    <n v="232"/>
    <n v="0"/>
    <n v="1322"/>
    <s v="No"/>
    <n v="3.1013615733736764E-2"/>
    <n v="0"/>
    <n v="0"/>
    <n v="0"/>
    <s v="Yes"/>
    <s v="KBC-BMO"/>
    <x v="0"/>
    <x v="1"/>
    <x v="0"/>
    <n v="24.200433"/>
    <n v="97.717133000000004"/>
    <s v="MMR001CMP070"/>
    <x v="0"/>
    <m/>
    <n v="240"/>
    <n v="1395"/>
  </r>
  <r>
    <x v="0"/>
    <x v="12"/>
    <x v="9"/>
    <s v="ECHO"/>
    <x v="1"/>
    <x v="7"/>
    <x v="1"/>
    <x v="186"/>
    <n v="114"/>
    <n v="590"/>
    <d v="2022-04-01T00:00:00"/>
    <d v="2022-11-30T00:00:00"/>
    <m/>
    <m/>
    <m/>
    <m/>
    <s v="Yes"/>
    <n v="6"/>
    <n v="10"/>
    <n v="1"/>
    <m/>
    <m/>
    <n v="1"/>
    <m/>
    <m/>
    <m/>
    <m/>
    <m/>
    <m/>
    <m/>
    <m/>
    <m/>
    <m/>
    <m/>
    <m/>
    <m/>
    <m/>
    <m/>
    <n v="12"/>
    <m/>
    <m/>
    <s v="Water safety plan need to install"/>
    <n v="28"/>
    <m/>
    <m/>
    <m/>
    <m/>
    <m/>
    <m/>
    <m/>
    <x v="1"/>
    <x v="1"/>
    <m/>
    <m/>
    <m/>
    <m/>
    <n v="3"/>
    <m/>
    <n v="12"/>
    <m/>
    <m/>
    <n v="4"/>
    <m/>
    <m/>
    <n v="2"/>
    <m/>
    <m/>
    <m/>
    <m/>
    <m/>
    <m/>
    <n v="1"/>
    <n v="1"/>
    <n v="12"/>
    <m/>
    <m/>
    <m/>
    <m/>
    <m/>
    <m/>
    <m/>
    <m/>
    <s v="no test"/>
    <s v="no test"/>
    <s v="No Test"/>
    <n v="1"/>
    <n v="1"/>
    <n v="0"/>
    <n v="0"/>
    <n v="0"/>
    <n v="0"/>
    <n v="0"/>
    <n v="1"/>
    <n v="0.84745762711864403"/>
    <n v="1"/>
    <n v="590"/>
    <n v="0"/>
    <n v="0"/>
    <n v="1"/>
    <n v="590"/>
    <n v="1.18"/>
    <n v="0"/>
    <n v="0"/>
    <n v="0"/>
    <n v="1"/>
    <n v="28"/>
    <n v="0.95423728813559328"/>
    <n v="563"/>
    <n v="0"/>
    <n v="0"/>
    <n v="0"/>
    <n v="30"/>
    <n v="2"/>
    <n v="4.5762711864406724E-2"/>
    <n v="0"/>
    <n v="590"/>
    <n v="0"/>
    <n v="0"/>
    <n v="0"/>
    <n v="590"/>
    <n v="1"/>
    <n v="0"/>
    <n v="1"/>
    <n v="0"/>
    <n v="0"/>
    <n v="12"/>
    <n v="114"/>
    <n v="0"/>
    <n v="590"/>
    <s v="No"/>
    <n v="2.0338983050847456E-2"/>
    <n v="0"/>
    <n v="0"/>
    <n v="0"/>
    <n v="0"/>
    <n v="0"/>
    <x v="0"/>
    <x v="1"/>
    <x v="0"/>
    <n v="0"/>
    <n v="0"/>
    <n v="0"/>
    <x v="0"/>
    <m/>
    <n v="0"/>
    <n v="0"/>
  </r>
  <r>
    <x v="0"/>
    <x v="12"/>
    <x v="9"/>
    <s v="ECHO"/>
    <x v="1"/>
    <x v="7"/>
    <x v="1"/>
    <x v="187"/>
    <n v="40"/>
    <n v="189"/>
    <d v="2022-04-01T00:00:00"/>
    <d v="2022-11-30T00:00:00"/>
    <m/>
    <m/>
    <m/>
    <m/>
    <s v="Yes"/>
    <n v="2"/>
    <n v="5"/>
    <n v="2"/>
    <m/>
    <m/>
    <n v="2"/>
    <m/>
    <m/>
    <n v="1"/>
    <m/>
    <m/>
    <m/>
    <m/>
    <m/>
    <m/>
    <m/>
    <m/>
    <m/>
    <m/>
    <m/>
    <m/>
    <n v="4"/>
    <m/>
    <m/>
    <m/>
    <n v="8"/>
    <m/>
    <m/>
    <m/>
    <m/>
    <m/>
    <m/>
    <m/>
    <x v="1"/>
    <x v="1"/>
    <m/>
    <m/>
    <m/>
    <m/>
    <n v="4"/>
    <m/>
    <m/>
    <m/>
    <m/>
    <n v="2"/>
    <m/>
    <m/>
    <m/>
    <m/>
    <m/>
    <m/>
    <m/>
    <m/>
    <m/>
    <m/>
    <m/>
    <m/>
    <m/>
    <m/>
    <m/>
    <m/>
    <m/>
    <m/>
    <m/>
    <m/>
    <s v="no test"/>
    <s v="no test"/>
    <s v="No Test"/>
    <n v="2"/>
    <n v="2"/>
    <n v="0"/>
    <n v="0"/>
    <n v="0"/>
    <n v="0"/>
    <n v="0"/>
    <n v="1"/>
    <n v="1"/>
    <n v="1"/>
    <n v="189"/>
    <n v="0"/>
    <n v="0"/>
    <n v="1"/>
    <n v="189"/>
    <n v="0.378"/>
    <n v="0"/>
    <n v="0"/>
    <n v="0.622"/>
    <n v="1"/>
    <n v="8"/>
    <n v="0.86772486772486768"/>
    <n v="164"/>
    <n v="0"/>
    <n v="0"/>
    <n v="0"/>
    <n v="9"/>
    <n v="1"/>
    <n v="0.13227513227513232"/>
    <n v="0"/>
    <n v="0"/>
    <n v="0"/>
    <n v="0"/>
    <n v="0"/>
    <n v="0"/>
    <n v="0"/>
    <n v="1"/>
    <n v="0"/>
    <n v="0"/>
    <n v="0"/>
    <n v="0"/>
    <n v="0"/>
    <n v="0"/>
    <n v="0"/>
    <s v="No"/>
    <s v=""/>
    <n v="0"/>
    <n v="0"/>
    <n v="0"/>
    <e v="#N/A"/>
    <e v="#N/A"/>
    <x v="0"/>
    <x v="1"/>
    <x v="0"/>
    <e v="#N/A"/>
    <e v="#N/A"/>
    <e v="#N/A"/>
    <x v="0"/>
    <m/>
    <e v="#N/A"/>
    <e v="#N/A"/>
  </r>
  <r>
    <x v="0"/>
    <x v="12"/>
    <x v="9"/>
    <s v="ECHO"/>
    <x v="1"/>
    <x v="7"/>
    <x v="0"/>
    <x v="188"/>
    <n v="47"/>
    <n v="299"/>
    <d v="2022-04-01T00:00:00"/>
    <d v="2022-11-30T00:00:00"/>
    <m/>
    <m/>
    <m/>
    <m/>
    <s v="Yes"/>
    <n v="3"/>
    <n v="9"/>
    <n v="3"/>
    <m/>
    <m/>
    <n v="3"/>
    <m/>
    <m/>
    <m/>
    <m/>
    <m/>
    <m/>
    <m/>
    <m/>
    <m/>
    <m/>
    <m/>
    <m/>
    <m/>
    <m/>
    <m/>
    <n v="7"/>
    <m/>
    <m/>
    <m/>
    <n v="13"/>
    <m/>
    <m/>
    <m/>
    <m/>
    <m/>
    <m/>
    <m/>
    <x v="1"/>
    <x v="1"/>
    <m/>
    <m/>
    <m/>
    <m/>
    <n v="3"/>
    <m/>
    <n v="6"/>
    <m/>
    <m/>
    <n v="3"/>
    <m/>
    <m/>
    <n v="1"/>
    <m/>
    <m/>
    <m/>
    <m/>
    <m/>
    <m/>
    <n v="1"/>
    <n v="1"/>
    <n v="9"/>
    <m/>
    <m/>
    <m/>
    <m/>
    <m/>
    <m/>
    <m/>
    <m/>
    <s v="no test"/>
    <s v="no test"/>
    <s v="No Test"/>
    <n v="3"/>
    <n v="3"/>
    <n v="0"/>
    <n v="0"/>
    <n v="0"/>
    <n v="0"/>
    <n v="0"/>
    <n v="1"/>
    <n v="1"/>
    <n v="1"/>
    <n v="299"/>
    <n v="0"/>
    <n v="0"/>
    <n v="1"/>
    <n v="299"/>
    <n v="0.59799999999999998"/>
    <n v="0"/>
    <n v="0"/>
    <n v="0.40200000000000002"/>
    <n v="1"/>
    <n v="13"/>
    <n v="0.87959866220735783"/>
    <n v="263"/>
    <n v="0"/>
    <n v="0"/>
    <n v="0"/>
    <n v="15"/>
    <n v="2"/>
    <n v="0.12040133779264217"/>
    <n v="0"/>
    <n v="299"/>
    <n v="0"/>
    <n v="0"/>
    <n v="0"/>
    <n v="299"/>
    <n v="1"/>
    <n v="0"/>
    <n v="1"/>
    <n v="0"/>
    <n v="0"/>
    <n v="6"/>
    <n v="47"/>
    <n v="0"/>
    <n v="299"/>
    <s v="No"/>
    <n v="3.0100334448160536E-2"/>
    <n v="0"/>
    <n v="0"/>
    <n v="0"/>
    <s v="Yes"/>
    <s v="KBC-BMO"/>
    <x v="0"/>
    <x v="1"/>
    <x v="0"/>
    <n v="24.205417000000001"/>
    <n v="97.724483000000006"/>
    <s v="MMR001CMP072"/>
    <x v="0"/>
    <m/>
    <n v="47"/>
    <n v="291"/>
  </r>
  <r>
    <x v="0"/>
    <x v="12"/>
    <x v="9"/>
    <s v="ECHO"/>
    <x v="1"/>
    <x v="7"/>
    <x v="0"/>
    <x v="189"/>
    <n v="40"/>
    <n v="255"/>
    <d v="2022-04-01T00:00:00"/>
    <d v="2022-11-30T00:00:00"/>
    <m/>
    <m/>
    <m/>
    <m/>
    <s v="Yes"/>
    <n v="3"/>
    <n v="10"/>
    <n v="2"/>
    <m/>
    <m/>
    <n v="2"/>
    <m/>
    <m/>
    <m/>
    <n v="1"/>
    <m/>
    <m/>
    <m/>
    <m/>
    <m/>
    <m/>
    <m/>
    <m/>
    <m/>
    <m/>
    <m/>
    <n v="10"/>
    <m/>
    <m/>
    <m/>
    <n v="16"/>
    <m/>
    <m/>
    <m/>
    <m/>
    <m/>
    <m/>
    <m/>
    <x v="1"/>
    <x v="1"/>
    <m/>
    <m/>
    <m/>
    <m/>
    <m/>
    <m/>
    <n v="8"/>
    <m/>
    <m/>
    <n v="1"/>
    <m/>
    <n v="1"/>
    <n v="1"/>
    <m/>
    <m/>
    <m/>
    <m/>
    <m/>
    <m/>
    <n v="0.77777777777777779"/>
    <n v="1"/>
    <n v="9"/>
    <m/>
    <m/>
    <m/>
    <m/>
    <m/>
    <m/>
    <m/>
    <m/>
    <s v="no test"/>
    <s v="no test"/>
    <s v="No Test"/>
    <n v="2"/>
    <n v="2"/>
    <n v="1"/>
    <n v="0"/>
    <n v="0"/>
    <n v="0"/>
    <n v="0"/>
    <n v="1"/>
    <n v="1"/>
    <n v="1"/>
    <n v="255"/>
    <n v="0"/>
    <n v="0"/>
    <n v="1"/>
    <n v="255"/>
    <n v="0.51"/>
    <n v="0"/>
    <n v="0"/>
    <n v="0.49"/>
    <n v="1"/>
    <n v="16"/>
    <n v="1"/>
    <n v="255"/>
    <n v="0"/>
    <n v="0"/>
    <n v="0"/>
    <n v="13"/>
    <n v="0"/>
    <n v="0"/>
    <n v="0"/>
    <n v="255"/>
    <n v="0"/>
    <n v="0"/>
    <n v="0"/>
    <n v="255"/>
    <n v="1"/>
    <n v="0"/>
    <n v="1"/>
    <n v="0"/>
    <n v="0"/>
    <n v="8"/>
    <n v="40"/>
    <n v="0"/>
    <n v="255"/>
    <s v="No"/>
    <n v="3.5294117647058823E-2"/>
    <n v="0"/>
    <n v="0"/>
    <n v="0"/>
    <s v="Yes"/>
    <s v="KBC-BMO"/>
    <x v="0"/>
    <x v="1"/>
    <x v="0"/>
    <n v="24.207332999999998"/>
    <n v="97.710864000000001"/>
    <s v="MMR001CMP073"/>
    <x v="0"/>
    <m/>
    <n v="47"/>
    <n v="279"/>
  </r>
  <r>
    <x v="0"/>
    <x v="13"/>
    <x v="10"/>
    <s v="Trocaire/Irish"/>
    <x v="1"/>
    <x v="23"/>
    <x v="0"/>
    <x v="190"/>
    <n v="131"/>
    <n v="586"/>
    <s v="15-05-2021"/>
    <s v="14-08-2021"/>
    <m/>
    <m/>
    <m/>
    <m/>
    <m/>
    <m/>
    <m/>
    <m/>
    <m/>
    <m/>
    <m/>
    <m/>
    <m/>
    <m/>
    <m/>
    <m/>
    <m/>
    <m/>
    <m/>
    <m/>
    <m/>
    <m/>
    <m/>
    <m/>
    <m/>
    <m/>
    <n v="12"/>
    <m/>
    <m/>
    <s v="Regarding to the water source testing result (Water conterminate), it should not use for the drinking water. Therefore, it needs to find the new water source and construct new water supply."/>
    <n v="12"/>
    <m/>
    <m/>
    <m/>
    <n v="10"/>
    <m/>
    <m/>
    <m/>
    <x v="2"/>
    <x v="2"/>
    <m/>
    <m/>
    <m/>
    <m/>
    <n v="25"/>
    <s v="It still needs to construct new sanitations"/>
    <n v="3"/>
    <m/>
    <m/>
    <n v="2"/>
    <n v="4"/>
    <n v="2"/>
    <m/>
    <n v="10"/>
    <n v="18"/>
    <m/>
    <m/>
    <m/>
    <s v="It should support in-kind because there is no accessible market"/>
    <m/>
    <m/>
    <m/>
    <m/>
    <m/>
    <m/>
    <m/>
    <m/>
    <m/>
    <m/>
    <m/>
    <s v="no test"/>
    <s v="no test"/>
    <s v="No Test"/>
    <n v="0"/>
    <n v="0"/>
    <n v="0"/>
    <n v="0"/>
    <n v="0"/>
    <n v="0"/>
    <n v="0"/>
    <n v="0"/>
    <n v="0"/>
    <n v="0"/>
    <n v="0"/>
    <n v="0"/>
    <n v="0"/>
    <n v="0"/>
    <n v="0"/>
    <n v="0"/>
    <n v="1"/>
    <n v="586"/>
    <n v="1"/>
    <n v="1"/>
    <n v="12"/>
    <n v="0.4522184300341297"/>
    <n v="265"/>
    <n v="0"/>
    <n v="0"/>
    <n v="0"/>
    <n v="29"/>
    <n v="17"/>
    <n v="0.54778156996587035"/>
    <n v="0"/>
    <n v="586"/>
    <n v="50"/>
    <n v="18"/>
    <n v="50"/>
    <n v="586"/>
    <n v="1"/>
    <n v="0"/>
    <n v="1"/>
    <n v="7.6335877862595422E-2"/>
    <n v="0.13740458015267176"/>
    <n v="3"/>
    <n v="60"/>
    <n v="0"/>
    <n v="300"/>
    <s v="No"/>
    <s v=""/>
    <n v="0"/>
    <n v="0"/>
    <n v="0"/>
    <s v="Yes"/>
    <s v="STW/KMSS-MYT"/>
    <x v="0"/>
    <x v="1"/>
    <x v="1"/>
    <n v="26.007408000000002"/>
    <n v="97.823777000000007"/>
    <s v="MMR001CMP280"/>
    <x v="0"/>
    <m/>
    <n v="140"/>
    <n v="659"/>
  </r>
  <r>
    <x v="0"/>
    <x v="13"/>
    <x v="10"/>
    <s v="Trocaire/MHF"/>
    <x v="1"/>
    <x v="13"/>
    <x v="0"/>
    <x v="191"/>
    <n v="62"/>
    <n v="410"/>
    <d v="2021-01-01T00:00:00"/>
    <d v="2021-12-31T00:00:00"/>
    <m/>
    <m/>
    <m/>
    <m/>
    <s v="Yes"/>
    <n v="3"/>
    <n v="2"/>
    <m/>
    <m/>
    <m/>
    <n v="2"/>
    <m/>
    <n v="1"/>
    <m/>
    <m/>
    <m/>
    <m/>
    <m/>
    <m/>
    <m/>
    <m/>
    <n v="1"/>
    <m/>
    <m/>
    <m/>
    <m/>
    <m/>
    <m/>
    <m/>
    <s v="bathing spaces are needed to renovate pipeline system, walling for women and girls privacy, roofing and water storage tanks. Need to construct new hand dug well "/>
    <n v="59"/>
    <m/>
    <m/>
    <n v="6"/>
    <m/>
    <m/>
    <m/>
    <n v="3"/>
    <x v="1"/>
    <x v="3"/>
    <m/>
    <m/>
    <m/>
    <m/>
    <m/>
    <s v="among 9 latrines, only 3 can be used. To imporve for good latrine coverage ratio: it is big issue raised on September."/>
    <n v="1"/>
    <m/>
    <m/>
    <n v="3"/>
    <n v="2"/>
    <m/>
    <m/>
    <n v="41"/>
    <n v="85"/>
    <m/>
    <m/>
    <m/>
    <m/>
    <m/>
    <m/>
    <m/>
    <m/>
    <m/>
    <m/>
    <m/>
    <m/>
    <m/>
    <m/>
    <m/>
    <s v="no test"/>
    <s v="no test"/>
    <s v="No Test"/>
    <n v="0"/>
    <n v="1"/>
    <n v="0"/>
    <n v="0"/>
    <n v="0"/>
    <n v="0"/>
    <n v="0"/>
    <n v="1"/>
    <n v="0.6097560975609756"/>
    <n v="1"/>
    <n v="410"/>
    <n v="0"/>
    <n v="0"/>
    <n v="1"/>
    <n v="410"/>
    <n v="0.82"/>
    <n v="0"/>
    <n v="0"/>
    <n v="0.18000000000000005"/>
    <n v="1"/>
    <n v="53"/>
    <n v="1"/>
    <n v="410"/>
    <n v="0"/>
    <n v="0"/>
    <n v="0"/>
    <n v="21"/>
    <n v="0"/>
    <n v="0"/>
    <n v="0.10169491525423729"/>
    <n v="0"/>
    <n v="205"/>
    <n v="85"/>
    <n v="205"/>
    <n v="205"/>
    <n v="0.5"/>
    <n v="0.5"/>
    <n v="0"/>
    <n v="1"/>
    <n v="1"/>
    <n v="1"/>
    <n v="20"/>
    <n v="0"/>
    <n v="100"/>
    <s v="No"/>
    <s v=""/>
    <n v="0"/>
    <n v="0"/>
    <n v="0"/>
    <n v="0"/>
    <s v="uncovered"/>
    <x v="0"/>
    <x v="0"/>
    <x v="0"/>
    <n v="25.305008999999998"/>
    <n v="97.430321000000006"/>
    <s v="MMR001CMP248"/>
    <x v="0"/>
    <m/>
    <n v="60"/>
    <n v="371"/>
  </r>
  <r>
    <x v="0"/>
    <x v="14"/>
    <x v="11"/>
    <s v="SI (ECHO)"/>
    <x v="1"/>
    <x v="4"/>
    <x v="0"/>
    <x v="192"/>
    <n v="361"/>
    <n v="1887"/>
    <d v="2020-05-01T00:00:00"/>
    <d v="2020-02-28T00:00:00"/>
    <m/>
    <m/>
    <m/>
    <m/>
    <s v="Yes"/>
    <m/>
    <m/>
    <n v="4"/>
    <m/>
    <m/>
    <m/>
    <m/>
    <m/>
    <m/>
    <m/>
    <m/>
    <m/>
    <m/>
    <n v="5"/>
    <m/>
    <m/>
    <n v="5"/>
    <m/>
    <m/>
    <m/>
    <m/>
    <n v="0"/>
    <n v="5"/>
    <m/>
    <m/>
    <n v="185"/>
    <m/>
    <m/>
    <m/>
    <m/>
    <m/>
    <m/>
    <n v="73"/>
    <x v="0"/>
    <x v="1"/>
    <n v="4"/>
    <n v="60"/>
    <n v="15"/>
    <n v="2"/>
    <m/>
    <m/>
    <n v="1"/>
    <m/>
    <n v="60"/>
    <n v="1"/>
    <m/>
    <n v="2"/>
    <n v="6"/>
    <n v="6"/>
    <n v="5"/>
    <m/>
    <m/>
    <m/>
    <m/>
    <m/>
    <m/>
    <m/>
    <m/>
    <m/>
    <m/>
    <m/>
    <m/>
    <m/>
    <m/>
    <m/>
    <s v="no test"/>
    <s v="no test"/>
    <s v="No Test"/>
    <n v="4"/>
    <n v="0"/>
    <n v="0"/>
    <n v="0"/>
    <n v="0"/>
    <n v="1887"/>
    <n v="0"/>
    <n v="0.84790673025967145"/>
    <n v="0.52994170641229466"/>
    <n v="0.84790673025967145"/>
    <n v="1600"/>
    <n v="0.66242713301536826"/>
    <n v="1250"/>
    <n v="1"/>
    <n v="1887"/>
    <n v="3.774"/>
    <n v="0"/>
    <n v="0"/>
    <n v="0.22599999999999998"/>
    <n v="4"/>
    <n v="185"/>
    <n v="1"/>
    <n v="1887"/>
    <n v="0"/>
    <n v="0"/>
    <n v="100"/>
    <n v="94"/>
    <n v="0"/>
    <n v="0"/>
    <n v="0"/>
    <n v="1887"/>
    <n v="30"/>
    <n v="5"/>
    <n v="30"/>
    <n v="1887"/>
    <n v="1"/>
    <n v="0"/>
    <n v="1"/>
    <n v="1.662049861495845E-2"/>
    <n v="1.3850415512465374E-2"/>
    <n v="1"/>
    <n v="20"/>
    <n v="0"/>
    <n v="100"/>
    <s v="No"/>
    <s v=""/>
    <n v="0"/>
    <n v="1887"/>
    <n v="100"/>
    <s v="Yes"/>
    <s v="KMSS-BMO"/>
    <x v="0"/>
    <x v="1"/>
    <x v="1"/>
    <n v="24.002433"/>
    <n v="97.609832999999995"/>
    <s v="MMR001CMP129"/>
    <x v="0"/>
    <m/>
    <n v="388"/>
    <n v="1900"/>
  </r>
  <r>
    <x v="0"/>
    <x v="14"/>
    <x v="11"/>
    <s v="MHF-Metta"/>
    <x v="1"/>
    <x v="7"/>
    <x v="0"/>
    <x v="193"/>
    <n v="332"/>
    <n v="1675"/>
    <d v="2020-02-13T00:00:00"/>
    <d v="2021-02-12T00:00:00"/>
    <m/>
    <m/>
    <m/>
    <m/>
    <s v="Yes"/>
    <m/>
    <m/>
    <m/>
    <m/>
    <m/>
    <m/>
    <m/>
    <m/>
    <m/>
    <m/>
    <m/>
    <m/>
    <m/>
    <n v="6"/>
    <m/>
    <m/>
    <n v="6"/>
    <m/>
    <m/>
    <m/>
    <m/>
    <n v="4"/>
    <n v="2"/>
    <m/>
    <m/>
    <n v="181"/>
    <m/>
    <m/>
    <m/>
    <m/>
    <m/>
    <m/>
    <n v="71"/>
    <x v="0"/>
    <x v="1"/>
    <n v="2"/>
    <m/>
    <n v="16"/>
    <n v="2"/>
    <m/>
    <m/>
    <n v="8"/>
    <m/>
    <n v="30"/>
    <n v="3"/>
    <m/>
    <m/>
    <n v="6"/>
    <n v="91"/>
    <n v="124"/>
    <m/>
    <m/>
    <m/>
    <m/>
    <m/>
    <m/>
    <m/>
    <m/>
    <m/>
    <m/>
    <m/>
    <m/>
    <m/>
    <m/>
    <m/>
    <s v="no test"/>
    <s v="no test"/>
    <s v="No Test"/>
    <n v="0"/>
    <n v="0"/>
    <n v="0"/>
    <n v="0"/>
    <n v="0"/>
    <n v="1000"/>
    <n v="0"/>
    <n v="0"/>
    <n v="0"/>
    <n v="0"/>
    <n v="0"/>
    <n v="0.89552238805970152"/>
    <n v="1500"/>
    <n v="0.89552238805970152"/>
    <n v="1500"/>
    <n v="3"/>
    <n v="0.10447761194029848"/>
    <n v="174.99999999999994"/>
    <n v="0"/>
    <n v="3"/>
    <n v="181"/>
    <n v="1"/>
    <n v="1675"/>
    <n v="0"/>
    <n v="0"/>
    <n v="100"/>
    <n v="84"/>
    <n v="0"/>
    <n v="0"/>
    <n v="0"/>
    <n v="1675"/>
    <n v="455"/>
    <n v="124"/>
    <n v="455"/>
    <n v="1675"/>
    <n v="1"/>
    <n v="0"/>
    <n v="1"/>
    <n v="0.2740963855421687"/>
    <n v="0.37349397590361444"/>
    <n v="8"/>
    <n v="160"/>
    <n v="0"/>
    <n v="800"/>
    <s v="No"/>
    <s v=""/>
    <n v="0"/>
    <n v="1000"/>
    <n v="100"/>
    <s v="Yes"/>
    <s v="KMSS-BMO"/>
    <x v="0"/>
    <x v="1"/>
    <x v="1"/>
    <n v="24.378167000000001"/>
    <n v="97.669366999999994"/>
    <s v="MMR001CMP131"/>
    <x v="0"/>
    <m/>
    <n v="349"/>
    <n v="1570"/>
  </r>
  <r>
    <x v="0"/>
    <x v="14"/>
    <x v="11"/>
    <s v="MHF-Metta"/>
    <x v="1"/>
    <x v="7"/>
    <x v="0"/>
    <x v="194"/>
    <n v="593"/>
    <n v="2975"/>
    <d v="2020-02-13T00:00:00"/>
    <d v="2021-02-12T00:00:00"/>
    <m/>
    <m/>
    <m/>
    <m/>
    <s v="Yes"/>
    <m/>
    <m/>
    <m/>
    <m/>
    <m/>
    <m/>
    <m/>
    <m/>
    <m/>
    <m/>
    <m/>
    <m/>
    <m/>
    <n v="1"/>
    <m/>
    <m/>
    <n v="1"/>
    <m/>
    <m/>
    <m/>
    <m/>
    <n v="21"/>
    <n v="6"/>
    <m/>
    <m/>
    <n v="152"/>
    <m/>
    <m/>
    <m/>
    <m/>
    <m/>
    <m/>
    <m/>
    <x v="0"/>
    <x v="1"/>
    <n v="4"/>
    <m/>
    <n v="16"/>
    <n v="2"/>
    <m/>
    <m/>
    <n v="7"/>
    <m/>
    <m/>
    <n v="7"/>
    <m/>
    <m/>
    <n v="6"/>
    <n v="104"/>
    <n v="148"/>
    <m/>
    <m/>
    <m/>
    <m/>
    <m/>
    <m/>
    <m/>
    <m/>
    <m/>
    <m/>
    <m/>
    <m/>
    <m/>
    <m/>
    <m/>
    <s v="no test"/>
    <s v="no test"/>
    <s v="No Test"/>
    <n v="0"/>
    <n v="0"/>
    <n v="0"/>
    <n v="0"/>
    <n v="0"/>
    <n v="2975"/>
    <n v="0"/>
    <n v="0"/>
    <n v="0"/>
    <n v="0"/>
    <n v="0"/>
    <n v="8.4033613445378158E-2"/>
    <n v="250.00000000000003"/>
    <n v="8.4033613445378158E-2"/>
    <n v="250.00000000000003"/>
    <n v="0.50000000000000011"/>
    <n v="0.91596638655462181"/>
    <n v="2725"/>
    <n v="5.5"/>
    <n v="6"/>
    <n v="152"/>
    <n v="1"/>
    <n v="2975"/>
    <n v="0"/>
    <n v="0"/>
    <n v="100"/>
    <n v="149"/>
    <n v="0"/>
    <n v="0"/>
    <n v="0"/>
    <n v="2975"/>
    <n v="520"/>
    <n v="148"/>
    <n v="520"/>
    <n v="2975"/>
    <n v="1"/>
    <n v="0"/>
    <n v="1"/>
    <n v="0.17537942664418213"/>
    <n v="0.24957841483979765"/>
    <n v="7"/>
    <n v="140"/>
    <n v="0"/>
    <n v="700"/>
    <s v="No"/>
    <s v=""/>
    <n v="0"/>
    <n v="2975"/>
    <n v="100"/>
    <s v="Yes"/>
    <s v="KMSS-BMO"/>
    <x v="0"/>
    <x v="1"/>
    <x v="1"/>
    <n v="24.2744"/>
    <n v="97.752667000000002"/>
    <s v="MMR001CMP126"/>
    <x v="0"/>
    <m/>
    <n v="616"/>
    <n v="3682"/>
  </r>
  <r>
    <x v="0"/>
    <x v="15"/>
    <x v="12"/>
    <s v="(SI (ECHO), HARP - F),UNICEF"/>
    <x v="1"/>
    <x v="4"/>
    <x v="0"/>
    <x v="195"/>
    <n v="481"/>
    <n v="2691"/>
    <s v="5-1-2020, 1-1-2020"/>
    <s v="2-28-2020, 12-1-2020"/>
    <m/>
    <m/>
    <m/>
    <m/>
    <s v="Yes"/>
    <m/>
    <m/>
    <n v="4"/>
    <m/>
    <m/>
    <m/>
    <m/>
    <m/>
    <m/>
    <m/>
    <m/>
    <m/>
    <m/>
    <n v="1"/>
    <m/>
    <m/>
    <n v="1"/>
    <m/>
    <m/>
    <m/>
    <m/>
    <n v="5"/>
    <n v="2"/>
    <m/>
    <m/>
    <n v="438"/>
    <m/>
    <m/>
    <m/>
    <m/>
    <m/>
    <m/>
    <n v="266"/>
    <x v="0"/>
    <x v="1"/>
    <n v="6"/>
    <n v="274"/>
    <n v="62"/>
    <n v="2"/>
    <m/>
    <m/>
    <n v="7"/>
    <m/>
    <n v="266"/>
    <n v="4"/>
    <m/>
    <m/>
    <n v="7"/>
    <n v="124"/>
    <n v="198"/>
    <m/>
    <m/>
    <m/>
    <m/>
    <m/>
    <m/>
    <m/>
    <m/>
    <m/>
    <m/>
    <m/>
    <m/>
    <m/>
    <m/>
    <m/>
    <s v="no test"/>
    <s v="no test"/>
    <s v="No Test"/>
    <n v="4"/>
    <n v="0"/>
    <n v="0"/>
    <n v="0"/>
    <n v="0"/>
    <n v="1000"/>
    <n v="0"/>
    <n v="0.59457450761798591"/>
    <n v="0.37160906726124115"/>
    <n v="0.59457450761798591"/>
    <n v="1600"/>
    <n v="9.2902266815310289E-2"/>
    <n v="250"/>
    <n v="0.68747677443329624"/>
    <n v="1850"/>
    <n v="3.7"/>
    <n v="0.31252322556670376"/>
    <n v="840.99999999999977"/>
    <n v="1.2999999999999998"/>
    <n v="5"/>
    <n v="438"/>
    <n v="1"/>
    <n v="2691"/>
    <n v="0"/>
    <n v="0"/>
    <n v="100"/>
    <n v="135"/>
    <n v="0"/>
    <n v="0"/>
    <n v="0"/>
    <n v="2691"/>
    <n v="620"/>
    <n v="198"/>
    <n v="620"/>
    <n v="2691"/>
    <n v="1"/>
    <n v="0"/>
    <n v="1"/>
    <n v="0.25779625779625781"/>
    <n v="0.41164241164241167"/>
    <n v="7"/>
    <n v="140"/>
    <n v="0"/>
    <n v="700"/>
    <s v="No"/>
    <s v=""/>
    <n v="0"/>
    <n v="1000"/>
    <n v="100"/>
    <s v="Yes"/>
    <s v="KMSS-BMO"/>
    <x v="0"/>
    <x v="1"/>
    <x v="1"/>
    <n v="24.056132999999999"/>
    <n v="97.625617000000005"/>
    <s v="MMR001CMP128"/>
    <x v="0"/>
    <m/>
    <n v="542"/>
    <n v="2503"/>
  </r>
  <r>
    <x v="1"/>
    <x v="0"/>
    <x v="0"/>
    <s v="UNICEF"/>
    <x v="0"/>
    <x v="0"/>
    <x v="0"/>
    <x v="0"/>
    <n v="340"/>
    <n v="1674"/>
    <d v="2021-10-19T00:00:00"/>
    <d v="2022-10-18T00:00:00"/>
    <m/>
    <m/>
    <m/>
    <m/>
    <s v="Yes"/>
    <n v="2"/>
    <n v="2"/>
    <m/>
    <m/>
    <m/>
    <m/>
    <m/>
    <m/>
    <m/>
    <n v="24"/>
    <m/>
    <n v="14"/>
    <m/>
    <m/>
    <m/>
    <m/>
    <n v="1"/>
    <m/>
    <m/>
    <m/>
    <m/>
    <m/>
    <n v="1"/>
    <m/>
    <m/>
    <n v="30"/>
    <m/>
    <m/>
    <n v="16"/>
    <m/>
    <m/>
    <m/>
    <m/>
    <x v="0"/>
    <x v="0"/>
    <m/>
    <m/>
    <m/>
    <m/>
    <m/>
    <m/>
    <n v="3"/>
    <n v="2"/>
    <m/>
    <m/>
    <m/>
    <m/>
    <m/>
    <m/>
    <m/>
    <m/>
    <m/>
    <m/>
    <m/>
    <m/>
    <m/>
    <m/>
    <m/>
    <m/>
    <m/>
    <m/>
    <m/>
    <m/>
    <m/>
    <m/>
    <s v="no test"/>
    <s v="no test"/>
    <s v="No Test"/>
    <n v="0"/>
    <n v="0"/>
    <n v="24"/>
    <n v="0"/>
    <n v="0"/>
    <n v="500"/>
    <n v="0"/>
    <n v="0.95579450418160095"/>
    <n v="0.95579450418160095"/>
    <n v="0.95579450418160095"/>
    <n v="1600"/>
    <n v="0"/>
    <n v="0"/>
    <n v="0.95579450418160095"/>
    <n v="1600"/>
    <n v="3.2"/>
    <n v="4.4205495818399054E-2"/>
    <n v="74.000000000000014"/>
    <n v="0"/>
    <n v="3"/>
    <n v="14"/>
    <n v="0.16726403823178015"/>
    <n v="280"/>
    <n v="0"/>
    <n v="0"/>
    <n v="0"/>
    <n v="84"/>
    <n v="54"/>
    <n v="0.83273596176821985"/>
    <n v="0.53333333333333333"/>
    <n v="0"/>
    <n v="0"/>
    <n v="0"/>
    <n v="0"/>
    <n v="0"/>
    <n v="0"/>
    <n v="1"/>
    <n v="0"/>
    <n v="0"/>
    <n v="0"/>
    <n v="1"/>
    <n v="20"/>
    <n v="0"/>
    <n v="100"/>
    <s v="No"/>
    <s v=""/>
    <n v="0"/>
    <n v="500"/>
    <n v="0"/>
    <n v="0"/>
    <n v="0"/>
    <x v="0"/>
    <x v="0"/>
    <x v="0"/>
    <n v="23.420603"/>
    <n v="98.451791999999998"/>
    <s v="MMR015CMP069"/>
    <x v="0"/>
    <m/>
    <n v="166"/>
    <n v="830"/>
  </r>
  <r>
    <x v="1"/>
    <x v="0"/>
    <x v="0"/>
    <s v="UNICEF"/>
    <x v="0"/>
    <x v="0"/>
    <x v="3"/>
    <x v="196"/>
    <n v="627"/>
    <n v="3469"/>
    <d v="2021-10-19T00:00:00"/>
    <d v="2022-10-18T00:00:00"/>
    <m/>
    <m/>
    <m/>
    <m/>
    <s v="Yes"/>
    <n v="5"/>
    <n v="4"/>
    <m/>
    <m/>
    <m/>
    <m/>
    <m/>
    <m/>
    <m/>
    <m/>
    <m/>
    <m/>
    <m/>
    <m/>
    <m/>
    <m/>
    <m/>
    <m/>
    <m/>
    <m/>
    <m/>
    <m/>
    <m/>
    <m/>
    <m/>
    <m/>
    <n v="627"/>
    <m/>
    <m/>
    <m/>
    <m/>
    <m/>
    <m/>
    <x v="0"/>
    <x v="0"/>
    <m/>
    <m/>
    <m/>
    <m/>
    <m/>
    <m/>
    <n v="4"/>
    <m/>
    <m/>
    <m/>
    <m/>
    <m/>
    <m/>
    <m/>
    <m/>
    <m/>
    <m/>
    <m/>
    <m/>
    <m/>
    <m/>
    <m/>
    <m/>
    <m/>
    <m/>
    <m/>
    <m/>
    <m/>
    <m/>
    <m/>
    <s v="no test"/>
    <s v="no test"/>
    <s v="No Test"/>
    <n v="0"/>
    <n v="0"/>
    <n v="0"/>
    <n v="0"/>
    <n v="0"/>
    <n v="0"/>
    <n v="0"/>
    <n v="0"/>
    <n v="0"/>
    <n v="0"/>
    <n v="0"/>
    <n v="0"/>
    <n v="0"/>
    <n v="0"/>
    <n v="0"/>
    <n v="0"/>
    <n v="1"/>
    <n v="3469"/>
    <n v="7"/>
    <n v="7"/>
    <n v="627"/>
    <n v="0.90371865090804271"/>
    <n v="3135"/>
    <s v="N/A"/>
    <n v="0"/>
    <n v="0"/>
    <n v="578"/>
    <n v="0"/>
    <n v="9.6281349091957291E-2"/>
    <n v="0"/>
    <n v="0"/>
    <n v="0"/>
    <n v="0"/>
    <n v="0"/>
    <n v="0"/>
    <n v="0"/>
    <n v="1"/>
    <n v="0"/>
    <n v="0"/>
    <n v="0"/>
    <n v="4"/>
    <n v="80"/>
    <n v="0"/>
    <n v="400"/>
    <s v="No"/>
    <s v=""/>
    <n v="0"/>
    <n v="0"/>
    <n v="0"/>
    <n v="0"/>
    <n v="0"/>
    <x v="3"/>
    <x v="9"/>
    <x v="0"/>
    <n v="0"/>
    <n v="0"/>
    <n v="0"/>
    <x v="0"/>
    <m/>
    <n v="0"/>
    <n v="0"/>
  </r>
  <r>
    <x v="1"/>
    <x v="1"/>
    <x v="1"/>
    <s v="MHF"/>
    <x v="1"/>
    <x v="1"/>
    <x v="1"/>
    <x v="2"/>
    <n v="49"/>
    <n v="203"/>
    <d v="2022-04-01T00:00:00"/>
    <d v="2022-10-31T00:00:00"/>
    <n v="53"/>
    <m/>
    <m/>
    <m/>
    <s v="Yes"/>
    <n v="1"/>
    <n v="1"/>
    <n v="4"/>
    <m/>
    <m/>
    <m/>
    <m/>
    <m/>
    <m/>
    <m/>
    <m/>
    <m/>
    <m/>
    <m/>
    <m/>
    <m/>
    <m/>
    <n v="1"/>
    <n v="1"/>
    <n v="3"/>
    <n v="3"/>
    <n v="1"/>
    <m/>
    <m/>
    <s v="Inadequate dirinking water in every summer. Water contamination (iron) is quite high and KBC constructed slow sand filter in attached 2 shallow tube well. "/>
    <n v="7"/>
    <m/>
    <m/>
    <m/>
    <m/>
    <n v="4"/>
    <n v="2"/>
    <m/>
    <x v="1"/>
    <x v="1"/>
    <m/>
    <m/>
    <m/>
    <m/>
    <n v="4"/>
    <s v="There have no child latrine facitity in TLS and CFS"/>
    <n v="2"/>
    <m/>
    <m/>
    <n v="2"/>
    <m/>
    <n v="1"/>
    <m/>
    <m/>
    <m/>
    <s v="Yes"/>
    <n v="1"/>
    <n v="0.5"/>
    <s v="Hygiene item distribution "/>
    <m/>
    <n v="0.8"/>
    <n v="10"/>
    <n v="0.75"/>
    <m/>
    <m/>
    <m/>
    <m/>
    <m/>
    <m/>
    <m/>
    <n v="1"/>
    <n v="1"/>
    <s v="Tested"/>
    <n v="4"/>
    <n v="0"/>
    <n v="0"/>
    <n v="0"/>
    <n v="0"/>
    <n v="0"/>
    <n v="0"/>
    <n v="1"/>
    <n v="1"/>
    <n v="1"/>
    <n v="203"/>
    <n v="0"/>
    <n v="0"/>
    <n v="1"/>
    <n v="203"/>
    <n v="0.40600000000000003"/>
    <n v="0"/>
    <n v="0"/>
    <n v="0.59399999999999997"/>
    <n v="1"/>
    <n v="7"/>
    <n v="0.70935960591133007"/>
    <n v="144"/>
    <n v="80"/>
    <n v="0"/>
    <n v="0"/>
    <n v="10"/>
    <n v="3"/>
    <n v="0.29064039408866993"/>
    <n v="0"/>
    <n v="203"/>
    <n v="0"/>
    <n v="0"/>
    <n v="0"/>
    <n v="203"/>
    <n v="1"/>
    <n v="0"/>
    <n v="1"/>
    <n v="0"/>
    <n v="0"/>
    <n v="2"/>
    <n v="40"/>
    <n v="1"/>
    <n v="200"/>
    <s v="Yes"/>
    <n v="4.9261083743842367E-2"/>
    <n v="0"/>
    <n v="0"/>
    <n v="0"/>
    <n v="0"/>
    <n v="0"/>
    <x v="0"/>
    <x v="0"/>
    <x v="0"/>
    <n v="0"/>
    <n v="0"/>
    <n v="0"/>
    <x v="0"/>
    <m/>
    <n v="0"/>
    <n v="0"/>
  </r>
  <r>
    <x v="1"/>
    <x v="3"/>
    <x v="1"/>
    <s v="MHF"/>
    <x v="1"/>
    <x v="2"/>
    <x v="0"/>
    <x v="3"/>
    <n v="167"/>
    <n v="936"/>
    <d v="2022-05-01T00:00:00"/>
    <d v="2022-10-31T00:00:00"/>
    <m/>
    <n v="1"/>
    <m/>
    <m/>
    <s v="Yes"/>
    <n v="3"/>
    <n v="1"/>
    <m/>
    <m/>
    <m/>
    <m/>
    <m/>
    <m/>
    <m/>
    <m/>
    <m/>
    <m/>
    <m/>
    <m/>
    <m/>
    <m/>
    <m/>
    <m/>
    <m/>
    <m/>
    <m/>
    <m/>
    <m/>
    <m/>
    <m/>
    <n v="32"/>
    <m/>
    <m/>
    <m/>
    <m/>
    <m/>
    <m/>
    <n v="32"/>
    <x v="1"/>
    <x v="1"/>
    <m/>
    <m/>
    <n v="5"/>
    <m/>
    <m/>
    <m/>
    <n v="8"/>
    <m/>
    <m/>
    <n v="3"/>
    <m/>
    <n v="2"/>
    <m/>
    <m/>
    <m/>
    <m/>
    <m/>
    <m/>
    <m/>
    <m/>
    <m/>
    <m/>
    <m/>
    <m/>
    <m/>
    <m/>
    <m/>
    <m/>
    <m/>
    <m/>
    <s v="no test"/>
    <s v="no test"/>
    <s v="No Test"/>
    <n v="0"/>
    <n v="0"/>
    <n v="0"/>
    <n v="0"/>
    <n v="0"/>
    <n v="0"/>
    <n v="0"/>
    <n v="0"/>
    <n v="0"/>
    <n v="0"/>
    <n v="0"/>
    <n v="0"/>
    <n v="0"/>
    <n v="0"/>
    <n v="0"/>
    <n v="0"/>
    <n v="1"/>
    <n v="936"/>
    <n v="2"/>
    <n v="2"/>
    <n v="32"/>
    <n v="0.68376068376068377"/>
    <n v="640"/>
    <n v="0"/>
    <n v="0"/>
    <n v="0"/>
    <n v="47"/>
    <n v="15"/>
    <n v="0.31623931623931623"/>
    <n v="0"/>
    <n v="936"/>
    <n v="0"/>
    <n v="0"/>
    <n v="0"/>
    <n v="936"/>
    <n v="1"/>
    <n v="0"/>
    <n v="1"/>
    <n v="0"/>
    <n v="0"/>
    <n v="8"/>
    <n v="160"/>
    <n v="0"/>
    <n v="800"/>
    <s v="No"/>
    <s v=""/>
    <n v="0"/>
    <n v="0"/>
    <n v="0"/>
    <s v="Yes"/>
    <s v="KBC-MYT"/>
    <x v="0"/>
    <x v="1"/>
    <x v="1"/>
    <n v="25.754110000000001"/>
    <n v="98.475719999999995"/>
    <s v="MMR001CMP043"/>
    <x v="0"/>
    <m/>
    <n v="167"/>
    <n v="936"/>
  </r>
  <r>
    <x v="1"/>
    <x v="16"/>
    <x v="1"/>
    <s v="MHF,IRC"/>
    <x v="1"/>
    <x v="3"/>
    <x v="0"/>
    <x v="4"/>
    <n v="26"/>
    <n v="133"/>
    <d v="2022-05-01T00:00:00"/>
    <d v="2022-10-31T00:00:00"/>
    <m/>
    <n v="1"/>
    <m/>
    <m/>
    <s v="Yes"/>
    <n v="3"/>
    <n v="3"/>
    <m/>
    <m/>
    <m/>
    <n v="1"/>
    <m/>
    <m/>
    <m/>
    <m/>
    <m/>
    <m/>
    <m/>
    <m/>
    <m/>
    <m/>
    <m/>
    <m/>
    <m/>
    <m/>
    <m/>
    <m/>
    <m/>
    <m/>
    <m/>
    <n v="4"/>
    <m/>
    <m/>
    <n v="4"/>
    <m/>
    <m/>
    <m/>
    <n v="4"/>
    <x v="1"/>
    <x v="1"/>
    <m/>
    <m/>
    <m/>
    <m/>
    <m/>
    <m/>
    <n v="1"/>
    <m/>
    <m/>
    <n v="1"/>
    <m/>
    <m/>
    <m/>
    <m/>
    <m/>
    <m/>
    <m/>
    <m/>
    <m/>
    <m/>
    <m/>
    <m/>
    <m/>
    <m/>
    <m/>
    <m/>
    <m/>
    <m/>
    <m/>
    <m/>
    <s v="no test"/>
    <s v="no test"/>
    <s v="No Test"/>
    <n v="0"/>
    <n v="1"/>
    <n v="0"/>
    <n v="0"/>
    <n v="0"/>
    <n v="0"/>
    <n v="0"/>
    <n v="1"/>
    <n v="1"/>
    <n v="1"/>
    <n v="133"/>
    <n v="0"/>
    <n v="0"/>
    <n v="1"/>
    <n v="133"/>
    <n v="0.26600000000000001"/>
    <n v="0"/>
    <n v="0"/>
    <n v="0.73399999999999999"/>
    <n v="1"/>
    <n v="0"/>
    <n v="0"/>
    <n v="0"/>
    <n v="0"/>
    <n v="0"/>
    <n v="0"/>
    <n v="7"/>
    <n v="3"/>
    <n v="1"/>
    <n v="1"/>
    <n v="0"/>
    <n v="0"/>
    <n v="0"/>
    <n v="0"/>
    <n v="0"/>
    <n v="0"/>
    <n v="1"/>
    <n v="0"/>
    <n v="0"/>
    <n v="0"/>
    <n v="1"/>
    <n v="20"/>
    <n v="0"/>
    <n v="100"/>
    <s v="No"/>
    <s v=""/>
    <n v="0"/>
    <n v="0"/>
    <n v="0"/>
    <s v="Yes"/>
    <s v="KBC-MYT"/>
    <x v="0"/>
    <x v="1"/>
    <x v="0"/>
    <n v="25.51352"/>
    <n v="96.705960000000005"/>
    <s v="MMR001CMP148"/>
    <x v="0"/>
    <m/>
    <n v="26"/>
    <n v="133"/>
  </r>
  <r>
    <x v="1"/>
    <x v="16"/>
    <x v="1"/>
    <s v="MHF,IRC"/>
    <x v="1"/>
    <x v="3"/>
    <x v="0"/>
    <x v="5"/>
    <n v="10"/>
    <n v="18"/>
    <d v="2020-10-01T00:00:00"/>
    <d v="2022-04-30T00:00:00"/>
    <m/>
    <n v="1"/>
    <m/>
    <m/>
    <m/>
    <n v="2"/>
    <n v="2"/>
    <n v="1"/>
    <m/>
    <m/>
    <n v="1"/>
    <m/>
    <m/>
    <m/>
    <m/>
    <m/>
    <m/>
    <m/>
    <m/>
    <m/>
    <m/>
    <m/>
    <m/>
    <m/>
    <m/>
    <m/>
    <m/>
    <m/>
    <m/>
    <m/>
    <m/>
    <m/>
    <m/>
    <m/>
    <m/>
    <m/>
    <m/>
    <m/>
    <x v="2"/>
    <x v="2"/>
    <m/>
    <m/>
    <m/>
    <m/>
    <m/>
    <m/>
    <n v="5"/>
    <m/>
    <m/>
    <n v="3"/>
    <m/>
    <m/>
    <m/>
    <m/>
    <m/>
    <m/>
    <m/>
    <m/>
    <m/>
    <m/>
    <m/>
    <m/>
    <m/>
    <m/>
    <m/>
    <m/>
    <m/>
    <m/>
    <m/>
    <m/>
    <s v="no test"/>
    <s v="no test"/>
    <s v="No Test"/>
    <n v="1"/>
    <n v="1"/>
    <n v="0"/>
    <n v="0"/>
    <n v="0"/>
    <n v="0"/>
    <n v="0"/>
    <n v="1"/>
    <n v="1"/>
    <n v="1"/>
    <n v="18"/>
    <n v="0"/>
    <n v="0"/>
    <n v="1"/>
    <n v="18"/>
    <n v="3.5999999999999997E-2"/>
    <n v="0"/>
    <n v="0"/>
    <n v="0.96399999999999997"/>
    <n v="1"/>
    <n v="0"/>
    <n v="0"/>
    <n v="0"/>
    <n v="0"/>
    <n v="0"/>
    <n v="0"/>
    <n v="1"/>
    <n v="1"/>
    <n v="1"/>
    <n v="0"/>
    <n v="0"/>
    <n v="0"/>
    <n v="0"/>
    <n v="0"/>
    <n v="0"/>
    <n v="0"/>
    <n v="1"/>
    <n v="0"/>
    <n v="0"/>
    <n v="0"/>
    <n v="5"/>
    <n v="10"/>
    <n v="0"/>
    <n v="18"/>
    <s v="No"/>
    <s v=""/>
    <n v="0"/>
    <n v="0"/>
    <n v="0"/>
    <s v="Yes"/>
    <s v="KMSS-MYT"/>
    <x v="0"/>
    <x v="1"/>
    <x v="0"/>
    <n v="25.920006000000001"/>
    <n v="96.662092000000001"/>
    <s v="MMR001CMP247"/>
    <x v="0"/>
    <m/>
    <n v="24"/>
    <n v="101"/>
  </r>
  <r>
    <x v="1"/>
    <x v="16"/>
    <x v="1"/>
    <s v="MHF, IRC"/>
    <x v="1"/>
    <x v="3"/>
    <x v="0"/>
    <x v="6"/>
    <n v="28"/>
    <n v="103"/>
    <d v="2020-10-01T00:00:00"/>
    <d v="2022-04-30T00:00:00"/>
    <m/>
    <n v="1"/>
    <m/>
    <m/>
    <s v="Yes"/>
    <n v="2"/>
    <n v="2"/>
    <n v="1"/>
    <m/>
    <m/>
    <n v="2"/>
    <m/>
    <m/>
    <m/>
    <m/>
    <m/>
    <m/>
    <m/>
    <m/>
    <m/>
    <m/>
    <m/>
    <m/>
    <m/>
    <m/>
    <m/>
    <m/>
    <m/>
    <m/>
    <m/>
    <n v="5"/>
    <m/>
    <m/>
    <m/>
    <m/>
    <m/>
    <m/>
    <n v="5"/>
    <x v="1"/>
    <x v="3"/>
    <m/>
    <m/>
    <m/>
    <m/>
    <m/>
    <m/>
    <n v="2"/>
    <m/>
    <m/>
    <n v="2"/>
    <m/>
    <m/>
    <m/>
    <m/>
    <m/>
    <m/>
    <m/>
    <m/>
    <m/>
    <m/>
    <m/>
    <m/>
    <m/>
    <m/>
    <m/>
    <m/>
    <m/>
    <m/>
    <m/>
    <m/>
    <s v="no test"/>
    <s v="no test"/>
    <s v="No Test"/>
    <n v="1"/>
    <n v="2"/>
    <n v="0"/>
    <n v="0"/>
    <n v="0"/>
    <n v="0"/>
    <n v="0"/>
    <n v="1"/>
    <n v="1"/>
    <n v="1"/>
    <n v="103"/>
    <n v="0"/>
    <n v="0"/>
    <n v="1"/>
    <n v="103"/>
    <n v="0.20599999999999999"/>
    <n v="0"/>
    <n v="0"/>
    <n v="0.79400000000000004"/>
    <n v="1"/>
    <n v="5"/>
    <n v="0.970873786407767"/>
    <n v="100"/>
    <n v="0"/>
    <n v="0"/>
    <n v="0"/>
    <n v="5"/>
    <n v="0"/>
    <n v="2.9126213592232997E-2"/>
    <n v="0"/>
    <n v="0"/>
    <n v="0"/>
    <n v="0"/>
    <n v="0"/>
    <n v="0"/>
    <n v="0"/>
    <n v="1"/>
    <n v="0"/>
    <n v="0"/>
    <n v="0"/>
    <n v="2"/>
    <n v="28"/>
    <n v="0"/>
    <n v="103"/>
    <s v="No"/>
    <s v=""/>
    <n v="0"/>
    <n v="0"/>
    <n v="0"/>
    <s v="Yes"/>
    <s v="KBC-MYT"/>
    <x v="0"/>
    <x v="1"/>
    <x v="0"/>
    <n v="25.920006000000001"/>
    <n v="96.662092000000001"/>
    <s v="MMR001CMP244"/>
    <x v="0"/>
    <m/>
    <n v="24"/>
    <n v="110"/>
  </r>
  <r>
    <x v="1"/>
    <x v="2"/>
    <x v="1"/>
    <s v="UNICEF, MHF"/>
    <x v="1"/>
    <x v="4"/>
    <x v="0"/>
    <x v="7"/>
    <n v="364"/>
    <n v="1759"/>
    <d v="2022-04-01T00:00:00"/>
    <d v="2022-10-31T00:00:00"/>
    <n v="489"/>
    <m/>
    <m/>
    <m/>
    <s v="Yes"/>
    <n v="5"/>
    <n v="5"/>
    <n v="1"/>
    <m/>
    <m/>
    <n v="1"/>
    <m/>
    <n v="1"/>
    <n v="1"/>
    <m/>
    <m/>
    <m/>
    <m/>
    <m/>
    <m/>
    <m/>
    <m/>
    <n v="4"/>
    <n v="4"/>
    <n v="29"/>
    <n v="24"/>
    <n v="3"/>
    <n v="3"/>
    <m/>
    <m/>
    <n v="119"/>
    <m/>
    <m/>
    <m/>
    <m/>
    <m/>
    <m/>
    <m/>
    <x v="1"/>
    <x v="1"/>
    <m/>
    <m/>
    <m/>
    <m/>
    <m/>
    <m/>
    <n v="40"/>
    <n v="20"/>
    <m/>
    <n v="3"/>
    <n v="2"/>
    <n v="5"/>
    <n v="5"/>
    <n v="364"/>
    <n v="616"/>
    <s v="Yes"/>
    <n v="1"/>
    <n v="0.6"/>
    <s v="No Comment"/>
    <n v="0.6"/>
    <n v="0.8"/>
    <n v="20"/>
    <n v="0.8"/>
    <m/>
    <m/>
    <m/>
    <m/>
    <m/>
    <m/>
    <m/>
    <n v="1"/>
    <n v="0.82758620689655171"/>
    <s v="Tested"/>
    <n v="1"/>
    <n v="0"/>
    <n v="0"/>
    <n v="0"/>
    <n v="0"/>
    <n v="1500"/>
    <n v="0"/>
    <n v="0.22740193291642979"/>
    <n v="0.14212620807276863"/>
    <n v="0.22740193291642979"/>
    <n v="400"/>
    <n v="0"/>
    <n v="0"/>
    <n v="0.22740193291642979"/>
    <n v="400"/>
    <n v="0.8"/>
    <n v="0.77259806708357015"/>
    <n v="1359"/>
    <n v="3.2"/>
    <n v="4"/>
    <n v="119"/>
    <n v="1"/>
    <n v="1759"/>
    <n v="0"/>
    <n v="0"/>
    <n v="0"/>
    <n v="88"/>
    <n v="0"/>
    <n v="0"/>
    <n v="0"/>
    <n v="1759"/>
    <n v="1759"/>
    <n v="616"/>
    <n v="1759"/>
    <n v="1759"/>
    <n v="1"/>
    <n v="0"/>
    <n v="1"/>
    <n v="1"/>
    <n v="1"/>
    <n v="20"/>
    <n v="364"/>
    <n v="3"/>
    <n v="1759"/>
    <s v="Yes"/>
    <n v="1.137009664582149E-2"/>
    <n v="0"/>
    <n v="1500"/>
    <n v="0"/>
    <s v="Yes"/>
    <s v="KBC-BMO"/>
    <x v="0"/>
    <x v="1"/>
    <x v="0"/>
    <n v="23.972453000000002"/>
    <n v="97.225881000000001"/>
    <s v="MMR001CMP218"/>
    <x v="0"/>
    <m/>
    <n v="363"/>
    <n v="1757"/>
  </r>
  <r>
    <x v="1"/>
    <x v="17"/>
    <x v="1"/>
    <s v="SIDA"/>
    <x v="1"/>
    <x v="5"/>
    <x v="0"/>
    <x v="8"/>
    <n v="13"/>
    <n v="76"/>
    <d v="2022-05-01T00:00:00"/>
    <d v="2022-10-31T00:00:00"/>
    <m/>
    <m/>
    <m/>
    <m/>
    <s v="Yes"/>
    <n v="2"/>
    <n v="3"/>
    <n v="1"/>
    <m/>
    <m/>
    <n v="1"/>
    <m/>
    <m/>
    <m/>
    <m/>
    <m/>
    <m/>
    <m/>
    <m/>
    <m/>
    <m/>
    <n v="2"/>
    <m/>
    <m/>
    <m/>
    <m/>
    <m/>
    <m/>
    <m/>
    <m/>
    <n v="6"/>
    <m/>
    <m/>
    <n v="6"/>
    <m/>
    <m/>
    <m/>
    <n v="6"/>
    <x v="1"/>
    <x v="3"/>
    <m/>
    <m/>
    <m/>
    <m/>
    <m/>
    <m/>
    <n v="4"/>
    <m/>
    <m/>
    <n v="2"/>
    <m/>
    <m/>
    <m/>
    <m/>
    <m/>
    <m/>
    <m/>
    <m/>
    <m/>
    <m/>
    <m/>
    <m/>
    <m/>
    <m/>
    <m/>
    <m/>
    <m/>
    <m/>
    <m/>
    <m/>
    <s v="no test"/>
    <s v="no test"/>
    <s v="No Test"/>
    <n v="1"/>
    <n v="1"/>
    <n v="0"/>
    <n v="0"/>
    <n v="0"/>
    <n v="0"/>
    <n v="0"/>
    <n v="1"/>
    <n v="1"/>
    <n v="1"/>
    <n v="76"/>
    <n v="0"/>
    <n v="0"/>
    <n v="1"/>
    <n v="76"/>
    <n v="0.152"/>
    <n v="0"/>
    <n v="0"/>
    <n v="0.84799999999999998"/>
    <n v="1"/>
    <n v="0"/>
    <n v="0"/>
    <n v="0"/>
    <n v="0"/>
    <n v="0"/>
    <n v="0"/>
    <n v="4"/>
    <n v="0"/>
    <n v="1"/>
    <n v="1"/>
    <n v="0"/>
    <n v="0"/>
    <n v="0"/>
    <n v="0"/>
    <n v="0"/>
    <n v="0"/>
    <n v="1"/>
    <n v="0"/>
    <n v="0"/>
    <n v="0"/>
    <n v="4"/>
    <n v="13"/>
    <n v="0"/>
    <n v="76"/>
    <s v="No"/>
    <s v=""/>
    <n v="0"/>
    <n v="0"/>
    <n v="0"/>
    <s v="Yes"/>
    <s v="KBC-MYT"/>
    <x v="0"/>
    <x v="1"/>
    <x v="0"/>
    <n v="25.305669999999999"/>
    <n v="96.922619999999995"/>
    <s v="MMR001CMP078"/>
    <x v="0"/>
    <m/>
    <n v="13"/>
    <n v="76"/>
  </r>
  <r>
    <x v="1"/>
    <x v="17"/>
    <x v="1"/>
    <s v="SIDA"/>
    <x v="1"/>
    <x v="5"/>
    <x v="0"/>
    <x v="9"/>
    <n v="15"/>
    <n v="73"/>
    <d v="2022-05-01T00:00:00"/>
    <d v="2022-10-31T00:00:00"/>
    <m/>
    <m/>
    <m/>
    <m/>
    <s v="Yes"/>
    <n v="2"/>
    <n v="3"/>
    <n v="1"/>
    <m/>
    <m/>
    <n v="1"/>
    <m/>
    <m/>
    <m/>
    <m/>
    <m/>
    <m/>
    <m/>
    <m/>
    <m/>
    <m/>
    <n v="2"/>
    <m/>
    <m/>
    <m/>
    <m/>
    <m/>
    <m/>
    <m/>
    <m/>
    <n v="3"/>
    <m/>
    <m/>
    <m/>
    <m/>
    <m/>
    <m/>
    <n v="2"/>
    <x v="1"/>
    <x v="1"/>
    <m/>
    <m/>
    <m/>
    <m/>
    <m/>
    <m/>
    <n v="2"/>
    <m/>
    <m/>
    <n v="2"/>
    <m/>
    <m/>
    <m/>
    <m/>
    <m/>
    <m/>
    <m/>
    <m/>
    <m/>
    <m/>
    <m/>
    <m/>
    <m/>
    <m/>
    <m/>
    <m/>
    <m/>
    <m/>
    <m/>
    <m/>
    <s v="no test"/>
    <s v="no test"/>
    <s v="No Test"/>
    <n v="1"/>
    <n v="1"/>
    <n v="0"/>
    <n v="0"/>
    <n v="0"/>
    <n v="0"/>
    <n v="0"/>
    <n v="1"/>
    <n v="1"/>
    <n v="1"/>
    <n v="73"/>
    <n v="0"/>
    <n v="0"/>
    <n v="1"/>
    <n v="73"/>
    <n v="0.14599999999999999"/>
    <n v="0"/>
    <n v="0"/>
    <n v="0.85399999999999998"/>
    <n v="1"/>
    <n v="3"/>
    <n v="0.82191780821917804"/>
    <n v="60"/>
    <n v="0"/>
    <n v="0"/>
    <n v="0"/>
    <n v="4"/>
    <n v="1"/>
    <n v="0.17808219178082196"/>
    <n v="0"/>
    <n v="0"/>
    <n v="0"/>
    <n v="0"/>
    <n v="0"/>
    <n v="0"/>
    <n v="0"/>
    <n v="1"/>
    <n v="0"/>
    <n v="0"/>
    <n v="0"/>
    <n v="2"/>
    <n v="15"/>
    <n v="0"/>
    <n v="73"/>
    <s v="No"/>
    <s v=""/>
    <n v="0"/>
    <n v="0"/>
    <n v="0"/>
    <s v="Yes"/>
    <s v="KBC-MYT"/>
    <x v="0"/>
    <x v="1"/>
    <x v="0"/>
    <n v="25.296579999999999"/>
    <n v="96.942279999999997"/>
    <s v="MMR001CMP077"/>
    <x v="0"/>
    <m/>
    <n v="16"/>
    <n v="75"/>
  </r>
  <r>
    <x v="1"/>
    <x v="17"/>
    <x v="1"/>
    <s v="SIDA"/>
    <x v="1"/>
    <x v="5"/>
    <x v="1"/>
    <x v="10"/>
    <n v="5"/>
    <n v="28"/>
    <d v="2022-05-01T00:00:00"/>
    <d v="2022-10-31T00:00:00"/>
    <m/>
    <m/>
    <m/>
    <m/>
    <s v="Yes"/>
    <n v="3"/>
    <m/>
    <n v="1"/>
    <m/>
    <m/>
    <n v="1"/>
    <m/>
    <m/>
    <m/>
    <m/>
    <m/>
    <m/>
    <m/>
    <m/>
    <m/>
    <m/>
    <n v="3"/>
    <m/>
    <m/>
    <m/>
    <m/>
    <m/>
    <m/>
    <m/>
    <m/>
    <n v="2"/>
    <m/>
    <m/>
    <m/>
    <m/>
    <m/>
    <m/>
    <n v="2"/>
    <x v="1"/>
    <x v="1"/>
    <m/>
    <m/>
    <m/>
    <m/>
    <m/>
    <m/>
    <n v="1"/>
    <n v="1"/>
    <m/>
    <n v="2"/>
    <m/>
    <m/>
    <m/>
    <m/>
    <m/>
    <m/>
    <m/>
    <m/>
    <m/>
    <m/>
    <m/>
    <m/>
    <m/>
    <m/>
    <m/>
    <m/>
    <m/>
    <m/>
    <m/>
    <m/>
    <s v="no test"/>
    <s v="no test"/>
    <s v="No Test"/>
    <n v="1"/>
    <n v="1"/>
    <n v="0"/>
    <n v="0"/>
    <n v="0"/>
    <n v="0"/>
    <n v="0"/>
    <n v="1"/>
    <n v="1"/>
    <n v="1"/>
    <n v="28"/>
    <n v="0"/>
    <n v="0"/>
    <n v="1"/>
    <n v="28"/>
    <n v="5.6000000000000001E-2"/>
    <n v="0"/>
    <n v="0"/>
    <n v="0.94399999999999995"/>
    <n v="1"/>
    <n v="2"/>
    <n v="1"/>
    <n v="28"/>
    <n v="0"/>
    <n v="0"/>
    <n v="0"/>
    <n v="1"/>
    <n v="0"/>
    <n v="0"/>
    <n v="0"/>
    <n v="0"/>
    <n v="0"/>
    <n v="0"/>
    <n v="0"/>
    <n v="0"/>
    <n v="0"/>
    <n v="1"/>
    <n v="0"/>
    <n v="0"/>
    <n v="0"/>
    <n v="0"/>
    <n v="0"/>
    <n v="0"/>
    <n v="0"/>
    <s v="No"/>
    <s v=""/>
    <n v="0"/>
    <n v="0"/>
    <n v="0"/>
    <n v="0"/>
    <n v="0"/>
    <x v="0"/>
    <x v="0"/>
    <x v="0"/>
    <n v="0"/>
    <n v="0"/>
    <n v="0"/>
    <x v="0"/>
    <m/>
    <n v="0"/>
    <n v="0"/>
  </r>
  <r>
    <x v="1"/>
    <x v="18"/>
    <x v="1"/>
    <s v="SIDA, LIFT"/>
    <x v="1"/>
    <x v="5"/>
    <x v="0"/>
    <x v="11"/>
    <n v="110"/>
    <n v="611"/>
    <s v="5/31/2022,1/1/2020"/>
    <s v="10/31/2022,12/31/2022"/>
    <m/>
    <m/>
    <m/>
    <m/>
    <s v="Yes"/>
    <n v="1"/>
    <n v="2"/>
    <n v="5"/>
    <m/>
    <m/>
    <n v="3"/>
    <m/>
    <m/>
    <m/>
    <m/>
    <m/>
    <m/>
    <m/>
    <m/>
    <m/>
    <m/>
    <n v="2"/>
    <m/>
    <m/>
    <m/>
    <m/>
    <m/>
    <m/>
    <m/>
    <m/>
    <n v="20"/>
    <m/>
    <m/>
    <n v="2"/>
    <m/>
    <m/>
    <m/>
    <n v="12"/>
    <x v="1"/>
    <x v="1"/>
    <m/>
    <m/>
    <m/>
    <m/>
    <m/>
    <m/>
    <n v="4"/>
    <m/>
    <m/>
    <n v="5"/>
    <m/>
    <n v="2"/>
    <n v="1"/>
    <n v="37"/>
    <n v="39"/>
    <m/>
    <m/>
    <m/>
    <s v="Provide hygiene 4 clean message to mother group session and adolescent sessions (Under managed by Nutrition Programme) "/>
    <m/>
    <m/>
    <m/>
    <m/>
    <m/>
    <m/>
    <m/>
    <m/>
    <m/>
    <m/>
    <m/>
    <s v="no test"/>
    <s v="no test"/>
    <s v="No Test"/>
    <n v="5"/>
    <n v="3"/>
    <n v="0"/>
    <n v="0"/>
    <n v="0"/>
    <n v="0"/>
    <n v="0"/>
    <n v="1"/>
    <n v="1"/>
    <n v="1"/>
    <n v="611"/>
    <n v="0"/>
    <n v="0"/>
    <n v="1"/>
    <n v="611"/>
    <n v="1.222"/>
    <n v="0"/>
    <n v="0"/>
    <n v="0"/>
    <n v="1"/>
    <n v="18"/>
    <n v="0.58919803600654663"/>
    <n v="360"/>
    <n v="0"/>
    <n v="0"/>
    <n v="0"/>
    <n v="31"/>
    <n v="11"/>
    <n v="0.41080196399345337"/>
    <n v="0.1"/>
    <n v="611"/>
    <n v="185"/>
    <n v="39"/>
    <n v="185"/>
    <n v="611"/>
    <n v="1"/>
    <n v="0"/>
    <n v="1"/>
    <n v="1"/>
    <n v="0.35454545454545455"/>
    <n v="4"/>
    <n v="80"/>
    <n v="0"/>
    <n v="400"/>
    <s v="No"/>
    <s v=""/>
    <n v="0"/>
    <n v="0"/>
    <n v="0"/>
    <n v="0"/>
    <s v="KBC-MYT"/>
    <x v="0"/>
    <x v="1"/>
    <x v="0"/>
    <n v="25.2226"/>
    <n v="97.012299999999996"/>
    <s v="MMR001CMP261"/>
    <x v="0"/>
    <m/>
    <n v="111"/>
    <n v="599"/>
  </r>
  <r>
    <x v="1"/>
    <x v="17"/>
    <x v="1"/>
    <s v="SIDA"/>
    <x v="1"/>
    <x v="5"/>
    <x v="0"/>
    <x v="12"/>
    <n v="10"/>
    <n v="48"/>
    <d v="2022-05-01T00:00:00"/>
    <d v="2022-10-31T00:00:00"/>
    <m/>
    <m/>
    <m/>
    <m/>
    <s v="Yes"/>
    <n v="2"/>
    <n v="1"/>
    <n v="2"/>
    <m/>
    <n v="1"/>
    <n v="2"/>
    <m/>
    <m/>
    <m/>
    <m/>
    <m/>
    <m/>
    <m/>
    <m/>
    <m/>
    <m/>
    <n v="3"/>
    <m/>
    <m/>
    <m/>
    <m/>
    <m/>
    <m/>
    <m/>
    <m/>
    <n v="4"/>
    <m/>
    <m/>
    <n v="1"/>
    <n v="2"/>
    <m/>
    <m/>
    <n v="3"/>
    <x v="1"/>
    <x v="1"/>
    <m/>
    <m/>
    <m/>
    <m/>
    <m/>
    <m/>
    <n v="3"/>
    <n v="1"/>
    <m/>
    <n v="2"/>
    <m/>
    <m/>
    <m/>
    <m/>
    <m/>
    <m/>
    <m/>
    <m/>
    <m/>
    <m/>
    <m/>
    <m/>
    <m/>
    <m/>
    <m/>
    <m/>
    <m/>
    <m/>
    <m/>
    <m/>
    <s v="no test"/>
    <s v="no test"/>
    <s v="No Test"/>
    <n v="2"/>
    <n v="2"/>
    <n v="0"/>
    <n v="0"/>
    <n v="0"/>
    <n v="0"/>
    <n v="0"/>
    <n v="1"/>
    <n v="1"/>
    <n v="1"/>
    <n v="48"/>
    <n v="0"/>
    <n v="0"/>
    <n v="1"/>
    <n v="48"/>
    <n v="9.6000000000000002E-2"/>
    <n v="0"/>
    <n v="0"/>
    <n v="0.90400000000000003"/>
    <n v="1"/>
    <n v="3"/>
    <n v="1"/>
    <n v="48"/>
    <n v="0"/>
    <n v="0"/>
    <n v="0"/>
    <n v="2"/>
    <n v="0"/>
    <n v="0"/>
    <n v="0.25"/>
    <n v="0"/>
    <n v="0"/>
    <n v="0"/>
    <n v="0"/>
    <n v="0"/>
    <n v="0"/>
    <n v="1"/>
    <n v="0"/>
    <n v="0"/>
    <n v="0"/>
    <n v="2"/>
    <n v="10"/>
    <n v="0"/>
    <n v="48"/>
    <s v="No"/>
    <s v=""/>
    <n v="0"/>
    <n v="0"/>
    <n v="0"/>
    <s v="Yes"/>
    <s v="KBC-MYT"/>
    <x v="0"/>
    <x v="1"/>
    <x v="0"/>
    <n v="25.30442"/>
    <n v="96.948740000000001"/>
    <s v="MMR001CMP079"/>
    <x v="0"/>
    <m/>
    <n v="10"/>
    <n v="48"/>
  </r>
  <r>
    <x v="1"/>
    <x v="17"/>
    <x v="1"/>
    <s v="SIDA"/>
    <x v="1"/>
    <x v="5"/>
    <x v="0"/>
    <x v="13"/>
    <n v="27"/>
    <n v="136"/>
    <d v="2022-05-01T00:00:00"/>
    <d v="2022-10-31T00:00:00"/>
    <m/>
    <m/>
    <m/>
    <m/>
    <s v="Yes"/>
    <n v="2"/>
    <n v="2"/>
    <m/>
    <m/>
    <m/>
    <n v="1"/>
    <m/>
    <m/>
    <m/>
    <m/>
    <m/>
    <m/>
    <m/>
    <m/>
    <m/>
    <m/>
    <n v="3"/>
    <m/>
    <m/>
    <m/>
    <m/>
    <m/>
    <m/>
    <m/>
    <m/>
    <n v="12"/>
    <m/>
    <m/>
    <m/>
    <m/>
    <m/>
    <m/>
    <n v="12"/>
    <x v="1"/>
    <x v="3"/>
    <m/>
    <m/>
    <m/>
    <m/>
    <m/>
    <m/>
    <n v="8"/>
    <m/>
    <m/>
    <n v="3"/>
    <m/>
    <m/>
    <m/>
    <m/>
    <m/>
    <m/>
    <m/>
    <m/>
    <m/>
    <m/>
    <m/>
    <m/>
    <m/>
    <m/>
    <m/>
    <m/>
    <m/>
    <m/>
    <m/>
    <m/>
    <s v="no test"/>
    <s v="no test"/>
    <s v="No Test"/>
    <n v="0"/>
    <n v="1"/>
    <n v="0"/>
    <n v="0"/>
    <n v="0"/>
    <n v="0"/>
    <n v="0"/>
    <n v="1"/>
    <n v="1"/>
    <n v="1"/>
    <n v="136"/>
    <n v="0"/>
    <n v="0"/>
    <n v="1"/>
    <n v="136"/>
    <n v="0.27200000000000002"/>
    <n v="0"/>
    <n v="0"/>
    <n v="0.72799999999999998"/>
    <n v="1"/>
    <n v="12"/>
    <n v="1"/>
    <n v="136"/>
    <n v="0"/>
    <n v="0"/>
    <n v="0"/>
    <n v="7"/>
    <n v="0"/>
    <n v="0"/>
    <n v="0"/>
    <n v="0"/>
    <n v="0"/>
    <n v="0"/>
    <n v="0"/>
    <n v="0"/>
    <n v="0"/>
    <n v="1"/>
    <n v="0"/>
    <n v="0"/>
    <n v="0"/>
    <n v="8"/>
    <n v="27"/>
    <n v="0"/>
    <n v="136"/>
    <s v="No"/>
    <s v=""/>
    <n v="0"/>
    <n v="0"/>
    <n v="0"/>
    <s v="Yes"/>
    <s v="KBC-MYT"/>
    <x v="0"/>
    <x v="1"/>
    <x v="0"/>
    <n v="25.225000000000001"/>
    <n v="96.793999999999997"/>
    <s v="MMR001CMP236"/>
    <x v="0"/>
    <m/>
    <n v="27"/>
    <n v="137"/>
  </r>
  <r>
    <x v="1"/>
    <x v="17"/>
    <x v="1"/>
    <s v="SIDA"/>
    <x v="1"/>
    <x v="6"/>
    <x v="0"/>
    <x v="14"/>
    <n v="27"/>
    <n v="130"/>
    <d v="2022-05-01T00:00:00"/>
    <d v="2022-10-31T00:00:00"/>
    <m/>
    <m/>
    <m/>
    <m/>
    <s v="Yes"/>
    <n v="2"/>
    <n v="2"/>
    <n v="2"/>
    <m/>
    <m/>
    <n v="1"/>
    <m/>
    <m/>
    <m/>
    <m/>
    <m/>
    <m/>
    <m/>
    <m/>
    <m/>
    <m/>
    <m/>
    <m/>
    <m/>
    <m/>
    <m/>
    <m/>
    <m/>
    <m/>
    <m/>
    <n v="5"/>
    <m/>
    <m/>
    <n v="5"/>
    <m/>
    <m/>
    <m/>
    <m/>
    <x v="1"/>
    <x v="3"/>
    <m/>
    <m/>
    <m/>
    <m/>
    <m/>
    <m/>
    <n v="4"/>
    <m/>
    <m/>
    <n v="2"/>
    <n v="1"/>
    <m/>
    <m/>
    <m/>
    <m/>
    <m/>
    <m/>
    <m/>
    <m/>
    <m/>
    <m/>
    <m/>
    <m/>
    <m/>
    <m/>
    <m/>
    <m/>
    <m/>
    <m/>
    <m/>
    <s v="no test"/>
    <s v="no test"/>
    <s v="No Test"/>
    <n v="2"/>
    <n v="1"/>
    <n v="0"/>
    <n v="0"/>
    <n v="0"/>
    <n v="0"/>
    <n v="0"/>
    <n v="1"/>
    <n v="1"/>
    <n v="1"/>
    <n v="130"/>
    <n v="0"/>
    <n v="0"/>
    <n v="1"/>
    <n v="130"/>
    <n v="0.26"/>
    <n v="0"/>
    <n v="0"/>
    <n v="0.74"/>
    <n v="1"/>
    <n v="0"/>
    <n v="0"/>
    <n v="0"/>
    <n v="0"/>
    <n v="0"/>
    <n v="0"/>
    <n v="7"/>
    <n v="2"/>
    <n v="1"/>
    <n v="1"/>
    <n v="0"/>
    <n v="0"/>
    <n v="0"/>
    <n v="0"/>
    <n v="0"/>
    <n v="0"/>
    <n v="1"/>
    <n v="0"/>
    <n v="0"/>
    <n v="0"/>
    <n v="4"/>
    <n v="27"/>
    <n v="0"/>
    <n v="130"/>
    <s v="No"/>
    <s v=""/>
    <n v="0"/>
    <n v="0"/>
    <n v="0"/>
    <s v="Yes"/>
    <s v="KBC-MYT"/>
    <x v="0"/>
    <x v="1"/>
    <x v="0"/>
    <n v="24.998349999999999"/>
    <n v="96.364949999999993"/>
    <s v="MMR001CMP152"/>
    <x v="0"/>
    <m/>
    <n v="26"/>
    <n v="127"/>
  </r>
  <r>
    <x v="1"/>
    <x v="1"/>
    <x v="1"/>
    <s v="UNICEF"/>
    <x v="1"/>
    <x v="7"/>
    <x v="0"/>
    <x v="15"/>
    <n v="1490"/>
    <n v="8486"/>
    <d v="2022-05-01T00:00:00"/>
    <d v="2022-10-31T00:00:00"/>
    <m/>
    <n v="3"/>
    <m/>
    <m/>
    <s v="Yes"/>
    <n v="12"/>
    <n v="13"/>
    <n v="3"/>
    <m/>
    <m/>
    <m/>
    <m/>
    <m/>
    <m/>
    <n v="3"/>
    <m/>
    <m/>
    <m/>
    <n v="3"/>
    <m/>
    <n v="12"/>
    <m/>
    <m/>
    <m/>
    <m/>
    <m/>
    <m/>
    <m/>
    <m/>
    <s v="Please request to KMSS (MKN) to get more information about Je Yang School /water source pipe line need to repair in every raining season because of  landslide."/>
    <n v="715"/>
    <m/>
    <m/>
    <n v="78"/>
    <n v="39"/>
    <m/>
    <n v="340"/>
    <m/>
    <x v="1"/>
    <x v="1"/>
    <m/>
    <n v="8"/>
    <m/>
    <m/>
    <m/>
    <m/>
    <n v="145"/>
    <n v="97"/>
    <m/>
    <n v="49"/>
    <n v="2"/>
    <n v="12"/>
    <n v="13"/>
    <n v="1597"/>
    <n v="2887"/>
    <s v="No"/>
    <m/>
    <m/>
    <s v="More Need hygiene kits "/>
    <n v="0.8"/>
    <n v="0.8"/>
    <n v="50"/>
    <n v="0.65"/>
    <m/>
    <m/>
    <m/>
    <m/>
    <m/>
    <m/>
    <m/>
    <s v="no test"/>
    <s v="no test"/>
    <s v="No Test"/>
    <n v="3"/>
    <n v="0"/>
    <n v="3"/>
    <n v="0"/>
    <n v="0"/>
    <n v="0"/>
    <n v="0"/>
    <n v="0.16497761018147536"/>
    <n v="0.11194909262314401"/>
    <n v="0.16497761018147536"/>
    <n v="1400"/>
    <n v="8.8380862597218945E-2"/>
    <n v="750"/>
    <n v="0.25335847277869428"/>
    <n v="2150"/>
    <n v="4.3"/>
    <n v="0.74664152722130572"/>
    <n v="6336"/>
    <n v="12.7"/>
    <n v="17"/>
    <n v="637"/>
    <n v="1"/>
    <n v="8486"/>
    <n v="0"/>
    <n v="0"/>
    <n v="0"/>
    <n v="424"/>
    <n v="0"/>
    <n v="0"/>
    <n v="0.10909090909090909"/>
    <n v="8486"/>
    <n v="7985"/>
    <n v="2887"/>
    <n v="7985"/>
    <n v="8486"/>
    <n v="1"/>
    <n v="0"/>
    <n v="1"/>
    <n v="1"/>
    <n v="1"/>
    <n v="48"/>
    <n v="960"/>
    <n v="0"/>
    <n v="4800"/>
    <s v="No"/>
    <n v="5.8920575064812632E-3"/>
    <n v="0"/>
    <n v="0"/>
    <n v="0"/>
    <s v="Yes"/>
    <s v="KMSS-MYT"/>
    <x v="0"/>
    <x v="1"/>
    <x v="1"/>
    <n v="24.688338999999999"/>
    <n v="97.568331999999998"/>
    <s v="MMR001CMP121"/>
    <x v="0"/>
    <m/>
    <n v="1592"/>
    <n v="8220"/>
  </r>
  <r>
    <x v="1"/>
    <x v="1"/>
    <x v="1"/>
    <s v="UNICEF"/>
    <x v="1"/>
    <x v="7"/>
    <x v="1"/>
    <x v="16"/>
    <n v="440"/>
    <n v="2199"/>
    <d v="2020-10-01T00:00:00"/>
    <d v="2022-04-30T00:00:00"/>
    <m/>
    <m/>
    <m/>
    <m/>
    <s v="Yes"/>
    <m/>
    <m/>
    <m/>
    <m/>
    <m/>
    <n v="1"/>
    <m/>
    <m/>
    <m/>
    <m/>
    <m/>
    <m/>
    <m/>
    <m/>
    <m/>
    <m/>
    <m/>
    <m/>
    <m/>
    <m/>
    <m/>
    <n v="20"/>
    <m/>
    <m/>
    <m/>
    <m/>
    <n v="0"/>
    <m/>
    <m/>
    <m/>
    <m/>
    <m/>
    <m/>
    <x v="2"/>
    <x v="2"/>
    <m/>
    <m/>
    <n v="51"/>
    <m/>
    <m/>
    <m/>
    <n v="3"/>
    <m/>
    <m/>
    <n v="2"/>
    <m/>
    <m/>
    <m/>
    <m/>
    <m/>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x v="0"/>
    <x v="2"/>
    <x v="1"/>
    <n v="0"/>
    <n v="0"/>
    <n v="0"/>
    <x v="0"/>
    <m/>
    <n v="0"/>
    <n v="0"/>
  </r>
  <r>
    <x v="1"/>
    <x v="3"/>
    <x v="1"/>
    <s v="MHF"/>
    <x v="1"/>
    <x v="7"/>
    <x v="1"/>
    <x v="17"/>
    <n v="311"/>
    <n v="1340"/>
    <d v="2021-11-01T00:00:00"/>
    <d v="2022-10-31T00:00:00"/>
    <n v="153"/>
    <n v="4"/>
    <m/>
    <m/>
    <s v="No"/>
    <n v="3"/>
    <n v="5"/>
    <n v="3"/>
    <m/>
    <m/>
    <m/>
    <m/>
    <m/>
    <m/>
    <m/>
    <m/>
    <m/>
    <m/>
    <m/>
    <m/>
    <m/>
    <m/>
    <n v="5"/>
    <n v="5"/>
    <n v="9"/>
    <n v="9"/>
    <m/>
    <m/>
    <m/>
    <m/>
    <n v="19"/>
    <m/>
    <m/>
    <m/>
    <m/>
    <m/>
    <m/>
    <n v="0"/>
    <x v="1"/>
    <x v="1"/>
    <m/>
    <m/>
    <m/>
    <m/>
    <m/>
    <m/>
    <n v="14"/>
    <m/>
    <m/>
    <n v="2"/>
    <m/>
    <n v="3"/>
    <n v="5"/>
    <n v="311"/>
    <n v="468.99999999999994"/>
    <s v="Yes"/>
    <n v="1"/>
    <n v="0.3"/>
    <m/>
    <n v="0.8"/>
    <n v="0.8"/>
    <n v="20"/>
    <n v="0.8"/>
    <m/>
    <m/>
    <m/>
    <m/>
    <m/>
    <m/>
    <m/>
    <n v="1"/>
    <n v="1"/>
    <s v="Tested"/>
    <n v="3"/>
    <n v="0"/>
    <n v="0"/>
    <n v="0"/>
    <n v="0"/>
    <n v="0"/>
    <n v="0"/>
    <n v="0.89552238805970152"/>
    <n v="0.55970149253731338"/>
    <n v="0.89552238805970152"/>
    <n v="1200"/>
    <n v="0"/>
    <n v="0"/>
    <n v="0.89552238805970152"/>
    <n v="1200"/>
    <n v="2.4"/>
    <n v="0.10447761194029848"/>
    <n v="139.99999999999997"/>
    <n v="0.60000000000000009"/>
    <n v="3"/>
    <n v="19"/>
    <n v="0.28358208955223879"/>
    <n v="380"/>
    <n v="0"/>
    <n v="0"/>
    <n v="0"/>
    <n v="67"/>
    <n v="48"/>
    <n v="0.71641791044776126"/>
    <n v="0"/>
    <n v="1340"/>
    <n v="1340"/>
    <n v="468.99999999999994"/>
    <n v="1340"/>
    <n v="1340"/>
    <n v="1"/>
    <n v="0"/>
    <n v="1"/>
    <n v="1"/>
    <n v="1"/>
    <n v="14"/>
    <n v="280"/>
    <n v="0"/>
    <n v="1340"/>
    <s v="Yes"/>
    <n v="1.4925373134328358E-2"/>
    <n v="0"/>
    <n v="0"/>
    <n v="0"/>
    <n v="0"/>
    <n v="0"/>
    <x v="0"/>
    <x v="1"/>
    <x v="0"/>
    <n v="0"/>
    <n v="0"/>
    <n v="0"/>
    <x v="0"/>
    <m/>
    <n v="0"/>
    <n v="0"/>
  </r>
  <r>
    <x v="1"/>
    <x v="16"/>
    <x v="1"/>
    <s v="MHF,SIDA"/>
    <x v="1"/>
    <x v="8"/>
    <x v="0"/>
    <x v="18"/>
    <n v="43"/>
    <n v="193"/>
    <d v="2022-05-01T00:00:00"/>
    <d v="2022-10-31T00:00:00"/>
    <m/>
    <n v="1"/>
    <m/>
    <m/>
    <s v="Yes"/>
    <n v="2"/>
    <n v="2"/>
    <n v="3"/>
    <n v="1"/>
    <m/>
    <n v="3"/>
    <m/>
    <m/>
    <m/>
    <m/>
    <m/>
    <m/>
    <m/>
    <n v="3"/>
    <m/>
    <m/>
    <n v="3"/>
    <m/>
    <m/>
    <m/>
    <m/>
    <m/>
    <m/>
    <m/>
    <m/>
    <n v="6"/>
    <m/>
    <m/>
    <n v="1"/>
    <m/>
    <m/>
    <m/>
    <n v="6"/>
    <x v="1"/>
    <x v="1"/>
    <m/>
    <m/>
    <m/>
    <m/>
    <m/>
    <m/>
    <n v="5"/>
    <m/>
    <m/>
    <n v="3"/>
    <m/>
    <n v="1"/>
    <m/>
    <m/>
    <m/>
    <m/>
    <m/>
    <m/>
    <m/>
    <m/>
    <m/>
    <m/>
    <m/>
    <m/>
    <m/>
    <m/>
    <m/>
    <m/>
    <m/>
    <m/>
    <s v="no test"/>
    <s v="no test"/>
    <s v="No Test"/>
    <n v="2"/>
    <n v="3"/>
    <n v="0"/>
    <n v="0"/>
    <n v="0"/>
    <n v="0"/>
    <n v="0"/>
    <n v="1"/>
    <n v="1"/>
    <n v="1"/>
    <n v="193"/>
    <n v="1"/>
    <n v="193"/>
    <n v="1"/>
    <n v="193"/>
    <n v="0.38600000000000001"/>
    <n v="0"/>
    <n v="0"/>
    <n v="0.61399999999999999"/>
    <n v="1"/>
    <n v="5"/>
    <n v="0.51813471502590669"/>
    <n v="100"/>
    <n v="0"/>
    <n v="0"/>
    <n v="0"/>
    <n v="10"/>
    <n v="4"/>
    <n v="0.48186528497409331"/>
    <n v="0.16666666666666666"/>
    <n v="193"/>
    <n v="0"/>
    <n v="0"/>
    <n v="0"/>
    <n v="193"/>
    <n v="1"/>
    <n v="0"/>
    <n v="1"/>
    <n v="0"/>
    <n v="0"/>
    <n v="5"/>
    <n v="43"/>
    <n v="0"/>
    <n v="193"/>
    <s v="No"/>
    <s v=""/>
    <n v="0"/>
    <n v="0"/>
    <n v="0"/>
    <s v="Yes"/>
    <s v="KBC-MYT"/>
    <x v="0"/>
    <x v="1"/>
    <x v="0"/>
    <n v="25.3959740909091"/>
    <n v="97.382997575757599"/>
    <s v="MMR001CMP010"/>
    <x v="0"/>
    <m/>
    <n v="44"/>
    <n v="196"/>
  </r>
  <r>
    <x v="1"/>
    <x v="16"/>
    <x v="1"/>
    <s v="MHF,SIDA"/>
    <x v="1"/>
    <x v="8"/>
    <x v="0"/>
    <x v="19"/>
    <n v="201"/>
    <n v="1184"/>
    <d v="2022-05-01T00:00:00"/>
    <d v="2022-10-31T00:00:00"/>
    <m/>
    <n v="1"/>
    <m/>
    <m/>
    <s v="Yes"/>
    <n v="1"/>
    <n v="4"/>
    <n v="7"/>
    <m/>
    <n v="2"/>
    <n v="4"/>
    <n v="0"/>
    <m/>
    <m/>
    <m/>
    <m/>
    <m/>
    <m/>
    <m/>
    <m/>
    <m/>
    <n v="5"/>
    <m/>
    <m/>
    <m/>
    <m/>
    <m/>
    <m/>
    <m/>
    <m/>
    <n v="45"/>
    <m/>
    <m/>
    <m/>
    <m/>
    <m/>
    <m/>
    <n v="45"/>
    <x v="1"/>
    <x v="1"/>
    <m/>
    <m/>
    <m/>
    <m/>
    <m/>
    <m/>
    <n v="7"/>
    <m/>
    <m/>
    <n v="7"/>
    <m/>
    <n v="1"/>
    <m/>
    <m/>
    <m/>
    <m/>
    <m/>
    <m/>
    <m/>
    <m/>
    <m/>
    <m/>
    <m/>
    <m/>
    <m/>
    <m/>
    <m/>
    <m/>
    <m/>
    <m/>
    <s v="no test"/>
    <s v="no test"/>
    <s v="No Test"/>
    <n v="7"/>
    <n v="4"/>
    <n v="0"/>
    <n v="0"/>
    <n v="0"/>
    <n v="0"/>
    <n v="0"/>
    <n v="1"/>
    <n v="1"/>
    <n v="1"/>
    <n v="1184"/>
    <n v="0"/>
    <n v="0"/>
    <n v="1"/>
    <n v="1184"/>
    <n v="2.3679999999999999"/>
    <n v="0"/>
    <n v="0"/>
    <n v="0"/>
    <n v="2"/>
    <n v="45"/>
    <n v="0.76013513513513509"/>
    <n v="900"/>
    <n v="0"/>
    <n v="0"/>
    <n v="0"/>
    <n v="59"/>
    <n v="14"/>
    <n v="0.23986486486486491"/>
    <n v="0"/>
    <n v="500"/>
    <n v="0"/>
    <n v="0"/>
    <n v="0"/>
    <n v="500"/>
    <n v="0.42229729729729731"/>
    <n v="0.57770270270270263"/>
    <n v="0.42229729729729731"/>
    <n v="0"/>
    <n v="0"/>
    <n v="7"/>
    <n v="140"/>
    <n v="0"/>
    <n v="700"/>
    <s v="No"/>
    <s v=""/>
    <n v="0"/>
    <n v="0"/>
    <n v="0"/>
    <s v="Yes"/>
    <s v="KBC-MYT"/>
    <x v="0"/>
    <x v="1"/>
    <x v="0"/>
    <n v="25.397850999999999"/>
    <n v="97.370900000000006"/>
    <s v="MMR001CMP018"/>
    <x v="0"/>
    <m/>
    <n v="201"/>
    <n v="1187"/>
  </r>
  <r>
    <x v="1"/>
    <x v="19"/>
    <x v="1"/>
    <s v="MHF,SIDA,LIFT"/>
    <x v="1"/>
    <x v="8"/>
    <x v="0"/>
    <x v="20"/>
    <n v="136"/>
    <n v="658"/>
    <s v="5/1/2022,1/1/2020"/>
    <s v="10/31/2022,12/31/2022"/>
    <m/>
    <n v="3"/>
    <m/>
    <m/>
    <s v="Yes"/>
    <n v="2"/>
    <n v="4"/>
    <n v="9"/>
    <m/>
    <n v="2"/>
    <n v="4"/>
    <n v="0"/>
    <m/>
    <m/>
    <m/>
    <m/>
    <m/>
    <m/>
    <m/>
    <m/>
    <m/>
    <n v="6"/>
    <m/>
    <m/>
    <m/>
    <m/>
    <m/>
    <m/>
    <m/>
    <m/>
    <n v="16"/>
    <m/>
    <m/>
    <n v="1"/>
    <m/>
    <m/>
    <m/>
    <n v="8"/>
    <x v="1"/>
    <x v="1"/>
    <m/>
    <m/>
    <m/>
    <m/>
    <m/>
    <m/>
    <n v="12"/>
    <m/>
    <m/>
    <n v="8"/>
    <m/>
    <n v="1"/>
    <m/>
    <n v="21"/>
    <n v="54"/>
    <m/>
    <m/>
    <m/>
    <s v="Provide hygiene 4 clean message to mother group session and adolescent sessions (Under managed by Nutrition Programme) "/>
    <m/>
    <m/>
    <m/>
    <m/>
    <m/>
    <m/>
    <m/>
    <m/>
    <m/>
    <m/>
    <m/>
    <s v="no test"/>
    <s v="no test"/>
    <s v="No Test"/>
    <n v="9"/>
    <n v="4"/>
    <n v="0"/>
    <n v="0"/>
    <n v="0"/>
    <n v="0"/>
    <n v="0"/>
    <n v="1"/>
    <n v="1"/>
    <n v="1"/>
    <n v="658"/>
    <n v="0"/>
    <n v="0"/>
    <n v="1"/>
    <n v="658"/>
    <n v="1.3160000000000001"/>
    <n v="0"/>
    <n v="0"/>
    <n v="0"/>
    <n v="1"/>
    <n v="15"/>
    <n v="0.45592705167173253"/>
    <n v="300"/>
    <n v="0"/>
    <n v="0"/>
    <n v="0"/>
    <n v="33"/>
    <n v="17"/>
    <n v="0.54407294832826747"/>
    <n v="6.25E-2"/>
    <n v="500"/>
    <n v="105"/>
    <n v="54"/>
    <n v="105"/>
    <n v="500"/>
    <n v="0.75987841945288759"/>
    <n v="0.24012158054711241"/>
    <n v="0.75987841945288759"/>
    <n v="0.61764705882352944"/>
    <n v="0.39705882352941174"/>
    <n v="12"/>
    <n v="136"/>
    <n v="0"/>
    <n v="658"/>
    <s v="No"/>
    <s v=""/>
    <n v="0"/>
    <n v="0"/>
    <n v="0"/>
    <n v="0"/>
    <s v="KBC-MYT"/>
    <x v="0"/>
    <x v="1"/>
    <x v="0"/>
    <n v="25.489669799804702"/>
    <n v="97.458778381347699"/>
    <s v="MMR001CMP265"/>
    <x v="0"/>
    <m/>
    <n v="136"/>
    <n v="658"/>
  </r>
  <r>
    <x v="1"/>
    <x v="16"/>
    <x v="1"/>
    <s v="MHF,SIDA"/>
    <x v="1"/>
    <x v="8"/>
    <x v="0"/>
    <x v="21"/>
    <n v="142"/>
    <n v="718"/>
    <d v="2022-05-01T00:00:00"/>
    <d v="2022-10-31T00:00:00"/>
    <m/>
    <n v="1"/>
    <m/>
    <m/>
    <s v="Yes"/>
    <n v="2"/>
    <n v="3"/>
    <n v="1"/>
    <m/>
    <n v="1"/>
    <n v="3"/>
    <n v="0"/>
    <m/>
    <m/>
    <m/>
    <m/>
    <m/>
    <m/>
    <m/>
    <m/>
    <m/>
    <n v="2"/>
    <m/>
    <m/>
    <m/>
    <m/>
    <m/>
    <m/>
    <m/>
    <m/>
    <n v="8"/>
    <m/>
    <m/>
    <m/>
    <m/>
    <m/>
    <m/>
    <n v="8"/>
    <x v="1"/>
    <x v="3"/>
    <m/>
    <m/>
    <m/>
    <m/>
    <m/>
    <m/>
    <n v="3"/>
    <m/>
    <m/>
    <n v="2"/>
    <m/>
    <m/>
    <m/>
    <m/>
    <m/>
    <m/>
    <m/>
    <m/>
    <m/>
    <m/>
    <m/>
    <m/>
    <m/>
    <m/>
    <m/>
    <m/>
    <m/>
    <m/>
    <m/>
    <m/>
    <s v="no test"/>
    <s v="no test"/>
    <s v="No Test"/>
    <n v="1"/>
    <n v="3"/>
    <n v="0"/>
    <n v="0"/>
    <n v="0"/>
    <n v="0"/>
    <n v="0"/>
    <n v="1"/>
    <n v="1"/>
    <n v="1"/>
    <n v="718"/>
    <n v="0"/>
    <n v="0"/>
    <n v="1"/>
    <n v="718"/>
    <n v="1.4359999999999999"/>
    <n v="0"/>
    <n v="0"/>
    <n v="0"/>
    <n v="1"/>
    <n v="8"/>
    <n v="0.22284122562674094"/>
    <n v="160"/>
    <n v="0"/>
    <n v="0"/>
    <n v="0"/>
    <n v="36"/>
    <n v="28"/>
    <n v="0.77715877437325909"/>
    <n v="0"/>
    <n v="0"/>
    <n v="0"/>
    <n v="0"/>
    <n v="0"/>
    <n v="0"/>
    <n v="0"/>
    <n v="1"/>
    <n v="0"/>
    <n v="0"/>
    <n v="0"/>
    <n v="3"/>
    <n v="60"/>
    <n v="0"/>
    <n v="300"/>
    <s v="No"/>
    <s v=""/>
    <n v="0"/>
    <n v="0"/>
    <n v="0"/>
    <s v="Yes"/>
    <s v="KBC-MYT"/>
    <x v="0"/>
    <x v="1"/>
    <x v="0"/>
    <n v="25.362420757575801"/>
    <n v="97.409035000000003"/>
    <s v="MMR001CMP015"/>
    <x v="0"/>
    <m/>
    <n v="144"/>
    <n v="723"/>
  </r>
  <r>
    <x v="1"/>
    <x v="16"/>
    <x v="1"/>
    <s v="MHF,SIDA"/>
    <x v="1"/>
    <x v="8"/>
    <x v="0"/>
    <x v="22"/>
    <n v="136"/>
    <n v="697"/>
    <d v="2022-05-01T00:00:00"/>
    <d v="2022-10-31T00:00:00"/>
    <m/>
    <n v="1"/>
    <m/>
    <m/>
    <s v="Yes"/>
    <n v="2"/>
    <n v="3"/>
    <n v="3"/>
    <m/>
    <m/>
    <n v="3"/>
    <m/>
    <m/>
    <m/>
    <m/>
    <m/>
    <m/>
    <m/>
    <m/>
    <m/>
    <m/>
    <n v="2"/>
    <m/>
    <m/>
    <m/>
    <m/>
    <m/>
    <m/>
    <m/>
    <m/>
    <n v="32"/>
    <m/>
    <m/>
    <m/>
    <m/>
    <m/>
    <m/>
    <n v="32"/>
    <x v="1"/>
    <x v="1"/>
    <m/>
    <m/>
    <m/>
    <m/>
    <m/>
    <m/>
    <n v="3"/>
    <m/>
    <m/>
    <n v="2"/>
    <m/>
    <m/>
    <m/>
    <m/>
    <m/>
    <m/>
    <m/>
    <m/>
    <m/>
    <m/>
    <m/>
    <m/>
    <m/>
    <m/>
    <m/>
    <m/>
    <m/>
    <m/>
    <m/>
    <m/>
    <s v="no test"/>
    <s v="no test"/>
    <s v="No Test"/>
    <n v="3"/>
    <n v="3"/>
    <n v="0"/>
    <n v="0"/>
    <n v="0"/>
    <n v="0"/>
    <n v="0"/>
    <n v="1"/>
    <n v="1"/>
    <n v="1"/>
    <n v="697"/>
    <n v="0"/>
    <n v="0"/>
    <n v="1"/>
    <n v="697"/>
    <n v="1.3939999999999999"/>
    <n v="0"/>
    <n v="0"/>
    <n v="0"/>
    <n v="1"/>
    <n v="32"/>
    <n v="0.9182209469153515"/>
    <n v="640"/>
    <n v="0"/>
    <n v="0"/>
    <n v="0"/>
    <n v="35"/>
    <n v="3"/>
    <n v="8.1779053084648501E-2"/>
    <n v="0"/>
    <n v="0"/>
    <n v="0"/>
    <n v="0"/>
    <n v="0"/>
    <n v="0"/>
    <n v="0"/>
    <n v="1"/>
    <n v="0"/>
    <n v="0"/>
    <n v="0"/>
    <n v="3"/>
    <n v="60"/>
    <n v="0"/>
    <n v="300"/>
    <s v="No"/>
    <s v=""/>
    <n v="0"/>
    <n v="0"/>
    <n v="0"/>
    <s v="Yes"/>
    <s v="KBC-MYT"/>
    <x v="0"/>
    <x v="1"/>
    <x v="0"/>
    <n v="25.3510167948718"/>
    <n v="97.403402307692303"/>
    <s v="MMR001CMP014"/>
    <x v="0"/>
    <m/>
    <n v="136"/>
    <n v="697"/>
  </r>
  <r>
    <x v="1"/>
    <x v="16"/>
    <x v="1"/>
    <s v="MHF,SIDA"/>
    <x v="1"/>
    <x v="8"/>
    <x v="0"/>
    <x v="23"/>
    <n v="59"/>
    <n v="327"/>
    <d v="2022-05-01T00:00:00"/>
    <d v="2022-10-31T00:00:00"/>
    <m/>
    <n v="1"/>
    <m/>
    <m/>
    <s v="Yes"/>
    <n v="1"/>
    <n v="2"/>
    <n v="3"/>
    <m/>
    <m/>
    <m/>
    <m/>
    <m/>
    <m/>
    <m/>
    <m/>
    <m/>
    <m/>
    <m/>
    <m/>
    <m/>
    <n v="2"/>
    <m/>
    <m/>
    <m/>
    <m/>
    <m/>
    <m/>
    <m/>
    <m/>
    <n v="7"/>
    <m/>
    <m/>
    <m/>
    <m/>
    <m/>
    <m/>
    <n v="7"/>
    <x v="1"/>
    <x v="3"/>
    <m/>
    <m/>
    <m/>
    <m/>
    <m/>
    <m/>
    <n v="3"/>
    <m/>
    <m/>
    <n v="2"/>
    <m/>
    <m/>
    <m/>
    <m/>
    <m/>
    <m/>
    <m/>
    <m/>
    <m/>
    <m/>
    <m/>
    <m/>
    <m/>
    <m/>
    <m/>
    <m/>
    <m/>
    <m/>
    <m/>
    <m/>
    <s v="no test"/>
    <s v="no test"/>
    <s v="No Test"/>
    <n v="3"/>
    <n v="0"/>
    <n v="0"/>
    <n v="0"/>
    <n v="0"/>
    <n v="0"/>
    <n v="0"/>
    <n v="1"/>
    <n v="1"/>
    <n v="1"/>
    <n v="327"/>
    <n v="0"/>
    <n v="0"/>
    <n v="1"/>
    <n v="327"/>
    <n v="0.65400000000000003"/>
    <n v="0"/>
    <n v="0"/>
    <n v="0.34599999999999997"/>
    <n v="1"/>
    <n v="7"/>
    <n v="0.42813455657492355"/>
    <n v="140"/>
    <n v="0"/>
    <n v="0"/>
    <n v="0"/>
    <n v="16"/>
    <n v="9"/>
    <n v="0.5718654434250765"/>
    <n v="0"/>
    <n v="0"/>
    <n v="0"/>
    <n v="0"/>
    <n v="0"/>
    <n v="0"/>
    <n v="0"/>
    <n v="1"/>
    <n v="0"/>
    <n v="0"/>
    <n v="0"/>
    <n v="3"/>
    <n v="59"/>
    <n v="0"/>
    <n v="300"/>
    <s v="No"/>
    <s v=""/>
    <n v="0"/>
    <n v="0"/>
    <n v="0"/>
    <s v="Yes"/>
    <s v="KBC-MYT"/>
    <x v="0"/>
    <x v="1"/>
    <x v="0"/>
    <n v="25.360463124999999"/>
    <n v="97.4113064583333"/>
    <s v="MMR001CMP016"/>
    <x v="0"/>
    <m/>
    <n v="59"/>
    <n v="327"/>
  </r>
  <r>
    <x v="1"/>
    <x v="16"/>
    <x v="1"/>
    <s v="MHF,SIDA"/>
    <x v="1"/>
    <x v="8"/>
    <x v="0"/>
    <x v="24"/>
    <n v="108"/>
    <n v="622"/>
    <d v="2022-05-01T00:00:00"/>
    <d v="2022-10-31T00:00:00"/>
    <m/>
    <n v="1"/>
    <m/>
    <m/>
    <s v="Yes"/>
    <n v="2"/>
    <n v="3"/>
    <n v="2"/>
    <n v="1"/>
    <m/>
    <n v="3"/>
    <m/>
    <m/>
    <m/>
    <m/>
    <m/>
    <m/>
    <m/>
    <m/>
    <m/>
    <m/>
    <n v="3"/>
    <m/>
    <m/>
    <m/>
    <m/>
    <m/>
    <m/>
    <m/>
    <m/>
    <n v="34"/>
    <m/>
    <m/>
    <m/>
    <m/>
    <m/>
    <m/>
    <n v="34"/>
    <x v="1"/>
    <x v="3"/>
    <m/>
    <m/>
    <m/>
    <m/>
    <m/>
    <m/>
    <n v="3"/>
    <m/>
    <m/>
    <n v="2"/>
    <m/>
    <m/>
    <m/>
    <m/>
    <m/>
    <m/>
    <m/>
    <m/>
    <m/>
    <m/>
    <m/>
    <m/>
    <m/>
    <m/>
    <m/>
    <m/>
    <m/>
    <m/>
    <m/>
    <m/>
    <s v="no test"/>
    <s v="no test"/>
    <s v="No Test"/>
    <n v="1"/>
    <n v="3"/>
    <n v="0"/>
    <n v="0"/>
    <n v="0"/>
    <n v="0"/>
    <n v="0"/>
    <n v="1"/>
    <n v="1"/>
    <n v="1"/>
    <n v="622"/>
    <n v="0"/>
    <n v="0"/>
    <n v="1"/>
    <n v="622"/>
    <n v="1.244"/>
    <n v="0"/>
    <n v="0"/>
    <n v="0"/>
    <n v="1"/>
    <n v="34"/>
    <n v="1"/>
    <n v="622"/>
    <n v="0"/>
    <n v="0"/>
    <n v="0"/>
    <n v="31"/>
    <n v="0"/>
    <n v="0"/>
    <n v="0"/>
    <n v="0"/>
    <n v="0"/>
    <n v="0"/>
    <n v="0"/>
    <n v="0"/>
    <n v="0"/>
    <n v="1"/>
    <n v="0"/>
    <n v="0"/>
    <n v="0"/>
    <n v="3"/>
    <n v="60"/>
    <n v="0"/>
    <n v="300"/>
    <s v="No"/>
    <s v=""/>
    <n v="0"/>
    <n v="0"/>
    <n v="0"/>
    <s v="Yes"/>
    <s v="KBC-MYT"/>
    <x v="0"/>
    <x v="1"/>
    <x v="0"/>
    <n v="25.428910999999999"/>
    <n v="97.418694000000002"/>
    <s v="MMR001CMP008"/>
    <x v="0"/>
    <m/>
    <n v="108"/>
    <n v="622"/>
  </r>
  <r>
    <x v="1"/>
    <x v="16"/>
    <x v="1"/>
    <s v="MHF,SIDA"/>
    <x v="1"/>
    <x v="8"/>
    <x v="0"/>
    <x v="25"/>
    <n v="72"/>
    <n v="323"/>
    <d v="2022-05-01T00:00:00"/>
    <d v="2022-10-31T00:00:00"/>
    <m/>
    <n v="1"/>
    <m/>
    <m/>
    <s v="Yes"/>
    <n v="2"/>
    <n v="2"/>
    <n v="2"/>
    <m/>
    <m/>
    <n v="2"/>
    <m/>
    <m/>
    <m/>
    <m/>
    <m/>
    <m/>
    <m/>
    <m/>
    <m/>
    <m/>
    <n v="3"/>
    <m/>
    <m/>
    <m/>
    <m/>
    <m/>
    <m/>
    <m/>
    <m/>
    <n v="15"/>
    <m/>
    <m/>
    <m/>
    <m/>
    <m/>
    <m/>
    <n v="15"/>
    <x v="1"/>
    <x v="1"/>
    <m/>
    <m/>
    <m/>
    <m/>
    <m/>
    <m/>
    <n v="1"/>
    <m/>
    <m/>
    <n v="1"/>
    <m/>
    <m/>
    <m/>
    <m/>
    <m/>
    <m/>
    <m/>
    <m/>
    <m/>
    <m/>
    <m/>
    <m/>
    <m/>
    <m/>
    <m/>
    <m/>
    <m/>
    <m/>
    <m/>
    <m/>
    <s v="no test"/>
    <s v="no test"/>
    <s v="No Test"/>
    <n v="2"/>
    <n v="2"/>
    <n v="0"/>
    <n v="0"/>
    <n v="0"/>
    <n v="0"/>
    <n v="0"/>
    <n v="1"/>
    <n v="1"/>
    <n v="1"/>
    <n v="323"/>
    <n v="0"/>
    <n v="0"/>
    <n v="1"/>
    <n v="323"/>
    <n v="0.64600000000000002"/>
    <n v="0"/>
    <n v="0"/>
    <n v="0.35399999999999998"/>
    <n v="1"/>
    <n v="15"/>
    <n v="0.92879256965944268"/>
    <n v="300"/>
    <n v="0"/>
    <n v="0"/>
    <n v="0"/>
    <n v="16"/>
    <n v="1"/>
    <n v="7.1207430340557321E-2"/>
    <n v="0"/>
    <n v="0"/>
    <n v="0"/>
    <n v="0"/>
    <n v="0"/>
    <n v="0"/>
    <n v="0"/>
    <n v="1"/>
    <n v="0"/>
    <n v="0"/>
    <n v="0"/>
    <n v="1"/>
    <n v="20"/>
    <n v="0"/>
    <n v="100"/>
    <s v="No"/>
    <s v=""/>
    <n v="0"/>
    <n v="0"/>
    <n v="0"/>
    <s v="Yes"/>
    <s v="KBC-MYT"/>
    <x v="0"/>
    <x v="1"/>
    <x v="0"/>
    <n v="25.422194000000001"/>
    <n v="97.394547000000003"/>
    <s v="MMR001CMP002"/>
    <x v="0"/>
    <m/>
    <n v="72"/>
    <n v="323"/>
  </r>
  <r>
    <x v="1"/>
    <x v="16"/>
    <x v="1"/>
    <s v="MHF,SIDA"/>
    <x v="1"/>
    <x v="8"/>
    <x v="0"/>
    <x v="26"/>
    <n v="110"/>
    <n v="563"/>
    <d v="2022-05-01T00:00:00"/>
    <d v="2022-10-31T00:00:00"/>
    <m/>
    <n v="1"/>
    <m/>
    <m/>
    <s v="Yes"/>
    <n v="2"/>
    <n v="2"/>
    <n v="2"/>
    <n v="1"/>
    <m/>
    <n v="3"/>
    <m/>
    <m/>
    <m/>
    <m/>
    <m/>
    <m/>
    <m/>
    <m/>
    <m/>
    <m/>
    <n v="2"/>
    <m/>
    <m/>
    <m/>
    <m/>
    <m/>
    <m/>
    <m/>
    <m/>
    <n v="13"/>
    <m/>
    <m/>
    <m/>
    <m/>
    <m/>
    <m/>
    <n v="13"/>
    <x v="1"/>
    <x v="1"/>
    <m/>
    <m/>
    <m/>
    <m/>
    <m/>
    <m/>
    <n v="7"/>
    <m/>
    <m/>
    <n v="4"/>
    <m/>
    <n v="1"/>
    <m/>
    <m/>
    <m/>
    <m/>
    <m/>
    <m/>
    <m/>
    <m/>
    <m/>
    <m/>
    <m/>
    <m/>
    <m/>
    <m/>
    <m/>
    <m/>
    <m/>
    <m/>
    <s v="no test"/>
    <s v="no test"/>
    <s v="No Test"/>
    <n v="1"/>
    <n v="3"/>
    <n v="0"/>
    <n v="0"/>
    <n v="0"/>
    <n v="0"/>
    <n v="0"/>
    <n v="1"/>
    <n v="1"/>
    <n v="1"/>
    <n v="563"/>
    <n v="0"/>
    <n v="0"/>
    <n v="1"/>
    <n v="563"/>
    <n v="1.1259999999999999"/>
    <n v="0"/>
    <n v="0"/>
    <n v="0"/>
    <n v="1"/>
    <n v="13"/>
    <n v="0.46181172291296624"/>
    <n v="260"/>
    <n v="0"/>
    <n v="0"/>
    <n v="0"/>
    <n v="28"/>
    <n v="15"/>
    <n v="0.53818827708703376"/>
    <n v="0"/>
    <n v="500"/>
    <n v="0"/>
    <n v="0"/>
    <n v="0"/>
    <n v="500"/>
    <n v="0.88809946714031973"/>
    <n v="0.11190053285968027"/>
    <n v="0.88809946714031973"/>
    <n v="0"/>
    <n v="0"/>
    <n v="7"/>
    <n v="110"/>
    <n v="0"/>
    <n v="563"/>
    <s v="No"/>
    <s v=""/>
    <n v="0"/>
    <n v="0"/>
    <n v="0"/>
    <s v="Yes"/>
    <s v="KBC-MYT"/>
    <x v="0"/>
    <x v="1"/>
    <x v="0"/>
    <n v="25.412313000000001"/>
    <n v="97.399628000000007"/>
    <s v="MMR001CMP006"/>
    <x v="0"/>
    <m/>
    <n v="110"/>
    <n v="562"/>
  </r>
  <r>
    <x v="1"/>
    <x v="16"/>
    <x v="1"/>
    <s v="MHF,SIDA"/>
    <x v="1"/>
    <x v="8"/>
    <x v="0"/>
    <x v="27"/>
    <n v="103"/>
    <n v="629"/>
    <d v="2022-05-01T00:00:00"/>
    <d v="2022-10-31T00:00:00"/>
    <m/>
    <n v="1"/>
    <m/>
    <m/>
    <s v="Yes"/>
    <n v="2"/>
    <n v="2"/>
    <n v="3"/>
    <m/>
    <m/>
    <n v="2"/>
    <m/>
    <m/>
    <m/>
    <m/>
    <m/>
    <m/>
    <m/>
    <m/>
    <m/>
    <m/>
    <n v="2"/>
    <m/>
    <m/>
    <m/>
    <m/>
    <m/>
    <m/>
    <m/>
    <m/>
    <n v="17"/>
    <m/>
    <m/>
    <m/>
    <m/>
    <m/>
    <m/>
    <n v="17"/>
    <x v="1"/>
    <x v="1"/>
    <m/>
    <m/>
    <m/>
    <m/>
    <m/>
    <m/>
    <n v="3"/>
    <m/>
    <m/>
    <n v="2"/>
    <m/>
    <m/>
    <m/>
    <m/>
    <m/>
    <m/>
    <m/>
    <m/>
    <m/>
    <m/>
    <m/>
    <m/>
    <m/>
    <m/>
    <m/>
    <m/>
    <m/>
    <m/>
    <m/>
    <m/>
    <s v="no test"/>
    <s v="no test"/>
    <s v="No Test"/>
    <n v="3"/>
    <n v="2"/>
    <n v="0"/>
    <n v="0"/>
    <n v="0"/>
    <n v="0"/>
    <n v="0"/>
    <n v="1"/>
    <n v="1"/>
    <n v="1"/>
    <n v="629"/>
    <n v="0"/>
    <n v="0"/>
    <n v="1"/>
    <n v="629"/>
    <n v="1.258"/>
    <n v="0"/>
    <n v="0"/>
    <n v="0"/>
    <n v="1"/>
    <n v="17"/>
    <n v="0.54054054054054057"/>
    <n v="340"/>
    <n v="0"/>
    <n v="0"/>
    <n v="0"/>
    <n v="31"/>
    <n v="14"/>
    <n v="0.45945945945945943"/>
    <n v="0"/>
    <n v="0"/>
    <n v="0"/>
    <n v="0"/>
    <n v="0"/>
    <n v="0"/>
    <n v="0"/>
    <n v="1"/>
    <n v="0"/>
    <n v="0"/>
    <n v="0"/>
    <n v="3"/>
    <n v="60"/>
    <n v="0"/>
    <n v="300"/>
    <s v="No"/>
    <s v=""/>
    <n v="0"/>
    <n v="0"/>
    <n v="0"/>
    <s v="Yes"/>
    <s v="KBC-MYT"/>
    <x v="0"/>
    <x v="1"/>
    <x v="0"/>
    <n v="25.440928"/>
    <n v="97.419403000000003"/>
    <s v="MMR001CMP009"/>
    <x v="0"/>
    <m/>
    <n v="104"/>
    <n v="633"/>
  </r>
  <r>
    <x v="1"/>
    <x v="16"/>
    <x v="1"/>
    <s v="MHF,SIDA"/>
    <x v="1"/>
    <x v="8"/>
    <x v="0"/>
    <x v="28"/>
    <n v="96"/>
    <n v="531"/>
    <d v="2022-05-01T00:00:00"/>
    <d v="2022-10-31T00:00:00"/>
    <m/>
    <n v="1"/>
    <m/>
    <m/>
    <s v="Yes"/>
    <n v="2"/>
    <n v="2"/>
    <n v="2"/>
    <m/>
    <m/>
    <n v="3"/>
    <m/>
    <m/>
    <m/>
    <m/>
    <m/>
    <m/>
    <m/>
    <m/>
    <m/>
    <m/>
    <n v="2"/>
    <m/>
    <m/>
    <m/>
    <m/>
    <m/>
    <m/>
    <m/>
    <m/>
    <n v="11"/>
    <m/>
    <m/>
    <m/>
    <m/>
    <m/>
    <m/>
    <n v="11"/>
    <x v="1"/>
    <x v="1"/>
    <m/>
    <m/>
    <m/>
    <m/>
    <m/>
    <m/>
    <n v="3"/>
    <m/>
    <m/>
    <n v="2"/>
    <m/>
    <n v="1"/>
    <m/>
    <m/>
    <m/>
    <m/>
    <m/>
    <m/>
    <m/>
    <m/>
    <m/>
    <m/>
    <m/>
    <m/>
    <m/>
    <m/>
    <m/>
    <m/>
    <m/>
    <m/>
    <s v="no test"/>
    <s v="no test"/>
    <s v="No Test"/>
    <n v="2"/>
    <n v="3"/>
    <n v="0"/>
    <n v="0"/>
    <n v="0"/>
    <n v="0"/>
    <n v="0"/>
    <n v="1"/>
    <n v="1"/>
    <n v="1"/>
    <n v="531"/>
    <n v="0"/>
    <n v="0"/>
    <n v="1"/>
    <n v="531"/>
    <n v="1.0620000000000001"/>
    <n v="0"/>
    <n v="0"/>
    <n v="0"/>
    <n v="1"/>
    <n v="11"/>
    <n v="0.4143126177024482"/>
    <n v="220"/>
    <n v="0"/>
    <n v="0"/>
    <n v="0"/>
    <n v="27"/>
    <n v="16"/>
    <n v="0.5856873822975518"/>
    <n v="0"/>
    <n v="500"/>
    <n v="0"/>
    <n v="0"/>
    <n v="0"/>
    <n v="500"/>
    <n v="0.94161958568738224"/>
    <n v="5.8380414312617757E-2"/>
    <n v="0.94161958568738224"/>
    <n v="0"/>
    <n v="0"/>
    <n v="3"/>
    <n v="60"/>
    <n v="0"/>
    <n v="300"/>
    <s v="No"/>
    <s v=""/>
    <n v="0"/>
    <n v="0"/>
    <n v="0"/>
    <s v="Yes"/>
    <s v="KBC-MYT"/>
    <x v="0"/>
    <x v="1"/>
    <x v="0"/>
    <n v="25.415482000000001"/>
    <n v="97.386718999999999"/>
    <s v="MMR001CMP001"/>
    <x v="0"/>
    <m/>
    <n v="98"/>
    <n v="540"/>
  </r>
  <r>
    <x v="1"/>
    <x v="16"/>
    <x v="1"/>
    <s v="MHF,SIDA"/>
    <x v="1"/>
    <x v="8"/>
    <x v="0"/>
    <x v="29"/>
    <n v="35"/>
    <n v="197"/>
    <d v="2022-05-01T00:00:00"/>
    <d v="2022-10-31T00:00:00"/>
    <m/>
    <n v="1"/>
    <m/>
    <m/>
    <s v="Yes"/>
    <n v="2"/>
    <n v="2"/>
    <n v="3"/>
    <m/>
    <m/>
    <n v="4"/>
    <m/>
    <m/>
    <m/>
    <m/>
    <m/>
    <m/>
    <m/>
    <m/>
    <m/>
    <m/>
    <n v="3"/>
    <m/>
    <m/>
    <m/>
    <m/>
    <m/>
    <m/>
    <m/>
    <m/>
    <n v="5"/>
    <m/>
    <m/>
    <m/>
    <m/>
    <m/>
    <m/>
    <n v="5"/>
    <x v="1"/>
    <x v="1"/>
    <m/>
    <m/>
    <m/>
    <m/>
    <m/>
    <m/>
    <n v="1"/>
    <m/>
    <m/>
    <n v="3"/>
    <m/>
    <m/>
    <m/>
    <m/>
    <m/>
    <m/>
    <m/>
    <m/>
    <m/>
    <m/>
    <m/>
    <m/>
    <m/>
    <m/>
    <m/>
    <m/>
    <m/>
    <m/>
    <m/>
    <m/>
    <s v="no test"/>
    <s v="no test"/>
    <s v="No Test"/>
    <n v="3"/>
    <n v="4"/>
    <n v="0"/>
    <n v="0"/>
    <n v="0"/>
    <n v="0"/>
    <n v="0"/>
    <n v="1"/>
    <n v="1"/>
    <n v="1"/>
    <n v="197"/>
    <n v="0"/>
    <n v="0"/>
    <n v="1"/>
    <n v="197"/>
    <n v="0.39400000000000002"/>
    <n v="0"/>
    <n v="0"/>
    <n v="0.60599999999999998"/>
    <n v="1"/>
    <n v="5"/>
    <n v="0.50761421319796951"/>
    <n v="100"/>
    <n v="0"/>
    <n v="0"/>
    <n v="0"/>
    <n v="10"/>
    <n v="5"/>
    <n v="0.49238578680203049"/>
    <n v="0"/>
    <n v="0"/>
    <n v="0"/>
    <n v="0"/>
    <n v="0"/>
    <n v="0"/>
    <n v="0"/>
    <n v="1"/>
    <n v="0"/>
    <n v="0"/>
    <n v="0"/>
    <n v="1"/>
    <n v="20"/>
    <n v="0"/>
    <n v="100"/>
    <s v="No"/>
    <s v=""/>
    <n v="0"/>
    <n v="0"/>
    <n v="0"/>
    <s v="Yes"/>
    <s v="KBC-MYT"/>
    <x v="0"/>
    <x v="1"/>
    <x v="0"/>
    <n v="25.404752999999999"/>
    <n v="97.377662999999998"/>
    <s v="MMR001CMP003"/>
    <x v="0"/>
    <m/>
    <n v="35"/>
    <n v="189"/>
  </r>
  <r>
    <x v="1"/>
    <x v="16"/>
    <x v="1"/>
    <s v="MHF,SIDA"/>
    <x v="1"/>
    <x v="8"/>
    <x v="0"/>
    <x v="30"/>
    <n v="47"/>
    <n v="239"/>
    <d v="2022-05-01T00:00:00"/>
    <d v="2022-10-31T00:00:00"/>
    <m/>
    <n v="1"/>
    <m/>
    <m/>
    <s v="Yes"/>
    <n v="2"/>
    <n v="3"/>
    <n v="2"/>
    <m/>
    <m/>
    <n v="1"/>
    <m/>
    <m/>
    <m/>
    <m/>
    <m/>
    <m/>
    <m/>
    <m/>
    <m/>
    <m/>
    <n v="3"/>
    <m/>
    <m/>
    <m/>
    <m/>
    <m/>
    <m/>
    <m/>
    <m/>
    <n v="13"/>
    <m/>
    <m/>
    <m/>
    <m/>
    <m/>
    <m/>
    <n v="13"/>
    <x v="1"/>
    <x v="1"/>
    <m/>
    <m/>
    <m/>
    <m/>
    <m/>
    <m/>
    <n v="1"/>
    <m/>
    <m/>
    <n v="1"/>
    <m/>
    <m/>
    <m/>
    <m/>
    <m/>
    <m/>
    <m/>
    <m/>
    <m/>
    <m/>
    <m/>
    <m/>
    <m/>
    <m/>
    <m/>
    <m/>
    <m/>
    <m/>
    <m/>
    <m/>
    <s v="no test"/>
    <s v="no test"/>
    <s v="No Test"/>
    <n v="2"/>
    <n v="1"/>
    <n v="0"/>
    <n v="0"/>
    <n v="0"/>
    <n v="0"/>
    <n v="0"/>
    <n v="1"/>
    <n v="1"/>
    <n v="1"/>
    <n v="239"/>
    <n v="0"/>
    <n v="0"/>
    <n v="1"/>
    <n v="239"/>
    <n v="0.47799999999999998"/>
    <n v="0"/>
    <n v="0"/>
    <n v="0.52200000000000002"/>
    <n v="1"/>
    <n v="13"/>
    <n v="1"/>
    <n v="239"/>
    <n v="0"/>
    <n v="0"/>
    <n v="0"/>
    <n v="12"/>
    <n v="0"/>
    <n v="0"/>
    <n v="0"/>
    <n v="0"/>
    <n v="0"/>
    <n v="0"/>
    <n v="0"/>
    <n v="0"/>
    <n v="0"/>
    <n v="1"/>
    <n v="0"/>
    <n v="0"/>
    <n v="0"/>
    <n v="1"/>
    <n v="20"/>
    <n v="0"/>
    <n v="100"/>
    <s v="No"/>
    <s v=""/>
    <n v="0"/>
    <n v="0"/>
    <n v="0"/>
    <s v="Yes"/>
    <s v="KBC-MYT"/>
    <x v="0"/>
    <x v="1"/>
    <x v="0"/>
    <n v="25.437125999999999"/>
    <n v="97.387276"/>
    <s v="MMR001CMP005"/>
    <x v="0"/>
    <m/>
    <n v="47"/>
    <n v="239"/>
  </r>
  <r>
    <x v="1"/>
    <x v="19"/>
    <x v="1"/>
    <s v="MHF,SIDA,LIFT"/>
    <x v="1"/>
    <x v="8"/>
    <x v="0"/>
    <x v="31"/>
    <n v="197"/>
    <n v="975"/>
    <s v="5/1/2022,1/1/2020"/>
    <s v="10/31/2022,12/31/2022"/>
    <m/>
    <n v="3"/>
    <m/>
    <m/>
    <s v="Yes"/>
    <n v="2"/>
    <n v="3"/>
    <n v="2"/>
    <m/>
    <m/>
    <n v="3"/>
    <m/>
    <m/>
    <m/>
    <m/>
    <m/>
    <m/>
    <m/>
    <m/>
    <m/>
    <m/>
    <n v="4"/>
    <m/>
    <m/>
    <m/>
    <m/>
    <m/>
    <m/>
    <m/>
    <m/>
    <n v="28"/>
    <m/>
    <m/>
    <m/>
    <m/>
    <m/>
    <m/>
    <n v="10"/>
    <x v="1"/>
    <x v="1"/>
    <m/>
    <m/>
    <m/>
    <m/>
    <m/>
    <m/>
    <n v="3"/>
    <m/>
    <m/>
    <n v="2"/>
    <m/>
    <n v="1"/>
    <m/>
    <n v="46"/>
    <n v="60"/>
    <m/>
    <m/>
    <m/>
    <s v="Provide hygiene 4 clean message to mother group session and adolescent sessions (Under managed by Nutrition Programme) "/>
    <m/>
    <m/>
    <m/>
    <m/>
    <m/>
    <m/>
    <m/>
    <m/>
    <m/>
    <m/>
    <m/>
    <s v="no test"/>
    <s v="no test"/>
    <s v="No Test"/>
    <n v="2"/>
    <n v="3"/>
    <n v="0"/>
    <n v="0"/>
    <n v="0"/>
    <n v="0"/>
    <n v="0"/>
    <n v="1"/>
    <n v="1"/>
    <n v="1"/>
    <n v="975"/>
    <n v="0"/>
    <n v="0"/>
    <n v="1"/>
    <n v="975"/>
    <n v="1.95"/>
    <n v="0"/>
    <n v="0"/>
    <n v="5.0000000000000044E-2"/>
    <n v="2"/>
    <n v="28"/>
    <n v="0.57435897435897432"/>
    <n v="560"/>
    <n v="0"/>
    <n v="0"/>
    <n v="0"/>
    <n v="49"/>
    <n v="21"/>
    <n v="0.42564102564102568"/>
    <n v="0"/>
    <n v="500"/>
    <n v="230"/>
    <n v="60"/>
    <n v="230"/>
    <n v="500"/>
    <n v="0.51282051282051277"/>
    <n v="0.48717948717948723"/>
    <n v="0.51282051282051277"/>
    <n v="0.93401015228426398"/>
    <n v="0.30456852791878175"/>
    <n v="3"/>
    <n v="60"/>
    <n v="0"/>
    <n v="300"/>
    <s v="No"/>
    <s v=""/>
    <n v="0"/>
    <n v="0"/>
    <n v="0"/>
    <s v="Yes"/>
    <s v="KBC-MYT"/>
    <x v="0"/>
    <x v="1"/>
    <x v="0"/>
    <n v="25.480989999999998"/>
    <n v="97.431079999999994"/>
    <s v="MMR001CMP263"/>
    <x v="0"/>
    <m/>
    <n v="197"/>
    <n v="981"/>
  </r>
  <r>
    <x v="1"/>
    <x v="4"/>
    <x v="1"/>
    <s v="MHF"/>
    <x v="1"/>
    <x v="10"/>
    <x v="0"/>
    <x v="33"/>
    <n v="386"/>
    <n v="1397"/>
    <d v="2021-11-01T00:00:00"/>
    <d v="2022-10-31T00:00:00"/>
    <m/>
    <m/>
    <m/>
    <m/>
    <m/>
    <n v="19"/>
    <n v="55"/>
    <n v="13"/>
    <m/>
    <m/>
    <n v="1"/>
    <m/>
    <m/>
    <m/>
    <m/>
    <m/>
    <m/>
    <m/>
    <m/>
    <m/>
    <n v="7"/>
    <m/>
    <m/>
    <m/>
    <m/>
    <m/>
    <m/>
    <m/>
    <m/>
    <m/>
    <n v="5"/>
    <m/>
    <m/>
    <m/>
    <m/>
    <m/>
    <m/>
    <m/>
    <x v="1"/>
    <x v="2"/>
    <m/>
    <m/>
    <n v="50"/>
    <m/>
    <m/>
    <m/>
    <n v="1"/>
    <m/>
    <m/>
    <n v="3"/>
    <m/>
    <m/>
    <m/>
    <m/>
    <m/>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s v="uncovered"/>
    <x v="0"/>
    <x v="0"/>
    <x v="1"/>
    <n v="24.590350000000001"/>
    <n v="96.95626"/>
    <s v="MMR001CMP273"/>
    <x v="0"/>
    <m/>
    <n v="318"/>
    <n v="1329"/>
  </r>
  <r>
    <x v="1"/>
    <x v="3"/>
    <x v="1"/>
    <s v="MHF"/>
    <x v="1"/>
    <x v="11"/>
    <x v="0"/>
    <x v="35"/>
    <n v="72"/>
    <n v="323"/>
    <d v="2022-05-01T00:00:00"/>
    <d v="2022-10-31T00:00:00"/>
    <m/>
    <n v="1"/>
    <m/>
    <m/>
    <s v="Yes"/>
    <n v="3"/>
    <n v="1"/>
    <n v="27"/>
    <n v="15"/>
    <m/>
    <n v="0"/>
    <m/>
    <m/>
    <m/>
    <m/>
    <m/>
    <m/>
    <m/>
    <m/>
    <m/>
    <m/>
    <n v="0"/>
    <m/>
    <m/>
    <m/>
    <m/>
    <m/>
    <m/>
    <m/>
    <m/>
    <n v="65"/>
    <n v="15"/>
    <m/>
    <m/>
    <m/>
    <m/>
    <m/>
    <m/>
    <x v="1"/>
    <x v="1"/>
    <m/>
    <n v="2"/>
    <m/>
    <m/>
    <m/>
    <m/>
    <n v="3"/>
    <m/>
    <m/>
    <n v="2"/>
    <m/>
    <n v="1"/>
    <m/>
    <m/>
    <m/>
    <m/>
    <m/>
    <m/>
    <m/>
    <m/>
    <m/>
    <m/>
    <m/>
    <m/>
    <m/>
    <m/>
    <m/>
    <m/>
    <m/>
    <m/>
    <s v="no test"/>
    <s v="no test"/>
    <s v="No Test"/>
    <n v="12"/>
    <n v="0"/>
    <n v="0"/>
    <n v="0"/>
    <n v="0"/>
    <n v="0"/>
    <n v="0"/>
    <n v="1"/>
    <n v="1"/>
    <n v="1"/>
    <n v="323"/>
    <n v="0"/>
    <n v="0"/>
    <n v="1"/>
    <n v="323"/>
    <n v="0.64600000000000002"/>
    <n v="0"/>
    <n v="0"/>
    <n v="0.35399999999999998"/>
    <n v="1"/>
    <n v="80"/>
    <n v="1"/>
    <n v="323"/>
    <n v="0"/>
    <n v="0"/>
    <n v="0"/>
    <n v="16"/>
    <n v="0"/>
    <n v="0"/>
    <n v="0"/>
    <n v="323"/>
    <n v="0"/>
    <n v="0"/>
    <n v="0"/>
    <n v="323"/>
    <n v="1"/>
    <n v="0"/>
    <n v="1"/>
    <n v="0"/>
    <n v="0"/>
    <n v="3"/>
    <n v="60"/>
    <n v="0"/>
    <n v="300"/>
    <s v="No"/>
    <s v=""/>
    <n v="0"/>
    <n v="0"/>
    <n v="0"/>
    <s v="Yes"/>
    <s v="KBC-MYT"/>
    <x v="0"/>
    <x v="1"/>
    <x v="1"/>
    <n v="26.569633"/>
    <n v="97.745480999999998"/>
    <s v="MMR001CMP238"/>
    <x v="0"/>
    <m/>
    <n v="123"/>
    <n v="646"/>
  </r>
  <r>
    <x v="1"/>
    <x v="3"/>
    <x v="1"/>
    <s v="MHF"/>
    <x v="1"/>
    <x v="11"/>
    <x v="0"/>
    <x v="36"/>
    <n v="68"/>
    <n v="353"/>
    <d v="2022-05-01T00:00:00"/>
    <d v="2022-10-31T00:00:00"/>
    <m/>
    <n v="1"/>
    <m/>
    <m/>
    <s v="Yes"/>
    <n v="3"/>
    <n v="2"/>
    <n v="16"/>
    <n v="5"/>
    <m/>
    <n v="0"/>
    <m/>
    <m/>
    <m/>
    <m/>
    <m/>
    <m/>
    <m/>
    <m/>
    <m/>
    <m/>
    <n v="0"/>
    <m/>
    <m/>
    <m/>
    <m/>
    <m/>
    <m/>
    <m/>
    <m/>
    <n v="73"/>
    <n v="23"/>
    <m/>
    <m/>
    <m/>
    <m/>
    <m/>
    <m/>
    <x v="1"/>
    <x v="1"/>
    <m/>
    <n v="24"/>
    <n v="5"/>
    <n v="5"/>
    <m/>
    <m/>
    <n v="1"/>
    <m/>
    <m/>
    <n v="1"/>
    <m/>
    <m/>
    <m/>
    <m/>
    <m/>
    <m/>
    <m/>
    <m/>
    <m/>
    <m/>
    <m/>
    <m/>
    <m/>
    <m/>
    <m/>
    <m/>
    <m/>
    <m/>
    <m/>
    <m/>
    <s v="no test"/>
    <s v="no test"/>
    <s v="No Test"/>
    <n v="11"/>
    <n v="0"/>
    <n v="0"/>
    <n v="0"/>
    <n v="0"/>
    <n v="0"/>
    <n v="0"/>
    <n v="1"/>
    <n v="1"/>
    <n v="1"/>
    <n v="353"/>
    <n v="0"/>
    <n v="0"/>
    <n v="1"/>
    <n v="353"/>
    <n v="0.70599999999999996"/>
    <n v="0"/>
    <n v="0"/>
    <n v="0.29400000000000004"/>
    <n v="1"/>
    <n v="96"/>
    <n v="1"/>
    <n v="353"/>
    <n v="0"/>
    <n v="0"/>
    <n v="250"/>
    <n v="18"/>
    <n v="0"/>
    <n v="0"/>
    <n v="0"/>
    <n v="0"/>
    <n v="0"/>
    <n v="0"/>
    <n v="0"/>
    <n v="0"/>
    <n v="0"/>
    <n v="1"/>
    <n v="0"/>
    <n v="0"/>
    <n v="0"/>
    <n v="1"/>
    <n v="20"/>
    <n v="0"/>
    <n v="100"/>
    <s v="No"/>
    <s v=""/>
    <n v="0"/>
    <n v="0"/>
    <n v="250"/>
    <s v="Yes"/>
    <s v="KBC-MYT"/>
    <x v="0"/>
    <x v="1"/>
    <x v="1"/>
    <n v="26.548506"/>
    <n v="97.75609"/>
    <s v="MMR001CMP239"/>
    <x v="0"/>
    <m/>
    <n v="68"/>
    <n v="353"/>
  </r>
  <r>
    <x v="1"/>
    <x v="3"/>
    <x v="1"/>
    <s v="MHF"/>
    <x v="1"/>
    <x v="12"/>
    <x v="0"/>
    <x v="37"/>
    <n v="109"/>
    <n v="483"/>
    <d v="2021-11-01T00:00:00"/>
    <d v="2022-10-31T00:00:00"/>
    <m/>
    <n v="2"/>
    <m/>
    <m/>
    <s v="No"/>
    <n v="2"/>
    <n v="2"/>
    <n v="4"/>
    <n v="1"/>
    <n v="1"/>
    <n v="3"/>
    <m/>
    <m/>
    <n v="1"/>
    <m/>
    <m/>
    <m/>
    <m/>
    <m/>
    <m/>
    <m/>
    <m/>
    <m/>
    <m/>
    <m/>
    <m/>
    <m/>
    <m/>
    <m/>
    <m/>
    <n v="30"/>
    <n v="30"/>
    <m/>
    <m/>
    <n v="7"/>
    <m/>
    <m/>
    <m/>
    <x v="2"/>
    <x v="2"/>
    <m/>
    <m/>
    <m/>
    <m/>
    <m/>
    <m/>
    <n v="3"/>
    <n v="2"/>
    <n v="5"/>
    <n v="3"/>
    <m/>
    <m/>
    <m/>
    <m/>
    <m/>
    <m/>
    <m/>
    <m/>
    <m/>
    <m/>
    <m/>
    <m/>
    <m/>
    <m/>
    <m/>
    <m/>
    <m/>
    <m/>
    <m/>
    <m/>
    <s v="no test"/>
    <s v="no test"/>
    <s v="No Test"/>
    <n v="3"/>
    <n v="3"/>
    <n v="0"/>
    <n v="0"/>
    <n v="0"/>
    <n v="0"/>
    <n v="0"/>
    <n v="1"/>
    <n v="1"/>
    <n v="1"/>
    <n v="483"/>
    <n v="0"/>
    <n v="0"/>
    <n v="1"/>
    <n v="483"/>
    <n v="0.96599999999999997"/>
    <n v="0"/>
    <n v="0"/>
    <n v="3.400000000000003E-2"/>
    <n v="1"/>
    <n v="60"/>
    <n v="1"/>
    <n v="483"/>
    <n v="0"/>
    <n v="0"/>
    <n v="0"/>
    <n v="24"/>
    <n v="0"/>
    <n v="0"/>
    <n v="0"/>
    <n v="0"/>
    <n v="0"/>
    <n v="0"/>
    <n v="0"/>
    <n v="0"/>
    <n v="0"/>
    <n v="1"/>
    <n v="0"/>
    <n v="0"/>
    <n v="0"/>
    <n v="1"/>
    <n v="20"/>
    <n v="0"/>
    <n v="100"/>
    <s v="No"/>
    <s v=""/>
    <n v="0"/>
    <n v="0"/>
    <n v="0"/>
    <s v="Yes"/>
    <s v="KBC-MYT"/>
    <x v="0"/>
    <x v="1"/>
    <x v="0"/>
    <n v="26.356223"/>
    <n v="96.721439000000004"/>
    <s v="MMR001CMP253"/>
    <x v="0"/>
    <m/>
    <n v="110"/>
    <n v="486"/>
  </r>
  <r>
    <x v="1"/>
    <x v="3"/>
    <x v="1"/>
    <s v="MHF"/>
    <x v="1"/>
    <x v="13"/>
    <x v="0"/>
    <x v="38"/>
    <n v="138"/>
    <n v="966"/>
    <d v="2022-05-01T00:00:00"/>
    <d v="2022-10-31T00:00:00"/>
    <m/>
    <n v="1"/>
    <m/>
    <m/>
    <s v="Yes"/>
    <n v="2"/>
    <n v="3"/>
    <n v="2"/>
    <m/>
    <m/>
    <m/>
    <m/>
    <m/>
    <m/>
    <n v="2"/>
    <m/>
    <n v="2"/>
    <m/>
    <m/>
    <m/>
    <m/>
    <m/>
    <m/>
    <m/>
    <m/>
    <m/>
    <m/>
    <m/>
    <m/>
    <m/>
    <n v="50"/>
    <n v="62"/>
    <m/>
    <n v="50"/>
    <m/>
    <m/>
    <m/>
    <n v="50"/>
    <x v="1"/>
    <x v="1"/>
    <m/>
    <m/>
    <m/>
    <m/>
    <m/>
    <m/>
    <n v="8"/>
    <m/>
    <m/>
    <n v="2"/>
    <n v="2"/>
    <m/>
    <n v="2"/>
    <m/>
    <m/>
    <m/>
    <m/>
    <m/>
    <m/>
    <m/>
    <m/>
    <m/>
    <m/>
    <m/>
    <m/>
    <m/>
    <m/>
    <m/>
    <m/>
    <m/>
    <s v="no test"/>
    <s v="no test"/>
    <s v="No Test"/>
    <n v="2"/>
    <n v="0"/>
    <n v="2"/>
    <n v="0"/>
    <n v="0"/>
    <n v="0"/>
    <n v="0"/>
    <n v="0.96618357487922713"/>
    <n v="0.65562456866804697"/>
    <n v="0.96618357487922713"/>
    <n v="933.33333333333337"/>
    <n v="0"/>
    <n v="0"/>
    <n v="0.96618357487922713"/>
    <n v="933.33333333333337"/>
    <n v="1.8666666666666667"/>
    <n v="3.3816425120772875E-2"/>
    <n v="32.6666666666666"/>
    <n v="0.1333333333333333"/>
    <n v="2"/>
    <n v="62"/>
    <n v="1"/>
    <n v="966"/>
    <n v="0"/>
    <n v="0"/>
    <n v="0"/>
    <n v="48"/>
    <n v="0"/>
    <n v="0"/>
    <n v="0.44642857142857145"/>
    <n v="966"/>
    <n v="0"/>
    <n v="0"/>
    <n v="0"/>
    <n v="966"/>
    <n v="1"/>
    <n v="0"/>
    <n v="1"/>
    <n v="0"/>
    <n v="0"/>
    <n v="8"/>
    <n v="138"/>
    <n v="0"/>
    <n v="800"/>
    <s v="No"/>
    <s v=""/>
    <n v="0"/>
    <n v="0"/>
    <n v="0"/>
    <s v="Yes"/>
    <s v="KBC-MYT"/>
    <x v="0"/>
    <x v="1"/>
    <x v="1"/>
    <n v="25.200333000000001"/>
    <n v="97.807182999999995"/>
    <s v="MMR001CMP115"/>
    <x v="0"/>
    <m/>
    <n v="138"/>
    <n v="966"/>
  </r>
  <r>
    <x v="1"/>
    <x v="16"/>
    <x v="1"/>
    <s v="MHF,SIDA"/>
    <x v="1"/>
    <x v="13"/>
    <x v="0"/>
    <x v="39"/>
    <n v="39"/>
    <n v="238"/>
    <d v="2022-05-01T00:00:00"/>
    <d v="2022-10-31T00:00:00"/>
    <m/>
    <n v="1"/>
    <m/>
    <m/>
    <s v="Yes"/>
    <n v="3"/>
    <n v="4"/>
    <n v="2"/>
    <m/>
    <m/>
    <n v="1"/>
    <m/>
    <m/>
    <m/>
    <m/>
    <m/>
    <m/>
    <m/>
    <m/>
    <m/>
    <m/>
    <n v="3"/>
    <m/>
    <m/>
    <m/>
    <m/>
    <m/>
    <m/>
    <m/>
    <m/>
    <n v="6"/>
    <m/>
    <m/>
    <m/>
    <m/>
    <m/>
    <m/>
    <n v="6"/>
    <x v="1"/>
    <x v="1"/>
    <m/>
    <m/>
    <m/>
    <m/>
    <m/>
    <m/>
    <n v="8"/>
    <m/>
    <m/>
    <n v="3"/>
    <m/>
    <m/>
    <n v="1"/>
    <m/>
    <m/>
    <m/>
    <m/>
    <m/>
    <m/>
    <m/>
    <m/>
    <m/>
    <m/>
    <m/>
    <m/>
    <m/>
    <m/>
    <m/>
    <m/>
    <m/>
    <s v="no test"/>
    <s v="no test"/>
    <s v="No Test"/>
    <n v="2"/>
    <n v="1"/>
    <n v="0"/>
    <n v="0"/>
    <n v="0"/>
    <n v="0"/>
    <n v="0"/>
    <n v="1"/>
    <n v="1"/>
    <n v="1"/>
    <n v="238"/>
    <n v="0"/>
    <n v="0"/>
    <n v="1"/>
    <n v="238"/>
    <n v="0.47599999999999998"/>
    <n v="0"/>
    <n v="0"/>
    <n v="0.52400000000000002"/>
    <n v="1"/>
    <n v="6"/>
    <n v="0.50420168067226889"/>
    <n v="120"/>
    <n v="0"/>
    <n v="0"/>
    <n v="0"/>
    <n v="12"/>
    <n v="6"/>
    <n v="0.49579831932773111"/>
    <n v="0"/>
    <n v="238"/>
    <n v="0"/>
    <n v="0"/>
    <n v="0"/>
    <n v="238"/>
    <n v="1"/>
    <n v="0"/>
    <n v="1"/>
    <n v="0"/>
    <n v="0"/>
    <n v="8"/>
    <n v="39"/>
    <n v="0"/>
    <n v="238"/>
    <s v="No"/>
    <s v=""/>
    <n v="0"/>
    <n v="0"/>
    <n v="0"/>
    <s v="Yes"/>
    <s v="KBC-MYT"/>
    <x v="0"/>
    <x v="1"/>
    <x v="0"/>
    <n v="25.356632000000001"/>
    <n v="97.451965000000001"/>
    <s v="MMR001CMP027"/>
    <x v="0"/>
    <m/>
    <n v="39"/>
    <n v="238"/>
  </r>
  <r>
    <x v="1"/>
    <x v="3"/>
    <x v="1"/>
    <s v="MHF"/>
    <x v="1"/>
    <x v="13"/>
    <x v="0"/>
    <x v="40"/>
    <n v="417"/>
    <n v="1469"/>
    <d v="2022-05-01T00:00:00"/>
    <d v="2022-10-31T00:00:00"/>
    <m/>
    <n v="1"/>
    <m/>
    <m/>
    <s v="Yes"/>
    <n v="3"/>
    <n v="2"/>
    <n v="1"/>
    <m/>
    <n v="23"/>
    <m/>
    <m/>
    <m/>
    <m/>
    <m/>
    <m/>
    <m/>
    <m/>
    <m/>
    <m/>
    <m/>
    <m/>
    <m/>
    <m/>
    <m/>
    <m/>
    <m/>
    <m/>
    <m/>
    <m/>
    <n v="407"/>
    <m/>
    <m/>
    <m/>
    <m/>
    <m/>
    <m/>
    <m/>
    <x v="1"/>
    <x v="1"/>
    <n v="3"/>
    <m/>
    <m/>
    <m/>
    <m/>
    <m/>
    <n v="177"/>
    <m/>
    <n v="12"/>
    <n v="6"/>
    <m/>
    <n v="1"/>
    <n v="5"/>
    <m/>
    <m/>
    <m/>
    <m/>
    <m/>
    <m/>
    <m/>
    <m/>
    <m/>
    <m/>
    <m/>
    <m/>
    <m/>
    <m/>
    <m/>
    <m/>
    <m/>
    <s v="no test"/>
    <s v="no test"/>
    <s v="No Test"/>
    <n v="1"/>
    <n v="0"/>
    <n v="0"/>
    <n v="0"/>
    <n v="0"/>
    <n v="0"/>
    <n v="0"/>
    <n v="0.27229407760381213"/>
    <n v="0.17018379850238258"/>
    <n v="0.27229407760381213"/>
    <n v="400"/>
    <n v="0"/>
    <n v="0"/>
    <n v="0.27229407760381213"/>
    <n v="400"/>
    <n v="0.8"/>
    <n v="0.72770592239618792"/>
    <n v="1069"/>
    <n v="2.2000000000000002"/>
    <n v="3"/>
    <n v="407"/>
    <n v="1"/>
    <n v="1469"/>
    <n v="0"/>
    <n v="0"/>
    <n v="0"/>
    <n v="245"/>
    <n v="0"/>
    <n v="0"/>
    <n v="0"/>
    <n v="1469"/>
    <n v="0"/>
    <n v="0"/>
    <n v="0"/>
    <n v="1469"/>
    <n v="1"/>
    <n v="0"/>
    <n v="1"/>
    <n v="0"/>
    <n v="0"/>
    <n v="177"/>
    <n v="417"/>
    <n v="0"/>
    <n v="1469"/>
    <s v="No"/>
    <s v=""/>
    <n v="0"/>
    <n v="0"/>
    <n v="0"/>
    <s v="Yes"/>
    <s v="KMSS-MYT"/>
    <x v="1"/>
    <x v="1"/>
    <x v="1"/>
    <n v="24.980250000000002"/>
    <n v="97.715230000000005"/>
    <s v="MMR001CMP119"/>
    <x v="0"/>
    <m/>
    <n v="417"/>
    <n v="1608"/>
  </r>
  <r>
    <x v="1"/>
    <x v="16"/>
    <x v="1"/>
    <s v="MHF,SIDA"/>
    <x v="1"/>
    <x v="13"/>
    <x v="0"/>
    <x v="41"/>
    <n v="531"/>
    <n v="2920"/>
    <d v="2022-05-01T00:00:00"/>
    <d v="2022-10-31T00:00:00"/>
    <m/>
    <n v="1"/>
    <m/>
    <m/>
    <s v="Yes"/>
    <n v="3"/>
    <n v="4"/>
    <n v="13"/>
    <m/>
    <m/>
    <n v="2"/>
    <m/>
    <m/>
    <m/>
    <m/>
    <m/>
    <m/>
    <m/>
    <m/>
    <m/>
    <m/>
    <n v="9"/>
    <m/>
    <m/>
    <m/>
    <m/>
    <m/>
    <m/>
    <m/>
    <m/>
    <n v="130"/>
    <m/>
    <m/>
    <m/>
    <m/>
    <m/>
    <m/>
    <n v="130"/>
    <x v="1"/>
    <x v="1"/>
    <m/>
    <m/>
    <m/>
    <m/>
    <m/>
    <m/>
    <n v="7"/>
    <m/>
    <m/>
    <n v="7"/>
    <m/>
    <n v="2"/>
    <n v="4"/>
    <m/>
    <m/>
    <m/>
    <m/>
    <m/>
    <m/>
    <m/>
    <m/>
    <m/>
    <m/>
    <m/>
    <m/>
    <m/>
    <m/>
    <m/>
    <m/>
    <m/>
    <s v="no test"/>
    <s v="no test"/>
    <s v="No Test"/>
    <n v="13"/>
    <n v="2"/>
    <n v="0"/>
    <n v="0"/>
    <n v="0"/>
    <n v="0"/>
    <n v="0"/>
    <n v="1"/>
    <n v="1"/>
    <n v="1"/>
    <n v="2920"/>
    <n v="0"/>
    <n v="0"/>
    <n v="1"/>
    <n v="2920"/>
    <n v="5.84"/>
    <n v="0"/>
    <n v="0"/>
    <n v="0.16000000000000014"/>
    <n v="6"/>
    <n v="130"/>
    <n v="0.8904109589041096"/>
    <n v="2600"/>
    <n v="0"/>
    <n v="0"/>
    <n v="0"/>
    <n v="146"/>
    <n v="16"/>
    <n v="0.1095890410958904"/>
    <n v="0"/>
    <n v="2920"/>
    <n v="0"/>
    <n v="0"/>
    <n v="0"/>
    <n v="2920"/>
    <n v="1"/>
    <n v="0"/>
    <n v="1"/>
    <n v="0"/>
    <n v="0"/>
    <n v="7"/>
    <n v="140"/>
    <n v="0"/>
    <n v="700"/>
    <s v="No"/>
    <s v=""/>
    <n v="0"/>
    <n v="0"/>
    <n v="0"/>
    <s v="Yes"/>
    <s v="KBC-MYT"/>
    <x v="0"/>
    <x v="1"/>
    <x v="0"/>
    <n v="25.4118005797101"/>
    <n v="97.434855869565197"/>
    <s v="MMR001CMP040"/>
    <x v="0"/>
    <m/>
    <n v="531"/>
    <n v="2920"/>
  </r>
  <r>
    <x v="1"/>
    <x v="16"/>
    <x v="1"/>
    <s v="MHF,SIDA"/>
    <x v="1"/>
    <x v="13"/>
    <x v="0"/>
    <x v="42"/>
    <n v="55"/>
    <n v="283"/>
    <d v="2022-05-01T00:00:00"/>
    <d v="2022-10-31T00:00:00"/>
    <m/>
    <n v="1"/>
    <m/>
    <m/>
    <s v="Yes"/>
    <n v="1"/>
    <n v="3"/>
    <n v="1"/>
    <m/>
    <m/>
    <m/>
    <m/>
    <m/>
    <m/>
    <m/>
    <m/>
    <m/>
    <m/>
    <m/>
    <m/>
    <m/>
    <n v="2"/>
    <m/>
    <m/>
    <m/>
    <m/>
    <m/>
    <m/>
    <m/>
    <m/>
    <n v="10"/>
    <m/>
    <m/>
    <m/>
    <m/>
    <m/>
    <m/>
    <n v="10"/>
    <x v="1"/>
    <x v="1"/>
    <m/>
    <m/>
    <m/>
    <m/>
    <m/>
    <m/>
    <n v="7"/>
    <m/>
    <m/>
    <n v="4"/>
    <m/>
    <n v="1"/>
    <m/>
    <m/>
    <m/>
    <m/>
    <m/>
    <m/>
    <m/>
    <m/>
    <m/>
    <m/>
    <m/>
    <m/>
    <m/>
    <m/>
    <m/>
    <m/>
    <m/>
    <m/>
    <s v="no test"/>
    <s v="no test"/>
    <s v="No Test"/>
    <n v="1"/>
    <n v="0"/>
    <n v="0"/>
    <n v="0"/>
    <n v="0"/>
    <n v="0"/>
    <n v="0"/>
    <n v="1"/>
    <n v="0.88339222614840984"/>
    <n v="1"/>
    <n v="283"/>
    <n v="0"/>
    <n v="0"/>
    <n v="1"/>
    <n v="283"/>
    <n v="0.56599999999999995"/>
    <n v="0"/>
    <n v="0"/>
    <n v="0.43400000000000005"/>
    <n v="1"/>
    <n v="10"/>
    <n v="0.70671378091872794"/>
    <n v="200"/>
    <n v="0"/>
    <n v="0"/>
    <n v="0"/>
    <n v="14"/>
    <n v="4"/>
    <n v="0.29328621908127206"/>
    <n v="0"/>
    <n v="283"/>
    <n v="0"/>
    <n v="0"/>
    <n v="0"/>
    <n v="283"/>
    <n v="1"/>
    <n v="0"/>
    <n v="1"/>
    <n v="0"/>
    <n v="0"/>
    <n v="7"/>
    <n v="55"/>
    <n v="0"/>
    <n v="283"/>
    <s v="No"/>
    <s v=""/>
    <n v="0"/>
    <n v="0"/>
    <n v="0"/>
    <s v="Yes"/>
    <s v="KBC-MYT"/>
    <x v="0"/>
    <x v="1"/>
    <x v="0"/>
    <n v="25.409612685185198"/>
    <n v="97.426536944444507"/>
    <s v="MMR001CMP039"/>
    <x v="0"/>
    <m/>
    <n v="55"/>
    <n v="283"/>
  </r>
  <r>
    <x v="1"/>
    <x v="3"/>
    <x v="1"/>
    <s v="MHF"/>
    <x v="1"/>
    <x v="13"/>
    <x v="0"/>
    <x v="43"/>
    <n v="166"/>
    <n v="966"/>
    <d v="2022-05-01T00:00:00"/>
    <d v="2022-10-31T00:00:00"/>
    <m/>
    <n v="1"/>
    <m/>
    <m/>
    <s v="Yes"/>
    <n v="3"/>
    <n v="2"/>
    <n v="3"/>
    <n v="1"/>
    <m/>
    <m/>
    <m/>
    <m/>
    <m/>
    <n v="4"/>
    <n v="2"/>
    <m/>
    <m/>
    <m/>
    <m/>
    <m/>
    <m/>
    <m/>
    <m/>
    <m/>
    <m/>
    <m/>
    <m/>
    <m/>
    <m/>
    <n v="170"/>
    <m/>
    <m/>
    <m/>
    <m/>
    <m/>
    <m/>
    <n v="150"/>
    <x v="1"/>
    <x v="1"/>
    <m/>
    <m/>
    <m/>
    <m/>
    <m/>
    <m/>
    <n v="25"/>
    <n v="5"/>
    <n v="5"/>
    <m/>
    <m/>
    <n v="1"/>
    <n v="2"/>
    <m/>
    <m/>
    <m/>
    <m/>
    <m/>
    <m/>
    <m/>
    <m/>
    <m/>
    <m/>
    <m/>
    <m/>
    <m/>
    <m/>
    <m/>
    <m/>
    <m/>
    <s v="no test"/>
    <s v="no test"/>
    <s v="No Test"/>
    <n v="2"/>
    <n v="0"/>
    <n v="2"/>
    <n v="0"/>
    <n v="0"/>
    <n v="0"/>
    <n v="0"/>
    <n v="0.96618357487922713"/>
    <n v="0.65562456866804697"/>
    <n v="0.96618357487922713"/>
    <n v="933.33333333333337"/>
    <n v="0"/>
    <n v="0"/>
    <n v="0.96618357487922713"/>
    <n v="933.33333333333337"/>
    <n v="1.8666666666666667"/>
    <n v="3.3816425120772875E-2"/>
    <n v="32.6666666666666"/>
    <n v="0.1333333333333333"/>
    <n v="2"/>
    <n v="170"/>
    <n v="0.87991718426501031"/>
    <n v="850"/>
    <n v="0"/>
    <n v="0"/>
    <n v="0"/>
    <n v="161"/>
    <n v="0"/>
    <n v="0.12008281573498969"/>
    <n v="0"/>
    <n v="966"/>
    <n v="0"/>
    <n v="0"/>
    <n v="0"/>
    <n v="966"/>
    <n v="1"/>
    <n v="0"/>
    <n v="1"/>
    <n v="0"/>
    <n v="0"/>
    <n v="20"/>
    <n v="166"/>
    <n v="0"/>
    <n v="966"/>
    <s v="No"/>
    <s v=""/>
    <n v="0"/>
    <n v="0"/>
    <n v="0"/>
    <s v="Yes"/>
    <s v="KBC-MYT"/>
    <x v="1"/>
    <x v="1"/>
    <x v="1"/>
    <n v="24.831944"/>
    <n v="97.751389000000003"/>
    <s v="MMR001CMP120"/>
    <x v="0"/>
    <m/>
    <n v="166"/>
    <n v="966"/>
  </r>
  <r>
    <x v="1"/>
    <x v="19"/>
    <x v="1"/>
    <s v="MHF,SIDA,LIFT"/>
    <x v="1"/>
    <x v="13"/>
    <x v="0"/>
    <x v="44"/>
    <n v="81"/>
    <n v="396"/>
    <s v="5/1/2022,1/1/2020"/>
    <s v="10/31/2022,12/31/2022"/>
    <m/>
    <n v="2"/>
    <m/>
    <m/>
    <s v="Yes"/>
    <n v="3"/>
    <n v="3"/>
    <n v="2"/>
    <m/>
    <m/>
    <m/>
    <m/>
    <m/>
    <m/>
    <m/>
    <m/>
    <m/>
    <m/>
    <m/>
    <m/>
    <m/>
    <n v="1"/>
    <m/>
    <m/>
    <m/>
    <m/>
    <m/>
    <m/>
    <m/>
    <m/>
    <n v="14"/>
    <m/>
    <m/>
    <m/>
    <m/>
    <m/>
    <m/>
    <n v="10"/>
    <x v="1"/>
    <x v="1"/>
    <m/>
    <m/>
    <m/>
    <m/>
    <m/>
    <m/>
    <n v="1"/>
    <m/>
    <m/>
    <n v="3"/>
    <m/>
    <n v="1"/>
    <n v="1"/>
    <n v="19"/>
    <n v="20"/>
    <m/>
    <m/>
    <m/>
    <s v="Provide hygiene 4 clean message to mother group session and adolescent sessions (Under managed by Nutrition Programme) "/>
    <m/>
    <m/>
    <m/>
    <m/>
    <m/>
    <m/>
    <m/>
    <m/>
    <m/>
    <m/>
    <m/>
    <s v="no test"/>
    <s v="no test"/>
    <s v="No Test"/>
    <n v="2"/>
    <n v="0"/>
    <n v="0"/>
    <n v="0"/>
    <n v="0"/>
    <n v="0"/>
    <n v="0"/>
    <n v="1"/>
    <n v="1"/>
    <n v="1"/>
    <n v="396"/>
    <n v="0"/>
    <n v="0"/>
    <n v="1"/>
    <n v="396"/>
    <n v="0.79200000000000004"/>
    <n v="0"/>
    <n v="0"/>
    <n v="0.20799999999999996"/>
    <n v="1"/>
    <n v="14"/>
    <n v="0.70707070707070707"/>
    <n v="280"/>
    <n v="0"/>
    <n v="0"/>
    <n v="0"/>
    <n v="20"/>
    <n v="6"/>
    <n v="0.29292929292929293"/>
    <n v="0"/>
    <n v="396"/>
    <n v="95"/>
    <n v="20"/>
    <n v="95"/>
    <n v="396"/>
    <n v="1"/>
    <n v="0"/>
    <n v="1"/>
    <n v="0.93827160493827155"/>
    <n v="0.24691358024691357"/>
    <n v="1"/>
    <n v="20"/>
    <n v="0"/>
    <n v="100"/>
    <s v="No"/>
    <s v=""/>
    <n v="0"/>
    <n v="0"/>
    <n v="0"/>
    <s v="Yes"/>
    <s v="KBC-MYT"/>
    <x v="0"/>
    <x v="1"/>
    <x v="0"/>
    <n v="25.351724999999998"/>
    <n v="97.438432380952406"/>
    <s v="MMR001CMP025"/>
    <x v="0"/>
    <m/>
    <n v="72"/>
    <n v="360"/>
  </r>
  <r>
    <x v="1"/>
    <x v="3"/>
    <x v="1"/>
    <s v="MHF"/>
    <x v="1"/>
    <x v="13"/>
    <x v="0"/>
    <x v="45"/>
    <n v="380"/>
    <n v="1881"/>
    <d v="2022-05-01T00:00:00"/>
    <d v="2022-10-31T00:00:00"/>
    <m/>
    <n v="1"/>
    <m/>
    <m/>
    <s v="Yes"/>
    <n v="9"/>
    <n v="6"/>
    <m/>
    <m/>
    <n v="15"/>
    <n v="5"/>
    <m/>
    <m/>
    <m/>
    <m/>
    <m/>
    <m/>
    <m/>
    <m/>
    <m/>
    <m/>
    <m/>
    <m/>
    <m/>
    <m/>
    <m/>
    <m/>
    <m/>
    <m/>
    <m/>
    <n v="413"/>
    <m/>
    <m/>
    <m/>
    <m/>
    <m/>
    <m/>
    <n v="413"/>
    <x v="1"/>
    <x v="1"/>
    <m/>
    <m/>
    <m/>
    <m/>
    <m/>
    <m/>
    <n v="315"/>
    <n v="315"/>
    <n v="5"/>
    <n v="1"/>
    <m/>
    <n v="1"/>
    <n v="3"/>
    <m/>
    <m/>
    <m/>
    <m/>
    <m/>
    <m/>
    <m/>
    <m/>
    <m/>
    <m/>
    <m/>
    <m/>
    <m/>
    <m/>
    <m/>
    <m/>
    <m/>
    <s v="no test"/>
    <s v="no test"/>
    <s v="No Test"/>
    <n v="0"/>
    <n v="5"/>
    <n v="0"/>
    <n v="0"/>
    <n v="0"/>
    <n v="0"/>
    <n v="0"/>
    <n v="1"/>
    <n v="0.66454013822434876"/>
    <n v="1"/>
    <n v="1881"/>
    <n v="0"/>
    <n v="0"/>
    <n v="1"/>
    <n v="1881"/>
    <n v="3.762"/>
    <n v="0"/>
    <n v="0"/>
    <n v="0.23799999999999999"/>
    <n v="4"/>
    <n v="413"/>
    <n v="1"/>
    <n v="1881"/>
    <n v="0"/>
    <n v="0"/>
    <n v="0"/>
    <n v="94"/>
    <n v="0"/>
    <n v="0"/>
    <n v="0"/>
    <n v="1881"/>
    <n v="0"/>
    <n v="0"/>
    <n v="0"/>
    <n v="1881"/>
    <n v="1"/>
    <n v="0"/>
    <n v="1"/>
    <n v="0"/>
    <n v="0"/>
    <n v="0"/>
    <n v="0"/>
    <n v="0"/>
    <n v="0"/>
    <s v="No"/>
    <s v=""/>
    <n v="0"/>
    <n v="0"/>
    <n v="0"/>
    <s v="Yes"/>
    <s v="KBC-MYT"/>
    <x v="0"/>
    <x v="1"/>
    <x v="1"/>
    <n v="25.418084"/>
    <n v="98.025662999999994"/>
    <s v="MMR001CMP249"/>
    <x v="0"/>
    <m/>
    <n v="380"/>
    <n v="1877"/>
  </r>
  <r>
    <x v="1"/>
    <x v="3"/>
    <x v="1"/>
    <s v="MHF,SIDA"/>
    <x v="1"/>
    <x v="13"/>
    <x v="0"/>
    <x v="46"/>
    <n v="214"/>
    <n v="1176"/>
    <d v="2022-05-01T00:00:00"/>
    <d v="2022-10-31T00:00:00"/>
    <m/>
    <n v="1"/>
    <m/>
    <m/>
    <s v="Yes"/>
    <n v="2"/>
    <n v="3"/>
    <m/>
    <m/>
    <m/>
    <m/>
    <m/>
    <m/>
    <m/>
    <m/>
    <m/>
    <m/>
    <m/>
    <m/>
    <m/>
    <m/>
    <m/>
    <m/>
    <m/>
    <m/>
    <m/>
    <m/>
    <m/>
    <m/>
    <m/>
    <n v="158"/>
    <m/>
    <m/>
    <m/>
    <m/>
    <m/>
    <m/>
    <n v="158"/>
    <x v="1"/>
    <x v="1"/>
    <m/>
    <m/>
    <m/>
    <m/>
    <m/>
    <m/>
    <n v="7"/>
    <m/>
    <m/>
    <n v="4"/>
    <m/>
    <n v="2"/>
    <n v="1"/>
    <m/>
    <m/>
    <m/>
    <m/>
    <m/>
    <m/>
    <m/>
    <m/>
    <m/>
    <m/>
    <m/>
    <m/>
    <m/>
    <m/>
    <m/>
    <m/>
    <m/>
    <s v="no test"/>
    <s v="no test"/>
    <s v="No Test"/>
    <n v="0"/>
    <n v="0"/>
    <n v="0"/>
    <n v="0"/>
    <n v="0"/>
    <n v="0"/>
    <n v="0"/>
    <n v="0"/>
    <n v="0"/>
    <n v="0"/>
    <n v="0"/>
    <n v="0"/>
    <n v="0"/>
    <n v="0"/>
    <n v="0"/>
    <n v="0"/>
    <n v="1"/>
    <n v="1176"/>
    <n v="2"/>
    <n v="2"/>
    <n v="158"/>
    <n v="1"/>
    <n v="1176"/>
    <n v="0"/>
    <n v="0"/>
    <n v="0"/>
    <n v="59"/>
    <n v="0"/>
    <n v="0"/>
    <n v="0"/>
    <n v="1176"/>
    <n v="0"/>
    <n v="0"/>
    <n v="0"/>
    <n v="1176"/>
    <n v="1"/>
    <n v="0"/>
    <n v="1"/>
    <n v="0"/>
    <n v="0"/>
    <n v="7"/>
    <n v="140"/>
    <n v="0"/>
    <n v="700"/>
    <s v="No"/>
    <s v=""/>
    <n v="0"/>
    <n v="0"/>
    <n v="0"/>
    <s v="Yes"/>
    <s v="KBC-MYT"/>
    <x v="0"/>
    <x v="1"/>
    <x v="0"/>
    <n v="25.418084"/>
    <n v="98.025662999999994"/>
    <s v="MMR001CMP041"/>
    <x v="0"/>
    <m/>
    <n v="213"/>
    <n v="1172"/>
  </r>
  <r>
    <x v="1"/>
    <x v="16"/>
    <x v="1"/>
    <s v="MHF"/>
    <x v="1"/>
    <x v="13"/>
    <x v="0"/>
    <x v="47"/>
    <n v="81"/>
    <n v="387"/>
    <d v="2022-05-01T00:00:00"/>
    <d v="2022-10-31T00:00:00"/>
    <m/>
    <n v="1"/>
    <m/>
    <m/>
    <s v="Yes"/>
    <n v="2"/>
    <n v="2"/>
    <n v="2"/>
    <n v="2"/>
    <n v="1"/>
    <n v="1"/>
    <m/>
    <m/>
    <m/>
    <m/>
    <m/>
    <m/>
    <m/>
    <m/>
    <m/>
    <m/>
    <n v="3"/>
    <m/>
    <m/>
    <m/>
    <m/>
    <m/>
    <m/>
    <m/>
    <m/>
    <n v="8"/>
    <m/>
    <m/>
    <m/>
    <m/>
    <m/>
    <m/>
    <n v="6"/>
    <x v="1"/>
    <x v="1"/>
    <m/>
    <m/>
    <m/>
    <m/>
    <m/>
    <m/>
    <n v="3"/>
    <m/>
    <m/>
    <n v="2"/>
    <m/>
    <n v="1"/>
    <n v="1"/>
    <m/>
    <m/>
    <m/>
    <m/>
    <m/>
    <m/>
    <m/>
    <m/>
    <m/>
    <m/>
    <m/>
    <m/>
    <m/>
    <m/>
    <m/>
    <m/>
    <m/>
    <s v="no test"/>
    <s v="no test"/>
    <s v="No Test"/>
    <n v="0"/>
    <n v="1"/>
    <n v="0"/>
    <n v="0"/>
    <n v="0"/>
    <n v="0"/>
    <n v="0"/>
    <n v="1"/>
    <n v="0.64599483204134367"/>
    <n v="1"/>
    <n v="387"/>
    <n v="0"/>
    <n v="0"/>
    <n v="1"/>
    <n v="387"/>
    <n v="0.77400000000000002"/>
    <n v="0"/>
    <n v="0"/>
    <n v="0.22599999999999998"/>
    <n v="1"/>
    <n v="8"/>
    <n v="0.41343669250645992"/>
    <n v="160"/>
    <n v="0"/>
    <n v="0"/>
    <n v="0"/>
    <n v="19"/>
    <n v="11"/>
    <n v="0.58656330749354013"/>
    <n v="0"/>
    <n v="387"/>
    <n v="0"/>
    <n v="0"/>
    <n v="0"/>
    <n v="387"/>
    <n v="1"/>
    <n v="0"/>
    <n v="1"/>
    <n v="0"/>
    <n v="0"/>
    <n v="3"/>
    <n v="60"/>
    <n v="0"/>
    <n v="300"/>
    <s v="No"/>
    <s v=""/>
    <n v="0"/>
    <n v="0"/>
    <n v="0"/>
    <s v="Yes"/>
    <s v="KBC-MYT"/>
    <x v="0"/>
    <x v="1"/>
    <x v="0"/>
    <n v="25.350989999999999"/>
    <n v="97.442809999999994"/>
    <s v="MMR001CMP269"/>
    <x v="0"/>
    <m/>
    <n v="81"/>
    <n v="387"/>
  </r>
  <r>
    <x v="1"/>
    <x v="20"/>
    <x v="13"/>
    <s v="MHF, ECHO 2739"/>
    <x v="1"/>
    <x v="10"/>
    <x v="0"/>
    <x v="34"/>
    <n v="49"/>
    <n v="300"/>
    <s v="11/1/2021, 4/1/2022"/>
    <s v="10/31/2022, 11/30/2022"/>
    <n v="95"/>
    <n v="4"/>
    <m/>
    <m/>
    <s v="Yes"/>
    <n v="2"/>
    <n v="4"/>
    <m/>
    <m/>
    <m/>
    <m/>
    <n v="2"/>
    <m/>
    <n v="1"/>
    <m/>
    <m/>
    <m/>
    <m/>
    <m/>
    <m/>
    <m/>
    <m/>
    <n v="1"/>
    <n v="1"/>
    <n v="9"/>
    <n v="7"/>
    <n v="2"/>
    <n v="0"/>
    <m/>
    <s v="Community requested that to construct new water storage tank "/>
    <n v="10"/>
    <m/>
    <n v="4"/>
    <m/>
    <m/>
    <m/>
    <m/>
    <m/>
    <x v="1"/>
    <x v="1"/>
    <n v="2"/>
    <m/>
    <n v="4"/>
    <m/>
    <n v="4"/>
    <m/>
    <n v="3"/>
    <n v="1"/>
    <m/>
    <n v="4"/>
    <n v="1"/>
    <n v="2"/>
    <n v="2"/>
    <n v="46"/>
    <n v="92"/>
    <s v="Yes"/>
    <n v="1"/>
    <n v="0.5"/>
    <m/>
    <n v="0.7"/>
    <n v="0.8"/>
    <n v="10"/>
    <n v="0.8"/>
    <m/>
    <m/>
    <m/>
    <m/>
    <m/>
    <m/>
    <m/>
    <n v="1"/>
    <n v="0.77777777777777779"/>
    <s v="Tested"/>
    <n v="0"/>
    <n v="2"/>
    <n v="0"/>
    <n v="0"/>
    <n v="0"/>
    <n v="0"/>
    <n v="0"/>
    <n v="1"/>
    <n v="1"/>
    <n v="1"/>
    <n v="300"/>
    <n v="0"/>
    <n v="0"/>
    <n v="1"/>
    <n v="300"/>
    <n v="0.6"/>
    <n v="0"/>
    <n v="0"/>
    <n v="0.4"/>
    <n v="1"/>
    <n v="10"/>
    <n v="0.81333333333333335"/>
    <n v="244"/>
    <n v="0"/>
    <n v="95"/>
    <n v="0"/>
    <n v="15"/>
    <n v="5"/>
    <n v="0.18666666666666665"/>
    <n v="0"/>
    <n v="300"/>
    <n v="230"/>
    <n v="92"/>
    <n v="230"/>
    <n v="300"/>
    <n v="1"/>
    <n v="0"/>
    <n v="1"/>
    <n v="1"/>
    <n v="1"/>
    <n v="2"/>
    <n v="40"/>
    <n v="2"/>
    <n v="200"/>
    <s v="Yes"/>
    <n v="3.3333333333333333E-2"/>
    <n v="0"/>
    <n v="95"/>
    <n v="0"/>
    <s v="Yes"/>
    <s v="KBC-BMO"/>
    <x v="0"/>
    <x v="1"/>
    <x v="0"/>
    <n v="24.200361000000001"/>
    <n v="96.807353000000006"/>
    <s v="MMR001CMP067"/>
    <x v="0"/>
    <m/>
    <n v="46"/>
    <n v="263"/>
  </r>
  <r>
    <x v="1"/>
    <x v="5"/>
    <x v="2"/>
    <s v="UNICEF"/>
    <x v="1"/>
    <x v="3"/>
    <x v="0"/>
    <x v="48"/>
    <n v="14"/>
    <n v="52"/>
    <d v="2021-08-06T00:00:00"/>
    <d v="2022-08-05T00:00:00"/>
    <n v="155"/>
    <n v="3"/>
    <m/>
    <m/>
    <s v="Yes"/>
    <n v="3"/>
    <n v="2"/>
    <n v="1"/>
    <n v="1"/>
    <n v="1"/>
    <n v="1"/>
    <m/>
    <m/>
    <m/>
    <n v="1"/>
    <m/>
    <m/>
    <m/>
    <m/>
    <m/>
    <n v="10"/>
    <n v="7"/>
    <n v="2"/>
    <n v="0"/>
    <n v="8"/>
    <m/>
    <n v="2"/>
    <n v="1"/>
    <m/>
    <s v="NA"/>
    <n v="4"/>
    <m/>
    <m/>
    <n v="1"/>
    <m/>
    <m/>
    <m/>
    <m/>
    <x v="1"/>
    <x v="0"/>
    <n v="2"/>
    <m/>
    <m/>
    <m/>
    <m/>
    <m/>
    <n v="2"/>
    <m/>
    <m/>
    <n v="2"/>
    <m/>
    <m/>
    <n v="1"/>
    <n v="14"/>
    <n v="11.154000000000002"/>
    <s v="Yes"/>
    <n v="100"/>
    <m/>
    <s v="Every woman requested Sanitary pads"/>
    <n v="0.4"/>
    <m/>
    <m/>
    <n v="0.01"/>
    <m/>
    <m/>
    <m/>
    <m/>
    <m/>
    <m/>
    <m/>
    <n v="0"/>
    <n v="0"/>
    <s v="Tested"/>
    <n v="0"/>
    <n v="1"/>
    <n v="1"/>
    <n v="0"/>
    <n v="0"/>
    <n v="52"/>
    <n v="0"/>
    <n v="1"/>
    <n v="1"/>
    <n v="1"/>
    <n v="52"/>
    <n v="0"/>
    <n v="0"/>
    <n v="1"/>
    <n v="52"/>
    <n v="0.104"/>
    <n v="0"/>
    <n v="0"/>
    <n v="0.89600000000000002"/>
    <n v="1"/>
    <n v="3"/>
    <n v="1"/>
    <n v="52"/>
    <n v="0"/>
    <n v="0"/>
    <n v="0"/>
    <n v="3"/>
    <n v="0"/>
    <n v="0"/>
    <n v="0.25"/>
    <n v="52"/>
    <n v="52"/>
    <n v="11.154000000000002"/>
    <n v="52"/>
    <n v="52"/>
    <n v="1"/>
    <n v="0"/>
    <n v="1"/>
    <n v="1"/>
    <n v="0.79671428571428582"/>
    <n v="2"/>
    <n v="14"/>
    <n v="2"/>
    <n v="52"/>
    <s v="Yes"/>
    <s v=""/>
    <n v="0"/>
    <n v="52"/>
    <n v="0"/>
    <n v="0"/>
    <s v="KMSS-MYT"/>
    <x v="0"/>
    <x v="1"/>
    <x v="0"/>
    <n v="25.522594999999999"/>
    <n v="96.711534"/>
    <s v="MMR001CMP270"/>
    <x v="0"/>
    <m/>
    <n v="14"/>
    <n v="52"/>
  </r>
  <r>
    <x v="1"/>
    <x v="5"/>
    <x v="2"/>
    <s v="UNICEF"/>
    <x v="1"/>
    <x v="3"/>
    <x v="1"/>
    <x v="49"/>
    <n v="94"/>
    <n v="467"/>
    <d v="2021-08-06T00:00:00"/>
    <d v="2022-08-05T00:00:00"/>
    <m/>
    <n v="5"/>
    <m/>
    <m/>
    <s v="Yes"/>
    <n v="2"/>
    <n v="5"/>
    <n v="1"/>
    <n v="1"/>
    <n v="1"/>
    <m/>
    <m/>
    <m/>
    <m/>
    <m/>
    <m/>
    <m/>
    <m/>
    <m/>
    <m/>
    <m/>
    <n v="7"/>
    <n v="10"/>
    <n v="1"/>
    <m/>
    <m/>
    <m/>
    <m/>
    <m/>
    <m/>
    <n v="12"/>
    <m/>
    <m/>
    <m/>
    <m/>
    <m/>
    <m/>
    <m/>
    <x v="1"/>
    <x v="1"/>
    <n v="3"/>
    <m/>
    <m/>
    <m/>
    <m/>
    <m/>
    <n v="1"/>
    <m/>
    <m/>
    <n v="2"/>
    <n v="1"/>
    <m/>
    <n v="1"/>
    <n v="94"/>
    <n v="100.17150000000001"/>
    <s v="Yes"/>
    <n v="100"/>
    <n v="0.3"/>
    <s v="Every woman requested Sanitary pads"/>
    <m/>
    <m/>
    <m/>
    <n v="0.01"/>
    <m/>
    <m/>
    <m/>
    <m/>
    <m/>
    <m/>
    <m/>
    <n v="0.1"/>
    <s v="no test"/>
    <s v="Tested"/>
    <n v="0"/>
    <n v="0"/>
    <n v="0"/>
    <n v="0"/>
    <n v="0"/>
    <n v="0"/>
    <n v="0"/>
    <n v="0"/>
    <n v="0"/>
    <n v="0"/>
    <n v="0"/>
    <n v="0"/>
    <n v="0"/>
    <n v="0"/>
    <n v="0"/>
    <n v="0"/>
    <n v="1"/>
    <n v="467"/>
    <n v="1"/>
    <n v="1"/>
    <n v="12"/>
    <n v="0.64239828693790146"/>
    <n v="300"/>
    <n v="0"/>
    <n v="0"/>
    <n v="0"/>
    <n v="23"/>
    <n v="11"/>
    <n v="0.35760171306209854"/>
    <n v="0"/>
    <n v="467"/>
    <n v="467"/>
    <n v="100.17150000000001"/>
    <n v="467"/>
    <n v="467"/>
    <n v="1"/>
    <n v="0"/>
    <n v="1"/>
    <n v="1"/>
    <n v="1"/>
    <n v="1"/>
    <n v="20"/>
    <n v="0"/>
    <n v="100"/>
    <s v="No"/>
    <s v=""/>
    <n v="0"/>
    <n v="0"/>
    <n v="0"/>
    <n v="0"/>
    <n v="0"/>
    <x v="0"/>
    <x v="0"/>
    <x v="0"/>
    <n v="0"/>
    <n v="0"/>
    <n v="0"/>
    <x v="0"/>
    <m/>
    <n v="0"/>
    <n v="0"/>
  </r>
  <r>
    <x v="1"/>
    <x v="5"/>
    <x v="2"/>
    <s v="UNICEF"/>
    <x v="1"/>
    <x v="3"/>
    <x v="0"/>
    <x v="50"/>
    <n v="50"/>
    <n v="218"/>
    <d v="2021-08-06T00:00:00"/>
    <d v="2022-08-05T00:00:00"/>
    <m/>
    <n v="2"/>
    <m/>
    <m/>
    <s v="Yes"/>
    <n v="3"/>
    <n v="3"/>
    <n v="1"/>
    <m/>
    <m/>
    <m/>
    <m/>
    <m/>
    <m/>
    <m/>
    <m/>
    <m/>
    <m/>
    <m/>
    <m/>
    <m/>
    <n v="5"/>
    <m/>
    <n v="1"/>
    <m/>
    <m/>
    <n v="4"/>
    <m/>
    <m/>
    <m/>
    <n v="16"/>
    <m/>
    <m/>
    <m/>
    <m/>
    <m/>
    <m/>
    <m/>
    <x v="1"/>
    <x v="1"/>
    <m/>
    <m/>
    <m/>
    <m/>
    <m/>
    <m/>
    <n v="7"/>
    <m/>
    <m/>
    <n v="2"/>
    <m/>
    <m/>
    <n v="1"/>
    <n v="50"/>
    <n v="46.76100000000001"/>
    <s v="Yes"/>
    <n v="100"/>
    <m/>
    <s v="Every woman requested Sanitary pads"/>
    <m/>
    <m/>
    <m/>
    <n v="0.01"/>
    <m/>
    <m/>
    <m/>
    <m/>
    <m/>
    <m/>
    <m/>
    <s v="no test"/>
    <s v="no test"/>
    <s v="No Test"/>
    <n v="1"/>
    <n v="0"/>
    <n v="0"/>
    <n v="0"/>
    <n v="0"/>
    <n v="0"/>
    <n v="0"/>
    <n v="1"/>
    <n v="1"/>
    <n v="1"/>
    <n v="218"/>
    <n v="0"/>
    <n v="0"/>
    <n v="1"/>
    <n v="218"/>
    <n v="0.436"/>
    <n v="0"/>
    <n v="0"/>
    <n v="0.56400000000000006"/>
    <n v="1"/>
    <n v="16"/>
    <n v="1"/>
    <n v="218"/>
    <n v="0"/>
    <n v="0"/>
    <n v="0"/>
    <n v="11"/>
    <n v="0"/>
    <n v="0"/>
    <n v="0"/>
    <n v="218"/>
    <n v="218"/>
    <n v="46.76100000000001"/>
    <n v="218"/>
    <n v="218"/>
    <n v="1"/>
    <n v="0"/>
    <n v="1"/>
    <n v="1"/>
    <n v="0.93522000000000016"/>
    <n v="7"/>
    <n v="50"/>
    <n v="4"/>
    <n v="218"/>
    <s v="No"/>
    <s v=""/>
    <n v="0"/>
    <n v="0"/>
    <n v="0"/>
    <s v="Yes"/>
    <s v="KMSS-MYT"/>
    <x v="0"/>
    <x v="1"/>
    <x v="0"/>
    <n v="25.613894999999999"/>
    <n v="96.341352999999998"/>
    <s v="MMR001CMP103"/>
    <x v="0"/>
    <m/>
    <n v="47"/>
    <n v="226"/>
  </r>
  <r>
    <x v="1"/>
    <x v="5"/>
    <x v="2"/>
    <s v="UNICEF"/>
    <x v="1"/>
    <x v="4"/>
    <x v="0"/>
    <x v="130"/>
    <n v="154"/>
    <n v="694"/>
    <d v="2021-08-06T00:00:00"/>
    <d v="2022-08-05T00:00:00"/>
    <m/>
    <n v="5"/>
    <m/>
    <m/>
    <s v="Yes"/>
    <n v="3"/>
    <n v="4"/>
    <n v="1"/>
    <m/>
    <m/>
    <n v="3"/>
    <n v="2"/>
    <m/>
    <m/>
    <m/>
    <m/>
    <m/>
    <m/>
    <m/>
    <m/>
    <m/>
    <m/>
    <m/>
    <m/>
    <m/>
    <m/>
    <m/>
    <m/>
    <m/>
    <m/>
    <n v="61"/>
    <m/>
    <m/>
    <m/>
    <m/>
    <m/>
    <m/>
    <m/>
    <x v="1"/>
    <x v="1"/>
    <m/>
    <m/>
    <m/>
    <m/>
    <m/>
    <m/>
    <n v="10"/>
    <m/>
    <n v="0"/>
    <n v="7"/>
    <m/>
    <m/>
    <n v="2"/>
    <n v="154"/>
    <n v="148.86300000000003"/>
    <s v="Yes"/>
    <n v="100"/>
    <m/>
    <s v="Every woman requested Sanitary pads"/>
    <m/>
    <m/>
    <m/>
    <n v="0.01"/>
    <m/>
    <m/>
    <m/>
    <m/>
    <m/>
    <m/>
    <m/>
    <s v="no test"/>
    <s v="no test"/>
    <s v="No Test"/>
    <n v="1"/>
    <n v="5"/>
    <n v="0"/>
    <n v="0"/>
    <n v="0"/>
    <n v="0"/>
    <n v="0"/>
    <n v="1"/>
    <n v="1"/>
    <n v="1"/>
    <n v="694"/>
    <n v="0"/>
    <n v="0"/>
    <n v="1"/>
    <n v="694"/>
    <n v="1.3879999999999999"/>
    <n v="0"/>
    <n v="0"/>
    <n v="0"/>
    <n v="1"/>
    <n v="61"/>
    <n v="1"/>
    <n v="694"/>
    <n v="0"/>
    <n v="0"/>
    <n v="0"/>
    <n v="35"/>
    <n v="0"/>
    <n v="0"/>
    <n v="0"/>
    <n v="694"/>
    <n v="694"/>
    <n v="148.86300000000003"/>
    <n v="694"/>
    <n v="694"/>
    <n v="1"/>
    <n v="0"/>
    <n v="1"/>
    <n v="1"/>
    <n v="0.96664285714285736"/>
    <n v="10"/>
    <n v="154"/>
    <n v="0"/>
    <n v="694"/>
    <s v="No"/>
    <s v=""/>
    <n v="0"/>
    <n v="0"/>
    <n v="0"/>
    <s v="Yes"/>
    <s v="KMSS-BMO"/>
    <x v="0"/>
    <x v="1"/>
    <x v="0"/>
    <n v="23.976571"/>
    <n v="97.227057000000002"/>
    <s v="MMR001CMP223"/>
    <x v="0"/>
    <m/>
    <n v="151"/>
    <n v="732"/>
  </r>
  <r>
    <x v="1"/>
    <x v="5"/>
    <x v="2"/>
    <s v="UNICEF"/>
    <x v="1"/>
    <x v="5"/>
    <x v="0"/>
    <x v="51"/>
    <n v="48"/>
    <n v="270"/>
    <d v="2021-08-06T00:00:00"/>
    <d v="2022-08-05T00:00:00"/>
    <m/>
    <n v="3"/>
    <m/>
    <m/>
    <s v="Yes"/>
    <n v="3"/>
    <n v="1"/>
    <n v="2"/>
    <m/>
    <m/>
    <m/>
    <m/>
    <m/>
    <m/>
    <m/>
    <m/>
    <m/>
    <m/>
    <m/>
    <m/>
    <m/>
    <m/>
    <n v="5"/>
    <n v="1"/>
    <m/>
    <m/>
    <n v="5"/>
    <m/>
    <m/>
    <m/>
    <n v="18"/>
    <m/>
    <m/>
    <n v="2"/>
    <m/>
    <m/>
    <m/>
    <m/>
    <x v="1"/>
    <x v="3"/>
    <m/>
    <m/>
    <m/>
    <m/>
    <m/>
    <m/>
    <n v="5"/>
    <m/>
    <n v="2"/>
    <n v="2"/>
    <m/>
    <m/>
    <n v="1"/>
    <n v="48"/>
    <n v="57.915000000000006"/>
    <s v="Yes"/>
    <n v="100"/>
    <m/>
    <s v="Every woman requested Sanitary pads"/>
    <m/>
    <n v="0.5"/>
    <m/>
    <n v="0.01"/>
    <m/>
    <m/>
    <m/>
    <m/>
    <m/>
    <m/>
    <m/>
    <n v="0.2"/>
    <s v="no test"/>
    <s v="Tested"/>
    <n v="2"/>
    <n v="0"/>
    <n v="0"/>
    <n v="0"/>
    <n v="0"/>
    <n v="0"/>
    <n v="0"/>
    <n v="1"/>
    <n v="1"/>
    <n v="1"/>
    <n v="270"/>
    <n v="0"/>
    <n v="0"/>
    <n v="1"/>
    <n v="270"/>
    <n v="0.54"/>
    <n v="0"/>
    <n v="0"/>
    <n v="0.45999999999999996"/>
    <n v="1"/>
    <n v="16"/>
    <n v="1"/>
    <n v="270"/>
    <n v="0"/>
    <n v="0"/>
    <n v="0"/>
    <n v="14"/>
    <n v="0"/>
    <n v="0"/>
    <n v="0.1111111111111111"/>
    <n v="270"/>
    <n v="270"/>
    <n v="57.915000000000006"/>
    <n v="270"/>
    <n v="270"/>
    <n v="1"/>
    <n v="0"/>
    <n v="1"/>
    <n v="1"/>
    <n v="1"/>
    <n v="5"/>
    <n v="48"/>
    <n v="5"/>
    <n v="270"/>
    <s v="No"/>
    <s v=""/>
    <n v="0"/>
    <n v="0"/>
    <n v="0"/>
    <n v="0"/>
    <s v="KMSS-MYT"/>
    <x v="0"/>
    <x v="1"/>
    <x v="0"/>
    <n v="25.383058999999999"/>
    <n v="97.014313000000001"/>
    <s v="MMR001CMP259"/>
    <x v="0"/>
    <m/>
    <n v="48"/>
    <n v="268"/>
  </r>
  <r>
    <x v="1"/>
    <x v="5"/>
    <x v="2"/>
    <s v="UNICEF"/>
    <x v="1"/>
    <x v="5"/>
    <x v="0"/>
    <x v="52"/>
    <n v="83"/>
    <n v="424"/>
    <d v="2021-08-06T00:00:00"/>
    <d v="2022-08-05T00:00:00"/>
    <m/>
    <n v="2"/>
    <m/>
    <m/>
    <s v="Yes"/>
    <n v="2"/>
    <n v="3"/>
    <n v="3"/>
    <m/>
    <m/>
    <m/>
    <m/>
    <m/>
    <m/>
    <m/>
    <m/>
    <m/>
    <m/>
    <m/>
    <m/>
    <m/>
    <m/>
    <n v="4"/>
    <n v="1"/>
    <m/>
    <m/>
    <n v="10"/>
    <m/>
    <m/>
    <m/>
    <n v="14"/>
    <m/>
    <m/>
    <n v="2"/>
    <m/>
    <m/>
    <m/>
    <m/>
    <x v="1"/>
    <x v="0"/>
    <n v="1"/>
    <m/>
    <m/>
    <m/>
    <m/>
    <m/>
    <n v="10"/>
    <m/>
    <n v="2"/>
    <n v="2"/>
    <m/>
    <m/>
    <n v="1"/>
    <n v="83"/>
    <n v="90.948000000000008"/>
    <s v="Yes"/>
    <n v="100"/>
    <n v="0.5"/>
    <s v="Every woman requested Sanitary pads"/>
    <m/>
    <m/>
    <m/>
    <n v="0.01"/>
    <m/>
    <m/>
    <m/>
    <m/>
    <m/>
    <m/>
    <m/>
    <n v="0.25"/>
    <s v="no test"/>
    <s v="Tested"/>
    <n v="3"/>
    <n v="0"/>
    <n v="0"/>
    <n v="0"/>
    <n v="0"/>
    <n v="0"/>
    <n v="0"/>
    <n v="1"/>
    <n v="1"/>
    <n v="1"/>
    <n v="424"/>
    <n v="0"/>
    <n v="0"/>
    <n v="1"/>
    <n v="424"/>
    <n v="0.84799999999999998"/>
    <n v="0"/>
    <n v="0"/>
    <n v="0.15200000000000002"/>
    <n v="1"/>
    <n v="12"/>
    <n v="0.6132075471698113"/>
    <n v="260"/>
    <n v="0"/>
    <n v="0"/>
    <n v="0"/>
    <n v="21"/>
    <n v="7"/>
    <n v="0.3867924528301887"/>
    <n v="0.14285714285714285"/>
    <n v="424"/>
    <n v="424"/>
    <n v="90.948000000000008"/>
    <n v="424"/>
    <n v="424"/>
    <n v="1"/>
    <n v="0"/>
    <n v="1"/>
    <n v="1"/>
    <n v="1"/>
    <n v="10"/>
    <n v="83"/>
    <n v="10"/>
    <n v="424"/>
    <s v="No"/>
    <s v=""/>
    <n v="0"/>
    <n v="0"/>
    <n v="0"/>
    <n v="0"/>
    <s v="KMSS-MYT"/>
    <x v="0"/>
    <x v="1"/>
    <x v="0"/>
    <n v="25.383058999999999"/>
    <n v="97.014313000000001"/>
    <s v="MMR001CMP260"/>
    <x v="0"/>
    <m/>
    <n v="83"/>
    <n v="422"/>
  </r>
  <r>
    <x v="1"/>
    <x v="5"/>
    <x v="2"/>
    <s v="UNICEF"/>
    <x v="1"/>
    <x v="6"/>
    <x v="0"/>
    <x v="53"/>
    <n v="11"/>
    <n v="68"/>
    <d v="2021-08-06T00:00:00"/>
    <d v="2022-08-05T00:00:00"/>
    <m/>
    <n v="1"/>
    <m/>
    <m/>
    <s v="Yes"/>
    <n v="3"/>
    <n v="8"/>
    <n v="1"/>
    <m/>
    <m/>
    <m/>
    <m/>
    <m/>
    <m/>
    <m/>
    <m/>
    <m/>
    <m/>
    <m/>
    <m/>
    <m/>
    <m/>
    <n v="9"/>
    <n v="6"/>
    <m/>
    <m/>
    <n v="4"/>
    <m/>
    <m/>
    <m/>
    <n v="7"/>
    <m/>
    <m/>
    <m/>
    <m/>
    <m/>
    <m/>
    <m/>
    <x v="1"/>
    <x v="1"/>
    <n v="1"/>
    <m/>
    <m/>
    <m/>
    <m/>
    <m/>
    <n v="0"/>
    <m/>
    <m/>
    <n v="2"/>
    <m/>
    <m/>
    <n v="1"/>
    <n v="11"/>
    <n v="14.586000000000002"/>
    <s v="Yes"/>
    <n v="100"/>
    <m/>
    <s v="Every woman requested Sanitary pads"/>
    <m/>
    <m/>
    <m/>
    <n v="0.01"/>
    <m/>
    <m/>
    <m/>
    <m/>
    <m/>
    <m/>
    <m/>
    <n v="0.66666666666666663"/>
    <s v="no test"/>
    <s v="Tested"/>
    <n v="1"/>
    <n v="0"/>
    <n v="0"/>
    <n v="0"/>
    <n v="0"/>
    <n v="0"/>
    <n v="0"/>
    <n v="1"/>
    <n v="1"/>
    <n v="1"/>
    <n v="68"/>
    <n v="0"/>
    <n v="0"/>
    <n v="1"/>
    <n v="68"/>
    <n v="0.13600000000000001"/>
    <n v="0"/>
    <n v="0"/>
    <n v="0.86399999999999999"/>
    <n v="1"/>
    <n v="7"/>
    <n v="1"/>
    <n v="68"/>
    <n v="0"/>
    <n v="0"/>
    <n v="0"/>
    <n v="3"/>
    <n v="0"/>
    <n v="0"/>
    <n v="0"/>
    <n v="68"/>
    <n v="68"/>
    <n v="14.586000000000002"/>
    <n v="68"/>
    <n v="68"/>
    <n v="1"/>
    <n v="0"/>
    <n v="1"/>
    <n v="1"/>
    <n v="1"/>
    <n v="0"/>
    <n v="0"/>
    <n v="4"/>
    <n v="0"/>
    <s v="No"/>
    <s v=""/>
    <n v="0"/>
    <n v="0"/>
    <n v="0"/>
    <s v="Yes"/>
    <s v="KMSS-MYT"/>
    <x v="0"/>
    <x v="3"/>
    <x v="0"/>
    <n v="24.764800000000001"/>
    <n v="96.367059999999995"/>
    <s v="MMR001CMP080"/>
    <x v="0"/>
    <m/>
    <n v="11"/>
    <n v="68"/>
  </r>
  <r>
    <x v="1"/>
    <x v="5"/>
    <x v="2"/>
    <s v="UNICEF"/>
    <x v="1"/>
    <x v="7"/>
    <x v="0"/>
    <x v="54"/>
    <n v="72"/>
    <n v="406"/>
    <d v="2021-08-06T00:00:00"/>
    <d v="2022-08-05T00:00:00"/>
    <m/>
    <n v="2"/>
    <m/>
    <m/>
    <s v="Yes"/>
    <n v="3"/>
    <n v="3"/>
    <n v="3"/>
    <n v="1"/>
    <n v="1"/>
    <n v="1"/>
    <m/>
    <m/>
    <m/>
    <n v="1"/>
    <m/>
    <m/>
    <m/>
    <m/>
    <m/>
    <m/>
    <m/>
    <m/>
    <m/>
    <m/>
    <m/>
    <n v="4"/>
    <m/>
    <m/>
    <m/>
    <n v="20"/>
    <m/>
    <m/>
    <n v="1"/>
    <m/>
    <m/>
    <m/>
    <m/>
    <x v="1"/>
    <x v="1"/>
    <n v="1"/>
    <m/>
    <m/>
    <m/>
    <m/>
    <m/>
    <n v="0"/>
    <m/>
    <m/>
    <n v="3"/>
    <n v="1"/>
    <m/>
    <n v="2"/>
    <n v="72"/>
    <n v="87.087000000000018"/>
    <s v="Yes"/>
    <n v="100"/>
    <m/>
    <s v="Every woman requested Sanitary pads"/>
    <m/>
    <m/>
    <m/>
    <n v="0.01"/>
    <m/>
    <m/>
    <m/>
    <m/>
    <m/>
    <m/>
    <m/>
    <s v="no test"/>
    <s v="no test"/>
    <s v="No Test"/>
    <n v="2"/>
    <n v="1"/>
    <n v="1"/>
    <n v="0"/>
    <n v="0"/>
    <n v="0"/>
    <n v="0"/>
    <n v="1"/>
    <n v="1"/>
    <n v="1"/>
    <n v="406"/>
    <n v="0"/>
    <n v="0"/>
    <n v="1"/>
    <n v="406"/>
    <n v="0.81200000000000006"/>
    <n v="0"/>
    <n v="0"/>
    <n v="0.18799999999999994"/>
    <n v="1"/>
    <n v="19"/>
    <n v="0.98522167487684731"/>
    <n v="400"/>
    <n v="0"/>
    <n v="0"/>
    <n v="0"/>
    <n v="20"/>
    <n v="0"/>
    <n v="1.4778325123152691E-2"/>
    <n v="0.05"/>
    <n v="406"/>
    <n v="406"/>
    <n v="87.087000000000018"/>
    <n v="406"/>
    <n v="406"/>
    <n v="1"/>
    <n v="0"/>
    <n v="1"/>
    <n v="1"/>
    <n v="1"/>
    <n v="0"/>
    <n v="0"/>
    <n v="4"/>
    <n v="0"/>
    <s v="No"/>
    <s v=""/>
    <n v="0"/>
    <n v="0"/>
    <n v="0"/>
    <s v="Yes"/>
    <s v="KMSS-MYT"/>
    <x v="0"/>
    <x v="1"/>
    <x v="1"/>
    <n v="24.461033"/>
    <n v="97.537099999999995"/>
    <s v="MMR001CMP123"/>
    <x v="0"/>
    <m/>
    <n v="72"/>
    <n v="404"/>
  </r>
  <r>
    <x v="1"/>
    <x v="5"/>
    <x v="2"/>
    <s v="UNICEF"/>
    <x v="1"/>
    <x v="8"/>
    <x v="0"/>
    <x v="55"/>
    <n v="72"/>
    <n v="388"/>
    <d v="2021-08-06T00:00:00"/>
    <d v="2022-08-05T00:00:00"/>
    <m/>
    <n v="3"/>
    <m/>
    <m/>
    <s v="Yes"/>
    <n v="2"/>
    <n v="8"/>
    <n v="1"/>
    <m/>
    <m/>
    <m/>
    <m/>
    <m/>
    <m/>
    <m/>
    <m/>
    <m/>
    <m/>
    <m/>
    <m/>
    <m/>
    <m/>
    <n v="7"/>
    <n v="2"/>
    <m/>
    <m/>
    <n v="5"/>
    <m/>
    <m/>
    <m/>
    <n v="22"/>
    <m/>
    <m/>
    <n v="1"/>
    <m/>
    <m/>
    <m/>
    <m/>
    <x v="1"/>
    <x v="1"/>
    <n v="1"/>
    <m/>
    <m/>
    <m/>
    <m/>
    <m/>
    <n v="7"/>
    <m/>
    <m/>
    <n v="3"/>
    <m/>
    <m/>
    <n v="2"/>
    <n v="72"/>
    <n v="83.226000000000013"/>
    <s v="Yes"/>
    <n v="100"/>
    <n v="0.5"/>
    <s v="Requested Sanitary pads "/>
    <m/>
    <m/>
    <m/>
    <n v="0.01"/>
    <m/>
    <m/>
    <m/>
    <m/>
    <m/>
    <m/>
    <m/>
    <n v="0.2857142857142857"/>
    <s v="no test"/>
    <s v="Tested"/>
    <n v="1"/>
    <n v="0"/>
    <n v="0"/>
    <n v="0"/>
    <n v="0"/>
    <n v="0"/>
    <n v="0"/>
    <n v="1"/>
    <n v="0.64432989690721654"/>
    <n v="1"/>
    <n v="388"/>
    <n v="0"/>
    <n v="0"/>
    <n v="1"/>
    <n v="388"/>
    <n v="0.77600000000000002"/>
    <n v="0"/>
    <n v="0"/>
    <n v="0.22399999999999998"/>
    <n v="1"/>
    <n v="21"/>
    <n v="1"/>
    <n v="388"/>
    <n v="0"/>
    <n v="0"/>
    <n v="0"/>
    <n v="19"/>
    <n v="0"/>
    <n v="0"/>
    <n v="4.5454545454545456E-2"/>
    <n v="388"/>
    <n v="388"/>
    <n v="83.226000000000013"/>
    <n v="388"/>
    <n v="388"/>
    <n v="1"/>
    <n v="0"/>
    <n v="1"/>
    <n v="1"/>
    <n v="1"/>
    <n v="7"/>
    <n v="72"/>
    <n v="5"/>
    <n v="388"/>
    <s v="No"/>
    <s v=""/>
    <n v="0"/>
    <n v="0"/>
    <n v="0"/>
    <s v="Yes"/>
    <s v="KMSS-MYT"/>
    <x v="0"/>
    <x v="1"/>
    <x v="0"/>
    <n v="25.403476999999999"/>
    <n v="97.373361000000003"/>
    <s v="MMR001CMP019"/>
    <x v="0"/>
    <m/>
    <n v="73"/>
    <n v="387"/>
  </r>
  <r>
    <x v="1"/>
    <x v="5"/>
    <x v="2"/>
    <s v="UNICEF"/>
    <x v="1"/>
    <x v="8"/>
    <x v="0"/>
    <x v="56"/>
    <n v="18"/>
    <n v="61"/>
    <d v="2021-08-06T00:00:00"/>
    <d v="2022-08-05T00:00:00"/>
    <n v="489"/>
    <n v="2"/>
    <m/>
    <m/>
    <s v="Yes"/>
    <n v="1"/>
    <n v="2"/>
    <n v="1"/>
    <m/>
    <m/>
    <n v="1"/>
    <m/>
    <m/>
    <m/>
    <m/>
    <m/>
    <m/>
    <m/>
    <m/>
    <m/>
    <m/>
    <m/>
    <m/>
    <m/>
    <m/>
    <m/>
    <n v="4"/>
    <m/>
    <m/>
    <m/>
    <n v="4"/>
    <m/>
    <m/>
    <n v="1"/>
    <m/>
    <m/>
    <m/>
    <m/>
    <x v="1"/>
    <x v="1"/>
    <m/>
    <m/>
    <m/>
    <m/>
    <m/>
    <m/>
    <n v="2"/>
    <m/>
    <m/>
    <n v="1"/>
    <n v="1"/>
    <m/>
    <n v="1"/>
    <n v="18"/>
    <n v="13.0845"/>
    <s v="Yes"/>
    <n v="100"/>
    <n v="0.5"/>
    <s v="Requested Sanitary pads "/>
    <m/>
    <m/>
    <m/>
    <n v="0.01"/>
    <m/>
    <m/>
    <m/>
    <m/>
    <m/>
    <m/>
    <m/>
    <s v="no test"/>
    <s v="no test"/>
    <s v="No Test"/>
    <n v="1"/>
    <n v="1"/>
    <n v="0"/>
    <n v="0"/>
    <n v="0"/>
    <n v="0"/>
    <n v="0"/>
    <n v="1"/>
    <n v="1"/>
    <n v="1"/>
    <n v="61"/>
    <n v="0"/>
    <n v="0"/>
    <n v="1"/>
    <n v="61"/>
    <n v="0.122"/>
    <n v="0"/>
    <n v="0"/>
    <n v="0.878"/>
    <n v="1"/>
    <n v="3"/>
    <n v="0.98360655737704916"/>
    <n v="60"/>
    <n v="0"/>
    <n v="0"/>
    <n v="0"/>
    <n v="3"/>
    <n v="0"/>
    <n v="1.6393442622950838E-2"/>
    <n v="0.25"/>
    <n v="61"/>
    <n v="61"/>
    <n v="13.0845"/>
    <n v="61"/>
    <n v="61"/>
    <n v="1"/>
    <n v="0"/>
    <n v="1"/>
    <n v="1"/>
    <n v="0.72691666666666666"/>
    <n v="2"/>
    <n v="18"/>
    <n v="4"/>
    <n v="61"/>
    <s v="Yes"/>
    <s v=""/>
    <n v="0"/>
    <n v="0"/>
    <n v="0"/>
    <n v="0"/>
    <s v="KMSS-MYT"/>
    <x v="0"/>
    <x v="1"/>
    <x v="0"/>
    <n v="25.244700000000002"/>
    <n v="97.2209"/>
    <s v="MMR001CMP256"/>
    <x v="0"/>
    <m/>
    <n v="18"/>
    <n v="60"/>
  </r>
  <r>
    <x v="1"/>
    <x v="5"/>
    <x v="2"/>
    <s v="UNICEF"/>
    <x v="1"/>
    <x v="8"/>
    <x v="0"/>
    <x v="57"/>
    <n v="62"/>
    <n v="291"/>
    <d v="2021-08-06T00:00:00"/>
    <d v="2022-08-05T00:00:00"/>
    <m/>
    <n v="2"/>
    <m/>
    <m/>
    <s v="Yes"/>
    <n v="2"/>
    <n v="9"/>
    <m/>
    <m/>
    <m/>
    <n v="4"/>
    <m/>
    <m/>
    <m/>
    <m/>
    <m/>
    <m/>
    <m/>
    <m/>
    <m/>
    <m/>
    <m/>
    <n v="6"/>
    <n v="4"/>
    <m/>
    <m/>
    <n v="4"/>
    <m/>
    <m/>
    <m/>
    <n v="20"/>
    <m/>
    <m/>
    <n v="1"/>
    <m/>
    <m/>
    <m/>
    <m/>
    <x v="1"/>
    <x v="1"/>
    <n v="1"/>
    <m/>
    <m/>
    <m/>
    <m/>
    <m/>
    <n v="7"/>
    <m/>
    <m/>
    <n v="2"/>
    <m/>
    <m/>
    <n v="1"/>
    <n v="62"/>
    <n v="62.419500000000006"/>
    <s v="Yes"/>
    <n v="100"/>
    <m/>
    <s v="Requested Sanitary pads "/>
    <m/>
    <m/>
    <m/>
    <n v="0.01"/>
    <m/>
    <m/>
    <m/>
    <m/>
    <m/>
    <m/>
    <m/>
    <n v="0.66666666666666663"/>
    <s v="no test"/>
    <s v="Tested"/>
    <n v="0"/>
    <n v="4"/>
    <n v="0"/>
    <n v="0"/>
    <n v="0"/>
    <n v="0"/>
    <n v="0"/>
    <n v="1"/>
    <n v="1"/>
    <n v="1"/>
    <n v="291"/>
    <n v="0"/>
    <n v="0"/>
    <n v="1"/>
    <n v="291"/>
    <n v="0.58199999999999996"/>
    <n v="0"/>
    <n v="0"/>
    <n v="0.41800000000000004"/>
    <n v="1"/>
    <n v="19"/>
    <n v="1"/>
    <n v="291"/>
    <n v="0"/>
    <n v="0"/>
    <n v="0"/>
    <n v="15"/>
    <n v="0"/>
    <n v="0"/>
    <n v="0.05"/>
    <n v="291"/>
    <n v="291"/>
    <n v="62.419500000000006"/>
    <n v="291"/>
    <n v="291"/>
    <n v="1"/>
    <n v="0"/>
    <n v="1"/>
    <n v="1"/>
    <n v="1"/>
    <n v="7"/>
    <n v="62"/>
    <n v="4"/>
    <n v="291"/>
    <s v="No"/>
    <s v=""/>
    <n v="0"/>
    <n v="0"/>
    <n v="0"/>
    <s v="Yes"/>
    <s v="KMSS-MYT"/>
    <x v="0"/>
    <x v="1"/>
    <x v="0"/>
    <n v="25.410569299999999"/>
    <n v="97.359320179999997"/>
    <s v="MMR001CMP024"/>
    <x v="0"/>
    <m/>
    <n v="61"/>
    <n v="290"/>
  </r>
  <r>
    <x v="1"/>
    <x v="5"/>
    <x v="2"/>
    <s v="UNICEF"/>
    <x v="1"/>
    <x v="8"/>
    <x v="0"/>
    <x v="58"/>
    <n v="148"/>
    <n v="924"/>
    <d v="2021-08-06T00:00:00"/>
    <d v="2022-08-05T00:00:00"/>
    <m/>
    <n v="4"/>
    <m/>
    <m/>
    <s v="Yes"/>
    <n v="1"/>
    <n v="4"/>
    <n v="4"/>
    <n v="1"/>
    <n v="1"/>
    <n v="2"/>
    <m/>
    <m/>
    <m/>
    <n v="1"/>
    <n v="1"/>
    <n v="1"/>
    <m/>
    <m/>
    <m/>
    <m/>
    <m/>
    <n v="7"/>
    <n v="5"/>
    <m/>
    <m/>
    <n v="12"/>
    <m/>
    <m/>
    <m/>
    <n v="33"/>
    <m/>
    <m/>
    <m/>
    <m/>
    <n v="8"/>
    <m/>
    <n v="8"/>
    <x v="1"/>
    <x v="1"/>
    <n v="1"/>
    <m/>
    <m/>
    <m/>
    <m/>
    <m/>
    <n v="8"/>
    <m/>
    <m/>
    <n v="5"/>
    <m/>
    <m/>
    <n v="2"/>
    <n v="148"/>
    <n v="198.19800000000001"/>
    <s v="Yes"/>
    <n v="100"/>
    <m/>
    <s v="Requested Sanitary pads "/>
    <m/>
    <m/>
    <m/>
    <n v="0.01"/>
    <m/>
    <m/>
    <m/>
    <m/>
    <m/>
    <m/>
    <m/>
    <n v="0.7142857142857143"/>
    <s v="no test"/>
    <s v="Tested"/>
    <n v="3"/>
    <n v="2"/>
    <n v="0"/>
    <n v="0"/>
    <n v="0"/>
    <n v="0"/>
    <n v="0"/>
    <n v="1"/>
    <n v="1"/>
    <n v="1"/>
    <n v="924"/>
    <n v="0"/>
    <n v="0"/>
    <n v="1"/>
    <n v="924"/>
    <n v="1.8480000000000001"/>
    <n v="0"/>
    <n v="0"/>
    <n v="0.15199999999999991"/>
    <n v="2"/>
    <n v="33"/>
    <n v="0.73593073593073588"/>
    <n v="680"/>
    <n v="160"/>
    <n v="0"/>
    <n v="0"/>
    <n v="46"/>
    <n v="13"/>
    <n v="0.26406926406926412"/>
    <n v="0"/>
    <n v="924"/>
    <n v="924"/>
    <n v="198.19800000000001"/>
    <n v="924"/>
    <n v="924"/>
    <n v="1"/>
    <n v="0"/>
    <n v="1"/>
    <n v="1"/>
    <n v="1"/>
    <n v="8"/>
    <n v="148"/>
    <n v="12"/>
    <n v="800"/>
    <s v="No"/>
    <s v=""/>
    <n v="0"/>
    <n v="0"/>
    <n v="0"/>
    <s v="Yes"/>
    <s v="KMSS-MYT"/>
    <x v="0"/>
    <x v="1"/>
    <x v="0"/>
    <n v="25.493819999999999"/>
    <n v="97.4345"/>
    <s v="MMR001CMP162"/>
    <x v="0"/>
    <m/>
    <n v="152"/>
    <n v="941"/>
  </r>
  <r>
    <x v="1"/>
    <x v="5"/>
    <x v="2"/>
    <s v="UNICEF"/>
    <x v="1"/>
    <x v="8"/>
    <x v="0"/>
    <x v="59"/>
    <n v="214"/>
    <n v="1187"/>
    <d v="2021-08-06T00:00:00"/>
    <d v="2022-08-05T00:00:00"/>
    <m/>
    <n v="2"/>
    <m/>
    <m/>
    <s v="Yes"/>
    <n v="2"/>
    <n v="4"/>
    <n v="4"/>
    <n v="1"/>
    <n v="1"/>
    <m/>
    <m/>
    <m/>
    <m/>
    <m/>
    <m/>
    <m/>
    <m/>
    <m/>
    <m/>
    <m/>
    <m/>
    <n v="6"/>
    <n v="3"/>
    <m/>
    <m/>
    <m/>
    <m/>
    <m/>
    <m/>
    <n v="66"/>
    <m/>
    <m/>
    <m/>
    <m/>
    <n v="4"/>
    <m/>
    <m/>
    <x v="1"/>
    <x v="1"/>
    <n v="1"/>
    <m/>
    <m/>
    <m/>
    <m/>
    <m/>
    <n v="4"/>
    <m/>
    <n v="7"/>
    <n v="11"/>
    <m/>
    <m/>
    <n v="1"/>
    <n v="214"/>
    <n v="254.61150000000004"/>
    <s v="Yes"/>
    <n v="100"/>
    <m/>
    <s v="Requested Sanitary pads "/>
    <m/>
    <m/>
    <m/>
    <n v="0.01"/>
    <m/>
    <m/>
    <m/>
    <m/>
    <m/>
    <m/>
    <m/>
    <n v="0.5"/>
    <s v="no test"/>
    <s v="Tested"/>
    <n v="3"/>
    <n v="0"/>
    <n v="0"/>
    <n v="0"/>
    <n v="0"/>
    <n v="0"/>
    <n v="0"/>
    <n v="1"/>
    <n v="0.63184498736310024"/>
    <n v="1"/>
    <n v="1187"/>
    <n v="0"/>
    <n v="0"/>
    <n v="1"/>
    <n v="1187"/>
    <n v="2.3740000000000001"/>
    <n v="0"/>
    <n v="0"/>
    <n v="0"/>
    <n v="2"/>
    <n v="66"/>
    <n v="1"/>
    <n v="1187"/>
    <n v="80"/>
    <n v="0"/>
    <n v="0"/>
    <n v="59"/>
    <n v="0"/>
    <n v="0"/>
    <n v="0"/>
    <n v="500"/>
    <n v="1187"/>
    <n v="254.61150000000004"/>
    <n v="1187"/>
    <n v="1187"/>
    <n v="1"/>
    <n v="0"/>
    <n v="0.42122999157540014"/>
    <n v="1"/>
    <n v="1"/>
    <n v="4"/>
    <n v="80"/>
    <n v="0"/>
    <n v="400"/>
    <s v="No"/>
    <s v=""/>
    <n v="0"/>
    <n v="0"/>
    <n v="0"/>
    <s v="Yes"/>
    <s v="KMSS-MYT"/>
    <x v="0"/>
    <x v="1"/>
    <x v="0"/>
    <n v="25.493819999999999"/>
    <n v="97.4345"/>
    <s v="MMR001CMP271"/>
    <x v="0"/>
    <m/>
    <n v="215"/>
    <n v="1188"/>
  </r>
  <r>
    <x v="1"/>
    <x v="5"/>
    <x v="2"/>
    <s v="UNICEF"/>
    <x v="1"/>
    <x v="8"/>
    <x v="1"/>
    <x v="60"/>
    <n v="25"/>
    <n v="134"/>
    <d v="2021-08-06T00:00:00"/>
    <d v="2022-08-05T00:00:00"/>
    <m/>
    <n v="1"/>
    <m/>
    <m/>
    <s v="Yes"/>
    <n v="2"/>
    <n v="2"/>
    <m/>
    <m/>
    <m/>
    <n v="2"/>
    <m/>
    <m/>
    <m/>
    <m/>
    <m/>
    <m/>
    <m/>
    <m/>
    <m/>
    <m/>
    <m/>
    <n v="5"/>
    <n v="1"/>
    <m/>
    <m/>
    <n v="3"/>
    <m/>
    <m/>
    <m/>
    <n v="6"/>
    <m/>
    <m/>
    <n v="1"/>
    <m/>
    <m/>
    <m/>
    <m/>
    <x v="1"/>
    <x v="0"/>
    <m/>
    <m/>
    <m/>
    <m/>
    <m/>
    <m/>
    <n v="3"/>
    <m/>
    <m/>
    <n v="2"/>
    <m/>
    <m/>
    <n v="1"/>
    <n v="25"/>
    <n v="28.743000000000006"/>
    <s v="Yes"/>
    <n v="100"/>
    <m/>
    <s v="Requested Sanitary pads "/>
    <m/>
    <m/>
    <m/>
    <n v="0.01"/>
    <m/>
    <m/>
    <m/>
    <m/>
    <m/>
    <m/>
    <m/>
    <n v="0.2"/>
    <s v="no test"/>
    <s v="Tested"/>
    <n v="0"/>
    <n v="2"/>
    <n v="0"/>
    <n v="0"/>
    <n v="0"/>
    <n v="0"/>
    <n v="0"/>
    <n v="1"/>
    <n v="1"/>
    <n v="1"/>
    <n v="134"/>
    <n v="0"/>
    <n v="0"/>
    <n v="1"/>
    <n v="134"/>
    <n v="0.26800000000000002"/>
    <n v="0"/>
    <n v="0"/>
    <n v="0.73199999999999998"/>
    <n v="1"/>
    <n v="5"/>
    <n v="0.74626865671641796"/>
    <n v="100"/>
    <n v="0"/>
    <n v="0"/>
    <n v="0"/>
    <n v="7"/>
    <n v="1"/>
    <n v="0.25373134328358204"/>
    <n v="0.16666666666666666"/>
    <n v="134"/>
    <n v="134"/>
    <n v="28.743000000000006"/>
    <n v="134"/>
    <n v="134"/>
    <n v="1"/>
    <n v="0"/>
    <n v="1"/>
    <n v="1"/>
    <n v="1"/>
    <n v="3"/>
    <n v="25"/>
    <n v="3"/>
    <n v="134"/>
    <s v="No"/>
    <s v=""/>
    <n v="0"/>
    <n v="0"/>
    <n v="0"/>
    <n v="0"/>
    <n v="0"/>
    <x v="0"/>
    <x v="1"/>
    <x v="0"/>
    <n v="0"/>
    <n v="0"/>
    <n v="0"/>
    <x v="0"/>
    <m/>
    <n v="0"/>
    <n v="0"/>
  </r>
  <r>
    <x v="1"/>
    <x v="5"/>
    <x v="2"/>
    <s v="UNICEF"/>
    <x v="1"/>
    <x v="12"/>
    <x v="0"/>
    <x v="61"/>
    <n v="133"/>
    <n v="624"/>
    <d v="2021-08-06T00:00:00"/>
    <d v="2022-08-05T00:00:00"/>
    <m/>
    <n v="3"/>
    <m/>
    <m/>
    <s v="Yes"/>
    <n v="4"/>
    <n v="2"/>
    <n v="1"/>
    <n v="1"/>
    <n v="1"/>
    <n v="1"/>
    <m/>
    <m/>
    <m/>
    <m/>
    <m/>
    <m/>
    <m/>
    <m/>
    <m/>
    <m/>
    <m/>
    <m/>
    <m/>
    <m/>
    <m/>
    <n v="5"/>
    <m/>
    <m/>
    <m/>
    <n v="1"/>
    <m/>
    <m/>
    <n v="1"/>
    <m/>
    <m/>
    <m/>
    <m/>
    <x v="1"/>
    <x v="1"/>
    <m/>
    <m/>
    <m/>
    <m/>
    <m/>
    <m/>
    <n v="5"/>
    <m/>
    <m/>
    <n v="7"/>
    <m/>
    <m/>
    <n v="1"/>
    <n v="133"/>
    <n v="133.84800000000001"/>
    <s v="Yes"/>
    <n v="100"/>
    <n v="0.25"/>
    <s v="Requested Sanitary pads "/>
    <m/>
    <m/>
    <m/>
    <n v="0.01"/>
    <m/>
    <m/>
    <m/>
    <m/>
    <m/>
    <m/>
    <m/>
    <s v="no test"/>
    <s v="no test"/>
    <s v="No Test"/>
    <n v="0"/>
    <n v="1"/>
    <n v="0"/>
    <n v="0"/>
    <n v="0"/>
    <n v="0"/>
    <n v="0"/>
    <n v="0.80128205128205132"/>
    <n v="0.40064102564102566"/>
    <n v="0.80128205128205132"/>
    <n v="500"/>
    <n v="0"/>
    <n v="0"/>
    <n v="0.80128205128205132"/>
    <n v="500"/>
    <n v="1"/>
    <n v="0.19871794871794868"/>
    <n v="123.99999999999997"/>
    <n v="0"/>
    <n v="1"/>
    <n v="0"/>
    <n v="0"/>
    <n v="0"/>
    <n v="0"/>
    <n v="0"/>
    <n v="0"/>
    <n v="31"/>
    <n v="30"/>
    <n v="1"/>
    <n v="1"/>
    <n v="500"/>
    <n v="624"/>
    <n v="133.84800000000001"/>
    <n v="624"/>
    <n v="624"/>
    <n v="1"/>
    <n v="0"/>
    <n v="0.80128205128205132"/>
    <n v="1"/>
    <n v="1"/>
    <n v="5"/>
    <n v="100"/>
    <n v="5"/>
    <n v="500"/>
    <s v="No"/>
    <s v=""/>
    <n v="0"/>
    <n v="0"/>
    <n v="0"/>
    <s v="Yes"/>
    <s v="KMSS-MYT"/>
    <x v="0"/>
    <x v="1"/>
    <x v="0"/>
    <n v="26.350176000000001"/>
    <n v="96.711387999999999"/>
    <s v="MMR001CMP251"/>
    <x v="0"/>
    <m/>
    <n v="133"/>
    <n v="622"/>
  </r>
  <r>
    <x v="1"/>
    <x v="5"/>
    <x v="2"/>
    <s v="UNICEF"/>
    <x v="1"/>
    <x v="12"/>
    <x v="0"/>
    <x v="62"/>
    <n v="36"/>
    <n v="169"/>
    <d v="2021-08-06T00:00:00"/>
    <d v="2022-08-05T00:00:00"/>
    <m/>
    <n v="1"/>
    <m/>
    <m/>
    <s v="Yes"/>
    <n v="4"/>
    <n v="1"/>
    <m/>
    <m/>
    <m/>
    <n v="2"/>
    <m/>
    <m/>
    <m/>
    <m/>
    <m/>
    <m/>
    <m/>
    <m/>
    <m/>
    <m/>
    <m/>
    <m/>
    <m/>
    <m/>
    <m/>
    <n v="5"/>
    <m/>
    <m/>
    <m/>
    <n v="2"/>
    <m/>
    <m/>
    <n v="2"/>
    <m/>
    <m/>
    <m/>
    <m/>
    <x v="1"/>
    <x v="0"/>
    <m/>
    <m/>
    <m/>
    <m/>
    <m/>
    <m/>
    <n v="7"/>
    <m/>
    <n v="2"/>
    <n v="2"/>
    <m/>
    <m/>
    <n v="1"/>
    <n v="36"/>
    <n v="36.250500000000002"/>
    <s v="Yes"/>
    <n v="100"/>
    <n v="0.25"/>
    <s v="Requested Sanitary pads "/>
    <m/>
    <m/>
    <m/>
    <n v="0.01"/>
    <m/>
    <m/>
    <m/>
    <m/>
    <m/>
    <m/>
    <m/>
    <s v="no test"/>
    <s v="no test"/>
    <s v="No Test"/>
    <n v="0"/>
    <n v="2"/>
    <n v="0"/>
    <n v="0"/>
    <n v="0"/>
    <n v="0"/>
    <n v="0"/>
    <n v="1"/>
    <n v="1"/>
    <n v="1"/>
    <n v="169"/>
    <n v="0"/>
    <n v="0"/>
    <n v="1"/>
    <n v="169"/>
    <n v="0.33800000000000002"/>
    <n v="0"/>
    <n v="0"/>
    <n v="0.66199999999999992"/>
    <n v="1"/>
    <n v="0"/>
    <n v="0"/>
    <n v="0"/>
    <n v="0"/>
    <n v="0"/>
    <n v="0"/>
    <n v="8"/>
    <n v="6"/>
    <n v="1"/>
    <n v="1"/>
    <n v="169"/>
    <n v="169"/>
    <n v="36.250500000000002"/>
    <n v="169"/>
    <n v="169"/>
    <n v="1"/>
    <n v="0"/>
    <n v="1"/>
    <n v="1"/>
    <n v="1"/>
    <n v="7"/>
    <n v="36"/>
    <n v="5"/>
    <n v="169"/>
    <s v="No"/>
    <s v=""/>
    <n v="0"/>
    <n v="0"/>
    <n v="0"/>
    <s v="Yes"/>
    <s v="KMSS-MYT"/>
    <x v="0"/>
    <x v="1"/>
    <x v="0"/>
    <n v="26.351690999999999"/>
    <n v="96.690871999999999"/>
    <s v="MMR001CMP254"/>
    <x v="0"/>
    <m/>
    <n v="35"/>
    <n v="161"/>
  </r>
  <r>
    <x v="1"/>
    <x v="5"/>
    <x v="2"/>
    <s v="UNICEF"/>
    <x v="1"/>
    <x v="13"/>
    <x v="0"/>
    <x v="63"/>
    <n v="118"/>
    <n v="420"/>
    <d v="2021-08-06T00:00:00"/>
    <d v="2022-08-05T00:00:00"/>
    <m/>
    <n v="3"/>
    <m/>
    <m/>
    <s v="Yes"/>
    <n v="4"/>
    <n v="3"/>
    <n v="3"/>
    <n v="0"/>
    <m/>
    <n v="2"/>
    <m/>
    <m/>
    <m/>
    <n v="1"/>
    <m/>
    <m/>
    <m/>
    <m/>
    <m/>
    <m/>
    <m/>
    <m/>
    <m/>
    <m/>
    <m/>
    <n v="4"/>
    <m/>
    <m/>
    <m/>
    <n v="90"/>
    <m/>
    <m/>
    <n v="2"/>
    <m/>
    <m/>
    <m/>
    <m/>
    <x v="1"/>
    <x v="1"/>
    <m/>
    <m/>
    <m/>
    <m/>
    <m/>
    <m/>
    <n v="2"/>
    <m/>
    <m/>
    <n v="3"/>
    <m/>
    <m/>
    <n v="2"/>
    <n v="118"/>
    <n v="90.09"/>
    <s v="Yes"/>
    <n v="100"/>
    <m/>
    <s v="Requested Sanitary pads "/>
    <m/>
    <m/>
    <m/>
    <n v="0.01"/>
    <m/>
    <m/>
    <m/>
    <m/>
    <m/>
    <m/>
    <m/>
    <s v="no test"/>
    <s v="no test"/>
    <s v="No Test"/>
    <n v="3"/>
    <n v="2"/>
    <n v="1"/>
    <n v="0"/>
    <n v="0"/>
    <n v="0"/>
    <n v="0"/>
    <n v="1"/>
    <n v="1"/>
    <n v="1"/>
    <n v="420"/>
    <n v="0"/>
    <n v="0"/>
    <n v="1"/>
    <n v="420"/>
    <n v="0.84"/>
    <n v="0"/>
    <n v="0"/>
    <n v="0.16000000000000003"/>
    <n v="1"/>
    <n v="88"/>
    <n v="1"/>
    <n v="420"/>
    <n v="0"/>
    <n v="0"/>
    <n v="0"/>
    <n v="21"/>
    <n v="0"/>
    <n v="0"/>
    <n v="2.2222222222222223E-2"/>
    <n v="420"/>
    <n v="420"/>
    <n v="90.09"/>
    <n v="420"/>
    <n v="420"/>
    <n v="1"/>
    <n v="0"/>
    <n v="1"/>
    <n v="1"/>
    <n v="0.76347457627118642"/>
    <n v="2"/>
    <n v="40"/>
    <n v="4"/>
    <n v="200"/>
    <s v="No"/>
    <s v=""/>
    <n v="0"/>
    <n v="0"/>
    <n v="0"/>
    <s v="Yes"/>
    <s v="KMSS-MYT"/>
    <x v="0"/>
    <x v="1"/>
    <x v="1"/>
    <n v="25.220278"/>
    <n v="97.915833000000006"/>
    <s v="MMR001CMP113"/>
    <x v="0"/>
    <m/>
    <n v="118"/>
    <n v="419"/>
  </r>
  <r>
    <x v="1"/>
    <x v="5"/>
    <x v="2"/>
    <s v="UNICEF"/>
    <x v="1"/>
    <x v="13"/>
    <x v="0"/>
    <x v="64"/>
    <n v="276"/>
    <n v="1494"/>
    <d v="2021-08-06T00:00:00"/>
    <d v="2022-08-05T00:00:00"/>
    <m/>
    <n v="5"/>
    <m/>
    <m/>
    <s v="Yes"/>
    <n v="4"/>
    <n v="3"/>
    <n v="11"/>
    <n v="1"/>
    <n v="1"/>
    <m/>
    <m/>
    <m/>
    <m/>
    <m/>
    <m/>
    <m/>
    <m/>
    <m/>
    <m/>
    <m/>
    <m/>
    <n v="10"/>
    <n v="9"/>
    <m/>
    <m/>
    <n v="5"/>
    <m/>
    <m/>
    <m/>
    <n v="97"/>
    <m/>
    <m/>
    <m/>
    <m/>
    <m/>
    <m/>
    <m/>
    <x v="1"/>
    <x v="1"/>
    <m/>
    <m/>
    <m/>
    <m/>
    <m/>
    <m/>
    <n v="1"/>
    <m/>
    <m/>
    <n v="4"/>
    <m/>
    <m/>
    <n v="2"/>
    <n v="276"/>
    <n v="320.46300000000002"/>
    <s v="Yes"/>
    <n v="100"/>
    <n v="0.6"/>
    <s v="Requested Sanitary pads "/>
    <m/>
    <m/>
    <m/>
    <n v="0.01"/>
    <m/>
    <m/>
    <m/>
    <m/>
    <m/>
    <m/>
    <m/>
    <n v="0.9"/>
    <s v="no test"/>
    <s v="Tested"/>
    <n v="10"/>
    <n v="0"/>
    <n v="0"/>
    <n v="0"/>
    <n v="0"/>
    <n v="0"/>
    <n v="0"/>
    <n v="1"/>
    <n v="1"/>
    <n v="1"/>
    <n v="1494"/>
    <n v="0"/>
    <n v="0"/>
    <n v="1"/>
    <n v="1494"/>
    <n v="2.988"/>
    <n v="0"/>
    <n v="0"/>
    <n v="1.2000000000000011E-2"/>
    <n v="3"/>
    <n v="97"/>
    <n v="1"/>
    <n v="1494"/>
    <n v="0"/>
    <n v="0"/>
    <n v="0"/>
    <n v="75"/>
    <n v="0"/>
    <n v="0"/>
    <n v="0"/>
    <n v="1000"/>
    <n v="1494"/>
    <n v="320.46300000000002"/>
    <n v="1494"/>
    <n v="1494"/>
    <n v="1"/>
    <n v="0"/>
    <n v="0.66934404283801874"/>
    <n v="1"/>
    <n v="1"/>
    <n v="1"/>
    <n v="20"/>
    <n v="5"/>
    <n v="100"/>
    <s v="No"/>
    <s v=""/>
    <n v="0"/>
    <n v="0"/>
    <n v="0"/>
    <s v="Yes"/>
    <s v="KMSS-MYT"/>
    <x v="0"/>
    <x v="1"/>
    <x v="0"/>
    <n v="25.415667500000001"/>
    <n v="97.437782499999997"/>
    <s v="MMR001CMP029"/>
    <x v="0"/>
    <m/>
    <n v="276"/>
    <n v="1492"/>
  </r>
  <r>
    <x v="1"/>
    <x v="5"/>
    <x v="2"/>
    <s v="UNICEF"/>
    <x v="1"/>
    <x v="13"/>
    <x v="0"/>
    <x v="65"/>
    <n v="57"/>
    <n v="344"/>
    <d v="2021-08-06T00:00:00"/>
    <d v="2022-08-05T00:00:00"/>
    <m/>
    <n v="3"/>
    <m/>
    <m/>
    <s v="Yes"/>
    <n v="3"/>
    <n v="4"/>
    <n v="2"/>
    <n v="1"/>
    <n v="1"/>
    <n v="1"/>
    <m/>
    <m/>
    <m/>
    <n v="1"/>
    <m/>
    <m/>
    <m/>
    <m/>
    <m/>
    <m/>
    <m/>
    <m/>
    <m/>
    <m/>
    <m/>
    <n v="4"/>
    <m/>
    <m/>
    <m/>
    <n v="98"/>
    <m/>
    <m/>
    <m/>
    <m/>
    <m/>
    <m/>
    <m/>
    <x v="1"/>
    <x v="1"/>
    <n v="3"/>
    <m/>
    <m/>
    <m/>
    <m/>
    <m/>
    <n v="1"/>
    <m/>
    <m/>
    <n v="4"/>
    <n v="1"/>
    <m/>
    <n v="1"/>
    <n v="57"/>
    <n v="73.787999999999997"/>
    <s v="Yes"/>
    <n v="100"/>
    <m/>
    <s v="Requested Sanitary pads "/>
    <m/>
    <m/>
    <m/>
    <n v="0.01"/>
    <m/>
    <m/>
    <m/>
    <m/>
    <m/>
    <m/>
    <m/>
    <s v="no test"/>
    <s v="no test"/>
    <s v="No Test"/>
    <n v="1"/>
    <n v="1"/>
    <n v="1"/>
    <n v="0"/>
    <n v="0"/>
    <n v="0"/>
    <n v="0"/>
    <n v="1"/>
    <n v="1"/>
    <n v="1"/>
    <n v="344"/>
    <n v="0"/>
    <n v="0"/>
    <n v="1"/>
    <n v="344"/>
    <n v="0.68799999999999994"/>
    <n v="0"/>
    <n v="0"/>
    <n v="0.31200000000000006"/>
    <n v="1"/>
    <n v="98"/>
    <n v="1"/>
    <n v="344"/>
    <n v="0"/>
    <n v="0"/>
    <n v="0"/>
    <n v="17"/>
    <n v="0"/>
    <n v="0"/>
    <n v="0"/>
    <n v="344"/>
    <n v="344"/>
    <n v="73.787999999999997"/>
    <n v="344"/>
    <n v="344"/>
    <n v="1"/>
    <n v="0"/>
    <n v="1"/>
    <n v="1"/>
    <n v="1"/>
    <n v="1"/>
    <n v="20"/>
    <n v="4"/>
    <n v="100"/>
    <s v="No"/>
    <s v=""/>
    <n v="0"/>
    <n v="0"/>
    <n v="0"/>
    <n v="0"/>
    <n v="0"/>
    <x v="0"/>
    <x v="1"/>
    <x v="0"/>
    <n v="25.428995"/>
    <n v="97.957487999999998"/>
    <s v="MMR001CMP279"/>
    <x v="0"/>
    <m/>
    <n v="55"/>
    <n v="320"/>
  </r>
  <r>
    <x v="1"/>
    <x v="6"/>
    <x v="3"/>
    <s v="UNICEF,(UNICEF, USAID)"/>
    <x v="1"/>
    <x v="4"/>
    <x v="0"/>
    <x v="66"/>
    <n v="155"/>
    <n v="655"/>
    <s v="8/6/2021, 07-01-2020"/>
    <s v="8/5/2022, 12-31-2021"/>
    <m/>
    <n v="2"/>
    <m/>
    <m/>
    <s v="Yes"/>
    <n v="4"/>
    <n v="3"/>
    <n v="2"/>
    <n v="1"/>
    <n v="1"/>
    <m/>
    <n v="1"/>
    <m/>
    <m/>
    <n v="1"/>
    <m/>
    <n v="1"/>
    <m/>
    <m/>
    <m/>
    <m/>
    <m/>
    <m/>
    <m/>
    <m/>
    <m/>
    <m/>
    <m/>
    <m/>
    <m/>
    <n v="18"/>
    <m/>
    <m/>
    <m/>
    <m/>
    <m/>
    <m/>
    <m/>
    <x v="2"/>
    <x v="2"/>
    <m/>
    <m/>
    <m/>
    <m/>
    <m/>
    <m/>
    <n v="3"/>
    <m/>
    <m/>
    <n v="2"/>
    <m/>
    <m/>
    <n v="2"/>
    <n v="155"/>
    <n v="140.4975"/>
    <s v="Yes"/>
    <n v="100"/>
    <m/>
    <s v="Every woman requested Sanitary pads"/>
    <m/>
    <m/>
    <m/>
    <n v="0.01"/>
    <m/>
    <m/>
    <m/>
    <m/>
    <m/>
    <m/>
    <m/>
    <s v="no test"/>
    <s v="no test"/>
    <s v="No Test"/>
    <n v="1"/>
    <n v="1"/>
    <n v="1"/>
    <n v="0"/>
    <n v="0"/>
    <n v="0"/>
    <n v="0"/>
    <n v="1"/>
    <n v="0.86513994910941472"/>
    <n v="1"/>
    <n v="655"/>
    <n v="0"/>
    <n v="0"/>
    <n v="1"/>
    <n v="655"/>
    <n v="1.31"/>
    <n v="0"/>
    <n v="0"/>
    <n v="0"/>
    <n v="1"/>
    <n v="18"/>
    <n v="0.54961832061068705"/>
    <n v="360"/>
    <n v="0"/>
    <n v="0"/>
    <n v="0"/>
    <n v="33"/>
    <n v="15"/>
    <n v="0.45038167938931295"/>
    <n v="0"/>
    <n v="655"/>
    <n v="655"/>
    <n v="140.4975"/>
    <n v="655"/>
    <n v="655"/>
    <n v="1"/>
    <n v="0"/>
    <n v="1"/>
    <n v="1"/>
    <n v="0.90643548387096773"/>
    <n v="3"/>
    <n v="60"/>
    <n v="0"/>
    <n v="300"/>
    <s v="No"/>
    <s v=""/>
    <n v="0"/>
    <n v="0"/>
    <n v="0"/>
    <s v="Yes"/>
    <s v="KBC-NSS"/>
    <x v="0"/>
    <x v="1"/>
    <x v="0"/>
    <n v="23.83013"/>
    <n v="97.589979999999997"/>
    <s v="MMR001CMP133"/>
    <x v="0"/>
    <m/>
    <n v="132"/>
    <n v="630"/>
  </r>
  <r>
    <x v="1"/>
    <x v="6"/>
    <x v="3"/>
    <s v="UNICEF,(UNICEF, USAID)"/>
    <x v="1"/>
    <x v="4"/>
    <x v="0"/>
    <x v="67"/>
    <n v="119"/>
    <n v="538"/>
    <s v="8/6/2021, 07-01-2020"/>
    <s v="8/5/2022, 12-31-2021"/>
    <m/>
    <n v="2"/>
    <m/>
    <m/>
    <s v="Yes"/>
    <n v="3"/>
    <n v="4"/>
    <n v="3"/>
    <n v="1"/>
    <n v="1"/>
    <m/>
    <n v="2"/>
    <m/>
    <m/>
    <n v="1"/>
    <m/>
    <n v="1"/>
    <m/>
    <m/>
    <m/>
    <m/>
    <m/>
    <m/>
    <m/>
    <m/>
    <m/>
    <m/>
    <m/>
    <m/>
    <m/>
    <n v="29"/>
    <m/>
    <m/>
    <n v="2"/>
    <m/>
    <m/>
    <m/>
    <m/>
    <x v="2"/>
    <x v="2"/>
    <m/>
    <m/>
    <m/>
    <m/>
    <m/>
    <m/>
    <n v="3"/>
    <m/>
    <m/>
    <n v="2"/>
    <m/>
    <m/>
    <n v="2"/>
    <n v="119"/>
    <n v="115.401"/>
    <s v="Yes"/>
    <n v="100"/>
    <m/>
    <s v="Every woman requested Sanitary pads"/>
    <m/>
    <m/>
    <m/>
    <n v="0.01"/>
    <m/>
    <m/>
    <m/>
    <m/>
    <m/>
    <m/>
    <m/>
    <s v="no test"/>
    <s v="no test"/>
    <s v="No Test"/>
    <n v="2"/>
    <n v="2"/>
    <n v="1"/>
    <n v="0"/>
    <n v="0"/>
    <n v="0"/>
    <n v="0"/>
    <n v="1"/>
    <n v="1"/>
    <n v="1"/>
    <n v="538"/>
    <n v="0"/>
    <n v="0"/>
    <n v="1"/>
    <n v="538"/>
    <n v="1.0760000000000001"/>
    <n v="0"/>
    <n v="0"/>
    <n v="0"/>
    <n v="1"/>
    <n v="27"/>
    <n v="1"/>
    <n v="538"/>
    <n v="0"/>
    <n v="0"/>
    <n v="0"/>
    <n v="27"/>
    <n v="0"/>
    <n v="0"/>
    <n v="6.8965517241379309E-2"/>
    <n v="538"/>
    <n v="538"/>
    <n v="115.401"/>
    <n v="538"/>
    <n v="538"/>
    <n v="1"/>
    <n v="0"/>
    <n v="1"/>
    <n v="1"/>
    <n v="0.96975630252100842"/>
    <n v="3"/>
    <n v="60"/>
    <n v="0"/>
    <n v="300"/>
    <s v="No"/>
    <s v=""/>
    <n v="0"/>
    <n v="0"/>
    <n v="0"/>
    <s v="Yes"/>
    <s v="KBC-NSS"/>
    <x v="0"/>
    <x v="1"/>
    <x v="0"/>
    <n v="23.829599000000002"/>
    <n v="97.590767"/>
    <s v="MMR001CMP230"/>
    <x v="0"/>
    <m/>
    <n v="155"/>
    <n v="677"/>
  </r>
  <r>
    <x v="1"/>
    <x v="6"/>
    <x v="3"/>
    <s v="UNICEF,(UNICEF, USAID)"/>
    <x v="1"/>
    <x v="4"/>
    <x v="0"/>
    <x v="68"/>
    <n v="454"/>
    <n v="2354"/>
    <d v="2021-08-01T00:00:00"/>
    <d v="2022-08-01T00:00:00"/>
    <m/>
    <n v="3"/>
    <m/>
    <m/>
    <s v="Yes"/>
    <n v="4"/>
    <n v="3"/>
    <n v="2"/>
    <n v="1"/>
    <n v="1"/>
    <m/>
    <n v="1"/>
    <m/>
    <m/>
    <n v="1"/>
    <m/>
    <n v="1"/>
    <m/>
    <m/>
    <m/>
    <m/>
    <m/>
    <m/>
    <m/>
    <m/>
    <m/>
    <m/>
    <m/>
    <m/>
    <m/>
    <n v="40"/>
    <m/>
    <m/>
    <n v="3"/>
    <m/>
    <m/>
    <m/>
    <m/>
    <x v="2"/>
    <x v="2"/>
    <m/>
    <m/>
    <m/>
    <m/>
    <m/>
    <m/>
    <n v="1"/>
    <m/>
    <m/>
    <n v="3"/>
    <m/>
    <m/>
    <n v="2"/>
    <n v="454"/>
    <n v="504.93300000000005"/>
    <s v="Yes"/>
    <n v="100"/>
    <m/>
    <s v="Every woman requested Sanitary pads"/>
    <m/>
    <m/>
    <m/>
    <n v="0.01"/>
    <m/>
    <m/>
    <m/>
    <m/>
    <m/>
    <m/>
    <m/>
    <s v="no test"/>
    <s v="no test"/>
    <s v="No Test"/>
    <n v="1"/>
    <n v="1"/>
    <n v="1"/>
    <n v="0"/>
    <n v="0"/>
    <n v="0"/>
    <n v="0"/>
    <n v="0.41064854148966295"/>
    <n v="0.24072500708014724"/>
    <n v="0.41064854148966295"/>
    <n v="966.66666666666663"/>
    <n v="0"/>
    <n v="0"/>
    <n v="0.41064854148966295"/>
    <n v="966.66666666666663"/>
    <n v="1.9333333333333333"/>
    <n v="0.58935145851033699"/>
    <n v="1387.3333333333333"/>
    <n v="3.0666666666666664"/>
    <n v="5"/>
    <n v="37"/>
    <n v="0.3143585386576041"/>
    <n v="740"/>
    <n v="0"/>
    <n v="0"/>
    <n v="0"/>
    <n v="118"/>
    <n v="78"/>
    <n v="0.6856414613423959"/>
    <n v="7.4999999999999997E-2"/>
    <n v="1000"/>
    <n v="2354"/>
    <n v="504.93300000000005"/>
    <n v="2354"/>
    <n v="2354"/>
    <n v="1"/>
    <n v="0"/>
    <n v="0.42480883602378927"/>
    <n v="1"/>
    <n v="1"/>
    <n v="1"/>
    <n v="20"/>
    <n v="0"/>
    <n v="100"/>
    <s v="No"/>
    <s v=""/>
    <n v="0"/>
    <n v="0"/>
    <n v="0"/>
    <s v="Yes"/>
    <s v="KMSS-BMO"/>
    <x v="0"/>
    <x v="1"/>
    <x v="0"/>
    <n v="23.835319999999999"/>
    <n v="97.578490000000002"/>
    <s v="MMR001CMP132"/>
    <x v="0"/>
    <m/>
    <n v="622"/>
    <n v="3302"/>
  </r>
  <r>
    <x v="1"/>
    <x v="6"/>
    <x v="3"/>
    <s v="UNICEF,(UNICEF, USAID)"/>
    <x v="1"/>
    <x v="4"/>
    <x v="0"/>
    <x v="69"/>
    <n v="142"/>
    <n v="737"/>
    <d v="2021-08-01T00:00:00"/>
    <d v="2022-08-01T00:00:00"/>
    <m/>
    <n v="3"/>
    <m/>
    <m/>
    <s v="Yes"/>
    <n v="3"/>
    <n v="4"/>
    <n v="1"/>
    <n v="1"/>
    <n v="1"/>
    <m/>
    <n v="1"/>
    <m/>
    <m/>
    <n v="1"/>
    <m/>
    <n v="1"/>
    <m/>
    <m/>
    <m/>
    <m/>
    <m/>
    <m/>
    <m/>
    <m/>
    <m/>
    <m/>
    <m/>
    <m/>
    <m/>
    <n v="48"/>
    <m/>
    <m/>
    <n v="4"/>
    <m/>
    <m/>
    <m/>
    <m/>
    <x v="2"/>
    <x v="2"/>
    <m/>
    <m/>
    <m/>
    <m/>
    <m/>
    <m/>
    <n v="1"/>
    <m/>
    <m/>
    <n v="1"/>
    <m/>
    <m/>
    <n v="2"/>
    <n v="142"/>
    <n v="158.0865"/>
    <s v="Yes"/>
    <n v="100"/>
    <m/>
    <s v="Every woman requested Sanitary pads"/>
    <m/>
    <m/>
    <m/>
    <n v="0.01"/>
    <m/>
    <m/>
    <m/>
    <m/>
    <m/>
    <m/>
    <m/>
    <s v="no test"/>
    <s v="no test"/>
    <s v="No Test"/>
    <n v="0"/>
    <n v="1"/>
    <n v="1"/>
    <n v="0"/>
    <n v="0"/>
    <n v="0"/>
    <n v="0"/>
    <n v="0.76888285843509718"/>
    <n v="0.42966983265490732"/>
    <n v="0.76888285843509718"/>
    <n v="566.66666666666663"/>
    <n v="0"/>
    <n v="0"/>
    <n v="0.76888285843509718"/>
    <n v="566.66666666666663"/>
    <n v="1.1333333333333333"/>
    <n v="0.23111714156490282"/>
    <n v="170.33333333333337"/>
    <n v="0"/>
    <n v="1"/>
    <n v="44"/>
    <n v="1"/>
    <n v="737"/>
    <n v="0"/>
    <n v="0"/>
    <n v="0"/>
    <n v="37"/>
    <n v="0"/>
    <n v="0"/>
    <n v="8.3333333333333329E-2"/>
    <n v="737"/>
    <n v="737"/>
    <n v="158.0865"/>
    <n v="737"/>
    <n v="737"/>
    <n v="1"/>
    <n v="0"/>
    <n v="1"/>
    <n v="1"/>
    <n v="1"/>
    <n v="1"/>
    <n v="20"/>
    <n v="0"/>
    <n v="100"/>
    <s v="No"/>
    <s v=""/>
    <n v="0"/>
    <n v="0"/>
    <n v="0"/>
    <s v="Yes"/>
    <s v="KMSS-BMO"/>
    <x v="0"/>
    <x v="1"/>
    <x v="0"/>
    <n v="23.833477999999999"/>
    <n v="97.578367"/>
    <s v="MMR001CMP228"/>
    <x v="0"/>
    <m/>
    <n v="142"/>
    <n v="830"/>
  </r>
  <r>
    <x v="1"/>
    <x v="7"/>
    <x v="4"/>
    <s v="UNICEF, USAID"/>
    <x v="0"/>
    <x v="14"/>
    <x v="0"/>
    <x v="74"/>
    <n v="40"/>
    <n v="206"/>
    <d v="2021-11-11T00:00:00"/>
    <d v="2022-10-11T00:00:00"/>
    <m/>
    <m/>
    <n v="1"/>
    <m/>
    <s v="Yes"/>
    <m/>
    <n v="5"/>
    <n v="4"/>
    <m/>
    <m/>
    <n v="1"/>
    <m/>
    <m/>
    <m/>
    <m/>
    <m/>
    <m/>
    <m/>
    <m/>
    <m/>
    <m/>
    <m/>
    <m/>
    <m/>
    <m/>
    <m/>
    <m/>
    <m/>
    <m/>
    <m/>
    <n v="6"/>
    <n v="10"/>
    <m/>
    <m/>
    <m/>
    <m/>
    <m/>
    <m/>
    <x v="1"/>
    <x v="1"/>
    <m/>
    <m/>
    <m/>
    <m/>
    <m/>
    <m/>
    <m/>
    <m/>
    <m/>
    <n v="2"/>
    <m/>
    <m/>
    <n v="1"/>
    <m/>
    <m/>
    <s v="Yes"/>
    <m/>
    <n v="1"/>
    <m/>
    <m/>
    <m/>
    <m/>
    <m/>
    <m/>
    <m/>
    <m/>
    <m/>
    <m/>
    <m/>
    <m/>
    <s v="no test"/>
    <s v="no test"/>
    <s v="No Test"/>
    <n v="4"/>
    <n v="1"/>
    <n v="0"/>
    <n v="0"/>
    <n v="0"/>
    <n v="0"/>
    <n v="0"/>
    <n v="1"/>
    <n v="1"/>
    <n v="1"/>
    <n v="206"/>
    <n v="0"/>
    <n v="0"/>
    <n v="1"/>
    <n v="206"/>
    <n v="0.41199999999999998"/>
    <n v="0"/>
    <n v="0"/>
    <n v="0.58800000000000008"/>
    <n v="1"/>
    <n v="16"/>
    <n v="1"/>
    <n v="206"/>
    <n v="0"/>
    <n v="0"/>
    <n v="0"/>
    <n v="10"/>
    <n v="0"/>
    <n v="0"/>
    <n v="0"/>
    <n v="206"/>
    <n v="0"/>
    <n v="0"/>
    <n v="0"/>
    <n v="206"/>
    <n v="1"/>
    <n v="0"/>
    <n v="1"/>
    <n v="0"/>
    <n v="0"/>
    <n v="0"/>
    <n v="0"/>
    <n v="0"/>
    <n v="0"/>
    <s v="No"/>
    <s v=""/>
    <n v="0"/>
    <n v="0"/>
    <n v="0"/>
    <s v="Yes"/>
    <s v="KBC-NSS"/>
    <x v="0"/>
    <x v="1"/>
    <x v="0"/>
    <n v="23.354268999999999"/>
    <n v="98.218626999999998"/>
    <s v="MMR015CMP036"/>
    <x v="0"/>
    <m/>
    <n v="36"/>
    <n v="180"/>
  </r>
  <r>
    <x v="1"/>
    <x v="7"/>
    <x v="4"/>
    <s v="UNICEF, USAID"/>
    <x v="0"/>
    <x v="14"/>
    <x v="0"/>
    <x v="75"/>
    <n v="42"/>
    <n v="195"/>
    <d v="2021-11-11T00:00:00"/>
    <d v="2022-10-11T00:00:00"/>
    <m/>
    <m/>
    <m/>
    <m/>
    <m/>
    <n v="4"/>
    <n v="4"/>
    <m/>
    <m/>
    <m/>
    <n v="1"/>
    <m/>
    <m/>
    <m/>
    <n v="1"/>
    <m/>
    <m/>
    <m/>
    <m/>
    <m/>
    <m/>
    <n v="1"/>
    <m/>
    <m/>
    <m/>
    <m/>
    <n v="1"/>
    <m/>
    <m/>
    <m/>
    <n v="38"/>
    <m/>
    <m/>
    <m/>
    <m/>
    <m/>
    <m/>
    <m/>
    <x v="0"/>
    <x v="0"/>
    <m/>
    <m/>
    <m/>
    <m/>
    <m/>
    <m/>
    <m/>
    <m/>
    <m/>
    <m/>
    <m/>
    <m/>
    <n v="1"/>
    <m/>
    <m/>
    <s v="Yes"/>
    <m/>
    <n v="1"/>
    <m/>
    <m/>
    <m/>
    <m/>
    <m/>
    <m/>
    <m/>
    <m/>
    <m/>
    <m/>
    <m/>
    <m/>
    <s v="no test"/>
    <s v="no test"/>
    <s v="No Test"/>
    <n v="0"/>
    <n v="1"/>
    <n v="1"/>
    <n v="0"/>
    <n v="0"/>
    <n v="0"/>
    <n v="0"/>
    <n v="1"/>
    <n v="1"/>
    <n v="1"/>
    <n v="195"/>
    <n v="0"/>
    <n v="0"/>
    <n v="1"/>
    <n v="195"/>
    <n v="0.39"/>
    <n v="0"/>
    <n v="0"/>
    <n v="0.61"/>
    <n v="1"/>
    <n v="38"/>
    <n v="1"/>
    <n v="195"/>
    <n v="0"/>
    <n v="0"/>
    <n v="0"/>
    <n v="10"/>
    <n v="0"/>
    <n v="0"/>
    <n v="0"/>
    <n v="195"/>
    <n v="0"/>
    <n v="0"/>
    <n v="0"/>
    <n v="195"/>
    <n v="1"/>
    <n v="0"/>
    <n v="1"/>
    <n v="0"/>
    <n v="0"/>
    <n v="0"/>
    <n v="0"/>
    <n v="1"/>
    <n v="0"/>
    <s v="No"/>
    <s v=""/>
    <n v="0"/>
    <n v="0"/>
    <n v="0"/>
    <n v="0"/>
    <n v="0"/>
    <x v="0"/>
    <x v="3"/>
    <x v="0"/>
    <n v="23.353999999999999"/>
    <n v="98.221000000000004"/>
    <s v="MMR015CMP226"/>
    <x v="0"/>
    <m/>
    <n v="0"/>
    <n v="0"/>
  </r>
  <r>
    <x v="1"/>
    <x v="7"/>
    <x v="4"/>
    <s v="UNICEF"/>
    <x v="0"/>
    <x v="15"/>
    <x v="0"/>
    <x v="76"/>
    <n v="27"/>
    <n v="162"/>
    <d v="2021-11-11T00:00:00"/>
    <d v="2022-10-11T00:00:00"/>
    <m/>
    <m/>
    <m/>
    <m/>
    <m/>
    <m/>
    <m/>
    <m/>
    <m/>
    <m/>
    <m/>
    <m/>
    <m/>
    <m/>
    <m/>
    <m/>
    <m/>
    <m/>
    <m/>
    <m/>
    <m/>
    <m/>
    <m/>
    <m/>
    <m/>
    <m/>
    <m/>
    <m/>
    <m/>
    <m/>
    <m/>
    <m/>
    <m/>
    <m/>
    <m/>
    <m/>
    <m/>
    <m/>
    <x v="2"/>
    <x v="2"/>
    <m/>
    <m/>
    <m/>
    <m/>
    <m/>
    <m/>
    <n v="7"/>
    <m/>
    <m/>
    <n v="4"/>
    <m/>
    <m/>
    <m/>
    <m/>
    <m/>
    <s v="Yes"/>
    <m/>
    <m/>
    <m/>
    <m/>
    <m/>
    <m/>
    <m/>
    <m/>
    <m/>
    <m/>
    <m/>
    <m/>
    <m/>
    <m/>
    <s v="no test"/>
    <s v="no test"/>
    <s v="No Test"/>
    <n v="0"/>
    <n v="0"/>
    <n v="0"/>
    <n v="0"/>
    <n v="0"/>
    <n v="0"/>
    <n v="0"/>
    <n v="0"/>
    <n v="0"/>
    <n v="0"/>
    <n v="0"/>
    <n v="0"/>
    <n v="0"/>
    <n v="0"/>
    <n v="0"/>
    <n v="0"/>
    <n v="1"/>
    <n v="162"/>
    <n v="1"/>
    <n v="1"/>
    <n v="0"/>
    <n v="0"/>
    <n v="0"/>
    <n v="0"/>
    <n v="0"/>
    <n v="0"/>
    <n v="8"/>
    <n v="8"/>
    <n v="1"/>
    <n v="0"/>
    <n v="0"/>
    <n v="0"/>
    <n v="0"/>
    <n v="0"/>
    <n v="0"/>
    <n v="0"/>
    <n v="1"/>
    <n v="0"/>
    <n v="0"/>
    <n v="0"/>
    <n v="7"/>
    <n v="27"/>
    <n v="0"/>
    <n v="162"/>
    <s v="No"/>
    <s v=""/>
    <n v="0"/>
    <n v="0"/>
    <n v="0"/>
    <n v="0"/>
    <n v="0"/>
    <x v="0"/>
    <x v="4"/>
    <x v="0"/>
    <n v="23.400155999999999"/>
    <n v="98.220614999999995"/>
    <s v="MMR015CMP071"/>
    <x v="0"/>
    <m/>
    <n v="27"/>
    <n v="162"/>
  </r>
  <r>
    <x v="1"/>
    <x v="7"/>
    <x v="4"/>
    <s v="UNICEF, USAID"/>
    <x v="0"/>
    <x v="15"/>
    <x v="0"/>
    <x v="77"/>
    <n v="74"/>
    <n v="439"/>
    <s v="11-11-2021, 07-01-2020"/>
    <s v="10-11-2022, 28-2-2022"/>
    <m/>
    <n v="1"/>
    <m/>
    <m/>
    <s v="Yes"/>
    <n v="5"/>
    <n v="1"/>
    <m/>
    <m/>
    <m/>
    <m/>
    <m/>
    <m/>
    <m/>
    <n v="14"/>
    <m/>
    <m/>
    <m/>
    <m/>
    <m/>
    <m/>
    <m/>
    <m/>
    <m/>
    <m/>
    <m/>
    <m/>
    <m/>
    <m/>
    <m/>
    <n v="40"/>
    <m/>
    <m/>
    <m/>
    <m/>
    <m/>
    <m/>
    <m/>
    <x v="2"/>
    <x v="2"/>
    <m/>
    <m/>
    <m/>
    <m/>
    <m/>
    <m/>
    <n v="3"/>
    <m/>
    <m/>
    <n v="2"/>
    <m/>
    <m/>
    <n v="1"/>
    <m/>
    <m/>
    <s v="Yes"/>
    <m/>
    <n v="1"/>
    <m/>
    <m/>
    <m/>
    <m/>
    <m/>
    <m/>
    <m/>
    <m/>
    <m/>
    <m/>
    <m/>
    <m/>
    <s v="no test"/>
    <s v="no test"/>
    <s v="No Test"/>
    <n v="0"/>
    <n v="0"/>
    <n v="14"/>
    <n v="0"/>
    <n v="0"/>
    <n v="0"/>
    <n v="0"/>
    <n v="1"/>
    <n v="1"/>
    <n v="1"/>
    <n v="439"/>
    <n v="0"/>
    <n v="0"/>
    <n v="1"/>
    <n v="439"/>
    <n v="0.878"/>
    <n v="0"/>
    <n v="0"/>
    <n v="0.122"/>
    <n v="1"/>
    <n v="40"/>
    <n v="1"/>
    <n v="439"/>
    <n v="0"/>
    <n v="0"/>
    <n v="0"/>
    <n v="22"/>
    <n v="0"/>
    <n v="0"/>
    <n v="0"/>
    <n v="439"/>
    <n v="0"/>
    <n v="0"/>
    <n v="0"/>
    <n v="439"/>
    <n v="1"/>
    <n v="0"/>
    <n v="1"/>
    <n v="0"/>
    <n v="0"/>
    <n v="3"/>
    <n v="60"/>
    <n v="0"/>
    <n v="300"/>
    <s v="No"/>
    <s v=""/>
    <n v="0"/>
    <n v="0"/>
    <n v="0"/>
    <n v="0"/>
    <s v="uncovered"/>
    <x v="0"/>
    <x v="0"/>
    <x v="0"/>
    <n v="23.234137"/>
    <n v="97.505339000000006"/>
    <s v="MMR015CMP030"/>
    <x v="0"/>
    <m/>
    <n v="86"/>
    <n v="525"/>
  </r>
  <r>
    <x v="1"/>
    <x v="7"/>
    <x v="4"/>
    <s v="UNICEF, USAID"/>
    <x v="0"/>
    <x v="15"/>
    <x v="0"/>
    <x v="78"/>
    <n v="26"/>
    <n v="132"/>
    <s v="11-11-2021, 07-01-2020"/>
    <s v="10-11-2022, 28-2-2022"/>
    <m/>
    <m/>
    <m/>
    <m/>
    <m/>
    <n v="3"/>
    <n v="2"/>
    <m/>
    <m/>
    <m/>
    <m/>
    <m/>
    <m/>
    <m/>
    <n v="8"/>
    <m/>
    <m/>
    <m/>
    <m/>
    <m/>
    <m/>
    <m/>
    <m/>
    <m/>
    <m/>
    <m/>
    <m/>
    <m/>
    <m/>
    <m/>
    <n v="27"/>
    <m/>
    <m/>
    <m/>
    <m/>
    <m/>
    <m/>
    <n v="2"/>
    <x v="1"/>
    <x v="0"/>
    <m/>
    <m/>
    <m/>
    <m/>
    <m/>
    <m/>
    <n v="7"/>
    <m/>
    <m/>
    <n v="7"/>
    <m/>
    <m/>
    <n v="1"/>
    <m/>
    <m/>
    <m/>
    <m/>
    <m/>
    <m/>
    <m/>
    <m/>
    <m/>
    <m/>
    <m/>
    <m/>
    <m/>
    <m/>
    <m/>
    <m/>
    <m/>
    <s v="no test"/>
    <s v="no test"/>
    <s v="No Test"/>
    <n v="0"/>
    <n v="0"/>
    <n v="8"/>
    <n v="0"/>
    <n v="0"/>
    <n v="0"/>
    <n v="0"/>
    <n v="1"/>
    <n v="1"/>
    <n v="1"/>
    <n v="132"/>
    <n v="0"/>
    <n v="0"/>
    <n v="1"/>
    <n v="132"/>
    <n v="0.26400000000000001"/>
    <n v="0"/>
    <n v="0"/>
    <n v="0.73599999999999999"/>
    <n v="1"/>
    <n v="27"/>
    <n v="1"/>
    <n v="132"/>
    <n v="0"/>
    <n v="0"/>
    <n v="0"/>
    <n v="7"/>
    <n v="0"/>
    <n v="0"/>
    <n v="0"/>
    <n v="132"/>
    <n v="0"/>
    <n v="0"/>
    <n v="0"/>
    <n v="132"/>
    <n v="1"/>
    <n v="0"/>
    <n v="1"/>
    <n v="0"/>
    <n v="0"/>
    <n v="7"/>
    <n v="26"/>
    <n v="0"/>
    <n v="132"/>
    <s v="No"/>
    <s v=""/>
    <n v="0"/>
    <n v="0"/>
    <n v="0"/>
    <s v="Yes"/>
    <s v="KMSS-LSO"/>
    <x v="0"/>
    <x v="1"/>
    <x v="0"/>
    <n v="23.38503"/>
    <n v="97.837040000000002"/>
    <s v="MMR015CMP017"/>
    <x v="0"/>
    <m/>
    <n v="26"/>
    <n v="133"/>
  </r>
  <r>
    <x v="1"/>
    <x v="7"/>
    <x v="4"/>
    <s v="UNICEF, USAID"/>
    <x v="0"/>
    <x v="15"/>
    <x v="0"/>
    <x v="79"/>
    <n v="29"/>
    <n v="130"/>
    <s v="11-11-2021, 07-01-2020"/>
    <s v="10-11-2022, 28-2-2022"/>
    <m/>
    <n v="1"/>
    <m/>
    <m/>
    <s v="Yes"/>
    <n v="4"/>
    <n v="5"/>
    <m/>
    <m/>
    <m/>
    <m/>
    <m/>
    <m/>
    <m/>
    <n v="13"/>
    <m/>
    <m/>
    <m/>
    <m/>
    <m/>
    <m/>
    <m/>
    <m/>
    <m/>
    <m/>
    <m/>
    <m/>
    <m/>
    <m/>
    <m/>
    <n v="30"/>
    <m/>
    <m/>
    <m/>
    <m/>
    <m/>
    <m/>
    <m/>
    <x v="1"/>
    <x v="1"/>
    <m/>
    <m/>
    <m/>
    <m/>
    <m/>
    <m/>
    <n v="7"/>
    <m/>
    <m/>
    <n v="1"/>
    <m/>
    <m/>
    <n v="1"/>
    <m/>
    <m/>
    <s v="Yes"/>
    <m/>
    <n v="1"/>
    <m/>
    <m/>
    <m/>
    <m/>
    <m/>
    <m/>
    <m/>
    <m/>
    <m/>
    <m/>
    <m/>
    <m/>
    <s v="no test"/>
    <s v="no test"/>
    <s v="No Test"/>
    <n v="0"/>
    <n v="0"/>
    <n v="13"/>
    <n v="0"/>
    <n v="0"/>
    <n v="0"/>
    <n v="0"/>
    <n v="1"/>
    <n v="1"/>
    <n v="1"/>
    <n v="130"/>
    <n v="0"/>
    <n v="0"/>
    <n v="1"/>
    <n v="130"/>
    <n v="0.26"/>
    <n v="0"/>
    <n v="0"/>
    <n v="0.74"/>
    <n v="1"/>
    <n v="30"/>
    <n v="1"/>
    <n v="130"/>
    <n v="0"/>
    <n v="0"/>
    <n v="0"/>
    <n v="7"/>
    <n v="0"/>
    <n v="0"/>
    <n v="0"/>
    <n v="130"/>
    <n v="0"/>
    <n v="0"/>
    <n v="0"/>
    <n v="130"/>
    <n v="1"/>
    <n v="0"/>
    <n v="1"/>
    <n v="0"/>
    <n v="0"/>
    <n v="7"/>
    <n v="29"/>
    <n v="0"/>
    <n v="130"/>
    <s v="No"/>
    <s v=""/>
    <n v="0"/>
    <n v="0"/>
    <n v="0"/>
    <s v="Yes"/>
    <s v="KMSS-LSO"/>
    <x v="0"/>
    <x v="1"/>
    <x v="0"/>
    <n v="23.638999999999999"/>
    <n v="97.861999999999995"/>
    <s v="MMR015CMP068"/>
    <x v="0"/>
    <m/>
    <n v="31"/>
    <n v="133"/>
  </r>
  <r>
    <x v="1"/>
    <x v="7"/>
    <x v="4"/>
    <s v="UNICEF, USAID"/>
    <x v="0"/>
    <x v="15"/>
    <x v="0"/>
    <x v="80"/>
    <n v="40"/>
    <n v="244"/>
    <s v="11-11-2021, 07-01-2020"/>
    <s v="10-11-2022, 28-2-2022"/>
    <m/>
    <n v="1"/>
    <m/>
    <m/>
    <s v="Yes"/>
    <n v="3"/>
    <n v="3"/>
    <n v="1"/>
    <m/>
    <m/>
    <n v="1"/>
    <n v="2"/>
    <m/>
    <n v="1"/>
    <m/>
    <m/>
    <m/>
    <m/>
    <m/>
    <m/>
    <m/>
    <m/>
    <m/>
    <m/>
    <m/>
    <m/>
    <m/>
    <m/>
    <m/>
    <m/>
    <n v="12"/>
    <m/>
    <m/>
    <m/>
    <m/>
    <m/>
    <m/>
    <m/>
    <x v="1"/>
    <x v="0"/>
    <m/>
    <m/>
    <n v="1"/>
    <m/>
    <m/>
    <m/>
    <n v="7"/>
    <m/>
    <m/>
    <n v="1"/>
    <m/>
    <m/>
    <n v="1"/>
    <m/>
    <m/>
    <s v="Yes"/>
    <m/>
    <n v="1"/>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s v="Yes"/>
    <s v="KBC-NSS"/>
    <x v="0"/>
    <x v="1"/>
    <x v="0"/>
    <n v="23.450914000000001"/>
    <n v="97.926813999999993"/>
    <s v="MMR015CMP016"/>
    <x v="0"/>
    <m/>
    <n v="40"/>
    <n v="251"/>
  </r>
  <r>
    <x v="1"/>
    <x v="7"/>
    <x v="4"/>
    <s v="UNICEF, USAID"/>
    <x v="0"/>
    <x v="15"/>
    <x v="0"/>
    <x v="81"/>
    <n v="38"/>
    <n v="180"/>
    <s v="11-11-2021, 07-01-2020"/>
    <s v="10-11-2022, 28-2-2022"/>
    <m/>
    <m/>
    <m/>
    <m/>
    <m/>
    <n v="4"/>
    <n v="5"/>
    <n v="1"/>
    <m/>
    <m/>
    <n v="1"/>
    <m/>
    <m/>
    <m/>
    <m/>
    <m/>
    <m/>
    <m/>
    <m/>
    <m/>
    <m/>
    <m/>
    <m/>
    <m/>
    <m/>
    <m/>
    <m/>
    <m/>
    <m/>
    <m/>
    <n v="9"/>
    <m/>
    <m/>
    <m/>
    <m/>
    <m/>
    <m/>
    <m/>
    <x v="1"/>
    <x v="1"/>
    <m/>
    <m/>
    <m/>
    <m/>
    <m/>
    <m/>
    <n v="4"/>
    <m/>
    <m/>
    <n v="2"/>
    <m/>
    <m/>
    <n v="1"/>
    <m/>
    <m/>
    <s v="Yes"/>
    <m/>
    <n v="1"/>
    <m/>
    <m/>
    <m/>
    <m/>
    <m/>
    <m/>
    <m/>
    <m/>
    <m/>
    <m/>
    <m/>
    <m/>
    <s v="no test"/>
    <s v="no test"/>
    <s v="No Test"/>
    <n v="1"/>
    <n v="1"/>
    <n v="0"/>
    <n v="0"/>
    <n v="0"/>
    <n v="0"/>
    <n v="0"/>
    <n v="1"/>
    <n v="1"/>
    <n v="1"/>
    <n v="180"/>
    <n v="0"/>
    <n v="0"/>
    <n v="1"/>
    <n v="180"/>
    <n v="0.36"/>
    <n v="0"/>
    <n v="0"/>
    <n v="0.64"/>
    <n v="1"/>
    <n v="9"/>
    <n v="1"/>
    <n v="180"/>
    <n v="0"/>
    <n v="0"/>
    <n v="0"/>
    <n v="9"/>
    <n v="0"/>
    <n v="0"/>
    <n v="0"/>
    <n v="180"/>
    <n v="0"/>
    <n v="0"/>
    <n v="0"/>
    <n v="180"/>
    <n v="1"/>
    <n v="0"/>
    <n v="1"/>
    <n v="0"/>
    <n v="0"/>
    <n v="4"/>
    <n v="38"/>
    <n v="0"/>
    <n v="180"/>
    <s v="No"/>
    <s v=""/>
    <n v="0"/>
    <n v="0"/>
    <n v="0"/>
    <s v="Yes"/>
    <s v="KBC-NSS"/>
    <x v="0"/>
    <x v="1"/>
    <x v="0"/>
    <n v="23.460349999999998"/>
    <n v="97.947360000000003"/>
    <s v="MMR015CMP063"/>
    <x v="0"/>
    <m/>
    <n v="36"/>
    <n v="158"/>
  </r>
  <r>
    <x v="1"/>
    <x v="7"/>
    <x v="4"/>
    <s v="UNICEF, USAID"/>
    <x v="0"/>
    <x v="15"/>
    <x v="0"/>
    <x v="82"/>
    <n v="74"/>
    <n v="502"/>
    <s v="11-11-2021, 07-01-2020"/>
    <s v="10-11-2022, 28-2-2022"/>
    <m/>
    <m/>
    <m/>
    <m/>
    <m/>
    <n v="6"/>
    <n v="3"/>
    <m/>
    <m/>
    <m/>
    <m/>
    <m/>
    <m/>
    <m/>
    <n v="8"/>
    <m/>
    <m/>
    <m/>
    <m/>
    <m/>
    <m/>
    <m/>
    <m/>
    <m/>
    <m/>
    <m/>
    <n v="1"/>
    <n v="2"/>
    <m/>
    <m/>
    <n v="85"/>
    <m/>
    <m/>
    <m/>
    <m/>
    <m/>
    <m/>
    <n v="5"/>
    <x v="1"/>
    <x v="3"/>
    <m/>
    <m/>
    <m/>
    <m/>
    <m/>
    <m/>
    <n v="2"/>
    <m/>
    <m/>
    <n v="1"/>
    <m/>
    <n v="1"/>
    <m/>
    <m/>
    <m/>
    <s v="Yes"/>
    <m/>
    <n v="1"/>
    <m/>
    <m/>
    <m/>
    <m/>
    <m/>
    <m/>
    <m/>
    <m/>
    <m/>
    <m/>
    <m/>
    <m/>
    <s v="no test"/>
    <s v="no test"/>
    <s v="No Test"/>
    <n v="0"/>
    <n v="0"/>
    <n v="8"/>
    <n v="0"/>
    <n v="0"/>
    <n v="502"/>
    <n v="0"/>
    <n v="1"/>
    <n v="1"/>
    <n v="1"/>
    <n v="502"/>
    <n v="0"/>
    <n v="0"/>
    <n v="1"/>
    <n v="502"/>
    <n v="1.004"/>
    <n v="0"/>
    <n v="0"/>
    <n v="0"/>
    <n v="1"/>
    <n v="85"/>
    <n v="1"/>
    <n v="502"/>
    <n v="0"/>
    <n v="0"/>
    <n v="0"/>
    <n v="25"/>
    <n v="0"/>
    <n v="0"/>
    <n v="0"/>
    <n v="500"/>
    <n v="0"/>
    <n v="0"/>
    <n v="0"/>
    <n v="500"/>
    <n v="0.99601593625498008"/>
    <n v="3.9840637450199168E-3"/>
    <n v="0.99601593625498008"/>
    <n v="0"/>
    <n v="0"/>
    <n v="2"/>
    <n v="40"/>
    <n v="1"/>
    <n v="200"/>
    <s v="No"/>
    <s v=""/>
    <n v="0"/>
    <n v="502"/>
    <n v="0"/>
    <s v="Yes"/>
    <s v="KMSS-LSO"/>
    <x v="0"/>
    <x v="1"/>
    <x v="0"/>
    <n v="23.591999999999999"/>
    <n v="97.796999999999997"/>
    <s v="MMR015CMP038"/>
    <x v="0"/>
    <m/>
    <n v="75"/>
    <n v="395"/>
  </r>
  <r>
    <x v="1"/>
    <x v="7"/>
    <x v="4"/>
    <s v="UNICEF, USAID"/>
    <x v="0"/>
    <x v="15"/>
    <x v="0"/>
    <x v="83"/>
    <n v="26"/>
    <n v="104"/>
    <s v="11-11-2021, 07-01-2020"/>
    <s v="10-11-2022, 28-2-2022"/>
    <m/>
    <m/>
    <m/>
    <m/>
    <m/>
    <m/>
    <m/>
    <m/>
    <m/>
    <m/>
    <m/>
    <n v="1"/>
    <m/>
    <m/>
    <m/>
    <m/>
    <m/>
    <m/>
    <m/>
    <m/>
    <m/>
    <m/>
    <m/>
    <m/>
    <m/>
    <m/>
    <m/>
    <m/>
    <m/>
    <m/>
    <n v="4"/>
    <m/>
    <m/>
    <m/>
    <m/>
    <m/>
    <m/>
    <m/>
    <x v="2"/>
    <x v="2"/>
    <m/>
    <m/>
    <m/>
    <m/>
    <m/>
    <m/>
    <n v="8"/>
    <m/>
    <m/>
    <n v="3"/>
    <m/>
    <m/>
    <m/>
    <m/>
    <m/>
    <s v="Yes"/>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s v="uncovered"/>
    <x v="0"/>
    <x v="0"/>
    <x v="0"/>
    <n v="23.621317999999999"/>
    <n v="97.795981999999995"/>
    <s v="MMR015CMP064"/>
    <x v="0"/>
    <m/>
    <n v="24"/>
    <n v="84"/>
  </r>
  <r>
    <x v="1"/>
    <x v="7"/>
    <x v="4"/>
    <s v="UNICEF, USAID"/>
    <x v="0"/>
    <x v="15"/>
    <x v="0"/>
    <x v="84"/>
    <n v="64"/>
    <n v="251"/>
    <s v="11-11-2021, 07-01-2020"/>
    <s v="10-11-2022, 28-2-2022"/>
    <m/>
    <n v="1"/>
    <m/>
    <m/>
    <s v="Yes"/>
    <n v="4"/>
    <n v="5"/>
    <m/>
    <m/>
    <m/>
    <m/>
    <m/>
    <m/>
    <m/>
    <n v="14"/>
    <m/>
    <m/>
    <m/>
    <m/>
    <m/>
    <m/>
    <n v="1"/>
    <m/>
    <m/>
    <m/>
    <m/>
    <n v="3"/>
    <m/>
    <m/>
    <m/>
    <n v="71"/>
    <m/>
    <m/>
    <m/>
    <m/>
    <m/>
    <m/>
    <m/>
    <x v="0"/>
    <x v="3"/>
    <m/>
    <m/>
    <n v="4"/>
    <m/>
    <m/>
    <m/>
    <n v="5"/>
    <m/>
    <m/>
    <n v="3"/>
    <m/>
    <n v="1"/>
    <m/>
    <m/>
    <m/>
    <s v="Yes"/>
    <m/>
    <n v="1"/>
    <m/>
    <m/>
    <m/>
    <m/>
    <m/>
    <m/>
    <m/>
    <m/>
    <m/>
    <m/>
    <m/>
    <m/>
    <s v="no test"/>
    <s v="no test"/>
    <s v="No Test"/>
    <n v="0"/>
    <n v="0"/>
    <n v="14"/>
    <n v="0"/>
    <n v="0"/>
    <n v="0"/>
    <n v="0"/>
    <n v="1"/>
    <n v="1"/>
    <n v="1"/>
    <n v="251"/>
    <n v="0"/>
    <n v="0"/>
    <n v="1"/>
    <n v="251"/>
    <n v="0.502"/>
    <n v="0"/>
    <n v="0"/>
    <n v="0.498"/>
    <n v="1"/>
    <n v="71"/>
    <n v="1"/>
    <n v="251"/>
    <n v="0"/>
    <n v="0"/>
    <n v="0"/>
    <n v="42"/>
    <n v="0"/>
    <n v="0"/>
    <n v="0"/>
    <n v="251"/>
    <n v="0"/>
    <n v="0"/>
    <n v="0"/>
    <n v="251"/>
    <n v="1"/>
    <n v="0"/>
    <n v="1"/>
    <n v="0"/>
    <n v="0"/>
    <n v="5"/>
    <n v="64"/>
    <n v="3"/>
    <n v="251"/>
    <s v="No"/>
    <s v=""/>
    <n v="0"/>
    <n v="0"/>
    <n v="0"/>
    <s v="Yes"/>
    <s v="KMSS-LSO"/>
    <x v="1"/>
    <x v="1"/>
    <x v="0"/>
    <n v="23.588920000000002"/>
    <n v="97.793019999999999"/>
    <s v="MMR015CMP018"/>
    <x v="0"/>
    <m/>
    <n v="66"/>
    <n v="248"/>
  </r>
  <r>
    <x v="1"/>
    <x v="7"/>
    <x v="4"/>
    <s v="UNICEF, USAID"/>
    <x v="0"/>
    <x v="15"/>
    <x v="0"/>
    <x v="85"/>
    <n v="31"/>
    <n v="176"/>
    <s v="11-11-2021, 07-01-2020"/>
    <s v="10-11-2022, 28-2-2022"/>
    <m/>
    <m/>
    <m/>
    <m/>
    <m/>
    <n v="5"/>
    <n v="4"/>
    <m/>
    <m/>
    <m/>
    <m/>
    <m/>
    <m/>
    <m/>
    <n v="14"/>
    <m/>
    <m/>
    <m/>
    <m/>
    <m/>
    <m/>
    <m/>
    <m/>
    <m/>
    <m/>
    <m/>
    <m/>
    <m/>
    <m/>
    <m/>
    <n v="34"/>
    <m/>
    <m/>
    <m/>
    <m/>
    <m/>
    <m/>
    <m/>
    <x v="1"/>
    <x v="1"/>
    <m/>
    <m/>
    <n v="2"/>
    <m/>
    <m/>
    <m/>
    <n v="2"/>
    <m/>
    <m/>
    <n v="2"/>
    <m/>
    <m/>
    <n v="1"/>
    <m/>
    <m/>
    <s v="Yes"/>
    <m/>
    <m/>
    <m/>
    <m/>
    <m/>
    <m/>
    <m/>
    <m/>
    <m/>
    <m/>
    <m/>
    <m/>
    <m/>
    <m/>
    <s v="no test"/>
    <s v="no test"/>
    <s v="No Test"/>
    <n v="0"/>
    <n v="0"/>
    <n v="14"/>
    <n v="0"/>
    <n v="0"/>
    <n v="0"/>
    <n v="0"/>
    <n v="1"/>
    <n v="1"/>
    <n v="1"/>
    <n v="176"/>
    <n v="0"/>
    <n v="0"/>
    <n v="1"/>
    <n v="176"/>
    <n v="0.35199999999999998"/>
    <n v="0"/>
    <n v="0"/>
    <n v="0.64800000000000002"/>
    <n v="1"/>
    <n v="34"/>
    <n v="1"/>
    <n v="176"/>
    <n v="0"/>
    <n v="0"/>
    <n v="0"/>
    <n v="9"/>
    <n v="0"/>
    <n v="0"/>
    <n v="0"/>
    <n v="176"/>
    <n v="0"/>
    <n v="0"/>
    <n v="0"/>
    <n v="176"/>
    <n v="1"/>
    <n v="0"/>
    <n v="1"/>
    <n v="0"/>
    <n v="0"/>
    <n v="2"/>
    <n v="31"/>
    <n v="0"/>
    <n v="176"/>
    <s v="No"/>
    <s v=""/>
    <n v="0"/>
    <n v="0"/>
    <n v="0"/>
    <n v="0"/>
    <s v="uncovered"/>
    <x v="0"/>
    <x v="0"/>
    <x v="0"/>
    <n v="23.850999999999999"/>
    <n v="98.337999999999994"/>
    <s v="MMR015CMP045"/>
    <x v="0"/>
    <m/>
    <n v="30"/>
    <n v="170"/>
  </r>
  <r>
    <x v="1"/>
    <x v="7"/>
    <x v="4"/>
    <s v="UNICEF, USAID"/>
    <x v="0"/>
    <x v="15"/>
    <x v="0"/>
    <x v="86"/>
    <n v="54"/>
    <n v="250"/>
    <s v="11-11-2021, 07-01-2020"/>
    <s v="10-11-2022, 28-2-2022"/>
    <m/>
    <n v="1"/>
    <m/>
    <m/>
    <s v="Yes"/>
    <n v="5"/>
    <n v="4"/>
    <m/>
    <m/>
    <m/>
    <m/>
    <m/>
    <m/>
    <m/>
    <n v="12"/>
    <m/>
    <m/>
    <m/>
    <m/>
    <m/>
    <m/>
    <n v="1"/>
    <m/>
    <m/>
    <m/>
    <m/>
    <m/>
    <m/>
    <m/>
    <m/>
    <n v="18"/>
    <m/>
    <m/>
    <m/>
    <m/>
    <m/>
    <m/>
    <m/>
    <x v="1"/>
    <x v="1"/>
    <m/>
    <m/>
    <m/>
    <m/>
    <m/>
    <m/>
    <n v="6"/>
    <m/>
    <m/>
    <n v="1"/>
    <m/>
    <m/>
    <n v="2"/>
    <m/>
    <m/>
    <s v="Yes"/>
    <m/>
    <n v="1"/>
    <m/>
    <m/>
    <m/>
    <m/>
    <m/>
    <m/>
    <m/>
    <m/>
    <m/>
    <m/>
    <m/>
    <m/>
    <s v="no test"/>
    <s v="no test"/>
    <s v="No Test"/>
    <n v="0"/>
    <n v="0"/>
    <n v="12"/>
    <n v="0"/>
    <n v="0"/>
    <n v="0"/>
    <n v="0"/>
    <n v="1"/>
    <n v="1"/>
    <n v="1"/>
    <n v="250"/>
    <n v="0"/>
    <n v="0"/>
    <n v="1"/>
    <n v="250"/>
    <n v="0.5"/>
    <n v="0"/>
    <n v="0"/>
    <n v="0.5"/>
    <n v="1"/>
    <n v="18"/>
    <n v="1"/>
    <n v="250"/>
    <n v="0"/>
    <n v="0"/>
    <n v="0"/>
    <n v="13"/>
    <n v="0"/>
    <n v="0"/>
    <n v="0"/>
    <n v="250"/>
    <n v="0"/>
    <n v="0"/>
    <n v="0"/>
    <n v="250"/>
    <n v="1"/>
    <n v="0"/>
    <n v="1"/>
    <n v="0"/>
    <n v="0"/>
    <n v="6"/>
    <n v="54"/>
    <n v="0"/>
    <n v="250"/>
    <s v="No"/>
    <s v=""/>
    <n v="0"/>
    <n v="0"/>
    <n v="0"/>
    <s v="Yes"/>
    <s v="KBC-NSS"/>
    <x v="0"/>
    <x v="1"/>
    <x v="0"/>
    <n v="23.694130000000001"/>
    <n v="97.818979999999996"/>
    <s v="MMR015CMP007"/>
    <x v="0"/>
    <m/>
    <n v="54"/>
    <n v="279"/>
  </r>
  <r>
    <x v="1"/>
    <x v="7"/>
    <x v="4"/>
    <s v="UNICEF, USAID"/>
    <x v="0"/>
    <x v="15"/>
    <x v="0"/>
    <x v="87"/>
    <n v="35"/>
    <n v="158"/>
    <s v="11-11-2021, 07-01-2020"/>
    <s v="10-11-2022, 28-2-2022"/>
    <m/>
    <n v="1"/>
    <m/>
    <m/>
    <s v="Yes"/>
    <n v="5"/>
    <n v="4"/>
    <m/>
    <m/>
    <m/>
    <n v="2"/>
    <m/>
    <m/>
    <m/>
    <m/>
    <m/>
    <m/>
    <m/>
    <m/>
    <m/>
    <m/>
    <n v="1"/>
    <m/>
    <m/>
    <m/>
    <m/>
    <m/>
    <m/>
    <m/>
    <m/>
    <n v="8"/>
    <m/>
    <m/>
    <m/>
    <m/>
    <m/>
    <m/>
    <m/>
    <x v="1"/>
    <x v="0"/>
    <m/>
    <m/>
    <m/>
    <m/>
    <m/>
    <m/>
    <n v="4"/>
    <m/>
    <m/>
    <n v="1"/>
    <m/>
    <m/>
    <n v="2"/>
    <m/>
    <m/>
    <s v="Yes"/>
    <m/>
    <n v="1"/>
    <m/>
    <m/>
    <m/>
    <m/>
    <m/>
    <m/>
    <m/>
    <m/>
    <m/>
    <m/>
    <m/>
    <m/>
    <s v="no test"/>
    <s v="no test"/>
    <s v="No Test"/>
    <n v="0"/>
    <n v="2"/>
    <n v="0"/>
    <n v="0"/>
    <n v="0"/>
    <n v="0"/>
    <n v="0"/>
    <n v="1"/>
    <n v="1"/>
    <n v="1"/>
    <n v="158"/>
    <n v="0"/>
    <n v="0"/>
    <n v="1"/>
    <n v="158"/>
    <n v="0.316"/>
    <n v="0"/>
    <n v="0"/>
    <n v="0.68399999999999994"/>
    <n v="1"/>
    <n v="8"/>
    <n v="1"/>
    <n v="158"/>
    <n v="0"/>
    <n v="0"/>
    <n v="0"/>
    <n v="8"/>
    <n v="0"/>
    <n v="0"/>
    <n v="0"/>
    <n v="158"/>
    <n v="0"/>
    <n v="0"/>
    <n v="0"/>
    <n v="158"/>
    <n v="1"/>
    <n v="0"/>
    <n v="1"/>
    <n v="0"/>
    <n v="0"/>
    <n v="4"/>
    <n v="35"/>
    <n v="0"/>
    <n v="158"/>
    <s v="No"/>
    <s v=""/>
    <n v="0"/>
    <n v="0"/>
    <n v="0"/>
    <s v="Yes"/>
    <s v="KMSS-LSO"/>
    <x v="0"/>
    <x v="1"/>
    <x v="0"/>
    <n v="23.682887999999998"/>
    <n v="97.810101000000003"/>
    <s v="MMR015CMP043"/>
    <x v="0"/>
    <m/>
    <n v="34"/>
    <n v="144"/>
  </r>
  <r>
    <x v="1"/>
    <x v="7"/>
    <x v="4"/>
    <s v="UNICEF, USAID"/>
    <x v="0"/>
    <x v="15"/>
    <x v="0"/>
    <x v="88"/>
    <n v="121"/>
    <n v="664"/>
    <s v="11-11-2021, 07-01-2020"/>
    <s v="10-11-2022, 28-2-2022"/>
    <m/>
    <n v="1"/>
    <m/>
    <m/>
    <s v="Yes"/>
    <n v="4"/>
    <n v="5"/>
    <m/>
    <m/>
    <m/>
    <m/>
    <m/>
    <m/>
    <m/>
    <n v="8"/>
    <m/>
    <m/>
    <m/>
    <m/>
    <m/>
    <m/>
    <m/>
    <m/>
    <m/>
    <m/>
    <m/>
    <n v="1"/>
    <m/>
    <m/>
    <m/>
    <n v="105"/>
    <m/>
    <m/>
    <m/>
    <m/>
    <m/>
    <m/>
    <m/>
    <x v="1"/>
    <x v="1"/>
    <m/>
    <m/>
    <m/>
    <m/>
    <m/>
    <m/>
    <n v="2"/>
    <m/>
    <m/>
    <m/>
    <m/>
    <m/>
    <n v="1"/>
    <m/>
    <m/>
    <s v="Yes"/>
    <m/>
    <n v="1"/>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2"/>
    <n v="40"/>
    <n v="1"/>
    <n v="200"/>
    <s v="No"/>
    <s v=""/>
    <n v="0"/>
    <n v="0"/>
    <n v="0"/>
    <s v="Yes"/>
    <s v="KMSS-LSO"/>
    <x v="1"/>
    <x v="1"/>
    <x v="0"/>
    <n v="23.447111"/>
    <n v="97.868876999999998"/>
    <s v="MMR015CMP037"/>
    <x v="0"/>
    <m/>
    <n v="123"/>
    <n v="706"/>
  </r>
  <r>
    <x v="1"/>
    <x v="7"/>
    <x v="4"/>
    <s v="UNICEF, USAID"/>
    <x v="0"/>
    <x v="15"/>
    <x v="0"/>
    <x v="89"/>
    <n v="45"/>
    <n v="221"/>
    <s v="11-11-2021, 07-01-2020"/>
    <s v="10-11-2022, 28-2-2022"/>
    <m/>
    <m/>
    <m/>
    <m/>
    <m/>
    <n v="5"/>
    <n v="4"/>
    <m/>
    <m/>
    <m/>
    <m/>
    <m/>
    <m/>
    <m/>
    <n v="8"/>
    <m/>
    <m/>
    <m/>
    <m/>
    <m/>
    <m/>
    <n v="1"/>
    <m/>
    <m/>
    <m/>
    <m/>
    <n v="2"/>
    <n v="1"/>
    <m/>
    <m/>
    <n v="37"/>
    <m/>
    <m/>
    <m/>
    <m/>
    <m/>
    <m/>
    <n v="3"/>
    <x v="0"/>
    <x v="3"/>
    <m/>
    <m/>
    <n v="2"/>
    <m/>
    <m/>
    <m/>
    <n v="7"/>
    <m/>
    <m/>
    <m/>
    <m/>
    <m/>
    <n v="1"/>
    <m/>
    <m/>
    <s v="Yes"/>
    <m/>
    <n v="1"/>
    <m/>
    <m/>
    <m/>
    <m/>
    <m/>
    <m/>
    <m/>
    <m/>
    <m/>
    <m/>
    <m/>
    <m/>
    <s v="no test"/>
    <s v="no test"/>
    <s v="No Test"/>
    <n v="0"/>
    <n v="0"/>
    <n v="8"/>
    <n v="0"/>
    <n v="0"/>
    <n v="221"/>
    <n v="0"/>
    <n v="1"/>
    <n v="1"/>
    <n v="1"/>
    <n v="221"/>
    <n v="0"/>
    <n v="0"/>
    <n v="1"/>
    <n v="221"/>
    <n v="0.442"/>
    <n v="0"/>
    <n v="0"/>
    <n v="0.55800000000000005"/>
    <n v="1"/>
    <n v="37"/>
    <n v="1"/>
    <n v="221"/>
    <n v="0"/>
    <n v="0"/>
    <n v="0"/>
    <n v="11"/>
    <n v="0"/>
    <n v="0"/>
    <n v="0"/>
    <n v="221"/>
    <n v="0"/>
    <n v="0"/>
    <n v="0"/>
    <n v="221"/>
    <n v="1"/>
    <n v="0"/>
    <n v="1"/>
    <n v="0"/>
    <n v="0"/>
    <n v="7"/>
    <n v="45"/>
    <n v="2"/>
    <n v="221"/>
    <s v="No"/>
    <s v=""/>
    <n v="0"/>
    <n v="221"/>
    <n v="0"/>
    <s v="Yes"/>
    <s v="KMSS-LSO"/>
    <x v="0"/>
    <x v="1"/>
    <x v="0"/>
    <n v="23.59"/>
    <n v="97.805999999999997"/>
    <s v="MMR015CMP067"/>
    <x v="0"/>
    <m/>
    <n v="47"/>
    <n v="230"/>
  </r>
  <r>
    <x v="1"/>
    <x v="7"/>
    <x v="4"/>
    <s v="UNICEF, USAID"/>
    <x v="0"/>
    <x v="15"/>
    <x v="0"/>
    <x v="90"/>
    <n v="209"/>
    <n v="1101"/>
    <s v="11-11-2021, 07-01-2020"/>
    <s v="10-11-2022, 28-2-2022"/>
    <m/>
    <n v="2"/>
    <m/>
    <m/>
    <s v="Yes"/>
    <n v="5"/>
    <n v="4"/>
    <n v="2"/>
    <m/>
    <m/>
    <n v="1"/>
    <m/>
    <m/>
    <m/>
    <n v="48"/>
    <m/>
    <m/>
    <m/>
    <m/>
    <m/>
    <m/>
    <n v="1"/>
    <m/>
    <m/>
    <m/>
    <m/>
    <m/>
    <n v="2"/>
    <m/>
    <m/>
    <n v="200"/>
    <n v="5"/>
    <m/>
    <m/>
    <m/>
    <m/>
    <m/>
    <n v="18"/>
    <x v="0"/>
    <x v="0"/>
    <m/>
    <m/>
    <n v="2"/>
    <m/>
    <m/>
    <m/>
    <n v="2"/>
    <m/>
    <m/>
    <n v="5"/>
    <m/>
    <m/>
    <n v="1"/>
    <m/>
    <m/>
    <s v="Yes"/>
    <m/>
    <n v="1"/>
    <m/>
    <m/>
    <m/>
    <m/>
    <m/>
    <m/>
    <m/>
    <m/>
    <m/>
    <m/>
    <m/>
    <m/>
    <s v="no test"/>
    <s v="no test"/>
    <s v="No Test"/>
    <n v="2"/>
    <n v="1"/>
    <n v="48"/>
    <n v="0"/>
    <n v="0"/>
    <n v="1000"/>
    <n v="0"/>
    <n v="1"/>
    <n v="1"/>
    <n v="1"/>
    <n v="1101"/>
    <n v="0"/>
    <n v="0"/>
    <n v="1"/>
    <n v="1101"/>
    <n v="2.202"/>
    <n v="0"/>
    <n v="0"/>
    <n v="0"/>
    <n v="2"/>
    <n v="205"/>
    <n v="0.93097184377838327"/>
    <n v="1025"/>
    <n v="0"/>
    <n v="0"/>
    <n v="0"/>
    <n v="184"/>
    <n v="0"/>
    <n v="6.9028156221616732E-2"/>
    <n v="0"/>
    <n v="500"/>
    <n v="0"/>
    <n v="0"/>
    <n v="0"/>
    <n v="500"/>
    <n v="0.45413260672116257"/>
    <n v="0.54586739327883738"/>
    <n v="0.45413260672116257"/>
    <n v="0"/>
    <n v="0"/>
    <n v="2"/>
    <n v="40"/>
    <n v="0"/>
    <n v="200"/>
    <s v="No"/>
    <s v=""/>
    <n v="0"/>
    <n v="1000"/>
    <n v="0"/>
    <s v="Yes"/>
    <s v="KBC-NSS"/>
    <x v="1"/>
    <x v="1"/>
    <x v="0"/>
    <n v="23.38503"/>
    <n v="97.837040000000002"/>
    <s v="MMR015CMP020"/>
    <x v="0"/>
    <m/>
    <n v="209"/>
    <n v="1084"/>
  </r>
  <r>
    <x v="1"/>
    <x v="7"/>
    <x v="4"/>
    <s v="UNICEF"/>
    <x v="0"/>
    <x v="22"/>
    <x v="0"/>
    <x v="197"/>
    <n v="11"/>
    <n v="40"/>
    <d v="2021-11-11T00:00:00"/>
    <d v="2022-10-11T00:00:00"/>
    <m/>
    <m/>
    <m/>
    <m/>
    <m/>
    <m/>
    <m/>
    <m/>
    <m/>
    <m/>
    <m/>
    <m/>
    <m/>
    <m/>
    <m/>
    <m/>
    <m/>
    <m/>
    <m/>
    <m/>
    <m/>
    <m/>
    <m/>
    <m/>
    <m/>
    <m/>
    <m/>
    <m/>
    <m/>
    <m/>
    <m/>
    <n v="3"/>
    <m/>
    <m/>
    <m/>
    <m/>
    <m/>
    <m/>
    <x v="2"/>
    <x v="2"/>
    <m/>
    <m/>
    <m/>
    <m/>
    <m/>
    <m/>
    <m/>
    <m/>
    <m/>
    <m/>
    <m/>
    <m/>
    <m/>
    <m/>
    <m/>
    <s v="Yes"/>
    <m/>
    <m/>
    <m/>
    <m/>
    <m/>
    <m/>
    <m/>
    <m/>
    <m/>
    <m/>
    <m/>
    <m/>
    <m/>
    <m/>
    <s v="no test"/>
    <s v="no test"/>
    <s v="No Test"/>
    <n v="0"/>
    <n v="0"/>
    <n v="0"/>
    <n v="0"/>
    <n v="0"/>
    <n v="0"/>
    <n v="0"/>
    <n v="0"/>
    <n v="0"/>
    <n v="0"/>
    <n v="0"/>
    <n v="0"/>
    <n v="0"/>
    <n v="0"/>
    <n v="0"/>
    <n v="0"/>
    <n v="1"/>
    <n v="40"/>
    <n v="1"/>
    <n v="1"/>
    <n v="3"/>
    <n v="1"/>
    <n v="40"/>
    <n v="0"/>
    <n v="0"/>
    <n v="0"/>
    <n v="2"/>
    <n v="0"/>
    <n v="0"/>
    <n v="0"/>
    <n v="0"/>
    <n v="0"/>
    <n v="0"/>
    <n v="0"/>
    <n v="0"/>
    <n v="0"/>
    <n v="1"/>
    <n v="0"/>
    <n v="0"/>
    <n v="0"/>
    <n v="0"/>
    <n v="0"/>
    <n v="0"/>
    <n v="0"/>
    <s v="No"/>
    <s v=""/>
    <n v="0"/>
    <n v="0"/>
    <n v="0"/>
    <n v="0"/>
    <n v="0"/>
    <x v="0"/>
    <x v="0"/>
    <x v="0"/>
    <n v="0"/>
    <n v="0"/>
    <s v="MMR015CMP077"/>
    <x v="0"/>
    <m/>
    <n v="11"/>
    <n v="40"/>
  </r>
  <r>
    <x v="1"/>
    <x v="7"/>
    <x v="4"/>
    <s v="UNICEF"/>
    <x v="0"/>
    <x v="22"/>
    <x v="0"/>
    <x v="198"/>
    <n v="9"/>
    <n v="28"/>
    <d v="2021-11-11T00:00:00"/>
    <d v="2022-10-11T00:00:00"/>
    <m/>
    <m/>
    <m/>
    <m/>
    <m/>
    <m/>
    <m/>
    <m/>
    <m/>
    <m/>
    <m/>
    <m/>
    <m/>
    <m/>
    <m/>
    <m/>
    <m/>
    <m/>
    <m/>
    <m/>
    <m/>
    <m/>
    <m/>
    <m/>
    <m/>
    <m/>
    <m/>
    <m/>
    <m/>
    <m/>
    <m/>
    <n v="6"/>
    <m/>
    <m/>
    <m/>
    <m/>
    <m/>
    <m/>
    <x v="2"/>
    <x v="2"/>
    <m/>
    <m/>
    <m/>
    <m/>
    <m/>
    <m/>
    <m/>
    <m/>
    <m/>
    <m/>
    <m/>
    <m/>
    <m/>
    <m/>
    <m/>
    <s v="Yes"/>
    <m/>
    <m/>
    <m/>
    <m/>
    <m/>
    <m/>
    <m/>
    <m/>
    <m/>
    <m/>
    <m/>
    <m/>
    <m/>
    <m/>
    <s v="no test"/>
    <s v="no test"/>
    <s v="No Test"/>
    <n v="0"/>
    <n v="0"/>
    <n v="0"/>
    <n v="0"/>
    <n v="0"/>
    <n v="0"/>
    <n v="0"/>
    <n v="0"/>
    <n v="0"/>
    <n v="0"/>
    <n v="0"/>
    <n v="0"/>
    <n v="0"/>
    <n v="0"/>
    <n v="0"/>
    <n v="0"/>
    <n v="1"/>
    <n v="28"/>
    <n v="1"/>
    <n v="1"/>
    <n v="6"/>
    <n v="1"/>
    <n v="28"/>
    <n v="0"/>
    <n v="0"/>
    <n v="0"/>
    <n v="1"/>
    <n v="0"/>
    <n v="0"/>
    <n v="0"/>
    <n v="0"/>
    <n v="0"/>
    <n v="0"/>
    <n v="0"/>
    <n v="0"/>
    <n v="0"/>
    <n v="1"/>
    <n v="0"/>
    <n v="0"/>
    <n v="0"/>
    <n v="0"/>
    <n v="0"/>
    <n v="0"/>
    <n v="0"/>
    <s v="No"/>
    <s v=""/>
    <n v="0"/>
    <n v="0"/>
    <n v="0"/>
    <n v="0"/>
    <n v="0"/>
    <x v="0"/>
    <x v="0"/>
    <x v="0"/>
    <n v="0"/>
    <n v="0"/>
    <s v="MMR015CMP078"/>
    <x v="0"/>
    <m/>
    <n v="9"/>
    <n v="28"/>
  </r>
  <r>
    <x v="1"/>
    <x v="7"/>
    <x v="4"/>
    <s v="UNICEF"/>
    <x v="0"/>
    <x v="22"/>
    <x v="0"/>
    <x v="199"/>
    <n v="14"/>
    <n v="31"/>
    <d v="2021-11-11T00:00:00"/>
    <d v="2022-10-11T00:00:00"/>
    <m/>
    <m/>
    <m/>
    <m/>
    <m/>
    <m/>
    <m/>
    <m/>
    <m/>
    <m/>
    <m/>
    <m/>
    <m/>
    <m/>
    <m/>
    <m/>
    <m/>
    <m/>
    <m/>
    <m/>
    <m/>
    <m/>
    <m/>
    <m/>
    <m/>
    <m/>
    <m/>
    <m/>
    <m/>
    <m/>
    <m/>
    <n v="4"/>
    <m/>
    <m/>
    <m/>
    <m/>
    <m/>
    <m/>
    <x v="2"/>
    <x v="2"/>
    <m/>
    <m/>
    <m/>
    <m/>
    <m/>
    <m/>
    <m/>
    <m/>
    <m/>
    <m/>
    <m/>
    <m/>
    <m/>
    <m/>
    <m/>
    <s v="Yes"/>
    <m/>
    <m/>
    <m/>
    <m/>
    <m/>
    <m/>
    <m/>
    <m/>
    <m/>
    <m/>
    <m/>
    <m/>
    <m/>
    <m/>
    <s v="no test"/>
    <s v="no test"/>
    <s v="No Test"/>
    <n v="0"/>
    <n v="0"/>
    <n v="0"/>
    <n v="0"/>
    <n v="0"/>
    <n v="0"/>
    <n v="0"/>
    <n v="0"/>
    <n v="0"/>
    <n v="0"/>
    <n v="0"/>
    <n v="0"/>
    <n v="0"/>
    <n v="0"/>
    <n v="0"/>
    <n v="0"/>
    <n v="1"/>
    <n v="31"/>
    <n v="1"/>
    <n v="1"/>
    <n v="4"/>
    <n v="1"/>
    <n v="31"/>
    <n v="0"/>
    <n v="0"/>
    <n v="0"/>
    <n v="2"/>
    <n v="0"/>
    <n v="0"/>
    <n v="0"/>
    <n v="0"/>
    <n v="0"/>
    <n v="0"/>
    <n v="0"/>
    <n v="0"/>
    <n v="0"/>
    <n v="1"/>
    <n v="0"/>
    <n v="0"/>
    <n v="0"/>
    <n v="0"/>
    <n v="0"/>
    <n v="0"/>
    <n v="0"/>
    <s v="No"/>
    <s v=""/>
    <n v="0"/>
    <n v="0"/>
    <n v="0"/>
    <n v="0"/>
    <n v="0"/>
    <x v="0"/>
    <x v="0"/>
    <x v="0"/>
    <n v="0"/>
    <n v="0"/>
    <s v="MMR015CMP079"/>
    <x v="0"/>
    <m/>
    <n v="14"/>
    <n v="31"/>
  </r>
  <r>
    <x v="1"/>
    <x v="7"/>
    <x v="4"/>
    <s v="UNICEF"/>
    <x v="0"/>
    <x v="22"/>
    <x v="0"/>
    <x v="200"/>
    <n v="54"/>
    <n v="179"/>
    <d v="2021-11-11T00:00:00"/>
    <d v="2022-10-11T00:00:00"/>
    <m/>
    <m/>
    <m/>
    <m/>
    <m/>
    <m/>
    <m/>
    <m/>
    <m/>
    <m/>
    <m/>
    <n v="2"/>
    <m/>
    <m/>
    <m/>
    <m/>
    <m/>
    <m/>
    <m/>
    <m/>
    <m/>
    <m/>
    <m/>
    <m/>
    <m/>
    <m/>
    <m/>
    <m/>
    <m/>
    <m/>
    <n v="24"/>
    <n v="6"/>
    <m/>
    <m/>
    <m/>
    <m/>
    <m/>
    <m/>
    <x v="2"/>
    <x v="2"/>
    <m/>
    <m/>
    <m/>
    <m/>
    <m/>
    <m/>
    <n v="20"/>
    <m/>
    <n v="2"/>
    <m/>
    <m/>
    <m/>
    <m/>
    <m/>
    <m/>
    <s v="Yes"/>
    <m/>
    <m/>
    <m/>
    <m/>
    <m/>
    <m/>
    <m/>
    <m/>
    <m/>
    <m/>
    <m/>
    <m/>
    <m/>
    <m/>
    <s v="no test"/>
    <s v="no test"/>
    <s v="No Test"/>
    <n v="0"/>
    <n v="2"/>
    <n v="0"/>
    <n v="0"/>
    <n v="0"/>
    <n v="0"/>
    <n v="0"/>
    <n v="1"/>
    <n v="1"/>
    <n v="1"/>
    <n v="179"/>
    <n v="0"/>
    <n v="0"/>
    <n v="1"/>
    <n v="179"/>
    <n v="0.35799999999999998"/>
    <n v="0"/>
    <n v="0"/>
    <n v="0.64200000000000002"/>
    <n v="1"/>
    <n v="30"/>
    <n v="1"/>
    <n v="179"/>
    <n v="0"/>
    <n v="0"/>
    <n v="0"/>
    <n v="9"/>
    <n v="0"/>
    <n v="0"/>
    <n v="0"/>
    <n v="0"/>
    <n v="0"/>
    <n v="0"/>
    <n v="0"/>
    <n v="0"/>
    <n v="0"/>
    <n v="1"/>
    <n v="0"/>
    <n v="0"/>
    <n v="0"/>
    <n v="20"/>
    <n v="54"/>
    <n v="0"/>
    <n v="179"/>
    <s v="No"/>
    <s v=""/>
    <n v="0"/>
    <n v="0"/>
    <n v="0"/>
    <n v="0"/>
    <n v="0"/>
    <x v="0"/>
    <x v="0"/>
    <x v="0"/>
    <n v="0"/>
    <n v="0"/>
    <s v="MMR015CMP080"/>
    <x v="0"/>
    <m/>
    <n v="54"/>
    <n v="179"/>
  </r>
  <r>
    <x v="1"/>
    <x v="7"/>
    <x v="4"/>
    <s v="UNICEF"/>
    <x v="0"/>
    <x v="22"/>
    <x v="0"/>
    <x v="201"/>
    <n v="12"/>
    <n v="26"/>
    <d v="2021-11-11T00:00:00"/>
    <d v="2022-10-11T00:00:00"/>
    <m/>
    <m/>
    <m/>
    <m/>
    <m/>
    <m/>
    <m/>
    <m/>
    <m/>
    <m/>
    <m/>
    <n v="1"/>
    <m/>
    <m/>
    <m/>
    <m/>
    <m/>
    <m/>
    <m/>
    <m/>
    <m/>
    <m/>
    <m/>
    <m/>
    <m/>
    <m/>
    <m/>
    <m/>
    <m/>
    <m/>
    <n v="2"/>
    <m/>
    <m/>
    <m/>
    <m/>
    <m/>
    <m/>
    <m/>
    <x v="2"/>
    <x v="2"/>
    <m/>
    <m/>
    <m/>
    <m/>
    <m/>
    <m/>
    <n v="4"/>
    <m/>
    <m/>
    <m/>
    <m/>
    <m/>
    <m/>
    <m/>
    <m/>
    <s v="Yes"/>
    <m/>
    <m/>
    <m/>
    <m/>
    <m/>
    <m/>
    <m/>
    <m/>
    <m/>
    <m/>
    <m/>
    <m/>
    <m/>
    <m/>
    <s v="no test"/>
    <s v="no test"/>
    <s v="No Test"/>
    <n v="0"/>
    <n v="1"/>
    <n v="0"/>
    <n v="0"/>
    <n v="0"/>
    <n v="0"/>
    <n v="0"/>
    <n v="1"/>
    <n v="1"/>
    <n v="1"/>
    <n v="26"/>
    <n v="0"/>
    <n v="0"/>
    <n v="1"/>
    <n v="26"/>
    <n v="5.1999999999999998E-2"/>
    <n v="0"/>
    <n v="0"/>
    <n v="0.94799999999999995"/>
    <n v="1"/>
    <n v="2"/>
    <n v="1"/>
    <n v="26"/>
    <n v="0"/>
    <n v="0"/>
    <n v="0"/>
    <n v="1"/>
    <n v="0"/>
    <n v="0"/>
    <n v="0"/>
    <n v="0"/>
    <n v="0"/>
    <n v="0"/>
    <n v="0"/>
    <n v="0"/>
    <n v="0"/>
    <n v="1"/>
    <n v="0"/>
    <n v="0"/>
    <n v="0"/>
    <n v="4"/>
    <n v="12"/>
    <n v="0"/>
    <n v="26"/>
    <s v="No"/>
    <s v=""/>
    <n v="0"/>
    <n v="0"/>
    <n v="0"/>
    <n v="0"/>
    <n v="0"/>
    <x v="0"/>
    <x v="0"/>
    <x v="0"/>
    <n v="0"/>
    <n v="0"/>
    <s v="MMR015CMP081"/>
    <x v="0"/>
    <m/>
    <n v="12"/>
    <n v="47"/>
  </r>
  <r>
    <x v="1"/>
    <x v="7"/>
    <x v="4"/>
    <s v="UNICEF, MHF"/>
    <x v="0"/>
    <x v="16"/>
    <x v="1"/>
    <x v="91"/>
    <n v="23"/>
    <n v="103"/>
    <s v="11-11-2021, 07-01-2020"/>
    <s v="10-11-2022, 28-2-2022"/>
    <m/>
    <m/>
    <m/>
    <m/>
    <s v="Yes"/>
    <n v="5"/>
    <n v="1"/>
    <n v="1"/>
    <m/>
    <m/>
    <m/>
    <n v="1"/>
    <m/>
    <m/>
    <m/>
    <m/>
    <m/>
    <m/>
    <m/>
    <m/>
    <m/>
    <m/>
    <m/>
    <m/>
    <m/>
    <m/>
    <m/>
    <m/>
    <m/>
    <m/>
    <n v="23"/>
    <m/>
    <m/>
    <m/>
    <m/>
    <m/>
    <m/>
    <m/>
    <x v="2"/>
    <x v="2"/>
    <m/>
    <m/>
    <m/>
    <m/>
    <m/>
    <m/>
    <n v="3"/>
    <m/>
    <m/>
    <n v="2"/>
    <m/>
    <m/>
    <m/>
    <m/>
    <m/>
    <s v="Yes"/>
    <m/>
    <m/>
    <m/>
    <m/>
    <m/>
    <m/>
    <m/>
    <m/>
    <m/>
    <m/>
    <m/>
    <m/>
    <m/>
    <m/>
    <s v="no test"/>
    <s v="no test"/>
    <s v="No Test"/>
    <n v="1"/>
    <n v="1"/>
    <n v="0"/>
    <n v="0"/>
    <n v="0"/>
    <n v="0"/>
    <n v="0"/>
    <n v="1"/>
    <n v="1"/>
    <n v="1"/>
    <n v="103"/>
    <n v="0"/>
    <n v="0"/>
    <n v="1"/>
    <n v="103"/>
    <n v="0.20599999999999999"/>
    <n v="0"/>
    <n v="0"/>
    <n v="0.79400000000000004"/>
    <n v="1"/>
    <n v="23"/>
    <n v="1"/>
    <n v="103"/>
    <n v="0"/>
    <n v="0"/>
    <n v="0"/>
    <n v="5"/>
    <n v="0"/>
    <n v="0"/>
    <n v="0"/>
    <n v="0"/>
    <n v="0"/>
    <n v="0"/>
    <n v="0"/>
    <n v="0"/>
    <n v="0"/>
    <n v="1"/>
    <n v="0"/>
    <n v="0"/>
    <n v="0"/>
    <n v="3"/>
    <n v="23"/>
    <n v="0"/>
    <n v="103"/>
    <s v="No"/>
    <s v=""/>
    <n v="0"/>
    <n v="0"/>
    <n v="0"/>
    <n v="0"/>
    <n v="0"/>
    <x v="0"/>
    <x v="0"/>
    <x v="0"/>
    <n v="0"/>
    <n v="0"/>
    <n v="0"/>
    <x v="0"/>
    <m/>
    <n v="0"/>
    <n v="0"/>
  </r>
  <r>
    <x v="1"/>
    <x v="7"/>
    <x v="4"/>
    <s v="UNICEF, USAID"/>
    <x v="0"/>
    <x v="17"/>
    <x v="0"/>
    <x v="94"/>
    <n v="28"/>
    <n v="125"/>
    <s v="11-11-2021, 07-01-2020"/>
    <s v="10-11-2022, 28-2-2022"/>
    <m/>
    <m/>
    <n v="1"/>
    <m/>
    <s v="Yes"/>
    <m/>
    <m/>
    <m/>
    <m/>
    <m/>
    <n v="1"/>
    <n v="1"/>
    <m/>
    <m/>
    <m/>
    <m/>
    <m/>
    <m/>
    <m/>
    <m/>
    <m/>
    <m/>
    <m/>
    <m/>
    <m/>
    <m/>
    <m/>
    <m/>
    <m/>
    <m/>
    <n v="18"/>
    <m/>
    <m/>
    <m/>
    <m/>
    <m/>
    <m/>
    <m/>
    <x v="1"/>
    <x v="1"/>
    <m/>
    <m/>
    <m/>
    <m/>
    <m/>
    <m/>
    <n v="7"/>
    <m/>
    <m/>
    <n v="5"/>
    <m/>
    <m/>
    <n v="1"/>
    <m/>
    <m/>
    <s v="Yes"/>
    <m/>
    <m/>
    <m/>
    <m/>
    <m/>
    <m/>
    <m/>
    <m/>
    <m/>
    <m/>
    <m/>
    <m/>
    <m/>
    <m/>
    <s v="no test"/>
    <s v="no test"/>
    <s v="No Test"/>
    <n v="0"/>
    <n v="2"/>
    <n v="0"/>
    <n v="0"/>
    <n v="0"/>
    <n v="0"/>
    <n v="0"/>
    <n v="1"/>
    <n v="1"/>
    <n v="1"/>
    <n v="125"/>
    <n v="0"/>
    <n v="0"/>
    <n v="1"/>
    <n v="125"/>
    <n v="0.25"/>
    <n v="0"/>
    <n v="0"/>
    <n v="0.75"/>
    <n v="1"/>
    <n v="18"/>
    <n v="1"/>
    <n v="125"/>
    <n v="0"/>
    <n v="0"/>
    <n v="0"/>
    <n v="6"/>
    <n v="0"/>
    <n v="0"/>
    <n v="0"/>
    <n v="125"/>
    <n v="0"/>
    <n v="0"/>
    <n v="0"/>
    <n v="125"/>
    <n v="1"/>
    <n v="0"/>
    <n v="1"/>
    <n v="0"/>
    <n v="0"/>
    <n v="7"/>
    <n v="28"/>
    <n v="0"/>
    <n v="125"/>
    <s v="No"/>
    <s v=""/>
    <n v="0"/>
    <n v="0"/>
    <n v="0"/>
    <s v="Yes"/>
    <s v="KBC-NSS"/>
    <x v="0"/>
    <x v="3"/>
    <x v="0"/>
    <n v="23.250678000000001"/>
    <n v="97.124403000000001"/>
    <s v="MMR015CMP009"/>
    <x v="0"/>
    <m/>
    <n v="28"/>
    <n v="147"/>
  </r>
  <r>
    <x v="1"/>
    <x v="7"/>
    <x v="4"/>
    <s v="USAID/HOPE-94"/>
    <x v="1"/>
    <x v="7"/>
    <x v="0"/>
    <x v="96"/>
    <n v="715"/>
    <n v="3789"/>
    <s v="13-8-2021/1-7-2021"/>
    <s v="12-2-2022/30-4-2021"/>
    <m/>
    <m/>
    <n v="3"/>
    <m/>
    <s v="Yes"/>
    <n v="4"/>
    <n v="3"/>
    <n v="3"/>
    <m/>
    <m/>
    <m/>
    <m/>
    <m/>
    <m/>
    <n v="1"/>
    <m/>
    <m/>
    <m/>
    <m/>
    <m/>
    <m/>
    <m/>
    <m/>
    <m/>
    <m/>
    <m/>
    <n v="4"/>
    <n v="3"/>
    <m/>
    <m/>
    <n v="306"/>
    <m/>
    <m/>
    <m/>
    <m/>
    <m/>
    <m/>
    <m/>
    <x v="1"/>
    <x v="1"/>
    <n v="13"/>
    <m/>
    <n v="46"/>
    <n v="4"/>
    <m/>
    <m/>
    <n v="1"/>
    <m/>
    <m/>
    <n v="1"/>
    <m/>
    <m/>
    <n v="1"/>
    <m/>
    <m/>
    <m/>
    <m/>
    <m/>
    <m/>
    <m/>
    <m/>
    <m/>
    <m/>
    <m/>
    <m/>
    <m/>
    <m/>
    <m/>
    <m/>
    <m/>
    <s v="no test"/>
    <s v="no test"/>
    <s v="No Test"/>
    <n v="3"/>
    <n v="0"/>
    <n v="1"/>
    <n v="0"/>
    <n v="0"/>
    <n v="1500"/>
    <n v="0"/>
    <n v="0.33430104689012052"/>
    <n v="0.2155362012844198"/>
    <n v="0.33430104689012052"/>
    <n v="1266.6666666666667"/>
    <n v="0"/>
    <n v="0"/>
    <n v="0.33430104689012052"/>
    <n v="1266.6666666666667"/>
    <n v="2.5333333333333337"/>
    <n v="0.66569895310987948"/>
    <n v="2522.3333333333335"/>
    <n v="5.4666666666666668"/>
    <n v="8"/>
    <n v="306"/>
    <n v="1"/>
    <n v="3789"/>
    <n v="0"/>
    <n v="0"/>
    <n v="200"/>
    <n v="189"/>
    <n v="0"/>
    <n v="0"/>
    <n v="0"/>
    <n v="500"/>
    <n v="0"/>
    <n v="0"/>
    <n v="0"/>
    <n v="500"/>
    <n v="0.13196093956188967"/>
    <n v="0.8680390604381103"/>
    <n v="0.13196093956188967"/>
    <n v="0"/>
    <n v="0"/>
    <n v="1"/>
    <n v="20"/>
    <n v="0"/>
    <n v="100"/>
    <s v="No"/>
    <s v=""/>
    <n v="0"/>
    <n v="1500"/>
    <n v="200"/>
    <s v="Yes"/>
    <s v="KMSS-MYT"/>
    <x v="0"/>
    <x v="1"/>
    <x v="1"/>
    <n v="24.661905999999998"/>
    <n v="97.573126000000002"/>
    <s v="MMR001CMP122"/>
    <x v="0"/>
    <m/>
    <n v="664"/>
    <n v="3491"/>
  </r>
  <r>
    <x v="1"/>
    <x v="7"/>
    <x v="4"/>
    <s v="UNICEF, USAID"/>
    <x v="0"/>
    <x v="18"/>
    <x v="0"/>
    <x v="101"/>
    <n v="210"/>
    <n v="806"/>
    <s v="11-11-2021, 07-01-2020"/>
    <s v="10-11-2022, 28-2-2022"/>
    <m/>
    <m/>
    <m/>
    <m/>
    <m/>
    <m/>
    <m/>
    <m/>
    <m/>
    <m/>
    <m/>
    <m/>
    <m/>
    <m/>
    <n v="18"/>
    <m/>
    <m/>
    <m/>
    <m/>
    <m/>
    <m/>
    <m/>
    <m/>
    <m/>
    <m/>
    <m/>
    <m/>
    <m/>
    <m/>
    <m/>
    <n v="6"/>
    <m/>
    <m/>
    <m/>
    <m/>
    <m/>
    <m/>
    <m/>
    <x v="0"/>
    <x v="3"/>
    <m/>
    <m/>
    <m/>
    <m/>
    <m/>
    <m/>
    <n v="1"/>
    <m/>
    <m/>
    <n v="3"/>
    <m/>
    <m/>
    <m/>
    <n v="210"/>
    <m/>
    <s v="Yes"/>
    <m/>
    <m/>
    <m/>
    <m/>
    <m/>
    <m/>
    <m/>
    <m/>
    <m/>
    <m/>
    <m/>
    <m/>
    <m/>
    <m/>
    <s v="no test"/>
    <s v="no test"/>
    <s v="No Test"/>
    <n v="0"/>
    <n v="0"/>
    <n v="18"/>
    <n v="0"/>
    <n v="0"/>
    <n v="0"/>
    <n v="0"/>
    <n v="1"/>
    <n v="1"/>
    <n v="1"/>
    <n v="806"/>
    <n v="0"/>
    <n v="0"/>
    <n v="1"/>
    <n v="806"/>
    <n v="1.6120000000000001"/>
    <n v="0"/>
    <n v="0"/>
    <n v="0.3879999999999999"/>
    <n v="2"/>
    <n v="6"/>
    <n v="0.14888337468982629"/>
    <n v="120"/>
    <n v="0"/>
    <n v="0"/>
    <n v="0"/>
    <n v="40"/>
    <n v="34"/>
    <n v="0.85111662531017374"/>
    <n v="0"/>
    <n v="0"/>
    <n v="806"/>
    <n v="0"/>
    <n v="806"/>
    <n v="806"/>
    <n v="1"/>
    <n v="0"/>
    <n v="0"/>
    <n v="1"/>
    <n v="0"/>
    <n v="1"/>
    <n v="20"/>
    <n v="0"/>
    <n v="100"/>
    <s v="No"/>
    <s v=""/>
    <n v="0"/>
    <n v="0"/>
    <n v="0"/>
    <s v="Yes"/>
    <s v="KBC-NSS"/>
    <x v="0"/>
    <x v="1"/>
    <x v="0"/>
    <n v="24.08738"/>
    <n v="98.115809999999996"/>
    <s v="MMR015CMP065"/>
    <x v="0"/>
    <m/>
    <n v="306"/>
    <n v="1573"/>
  </r>
  <r>
    <x v="1"/>
    <x v="7"/>
    <x v="4"/>
    <s v="UNICEF"/>
    <x v="0"/>
    <x v="18"/>
    <x v="0"/>
    <x v="138"/>
    <n v="19"/>
    <n v="60"/>
    <s v="11.11.2021"/>
    <s v="10.11.2022"/>
    <m/>
    <m/>
    <m/>
    <m/>
    <m/>
    <m/>
    <m/>
    <m/>
    <m/>
    <m/>
    <m/>
    <m/>
    <m/>
    <m/>
    <m/>
    <m/>
    <m/>
    <m/>
    <m/>
    <m/>
    <m/>
    <m/>
    <m/>
    <m/>
    <m/>
    <m/>
    <m/>
    <m/>
    <m/>
    <m/>
    <m/>
    <m/>
    <m/>
    <m/>
    <m/>
    <m/>
    <m/>
    <m/>
    <x v="2"/>
    <x v="2"/>
    <m/>
    <m/>
    <m/>
    <m/>
    <m/>
    <m/>
    <n v="8"/>
    <m/>
    <m/>
    <n v="3"/>
    <m/>
    <m/>
    <m/>
    <m/>
    <m/>
    <s v="Yes"/>
    <m/>
    <m/>
    <m/>
    <m/>
    <m/>
    <m/>
    <m/>
    <m/>
    <m/>
    <m/>
    <m/>
    <m/>
    <m/>
    <m/>
    <s v="no test"/>
    <s v="no test"/>
    <s v="No Test"/>
    <n v="0"/>
    <n v="0"/>
    <n v="0"/>
    <n v="0"/>
    <n v="0"/>
    <n v="0"/>
    <n v="0"/>
    <n v="0"/>
    <n v="0"/>
    <n v="0"/>
    <n v="0"/>
    <n v="0"/>
    <n v="0"/>
    <n v="0"/>
    <n v="0"/>
    <n v="0"/>
    <n v="1"/>
    <n v="60"/>
    <n v="1"/>
    <n v="1"/>
    <n v="0"/>
    <n v="0"/>
    <n v="0"/>
    <n v="0"/>
    <n v="0"/>
    <n v="0"/>
    <n v="3"/>
    <n v="3"/>
    <n v="1"/>
    <n v="0"/>
    <n v="0"/>
    <n v="0"/>
    <n v="0"/>
    <n v="0"/>
    <n v="0"/>
    <n v="0"/>
    <n v="1"/>
    <n v="0"/>
    <n v="0"/>
    <n v="0"/>
    <n v="8"/>
    <n v="19"/>
    <n v="0"/>
    <n v="60"/>
    <s v="No"/>
    <s v=""/>
    <n v="0"/>
    <n v="0"/>
    <n v="0"/>
    <n v="0"/>
    <n v="0"/>
    <x v="0"/>
    <x v="4"/>
    <x v="0"/>
    <n v="23.963060379028299"/>
    <n v="98.127189636230497"/>
    <s v="MMR015CMP076"/>
    <x v="0"/>
    <m/>
    <n v="19"/>
    <n v="60"/>
  </r>
  <r>
    <x v="1"/>
    <x v="7"/>
    <x v="4"/>
    <s v="UNICEF"/>
    <x v="0"/>
    <x v="18"/>
    <x v="0"/>
    <x v="202"/>
    <n v="31"/>
    <n v="155"/>
    <s v="11.11.2021"/>
    <s v="10.11.2022"/>
    <m/>
    <m/>
    <m/>
    <m/>
    <m/>
    <m/>
    <m/>
    <m/>
    <m/>
    <m/>
    <m/>
    <m/>
    <m/>
    <m/>
    <m/>
    <m/>
    <m/>
    <m/>
    <m/>
    <m/>
    <m/>
    <m/>
    <m/>
    <m/>
    <m/>
    <m/>
    <m/>
    <m/>
    <m/>
    <m/>
    <m/>
    <m/>
    <m/>
    <m/>
    <m/>
    <m/>
    <m/>
    <m/>
    <x v="2"/>
    <x v="2"/>
    <m/>
    <m/>
    <m/>
    <m/>
    <m/>
    <m/>
    <m/>
    <m/>
    <m/>
    <m/>
    <m/>
    <m/>
    <m/>
    <m/>
    <m/>
    <s v="Yes"/>
    <m/>
    <m/>
    <m/>
    <m/>
    <m/>
    <m/>
    <m/>
    <m/>
    <m/>
    <m/>
    <m/>
    <m/>
    <m/>
    <m/>
    <s v="no test"/>
    <s v="no test"/>
    <s v="No Test"/>
    <n v="0"/>
    <n v="0"/>
    <n v="0"/>
    <n v="0"/>
    <n v="0"/>
    <n v="0"/>
    <n v="0"/>
    <n v="0"/>
    <n v="0"/>
    <n v="0"/>
    <n v="0"/>
    <n v="0"/>
    <n v="0"/>
    <n v="0"/>
    <n v="0"/>
    <n v="0"/>
    <n v="1"/>
    <n v="155"/>
    <n v="1"/>
    <n v="1"/>
    <n v="0"/>
    <n v="0"/>
    <n v="0"/>
    <n v="0"/>
    <n v="0"/>
    <n v="0"/>
    <n v="8"/>
    <n v="8"/>
    <n v="1"/>
    <n v="0"/>
    <n v="0"/>
    <n v="0"/>
    <n v="0"/>
    <n v="0"/>
    <n v="0"/>
    <n v="0"/>
    <n v="1"/>
    <n v="0"/>
    <n v="0"/>
    <n v="0"/>
    <n v="0"/>
    <n v="0"/>
    <n v="0"/>
    <n v="0"/>
    <s v="No"/>
    <s v=""/>
    <n v="0"/>
    <n v="0"/>
    <n v="0"/>
    <n v="0"/>
    <n v="0"/>
    <x v="0"/>
    <x v="0"/>
    <x v="0"/>
    <n v="0"/>
    <n v="0"/>
    <s v="MMR015CMP083"/>
    <x v="0"/>
    <m/>
    <n v="31"/>
    <n v="155"/>
  </r>
  <r>
    <x v="1"/>
    <x v="7"/>
    <x v="4"/>
    <s v="UNICEF, USAID"/>
    <x v="0"/>
    <x v="19"/>
    <x v="2"/>
    <x v="102"/>
    <n v="64"/>
    <n v="292"/>
    <s v="11-11-2021, 07-01-2020"/>
    <s v="10-11-2022, 28-2-2022"/>
    <m/>
    <m/>
    <m/>
    <m/>
    <m/>
    <n v="4"/>
    <n v="5"/>
    <m/>
    <m/>
    <m/>
    <m/>
    <m/>
    <m/>
    <m/>
    <n v="8"/>
    <m/>
    <m/>
    <m/>
    <m/>
    <m/>
    <m/>
    <m/>
    <m/>
    <m/>
    <m/>
    <m/>
    <m/>
    <m/>
    <m/>
    <m/>
    <n v="55"/>
    <m/>
    <m/>
    <m/>
    <m/>
    <m/>
    <m/>
    <n v="25"/>
    <x v="1"/>
    <x v="1"/>
    <m/>
    <m/>
    <m/>
    <m/>
    <m/>
    <m/>
    <n v="2"/>
    <m/>
    <m/>
    <n v="2"/>
    <m/>
    <m/>
    <n v="1"/>
    <m/>
    <m/>
    <m/>
    <m/>
    <m/>
    <m/>
    <m/>
    <m/>
    <m/>
    <m/>
    <m/>
    <m/>
    <m/>
    <m/>
    <m/>
    <m/>
    <m/>
    <s v="no test"/>
    <s v="no test"/>
    <s v="No Test"/>
    <n v="0"/>
    <n v="0"/>
    <n v="8"/>
    <n v="0"/>
    <n v="0"/>
    <n v="0"/>
    <n v="0"/>
    <n v="1"/>
    <n v="1"/>
    <n v="1"/>
    <n v="292"/>
    <n v="0"/>
    <n v="0"/>
    <n v="1"/>
    <n v="292"/>
    <n v="0.58399999999999996"/>
    <n v="0"/>
    <n v="0"/>
    <n v="0.41600000000000004"/>
    <n v="1"/>
    <n v="55"/>
    <n v="0.94178082191780821"/>
    <n v="275"/>
    <n v="0"/>
    <n v="0"/>
    <n v="0"/>
    <n v="49"/>
    <n v="0"/>
    <n v="5.8219178082191791E-2"/>
    <n v="0"/>
    <n v="292"/>
    <n v="0"/>
    <n v="0"/>
    <n v="0"/>
    <n v="292"/>
    <n v="1"/>
    <n v="0"/>
    <n v="1"/>
    <n v="0"/>
    <n v="0"/>
    <n v="2"/>
    <n v="40"/>
    <n v="0"/>
    <n v="200"/>
    <s v="No"/>
    <s v=""/>
    <n v="0"/>
    <n v="0"/>
    <n v="0"/>
    <n v="0"/>
    <s v="uncovered"/>
    <x v="2"/>
    <x v="3"/>
    <x v="0"/>
    <n v="23.611999999999998"/>
    <n v="97.506"/>
    <s v="MMR015CMP042"/>
    <x v="0"/>
    <m/>
    <n v="67"/>
    <n v="307"/>
  </r>
  <r>
    <x v="1"/>
    <x v="7"/>
    <x v="4"/>
    <s v="UNICEF, USAID"/>
    <x v="0"/>
    <x v="19"/>
    <x v="0"/>
    <x v="103"/>
    <n v="64"/>
    <n v="323"/>
    <s v="11-11-2021, 07-01-2020"/>
    <s v="10-11-2022, 28-2-2022"/>
    <m/>
    <n v="1"/>
    <n v="1"/>
    <m/>
    <s v="Yes"/>
    <m/>
    <m/>
    <m/>
    <m/>
    <m/>
    <m/>
    <n v="1"/>
    <m/>
    <m/>
    <m/>
    <m/>
    <m/>
    <m/>
    <m/>
    <m/>
    <m/>
    <m/>
    <m/>
    <m/>
    <m/>
    <m/>
    <m/>
    <m/>
    <m/>
    <m/>
    <n v="10"/>
    <m/>
    <m/>
    <m/>
    <m/>
    <n v="20"/>
    <m/>
    <m/>
    <x v="2"/>
    <x v="2"/>
    <m/>
    <m/>
    <m/>
    <m/>
    <m/>
    <m/>
    <n v="7"/>
    <m/>
    <m/>
    <n v="7"/>
    <m/>
    <m/>
    <m/>
    <m/>
    <m/>
    <m/>
    <m/>
    <m/>
    <m/>
    <m/>
    <m/>
    <m/>
    <m/>
    <m/>
    <m/>
    <m/>
    <m/>
    <m/>
    <m/>
    <m/>
    <s v="no test"/>
    <s v="no test"/>
    <s v="No Test"/>
    <n v="0"/>
    <n v="1"/>
    <n v="0"/>
    <n v="0"/>
    <n v="0"/>
    <n v="0"/>
    <n v="0"/>
    <n v="1"/>
    <n v="0.77399380804953566"/>
    <n v="1"/>
    <n v="323"/>
    <n v="0"/>
    <n v="0"/>
    <n v="1"/>
    <n v="323"/>
    <n v="0.64600000000000002"/>
    <n v="0"/>
    <n v="0"/>
    <n v="0.35399999999999998"/>
    <n v="1"/>
    <n v="10"/>
    <n v="0.61919504643962853"/>
    <n v="200"/>
    <n v="323"/>
    <n v="0"/>
    <n v="0"/>
    <n v="16"/>
    <n v="6"/>
    <n v="0.38080495356037147"/>
    <n v="0"/>
    <n v="0"/>
    <n v="0"/>
    <n v="0"/>
    <n v="0"/>
    <n v="0"/>
    <n v="0"/>
    <n v="1"/>
    <n v="0"/>
    <n v="0"/>
    <n v="0"/>
    <n v="7"/>
    <n v="64"/>
    <n v="0"/>
    <n v="323"/>
    <s v="No"/>
    <s v=""/>
    <n v="0"/>
    <n v="0"/>
    <n v="0"/>
    <s v="Yes"/>
    <s v="KBC-NSS"/>
    <x v="0"/>
    <x v="1"/>
    <x v="0"/>
    <n v="23.828520000000001"/>
    <n v="97.669557999999995"/>
    <s v="MMR015CMP001"/>
    <x v="0"/>
    <m/>
    <n v="66"/>
    <n v="333"/>
  </r>
  <r>
    <x v="1"/>
    <x v="7"/>
    <x v="4"/>
    <s v="UNICEF, USAID"/>
    <x v="0"/>
    <x v="19"/>
    <x v="0"/>
    <x v="104"/>
    <n v="6"/>
    <n v="31"/>
    <s v="11-11-2021, 07-01-2020"/>
    <s v="10-11-2022, 28-2-2022"/>
    <m/>
    <m/>
    <n v="1"/>
    <m/>
    <m/>
    <m/>
    <m/>
    <m/>
    <m/>
    <m/>
    <m/>
    <n v="1"/>
    <m/>
    <m/>
    <m/>
    <m/>
    <m/>
    <m/>
    <m/>
    <m/>
    <m/>
    <m/>
    <m/>
    <m/>
    <m/>
    <m/>
    <m/>
    <m/>
    <m/>
    <m/>
    <m/>
    <n v="10"/>
    <m/>
    <m/>
    <m/>
    <m/>
    <m/>
    <m/>
    <x v="2"/>
    <x v="2"/>
    <m/>
    <m/>
    <m/>
    <m/>
    <m/>
    <m/>
    <n v="7"/>
    <m/>
    <m/>
    <n v="4"/>
    <m/>
    <m/>
    <n v="1"/>
    <m/>
    <m/>
    <m/>
    <m/>
    <m/>
    <m/>
    <m/>
    <m/>
    <m/>
    <m/>
    <m/>
    <m/>
    <m/>
    <m/>
    <m/>
    <m/>
    <m/>
    <s v="no test"/>
    <s v="no test"/>
    <s v="No Test"/>
    <n v="0"/>
    <n v="1"/>
    <n v="0"/>
    <n v="0"/>
    <n v="0"/>
    <n v="0"/>
    <n v="0"/>
    <n v="1"/>
    <n v="1"/>
    <n v="1"/>
    <n v="31"/>
    <n v="0"/>
    <n v="0"/>
    <n v="1"/>
    <n v="31"/>
    <n v="6.2E-2"/>
    <n v="0"/>
    <n v="0"/>
    <n v="0.93799999999999994"/>
    <n v="1"/>
    <n v="10"/>
    <n v="1"/>
    <n v="31"/>
    <n v="0"/>
    <n v="0"/>
    <n v="0"/>
    <n v="2"/>
    <n v="0"/>
    <n v="0"/>
    <n v="0"/>
    <n v="31"/>
    <n v="0"/>
    <n v="0"/>
    <n v="0"/>
    <n v="31"/>
    <n v="1"/>
    <n v="0"/>
    <n v="1"/>
    <n v="0"/>
    <n v="0"/>
    <n v="7"/>
    <n v="6"/>
    <n v="0"/>
    <n v="31"/>
    <s v="No"/>
    <s v=""/>
    <n v="0"/>
    <n v="0"/>
    <n v="0"/>
    <s v="Yes"/>
    <s v="KBC-NSS"/>
    <x v="0"/>
    <x v="3"/>
    <x v="0"/>
    <n v="23.841646999999998"/>
    <n v="97.700940000000003"/>
    <s v="MMR015CMP214"/>
    <x v="0"/>
    <m/>
    <n v="7"/>
    <n v="32"/>
  </r>
  <r>
    <x v="1"/>
    <x v="7"/>
    <x v="4"/>
    <s v="UNICEF"/>
    <x v="0"/>
    <x v="20"/>
    <x v="2"/>
    <x v="105"/>
    <n v="19"/>
    <n v="77"/>
    <d v="2021-11-11T00:00:00"/>
    <d v="2022-10-11T00:00:00"/>
    <m/>
    <m/>
    <m/>
    <m/>
    <m/>
    <m/>
    <m/>
    <m/>
    <m/>
    <m/>
    <n v="1"/>
    <m/>
    <m/>
    <m/>
    <m/>
    <m/>
    <m/>
    <m/>
    <m/>
    <m/>
    <m/>
    <m/>
    <m/>
    <m/>
    <m/>
    <m/>
    <m/>
    <m/>
    <m/>
    <m/>
    <m/>
    <n v="4"/>
    <m/>
    <m/>
    <m/>
    <m/>
    <m/>
    <m/>
    <x v="2"/>
    <x v="2"/>
    <m/>
    <m/>
    <m/>
    <m/>
    <m/>
    <m/>
    <n v="8"/>
    <m/>
    <m/>
    <m/>
    <m/>
    <m/>
    <m/>
    <m/>
    <m/>
    <s v="Yes"/>
    <m/>
    <n v="1"/>
    <m/>
    <m/>
    <m/>
    <m/>
    <m/>
    <m/>
    <m/>
    <m/>
    <m/>
    <m/>
    <m/>
    <m/>
    <s v="no test"/>
    <s v="no test"/>
    <s v="No Test"/>
    <n v="0"/>
    <n v="1"/>
    <n v="0"/>
    <n v="0"/>
    <n v="0"/>
    <n v="0"/>
    <n v="0"/>
    <n v="1"/>
    <n v="1"/>
    <n v="1"/>
    <n v="77"/>
    <n v="0"/>
    <n v="0"/>
    <n v="1"/>
    <n v="77"/>
    <n v="0.154"/>
    <n v="0"/>
    <n v="0"/>
    <n v="0.84599999999999997"/>
    <n v="1"/>
    <n v="4"/>
    <n v="0.25974025974025972"/>
    <n v="20"/>
    <n v="0"/>
    <n v="0"/>
    <n v="0"/>
    <n v="13"/>
    <n v="9"/>
    <n v="0.74025974025974028"/>
    <n v="0"/>
    <n v="0"/>
    <n v="0"/>
    <n v="0"/>
    <n v="0"/>
    <n v="0"/>
    <n v="0"/>
    <n v="1"/>
    <n v="0"/>
    <n v="0"/>
    <n v="0"/>
    <n v="8"/>
    <n v="19"/>
    <n v="0"/>
    <n v="77"/>
    <s v="No"/>
    <s v=""/>
    <n v="0"/>
    <n v="0"/>
    <n v="0"/>
    <n v="0"/>
    <n v="0"/>
    <x v="2"/>
    <x v="5"/>
    <x v="0"/>
    <n v="23.078210830688501"/>
    <n v="97.411773681640597"/>
    <s v="MMR015CMP074"/>
    <x v="0"/>
    <m/>
    <n v="19"/>
    <n v="77"/>
  </r>
  <r>
    <x v="1"/>
    <x v="7"/>
    <x v="4"/>
    <s v="UNICEF, USAID"/>
    <x v="0"/>
    <x v="20"/>
    <x v="0"/>
    <x v="106"/>
    <n v="60"/>
    <n v="270"/>
    <s v="11-11-2021, 07-01-2020"/>
    <s v="10-11-2022, 28-2-2022"/>
    <m/>
    <m/>
    <n v="1"/>
    <m/>
    <s v="Yes"/>
    <n v="4"/>
    <n v="3"/>
    <n v="1"/>
    <m/>
    <m/>
    <n v="1"/>
    <n v="1"/>
    <m/>
    <n v="1"/>
    <m/>
    <m/>
    <m/>
    <m/>
    <m/>
    <m/>
    <m/>
    <m/>
    <m/>
    <m/>
    <m/>
    <m/>
    <n v="2"/>
    <m/>
    <m/>
    <m/>
    <n v="16"/>
    <m/>
    <m/>
    <m/>
    <m/>
    <m/>
    <m/>
    <m/>
    <x v="1"/>
    <x v="1"/>
    <m/>
    <m/>
    <m/>
    <m/>
    <m/>
    <m/>
    <n v="11"/>
    <m/>
    <m/>
    <n v="2"/>
    <m/>
    <m/>
    <n v="1"/>
    <m/>
    <m/>
    <s v="Yes"/>
    <m/>
    <n v="1"/>
    <m/>
    <m/>
    <m/>
    <m/>
    <m/>
    <m/>
    <m/>
    <m/>
    <m/>
    <m/>
    <m/>
    <m/>
    <s v="no test"/>
    <s v="no test"/>
    <s v="No Test"/>
    <n v="1"/>
    <n v="2"/>
    <n v="0"/>
    <n v="0"/>
    <n v="0"/>
    <n v="0"/>
    <n v="0"/>
    <n v="1"/>
    <n v="1"/>
    <n v="1"/>
    <n v="270"/>
    <n v="0"/>
    <n v="0"/>
    <n v="1"/>
    <n v="270"/>
    <n v="0.54"/>
    <n v="0"/>
    <n v="0"/>
    <n v="0.45999999999999996"/>
    <n v="1"/>
    <n v="16"/>
    <n v="1"/>
    <n v="270"/>
    <n v="0"/>
    <n v="0"/>
    <n v="0"/>
    <n v="14"/>
    <n v="0"/>
    <n v="0"/>
    <n v="0"/>
    <n v="270"/>
    <n v="0"/>
    <n v="0"/>
    <n v="0"/>
    <n v="270"/>
    <n v="1"/>
    <n v="0"/>
    <n v="1"/>
    <n v="0"/>
    <n v="0"/>
    <n v="11"/>
    <n v="60"/>
    <n v="2"/>
    <n v="270"/>
    <s v="No"/>
    <s v=""/>
    <n v="0"/>
    <n v="0"/>
    <n v="0"/>
    <s v="Yes"/>
    <s v="KMSS-LSO"/>
    <x v="0"/>
    <x v="1"/>
    <x v="0"/>
    <n v="23.099304"/>
    <n v="97.400671000000003"/>
    <s v="MMR015CMP066"/>
    <x v="0"/>
    <m/>
    <n v="60"/>
    <n v="272"/>
  </r>
  <r>
    <x v="1"/>
    <x v="7"/>
    <x v="4"/>
    <s v="UNICEF, USAID"/>
    <x v="0"/>
    <x v="20"/>
    <x v="0"/>
    <x v="107"/>
    <n v="30"/>
    <n v="127"/>
    <s v="11-11-2021, 07-01-2020"/>
    <s v="10-11-2022, 28-2-2022"/>
    <m/>
    <m/>
    <n v="1"/>
    <m/>
    <s v="Yes"/>
    <n v="3"/>
    <n v="3"/>
    <m/>
    <m/>
    <m/>
    <n v="2"/>
    <n v="1"/>
    <m/>
    <n v="1"/>
    <m/>
    <m/>
    <m/>
    <m/>
    <m/>
    <m/>
    <m/>
    <m/>
    <m/>
    <m/>
    <m/>
    <m/>
    <m/>
    <m/>
    <m/>
    <m/>
    <n v="10"/>
    <n v="2"/>
    <m/>
    <m/>
    <m/>
    <m/>
    <m/>
    <n v="2"/>
    <x v="1"/>
    <x v="1"/>
    <m/>
    <m/>
    <m/>
    <m/>
    <m/>
    <m/>
    <n v="11"/>
    <m/>
    <m/>
    <n v="3"/>
    <m/>
    <m/>
    <n v="1"/>
    <m/>
    <m/>
    <s v="Yes"/>
    <m/>
    <n v="1"/>
    <m/>
    <m/>
    <m/>
    <m/>
    <m/>
    <m/>
    <m/>
    <m/>
    <m/>
    <m/>
    <m/>
    <m/>
    <s v="no test"/>
    <s v="no test"/>
    <s v="No Test"/>
    <n v="0"/>
    <n v="3"/>
    <n v="0"/>
    <n v="0"/>
    <n v="0"/>
    <n v="0"/>
    <n v="0"/>
    <n v="1"/>
    <n v="1"/>
    <n v="1"/>
    <n v="127"/>
    <n v="0"/>
    <n v="0"/>
    <n v="1"/>
    <n v="127"/>
    <n v="0.254"/>
    <n v="0"/>
    <n v="0"/>
    <n v="0.746"/>
    <n v="1"/>
    <n v="12"/>
    <n v="1"/>
    <n v="127"/>
    <n v="0"/>
    <n v="0"/>
    <n v="0"/>
    <n v="6"/>
    <n v="0"/>
    <n v="0"/>
    <n v="0"/>
    <n v="127"/>
    <n v="0"/>
    <n v="0"/>
    <n v="0"/>
    <n v="127"/>
    <n v="1"/>
    <n v="0"/>
    <n v="1"/>
    <n v="0"/>
    <n v="0"/>
    <n v="11"/>
    <n v="30"/>
    <n v="0"/>
    <n v="127"/>
    <s v="No"/>
    <s v=""/>
    <n v="0"/>
    <n v="0"/>
    <n v="0"/>
    <s v="Yes"/>
    <s v="KMSS-LSO"/>
    <x v="0"/>
    <x v="1"/>
    <x v="0"/>
    <n v="23.088011000000002"/>
    <n v="97.398698999999993"/>
    <s v="MMR015CMP050"/>
    <x v="0"/>
    <m/>
    <n v="30"/>
    <n v="129"/>
  </r>
  <r>
    <x v="1"/>
    <x v="7"/>
    <x v="4"/>
    <s v="UNICEF, USAID"/>
    <x v="0"/>
    <x v="20"/>
    <x v="0"/>
    <x v="108"/>
    <n v="32"/>
    <n v="141"/>
    <s v="11-11-2021, 07-01-2020"/>
    <s v="10-11-2022, 28-2-2022"/>
    <m/>
    <m/>
    <n v="1"/>
    <m/>
    <s v="Yes"/>
    <n v="3"/>
    <n v="3"/>
    <m/>
    <m/>
    <m/>
    <n v="1"/>
    <m/>
    <m/>
    <m/>
    <n v="1"/>
    <m/>
    <m/>
    <m/>
    <m/>
    <m/>
    <m/>
    <m/>
    <m/>
    <m/>
    <m/>
    <m/>
    <m/>
    <m/>
    <m/>
    <m/>
    <n v="8"/>
    <m/>
    <m/>
    <m/>
    <m/>
    <m/>
    <m/>
    <m/>
    <x v="1"/>
    <x v="1"/>
    <m/>
    <m/>
    <m/>
    <m/>
    <m/>
    <m/>
    <n v="5"/>
    <m/>
    <m/>
    <n v="2"/>
    <m/>
    <m/>
    <n v="1"/>
    <m/>
    <m/>
    <s v="Yes"/>
    <m/>
    <n v="1"/>
    <m/>
    <m/>
    <m/>
    <m/>
    <m/>
    <m/>
    <m/>
    <m/>
    <m/>
    <m/>
    <m/>
    <m/>
    <s v="no test"/>
    <s v="no test"/>
    <s v="No Test"/>
    <n v="0"/>
    <n v="1"/>
    <n v="1"/>
    <n v="0"/>
    <n v="0"/>
    <n v="0"/>
    <n v="0"/>
    <n v="1"/>
    <n v="1"/>
    <n v="1"/>
    <n v="141"/>
    <n v="0"/>
    <n v="0"/>
    <n v="1"/>
    <n v="141"/>
    <n v="0.28199999999999997"/>
    <n v="0"/>
    <n v="0"/>
    <n v="0.71799999999999997"/>
    <n v="1"/>
    <n v="8"/>
    <n v="1"/>
    <n v="141"/>
    <n v="0"/>
    <n v="0"/>
    <n v="0"/>
    <n v="7"/>
    <n v="0"/>
    <n v="0"/>
    <n v="0"/>
    <n v="141"/>
    <n v="0"/>
    <n v="0"/>
    <n v="0"/>
    <n v="141"/>
    <n v="1"/>
    <n v="0"/>
    <n v="1"/>
    <n v="0"/>
    <n v="0"/>
    <n v="5"/>
    <n v="32"/>
    <n v="0"/>
    <n v="141"/>
    <s v="No"/>
    <s v=""/>
    <n v="0"/>
    <n v="0"/>
    <n v="0"/>
    <s v="Yes"/>
    <s v="KBC-NSS"/>
    <x v="0"/>
    <x v="1"/>
    <x v="0"/>
    <n v="23.094290000000001"/>
    <n v="97.404089999999997"/>
    <s v="MMR015CMP014"/>
    <x v="0"/>
    <m/>
    <n v="30"/>
    <n v="126"/>
  </r>
  <r>
    <x v="1"/>
    <x v="7"/>
    <x v="4"/>
    <s v="USAID/HOPE-94"/>
    <x v="1"/>
    <x v="13"/>
    <x v="0"/>
    <x v="111"/>
    <n v="426.2"/>
    <n v="2131"/>
    <s v="13-8-2021, 6-1-2020, 1-7-2021"/>
    <s v="12-2-2022, 30-11-2021, 30.4.2021"/>
    <m/>
    <m/>
    <m/>
    <m/>
    <s v="Yes"/>
    <n v="3"/>
    <n v="6"/>
    <m/>
    <m/>
    <m/>
    <m/>
    <m/>
    <m/>
    <m/>
    <n v="1"/>
    <m/>
    <m/>
    <m/>
    <m/>
    <m/>
    <m/>
    <m/>
    <m/>
    <m/>
    <m/>
    <m/>
    <n v="14"/>
    <n v="2"/>
    <m/>
    <m/>
    <n v="89"/>
    <m/>
    <m/>
    <m/>
    <m/>
    <m/>
    <m/>
    <m/>
    <x v="1"/>
    <x v="1"/>
    <m/>
    <m/>
    <m/>
    <m/>
    <m/>
    <m/>
    <n v="3"/>
    <m/>
    <m/>
    <n v="2"/>
    <m/>
    <m/>
    <m/>
    <m/>
    <m/>
    <m/>
    <m/>
    <m/>
    <m/>
    <m/>
    <m/>
    <m/>
    <m/>
    <m/>
    <m/>
    <m/>
    <m/>
    <m/>
    <m/>
    <m/>
    <s v="no test"/>
    <s v="no test"/>
    <s v="No Test"/>
    <n v="0"/>
    <n v="0"/>
    <n v="1"/>
    <n v="0"/>
    <n v="0"/>
    <n v="1000"/>
    <n v="0"/>
    <n v="3.1284217112466761E-2"/>
    <n v="3.1284217112466761E-2"/>
    <n v="3.1284217112466761E-2"/>
    <n v="66.666666666666671"/>
    <n v="0"/>
    <n v="0"/>
    <n v="3.1284217112466761E-2"/>
    <n v="66.666666666666671"/>
    <n v="0.13333333333333333"/>
    <n v="0.96871578288753324"/>
    <n v="2064.3333333333335"/>
    <n v="3.8666666666666667"/>
    <n v="4"/>
    <n v="89"/>
    <n v="0.8352885969028625"/>
    <n v="1780"/>
    <n v="0"/>
    <n v="0"/>
    <n v="0"/>
    <n v="107"/>
    <n v="18"/>
    <n v="0.1647114030971375"/>
    <n v="0"/>
    <n v="0"/>
    <n v="0"/>
    <n v="0"/>
    <n v="0"/>
    <n v="0"/>
    <n v="0"/>
    <n v="1"/>
    <n v="0"/>
    <n v="0"/>
    <n v="0"/>
    <n v="3"/>
    <n v="60"/>
    <n v="0"/>
    <n v="300"/>
    <s v="No"/>
    <s v=""/>
    <n v="0"/>
    <n v="1000"/>
    <n v="0"/>
    <n v="0"/>
    <s v="uncovered"/>
    <x v="0"/>
    <x v="6"/>
    <x v="1"/>
    <n v="24.752471"/>
    <n v="97.541793999999996"/>
    <s v="MMR001CMP208"/>
    <x v="0"/>
    <m/>
    <n v="0"/>
    <n v="366"/>
  </r>
  <r>
    <x v="1"/>
    <x v="7"/>
    <x v="4"/>
    <s v="USAID/HOPE-94"/>
    <x v="1"/>
    <x v="13"/>
    <x v="0"/>
    <x v="112"/>
    <n v="1294"/>
    <n v="6861"/>
    <s v="13-8-2021, 6-1-2020, 1-7-2021"/>
    <s v="12-2-2022, 30-11-2021, 30.4.2021"/>
    <m/>
    <m/>
    <n v="3"/>
    <m/>
    <s v="Yes"/>
    <n v="3"/>
    <n v="3"/>
    <m/>
    <m/>
    <m/>
    <m/>
    <m/>
    <m/>
    <m/>
    <n v="1"/>
    <m/>
    <m/>
    <m/>
    <m/>
    <m/>
    <m/>
    <m/>
    <m/>
    <m/>
    <m/>
    <m/>
    <n v="12"/>
    <n v="3"/>
    <m/>
    <m/>
    <n v="242"/>
    <m/>
    <m/>
    <m/>
    <m/>
    <m/>
    <m/>
    <m/>
    <x v="1"/>
    <x v="1"/>
    <n v="4"/>
    <n v="2"/>
    <m/>
    <m/>
    <m/>
    <m/>
    <n v="1"/>
    <m/>
    <m/>
    <n v="1"/>
    <m/>
    <m/>
    <n v="3"/>
    <m/>
    <m/>
    <m/>
    <m/>
    <m/>
    <m/>
    <m/>
    <m/>
    <m/>
    <m/>
    <m/>
    <m/>
    <m/>
    <m/>
    <m/>
    <m/>
    <m/>
    <s v="no test"/>
    <s v="no test"/>
    <s v="No Test"/>
    <n v="0"/>
    <n v="0"/>
    <n v="1"/>
    <n v="0"/>
    <n v="0"/>
    <n v="1500"/>
    <n v="0"/>
    <n v="9.7167565466647239E-3"/>
    <n v="9.7167565466647239E-3"/>
    <n v="9.7167565466647239E-3"/>
    <n v="66.666666666666671"/>
    <n v="0"/>
    <n v="0"/>
    <n v="9.7167565466647239E-3"/>
    <n v="66.666666666666671"/>
    <n v="0.13333333333333333"/>
    <n v="0.99028324345333529"/>
    <n v="6794.333333333333"/>
    <n v="13.866666666666667"/>
    <n v="14"/>
    <n v="242"/>
    <n v="0.71709663314385663"/>
    <n v="4920"/>
    <n v="0"/>
    <n v="0"/>
    <n v="0"/>
    <n v="343"/>
    <n v="101"/>
    <n v="0.28290336685614337"/>
    <n v="0"/>
    <n v="1500"/>
    <n v="0"/>
    <n v="0"/>
    <n v="0"/>
    <n v="1500"/>
    <n v="0.21862702229995629"/>
    <n v="0.78137297770004377"/>
    <n v="0.21862702229995629"/>
    <n v="0"/>
    <n v="0"/>
    <n v="1"/>
    <n v="20"/>
    <n v="0"/>
    <n v="100"/>
    <s v="No"/>
    <s v=""/>
    <n v="0"/>
    <n v="1500"/>
    <n v="0"/>
    <s v="Yes"/>
    <s v="KMSS-MYT"/>
    <x v="0"/>
    <x v="1"/>
    <x v="1"/>
    <n v="24.755253"/>
    <n v="97.546893999999995"/>
    <s v="MMR001CMP116"/>
    <x v="0"/>
    <m/>
    <n v="1333"/>
    <n v="7163"/>
  </r>
  <r>
    <x v="1"/>
    <x v="7"/>
    <x v="4"/>
    <s v="USAID/HOPE-94"/>
    <x v="1"/>
    <x v="13"/>
    <x v="1"/>
    <x v="113"/>
    <n v="134"/>
    <n v="709"/>
    <s v="13-8-2021, 6-1-2020, 1-7-2021"/>
    <s v="12-2-2022, 30-11-2021, 30.4.2021"/>
    <m/>
    <m/>
    <m/>
    <m/>
    <s v="No"/>
    <m/>
    <m/>
    <m/>
    <m/>
    <m/>
    <m/>
    <m/>
    <m/>
    <m/>
    <m/>
    <m/>
    <m/>
    <m/>
    <m/>
    <m/>
    <m/>
    <m/>
    <m/>
    <m/>
    <m/>
    <m/>
    <m/>
    <m/>
    <m/>
    <m/>
    <m/>
    <m/>
    <m/>
    <m/>
    <m/>
    <m/>
    <m/>
    <m/>
    <x v="1"/>
    <x v="3"/>
    <m/>
    <m/>
    <m/>
    <m/>
    <m/>
    <m/>
    <n v="8"/>
    <m/>
    <m/>
    <n v="3"/>
    <m/>
    <m/>
    <m/>
    <m/>
    <m/>
    <m/>
    <m/>
    <m/>
    <m/>
    <m/>
    <m/>
    <m/>
    <m/>
    <m/>
    <m/>
    <m/>
    <m/>
    <m/>
    <m/>
    <m/>
    <s v="no test"/>
    <s v="no test"/>
    <s v="No Test"/>
    <n v="0"/>
    <n v="0"/>
    <n v="0"/>
    <n v="0"/>
    <n v="0"/>
    <n v="0"/>
    <n v="0"/>
    <n v="0"/>
    <n v="0"/>
    <n v="0"/>
    <n v="0"/>
    <n v="0"/>
    <n v="0"/>
    <n v="0"/>
    <n v="0"/>
    <n v="0"/>
    <n v="1"/>
    <n v="709"/>
    <n v="1"/>
    <n v="1"/>
    <n v="0"/>
    <n v="0"/>
    <n v="0"/>
    <n v="0"/>
    <n v="0"/>
    <n v="0"/>
    <n v="35"/>
    <n v="35"/>
    <n v="1"/>
    <n v="0"/>
    <n v="0"/>
    <n v="0"/>
    <n v="0"/>
    <n v="0"/>
    <n v="0"/>
    <n v="0"/>
    <n v="1"/>
    <n v="0"/>
    <n v="0"/>
    <n v="0"/>
    <n v="8"/>
    <n v="134"/>
    <n v="0"/>
    <n v="709"/>
    <s v="No"/>
    <s v=""/>
    <n v="0"/>
    <n v="0"/>
    <n v="0"/>
    <n v="0"/>
    <n v="0"/>
    <x v="0"/>
    <x v="1"/>
    <x v="1"/>
    <n v="0"/>
    <n v="0"/>
    <n v="0"/>
    <x v="0"/>
    <m/>
    <n v="0"/>
    <n v="0"/>
  </r>
  <r>
    <x v="1"/>
    <x v="7"/>
    <x v="4"/>
    <s v="USAID/HOPE-94"/>
    <x v="1"/>
    <x v="13"/>
    <x v="1"/>
    <x v="114"/>
    <n v="546"/>
    <n v="2550"/>
    <s v="13-8-2021, 6-1-2020, 1-7-2021"/>
    <s v="12-2-2022, 30-11-2021, 30.4.2021"/>
    <m/>
    <m/>
    <m/>
    <m/>
    <s v="No"/>
    <m/>
    <m/>
    <m/>
    <m/>
    <m/>
    <m/>
    <m/>
    <m/>
    <m/>
    <m/>
    <m/>
    <m/>
    <m/>
    <m/>
    <m/>
    <m/>
    <m/>
    <m/>
    <m/>
    <m/>
    <m/>
    <m/>
    <m/>
    <m/>
    <m/>
    <m/>
    <m/>
    <m/>
    <m/>
    <m/>
    <m/>
    <m/>
    <m/>
    <x v="0"/>
    <x v="0"/>
    <m/>
    <m/>
    <m/>
    <m/>
    <m/>
    <m/>
    <n v="7"/>
    <m/>
    <m/>
    <n v="7"/>
    <m/>
    <m/>
    <m/>
    <m/>
    <m/>
    <m/>
    <m/>
    <m/>
    <m/>
    <m/>
    <m/>
    <m/>
    <m/>
    <m/>
    <m/>
    <m/>
    <m/>
    <m/>
    <m/>
    <m/>
    <s v="no test"/>
    <s v="no test"/>
    <s v="No Test"/>
    <n v="0"/>
    <n v="0"/>
    <n v="0"/>
    <n v="0"/>
    <n v="0"/>
    <n v="0"/>
    <n v="0"/>
    <n v="0"/>
    <n v="0"/>
    <n v="0"/>
    <n v="0"/>
    <n v="0"/>
    <n v="0"/>
    <n v="0"/>
    <n v="0"/>
    <n v="0"/>
    <n v="1"/>
    <n v="2550"/>
    <n v="5"/>
    <n v="5"/>
    <n v="0"/>
    <n v="0"/>
    <n v="0"/>
    <n v="0"/>
    <n v="0"/>
    <n v="0"/>
    <n v="128"/>
    <n v="128"/>
    <n v="1"/>
    <n v="0"/>
    <n v="0"/>
    <n v="0"/>
    <n v="0"/>
    <n v="0"/>
    <n v="0"/>
    <n v="0"/>
    <n v="1"/>
    <n v="0"/>
    <n v="0"/>
    <n v="0"/>
    <n v="7"/>
    <n v="140"/>
    <n v="0"/>
    <n v="700"/>
    <s v="No"/>
    <s v=""/>
    <n v="0"/>
    <n v="0"/>
    <n v="0"/>
    <n v="0"/>
    <n v="0"/>
    <x v="0"/>
    <x v="7"/>
    <x v="1"/>
    <n v="0"/>
    <n v="0"/>
    <n v="0"/>
    <x v="0"/>
    <m/>
    <n v="0"/>
    <n v="0"/>
  </r>
  <r>
    <x v="1"/>
    <x v="8"/>
    <x v="5"/>
    <s v="UNICEF, USAID"/>
    <x v="0"/>
    <x v="19"/>
    <x v="0"/>
    <x v="115"/>
    <n v="85"/>
    <n v="396"/>
    <s v="11-11-2021, 07-01-2020"/>
    <s v="10-11-2022, 28-2-2022"/>
    <m/>
    <n v="2"/>
    <m/>
    <m/>
    <s v="Yes"/>
    <n v="7"/>
    <n v="9"/>
    <m/>
    <m/>
    <m/>
    <m/>
    <n v="1"/>
    <m/>
    <m/>
    <n v="1"/>
    <m/>
    <m/>
    <m/>
    <m/>
    <m/>
    <m/>
    <n v="2"/>
    <m/>
    <m/>
    <m/>
    <m/>
    <n v="8"/>
    <m/>
    <m/>
    <m/>
    <n v="14"/>
    <n v="6"/>
    <m/>
    <m/>
    <m/>
    <m/>
    <m/>
    <n v="14"/>
    <x v="1"/>
    <x v="1"/>
    <m/>
    <m/>
    <m/>
    <m/>
    <m/>
    <m/>
    <n v="8"/>
    <m/>
    <m/>
    <n v="2"/>
    <m/>
    <n v="1"/>
    <n v="1"/>
    <m/>
    <m/>
    <m/>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0"/>
    <n v="0"/>
    <n v="0"/>
    <n v="396"/>
    <n v="1"/>
    <n v="0"/>
    <n v="1"/>
    <n v="0"/>
    <n v="0"/>
    <n v="8"/>
    <n v="85"/>
    <n v="0"/>
    <n v="396"/>
    <s v="No"/>
    <s v=""/>
    <n v="0"/>
    <n v="0"/>
    <n v="0"/>
    <s v="Yes"/>
    <s v="KBC-NSS"/>
    <x v="0"/>
    <x v="1"/>
    <x v="0"/>
    <n v="23.821380000000001"/>
    <n v="97.681970000000007"/>
    <s v="MMR015CMP004"/>
    <x v="0"/>
    <m/>
    <n v="89"/>
    <n v="401"/>
  </r>
  <r>
    <x v="1"/>
    <x v="8"/>
    <x v="5"/>
    <s v="UNICEF, USAID"/>
    <x v="0"/>
    <x v="19"/>
    <x v="0"/>
    <x v="116"/>
    <n v="44"/>
    <n v="213"/>
    <s v="11-11-2021, 07-01-2020"/>
    <s v="10-11-2022, 28-2-2022"/>
    <m/>
    <n v="2"/>
    <m/>
    <m/>
    <s v="Yes"/>
    <n v="3"/>
    <n v="9"/>
    <n v="1"/>
    <m/>
    <m/>
    <m/>
    <n v="2"/>
    <m/>
    <m/>
    <m/>
    <m/>
    <m/>
    <m/>
    <n v="1"/>
    <m/>
    <m/>
    <n v="2"/>
    <m/>
    <m/>
    <m/>
    <m/>
    <n v="3"/>
    <m/>
    <m/>
    <m/>
    <n v="14"/>
    <m/>
    <m/>
    <m/>
    <m/>
    <m/>
    <m/>
    <n v="14"/>
    <x v="1"/>
    <x v="1"/>
    <m/>
    <m/>
    <m/>
    <m/>
    <m/>
    <m/>
    <n v="3"/>
    <m/>
    <m/>
    <n v="2"/>
    <m/>
    <n v="1"/>
    <n v="1"/>
    <m/>
    <m/>
    <m/>
    <m/>
    <m/>
    <m/>
    <m/>
    <m/>
    <m/>
    <m/>
    <m/>
    <m/>
    <m/>
    <m/>
    <m/>
    <m/>
    <m/>
    <s v="no test"/>
    <s v="no test"/>
    <s v="No Test"/>
    <n v="1"/>
    <n v="2"/>
    <n v="0"/>
    <n v="0"/>
    <n v="0"/>
    <n v="0"/>
    <n v="0"/>
    <n v="1"/>
    <n v="1"/>
    <n v="1"/>
    <n v="213"/>
    <n v="1"/>
    <n v="213"/>
    <n v="1"/>
    <n v="213"/>
    <n v="0.42599999999999999"/>
    <n v="0"/>
    <n v="0"/>
    <n v="0.57400000000000007"/>
    <n v="1"/>
    <n v="14"/>
    <n v="1"/>
    <n v="213"/>
    <n v="0"/>
    <n v="0"/>
    <n v="0"/>
    <n v="11"/>
    <n v="0"/>
    <n v="0"/>
    <n v="0"/>
    <n v="213"/>
    <n v="0"/>
    <n v="0"/>
    <n v="0"/>
    <n v="213"/>
    <n v="1"/>
    <n v="0"/>
    <n v="1"/>
    <n v="0"/>
    <n v="0"/>
    <n v="3"/>
    <n v="44"/>
    <n v="0"/>
    <n v="213"/>
    <s v="No"/>
    <s v=""/>
    <n v="0"/>
    <n v="0"/>
    <n v="0"/>
    <s v="Yes"/>
    <s v="KMSS-LSO"/>
    <x v="0"/>
    <x v="1"/>
    <x v="0"/>
    <n v="23.828150000000001"/>
    <n v="97.670360000000002"/>
    <s v="MMR015CMP003"/>
    <x v="0"/>
    <m/>
    <n v="44"/>
    <n v="217"/>
  </r>
  <r>
    <x v="1"/>
    <x v="9"/>
    <x v="6"/>
    <s v="UNICEF, USAID"/>
    <x v="0"/>
    <x v="17"/>
    <x v="0"/>
    <x v="117"/>
    <n v="30"/>
    <n v="157"/>
    <s v="11-11-2021, 07-01-2020"/>
    <s v="10-11-2022, 28-2-2022"/>
    <m/>
    <n v="2"/>
    <m/>
    <m/>
    <s v="Yes"/>
    <n v="2"/>
    <n v="8"/>
    <n v="1"/>
    <m/>
    <m/>
    <n v="2"/>
    <m/>
    <m/>
    <m/>
    <m/>
    <m/>
    <m/>
    <m/>
    <n v="2"/>
    <m/>
    <m/>
    <n v="1"/>
    <m/>
    <m/>
    <m/>
    <m/>
    <n v="4"/>
    <m/>
    <m/>
    <m/>
    <n v="38"/>
    <m/>
    <m/>
    <m/>
    <m/>
    <m/>
    <m/>
    <n v="38"/>
    <x v="1"/>
    <x v="1"/>
    <m/>
    <m/>
    <m/>
    <m/>
    <m/>
    <m/>
    <n v="4"/>
    <m/>
    <m/>
    <n v="2"/>
    <m/>
    <m/>
    <n v="2"/>
    <m/>
    <m/>
    <s v="Yes"/>
    <m/>
    <n v="1"/>
    <m/>
    <m/>
    <m/>
    <m/>
    <m/>
    <m/>
    <m/>
    <m/>
    <m/>
    <m/>
    <m/>
    <m/>
    <s v="no test"/>
    <s v="no test"/>
    <s v="No Test"/>
    <n v="1"/>
    <n v="2"/>
    <n v="0"/>
    <n v="0"/>
    <n v="0"/>
    <n v="0"/>
    <n v="0"/>
    <n v="1"/>
    <n v="1"/>
    <n v="1"/>
    <n v="157"/>
    <n v="1"/>
    <n v="157"/>
    <n v="1"/>
    <n v="157"/>
    <n v="0.314"/>
    <n v="0"/>
    <n v="0"/>
    <n v="0.68599999999999994"/>
    <n v="1"/>
    <n v="38"/>
    <n v="1"/>
    <n v="157"/>
    <n v="0"/>
    <n v="0"/>
    <n v="0"/>
    <n v="8"/>
    <n v="0"/>
    <n v="0"/>
    <n v="0"/>
    <n v="157"/>
    <n v="0"/>
    <n v="0"/>
    <n v="0"/>
    <n v="157"/>
    <n v="1"/>
    <n v="0"/>
    <n v="1"/>
    <n v="0"/>
    <n v="0"/>
    <n v="4"/>
    <n v="30"/>
    <n v="4"/>
    <n v="157"/>
    <s v="No"/>
    <s v=""/>
    <n v="0"/>
    <n v="0"/>
    <n v="0"/>
    <s v="Yes"/>
    <s v="KMSS-LSO"/>
    <x v="0"/>
    <x v="1"/>
    <x v="0"/>
    <n v="23.24661"/>
    <n v="97.116680000000002"/>
    <s v="MMR015CMP027"/>
    <x v="0"/>
    <m/>
    <n v="30"/>
    <n v="159"/>
  </r>
  <r>
    <x v="1"/>
    <x v="10"/>
    <x v="7"/>
    <m/>
    <x v="1"/>
    <x v="1"/>
    <x v="0"/>
    <x v="118"/>
    <n v="12"/>
    <n v="60"/>
    <m/>
    <m/>
    <m/>
    <m/>
    <m/>
    <m/>
    <m/>
    <m/>
    <m/>
    <m/>
    <m/>
    <m/>
    <m/>
    <m/>
    <m/>
    <m/>
    <m/>
    <m/>
    <m/>
    <m/>
    <m/>
    <m/>
    <m/>
    <m/>
    <m/>
    <m/>
    <m/>
    <m/>
    <m/>
    <m/>
    <m/>
    <m/>
    <m/>
    <m/>
    <m/>
    <m/>
    <m/>
    <m/>
    <m/>
    <m/>
    <x v="2"/>
    <x v="2"/>
    <m/>
    <m/>
    <m/>
    <m/>
    <m/>
    <m/>
    <n v="1"/>
    <m/>
    <m/>
    <n v="1"/>
    <m/>
    <m/>
    <m/>
    <m/>
    <m/>
    <m/>
    <m/>
    <m/>
    <m/>
    <m/>
    <m/>
    <m/>
    <m/>
    <m/>
    <m/>
    <m/>
    <m/>
    <m/>
    <m/>
    <m/>
    <s v="no test"/>
    <s v="no test"/>
    <s v="No Test"/>
    <n v="0"/>
    <n v="0"/>
    <n v="0"/>
    <n v="0"/>
    <n v="0"/>
    <n v="0"/>
    <n v="0"/>
    <n v="0"/>
    <n v="0"/>
    <n v="0"/>
    <n v="0"/>
    <n v="0"/>
    <n v="0"/>
    <n v="0"/>
    <n v="0"/>
    <n v="0"/>
    <n v="1"/>
    <n v="60"/>
    <n v="1"/>
    <n v="1"/>
    <n v="0"/>
    <n v="0"/>
    <n v="0"/>
    <n v="0"/>
    <n v="0"/>
    <n v="0"/>
    <n v="3"/>
    <n v="3"/>
    <n v="1"/>
    <n v="0"/>
    <n v="0"/>
    <n v="0"/>
    <n v="0"/>
    <n v="0"/>
    <n v="0"/>
    <n v="0"/>
    <n v="1"/>
    <n v="0"/>
    <n v="0"/>
    <n v="0"/>
    <n v="1"/>
    <n v="12"/>
    <n v="0"/>
    <n v="60"/>
    <s v="No"/>
    <s v=""/>
    <n v="0"/>
    <n v="0"/>
    <n v="0"/>
    <s v="Yes"/>
    <s v="Shalom"/>
    <x v="0"/>
    <x v="1"/>
    <x v="0"/>
    <n v="24.154199999999999"/>
    <n v="97.160600000000002"/>
    <s v="MMR001CMP281"/>
    <x v="1"/>
    <m/>
    <n v="97"/>
    <n v="480"/>
  </r>
  <r>
    <x v="1"/>
    <x v="10"/>
    <x v="7"/>
    <m/>
    <x v="1"/>
    <x v="1"/>
    <x v="0"/>
    <x v="120"/>
    <n v="181"/>
    <n v="906"/>
    <s v="13-8-2021, 6-1-2020"/>
    <s v="12-20-2022, 30-7-2021"/>
    <m/>
    <m/>
    <m/>
    <m/>
    <m/>
    <m/>
    <n v="4"/>
    <m/>
    <m/>
    <m/>
    <m/>
    <m/>
    <m/>
    <m/>
    <m/>
    <m/>
    <m/>
    <m/>
    <m/>
    <m/>
    <m/>
    <m/>
    <m/>
    <m/>
    <m/>
    <m/>
    <m/>
    <m/>
    <m/>
    <m/>
    <m/>
    <m/>
    <m/>
    <m/>
    <m/>
    <m/>
    <m/>
    <m/>
    <x v="2"/>
    <x v="2"/>
    <m/>
    <m/>
    <m/>
    <m/>
    <m/>
    <m/>
    <n v="7"/>
    <m/>
    <m/>
    <n v="7"/>
    <m/>
    <m/>
    <m/>
    <m/>
    <m/>
    <m/>
    <m/>
    <m/>
    <m/>
    <m/>
    <m/>
    <m/>
    <m/>
    <m/>
    <m/>
    <m/>
    <m/>
    <m/>
    <m/>
    <m/>
    <s v="no test"/>
    <s v="no test"/>
    <s v="No Test"/>
    <n v="0"/>
    <n v="0"/>
    <n v="0"/>
    <n v="0"/>
    <n v="0"/>
    <n v="0"/>
    <n v="0"/>
    <n v="0"/>
    <n v="0"/>
    <n v="0"/>
    <n v="0"/>
    <n v="0"/>
    <n v="0"/>
    <n v="0"/>
    <n v="0"/>
    <n v="0"/>
    <n v="1"/>
    <n v="906"/>
    <n v="2"/>
    <n v="2"/>
    <n v="0"/>
    <n v="0"/>
    <n v="0"/>
    <n v="0"/>
    <n v="0"/>
    <n v="0"/>
    <n v="45"/>
    <n v="45"/>
    <n v="1"/>
    <n v="0"/>
    <n v="0"/>
    <n v="0"/>
    <n v="0"/>
    <n v="0"/>
    <n v="0"/>
    <n v="0"/>
    <n v="1"/>
    <n v="0"/>
    <n v="0"/>
    <n v="0"/>
    <n v="7"/>
    <n v="140"/>
    <n v="0"/>
    <n v="700"/>
    <s v="No"/>
    <s v=""/>
    <n v="0"/>
    <n v="0"/>
    <n v="0"/>
    <n v="0"/>
    <s v="uncovered"/>
    <x v="0"/>
    <x v="4"/>
    <x v="0"/>
    <n v="24.263786"/>
    <n v="97.228835000000004"/>
    <s v="MMR001CMP163"/>
    <x v="1"/>
    <m/>
    <n v="65"/>
    <n v="337"/>
  </r>
  <r>
    <x v="1"/>
    <x v="10"/>
    <x v="7"/>
    <m/>
    <x v="1"/>
    <x v="2"/>
    <x v="0"/>
    <x v="123"/>
    <n v="57"/>
    <n v="264"/>
    <m/>
    <m/>
    <m/>
    <m/>
    <m/>
    <m/>
    <s v="Yes"/>
    <m/>
    <m/>
    <m/>
    <m/>
    <m/>
    <m/>
    <m/>
    <m/>
    <m/>
    <m/>
    <m/>
    <m/>
    <m/>
    <m/>
    <m/>
    <m/>
    <m/>
    <m/>
    <m/>
    <m/>
    <m/>
    <m/>
    <m/>
    <m/>
    <m/>
    <n v="28"/>
    <m/>
    <m/>
    <m/>
    <m/>
    <m/>
    <m/>
    <m/>
    <x v="1"/>
    <x v="1"/>
    <n v="2"/>
    <m/>
    <m/>
    <m/>
    <m/>
    <m/>
    <n v="3"/>
    <m/>
    <m/>
    <n v="2"/>
    <m/>
    <m/>
    <m/>
    <m/>
    <m/>
    <m/>
    <m/>
    <m/>
    <m/>
    <m/>
    <m/>
    <m/>
    <m/>
    <m/>
    <m/>
    <m/>
    <m/>
    <m/>
    <m/>
    <m/>
    <s v="no test"/>
    <s v="no test"/>
    <s v="No Test"/>
    <n v="0"/>
    <n v="0"/>
    <n v="0"/>
    <n v="0"/>
    <n v="0"/>
    <n v="0"/>
    <n v="0"/>
    <n v="0"/>
    <n v="0"/>
    <n v="0"/>
    <n v="0"/>
    <n v="0"/>
    <n v="0"/>
    <n v="0"/>
    <n v="0"/>
    <n v="0"/>
    <n v="1"/>
    <n v="264"/>
    <n v="1"/>
    <n v="1"/>
    <n v="28"/>
    <n v="1"/>
    <n v="264"/>
    <n v="0"/>
    <n v="0"/>
    <n v="0"/>
    <n v="13"/>
    <n v="0"/>
    <n v="0"/>
    <n v="0"/>
    <n v="0"/>
    <n v="0"/>
    <n v="0"/>
    <n v="0"/>
    <n v="0"/>
    <n v="0"/>
    <n v="1"/>
    <n v="0"/>
    <n v="0"/>
    <n v="0"/>
    <n v="3"/>
    <n v="57"/>
    <n v="0"/>
    <n v="264"/>
    <s v="No"/>
    <s v=""/>
    <n v="0"/>
    <n v="0"/>
    <n v="0"/>
    <s v="Yes"/>
    <s v="KMSS-MYT"/>
    <x v="0"/>
    <x v="4"/>
    <x v="0"/>
    <n v="25.60867"/>
    <n v="98.377780000000001"/>
    <s v="MMR001CMP210"/>
    <x v="1"/>
    <m/>
    <n v="4"/>
    <n v="20"/>
  </r>
  <r>
    <x v="1"/>
    <x v="10"/>
    <x v="7"/>
    <m/>
    <x v="1"/>
    <x v="3"/>
    <x v="0"/>
    <x v="125"/>
    <n v="3"/>
    <n v="15"/>
    <s v="13-8-2021, 6-1-2020"/>
    <s v="12-20-2022, 30-7-2021"/>
    <m/>
    <n v="0"/>
    <m/>
    <m/>
    <s v="Yes"/>
    <m/>
    <n v="5"/>
    <n v="1"/>
    <m/>
    <m/>
    <n v="1"/>
    <m/>
    <m/>
    <m/>
    <m/>
    <m/>
    <m/>
    <m/>
    <m/>
    <m/>
    <m/>
    <n v="1"/>
    <m/>
    <m/>
    <m/>
    <m/>
    <m/>
    <m/>
    <m/>
    <m/>
    <n v="0"/>
    <m/>
    <m/>
    <m/>
    <m/>
    <m/>
    <m/>
    <n v="0"/>
    <x v="1"/>
    <x v="3"/>
    <m/>
    <m/>
    <m/>
    <m/>
    <m/>
    <m/>
    <n v="7"/>
    <m/>
    <n v="0"/>
    <n v="4"/>
    <m/>
    <m/>
    <m/>
    <m/>
    <m/>
    <m/>
    <m/>
    <m/>
    <m/>
    <m/>
    <m/>
    <m/>
    <m/>
    <m/>
    <m/>
    <m/>
    <m/>
    <m/>
    <m/>
    <m/>
    <s v="no test"/>
    <s v="no test"/>
    <s v="No Test"/>
    <n v="1"/>
    <n v="1"/>
    <n v="0"/>
    <n v="0"/>
    <n v="0"/>
    <n v="0"/>
    <n v="0"/>
    <n v="1"/>
    <n v="1"/>
    <n v="1"/>
    <n v="15"/>
    <n v="0"/>
    <n v="0"/>
    <n v="1"/>
    <n v="15"/>
    <n v="0.03"/>
    <n v="0"/>
    <n v="0"/>
    <n v="0.97"/>
    <n v="1"/>
    <n v="0"/>
    <n v="0"/>
    <n v="0"/>
    <n v="0"/>
    <n v="0"/>
    <n v="0"/>
    <n v="1"/>
    <n v="1"/>
    <n v="1"/>
    <n v="0"/>
    <n v="0"/>
    <n v="0"/>
    <n v="0"/>
    <n v="0"/>
    <n v="0"/>
    <n v="0"/>
    <n v="1"/>
    <n v="0"/>
    <n v="0"/>
    <n v="0"/>
    <n v="7"/>
    <n v="3"/>
    <n v="0"/>
    <n v="15"/>
    <s v="No"/>
    <s v=""/>
    <n v="0"/>
    <n v="0"/>
    <n v="0"/>
    <s v="Yes"/>
    <s v="Shalom"/>
    <x v="0"/>
    <x v="0"/>
    <x v="0"/>
    <n v="25.6145"/>
    <n v="96.319829999999996"/>
    <s v="MMR001CMP091"/>
    <x v="1"/>
    <m/>
    <n v="3"/>
    <n v="14"/>
  </r>
  <r>
    <x v="1"/>
    <x v="10"/>
    <x v="7"/>
    <m/>
    <x v="1"/>
    <x v="3"/>
    <x v="0"/>
    <x v="126"/>
    <n v="95"/>
    <n v="472"/>
    <m/>
    <m/>
    <m/>
    <m/>
    <m/>
    <m/>
    <m/>
    <m/>
    <m/>
    <m/>
    <m/>
    <m/>
    <m/>
    <m/>
    <m/>
    <m/>
    <m/>
    <m/>
    <m/>
    <m/>
    <m/>
    <m/>
    <m/>
    <m/>
    <m/>
    <m/>
    <m/>
    <m/>
    <m/>
    <m/>
    <m/>
    <m/>
    <m/>
    <m/>
    <m/>
    <m/>
    <m/>
    <m/>
    <m/>
    <m/>
    <x v="2"/>
    <x v="2"/>
    <m/>
    <m/>
    <m/>
    <m/>
    <m/>
    <m/>
    <n v="8"/>
    <m/>
    <m/>
    <n v="3"/>
    <m/>
    <m/>
    <m/>
    <m/>
    <m/>
    <m/>
    <m/>
    <m/>
    <m/>
    <m/>
    <m/>
    <m/>
    <m/>
    <m/>
    <m/>
    <m/>
    <m/>
    <m/>
    <m/>
    <m/>
    <s v="no test"/>
    <s v="no test"/>
    <s v="No Test"/>
    <n v="0"/>
    <n v="0"/>
    <n v="0"/>
    <n v="0"/>
    <n v="0"/>
    <n v="0"/>
    <n v="0"/>
    <n v="0"/>
    <n v="0"/>
    <n v="0"/>
    <n v="0"/>
    <n v="0"/>
    <n v="0"/>
    <n v="0"/>
    <n v="0"/>
    <n v="0"/>
    <n v="1"/>
    <n v="472"/>
    <n v="1"/>
    <n v="1"/>
    <n v="0"/>
    <n v="0"/>
    <n v="0"/>
    <n v="0"/>
    <n v="0"/>
    <n v="0"/>
    <n v="24"/>
    <n v="24"/>
    <n v="1"/>
    <n v="0"/>
    <n v="0"/>
    <n v="0"/>
    <n v="0"/>
    <n v="0"/>
    <n v="0"/>
    <n v="0"/>
    <n v="1"/>
    <n v="0"/>
    <n v="0"/>
    <n v="0"/>
    <n v="8"/>
    <n v="95"/>
    <n v="0"/>
    <n v="472"/>
    <s v="No"/>
    <s v=""/>
    <n v="0"/>
    <n v="0"/>
    <n v="0"/>
    <s v="Yes"/>
    <s v="KMSS-MYT"/>
    <x v="0"/>
    <x v="1"/>
    <x v="0"/>
    <n v="25.656009999999998"/>
    <n v="96.361609999999999"/>
    <s v="MMR001CMP168"/>
    <x v="1"/>
    <m/>
    <n v="90"/>
    <n v="456"/>
  </r>
  <r>
    <x v="1"/>
    <x v="10"/>
    <x v="7"/>
    <m/>
    <x v="0"/>
    <x v="21"/>
    <x v="0"/>
    <x v="128"/>
    <n v="37"/>
    <n v="120"/>
    <m/>
    <m/>
    <m/>
    <m/>
    <m/>
    <m/>
    <m/>
    <m/>
    <m/>
    <m/>
    <m/>
    <m/>
    <m/>
    <m/>
    <m/>
    <m/>
    <m/>
    <m/>
    <m/>
    <m/>
    <m/>
    <m/>
    <m/>
    <m/>
    <m/>
    <m/>
    <m/>
    <m/>
    <m/>
    <m/>
    <m/>
    <m/>
    <m/>
    <m/>
    <m/>
    <m/>
    <m/>
    <m/>
    <m/>
    <m/>
    <x v="2"/>
    <x v="2"/>
    <m/>
    <m/>
    <m/>
    <m/>
    <m/>
    <m/>
    <n v="1"/>
    <m/>
    <m/>
    <n v="1"/>
    <m/>
    <m/>
    <m/>
    <m/>
    <m/>
    <m/>
    <m/>
    <m/>
    <m/>
    <m/>
    <m/>
    <m/>
    <m/>
    <m/>
    <m/>
    <m/>
    <m/>
    <m/>
    <m/>
    <m/>
    <s v="no test"/>
    <s v="no test"/>
    <s v="No Test"/>
    <n v="0"/>
    <n v="0"/>
    <n v="0"/>
    <n v="0"/>
    <n v="0"/>
    <n v="0"/>
    <n v="0"/>
    <n v="0"/>
    <n v="0"/>
    <n v="0"/>
    <n v="0"/>
    <n v="0"/>
    <n v="0"/>
    <n v="0"/>
    <n v="0"/>
    <n v="0"/>
    <n v="1"/>
    <n v="120"/>
    <n v="1"/>
    <n v="1"/>
    <n v="0"/>
    <n v="0"/>
    <n v="0"/>
    <n v="0"/>
    <n v="0"/>
    <n v="0"/>
    <n v="6"/>
    <n v="6"/>
    <n v="1"/>
    <n v="0"/>
    <n v="0"/>
    <n v="0"/>
    <n v="0"/>
    <n v="0"/>
    <n v="0"/>
    <n v="0"/>
    <n v="1"/>
    <n v="0"/>
    <n v="0"/>
    <n v="0"/>
    <n v="1"/>
    <n v="20"/>
    <n v="0"/>
    <n v="100"/>
    <s v="No"/>
    <s v=""/>
    <n v="0"/>
    <n v="0"/>
    <n v="0"/>
    <n v="0"/>
    <s v="uncovered"/>
    <x v="0"/>
    <x v="0"/>
    <x v="0"/>
    <n v="22.677008000000001"/>
    <n v="97.314762999999999"/>
    <s v="MMR015CMP062"/>
    <x v="1"/>
    <m/>
    <n v="37"/>
    <n v="120"/>
  </r>
  <r>
    <x v="1"/>
    <x v="10"/>
    <x v="7"/>
    <m/>
    <x v="0"/>
    <x v="22"/>
    <x v="0"/>
    <x v="129"/>
    <n v="142"/>
    <n v="504"/>
    <m/>
    <m/>
    <m/>
    <m/>
    <m/>
    <m/>
    <m/>
    <m/>
    <m/>
    <m/>
    <m/>
    <m/>
    <m/>
    <m/>
    <m/>
    <m/>
    <m/>
    <m/>
    <m/>
    <m/>
    <m/>
    <m/>
    <m/>
    <m/>
    <m/>
    <m/>
    <m/>
    <m/>
    <m/>
    <m/>
    <m/>
    <m/>
    <m/>
    <m/>
    <m/>
    <m/>
    <m/>
    <m/>
    <m/>
    <m/>
    <x v="2"/>
    <x v="2"/>
    <m/>
    <m/>
    <m/>
    <m/>
    <m/>
    <m/>
    <m/>
    <m/>
    <m/>
    <m/>
    <m/>
    <m/>
    <m/>
    <m/>
    <m/>
    <m/>
    <m/>
    <m/>
    <m/>
    <m/>
    <m/>
    <m/>
    <m/>
    <m/>
    <m/>
    <m/>
    <m/>
    <m/>
    <m/>
    <m/>
    <s v="no test"/>
    <s v="no test"/>
    <s v="No Test"/>
    <n v="0"/>
    <n v="0"/>
    <n v="0"/>
    <n v="0"/>
    <n v="0"/>
    <n v="0"/>
    <n v="0"/>
    <n v="0"/>
    <n v="0"/>
    <n v="0"/>
    <n v="0"/>
    <n v="0"/>
    <n v="0"/>
    <n v="0"/>
    <n v="0"/>
    <n v="0"/>
    <n v="1"/>
    <n v="504"/>
    <n v="1"/>
    <n v="1"/>
    <n v="0"/>
    <n v="0"/>
    <n v="0"/>
    <n v="0"/>
    <n v="0"/>
    <n v="0"/>
    <n v="25"/>
    <n v="25"/>
    <n v="1"/>
    <n v="0"/>
    <n v="0"/>
    <n v="0"/>
    <n v="0"/>
    <n v="0"/>
    <n v="0"/>
    <n v="0"/>
    <n v="1"/>
    <n v="0"/>
    <n v="0"/>
    <n v="0"/>
    <n v="0"/>
    <n v="0"/>
    <n v="0"/>
    <n v="0"/>
    <s v="No"/>
    <s v=""/>
    <n v="0"/>
    <n v="0"/>
    <n v="0"/>
    <n v="0"/>
    <s v="uncovered"/>
    <x v="0"/>
    <x v="4"/>
    <x v="0"/>
    <n v="22.325900000000001"/>
    <n v="97.021000000000001"/>
    <s v="MMR015CMP075"/>
    <x v="1"/>
    <m/>
    <n v="1036"/>
    <n v="3986"/>
  </r>
  <r>
    <x v="1"/>
    <x v="10"/>
    <x v="7"/>
    <m/>
    <x v="0"/>
    <x v="0"/>
    <x v="2"/>
    <x v="203"/>
    <n v="219"/>
    <n v="653"/>
    <m/>
    <m/>
    <m/>
    <m/>
    <m/>
    <m/>
    <m/>
    <m/>
    <m/>
    <m/>
    <m/>
    <m/>
    <m/>
    <m/>
    <m/>
    <m/>
    <m/>
    <m/>
    <m/>
    <m/>
    <m/>
    <m/>
    <m/>
    <m/>
    <m/>
    <m/>
    <m/>
    <m/>
    <m/>
    <m/>
    <m/>
    <m/>
    <m/>
    <m/>
    <m/>
    <m/>
    <m/>
    <m/>
    <m/>
    <m/>
    <x v="2"/>
    <x v="2"/>
    <m/>
    <m/>
    <m/>
    <m/>
    <m/>
    <m/>
    <m/>
    <m/>
    <m/>
    <m/>
    <m/>
    <m/>
    <m/>
    <m/>
    <m/>
    <m/>
    <m/>
    <m/>
    <m/>
    <m/>
    <m/>
    <m/>
    <m/>
    <m/>
    <m/>
    <m/>
    <m/>
    <m/>
    <m/>
    <m/>
    <s v="no test"/>
    <s v="no test"/>
    <s v="No Test"/>
    <n v="0"/>
    <n v="0"/>
    <n v="0"/>
    <n v="0"/>
    <n v="0"/>
    <n v="0"/>
    <n v="0"/>
    <n v="0"/>
    <n v="0"/>
    <n v="0"/>
    <n v="0"/>
    <n v="0"/>
    <n v="0"/>
    <n v="0"/>
    <n v="0"/>
    <n v="0"/>
    <n v="1"/>
    <n v="653"/>
    <n v="1"/>
    <n v="1"/>
    <n v="0"/>
    <n v="0"/>
    <n v="0"/>
    <n v="0"/>
    <n v="0"/>
    <n v="0"/>
    <n v="109"/>
    <n v="109"/>
    <n v="1"/>
    <n v="0"/>
    <n v="0"/>
    <n v="0"/>
    <n v="0"/>
    <n v="0"/>
    <n v="0"/>
    <n v="0"/>
    <n v="1"/>
    <n v="0"/>
    <n v="0"/>
    <n v="0"/>
    <n v="0"/>
    <n v="0"/>
    <n v="0"/>
    <n v="0"/>
    <s v="No"/>
    <s v=""/>
    <n v="0"/>
    <n v="0"/>
    <n v="0"/>
    <n v="0"/>
    <n v="0"/>
    <x v="2"/>
    <x v="10"/>
    <x v="0"/>
    <n v="23.415991000000002"/>
    <n v="98.471779999999995"/>
    <s v="MMR015CMP073"/>
    <x v="1"/>
    <m/>
    <n v="219"/>
    <n v="653"/>
  </r>
  <r>
    <x v="1"/>
    <x v="10"/>
    <x v="7"/>
    <m/>
    <x v="0"/>
    <x v="0"/>
    <x v="2"/>
    <x v="204"/>
    <n v="657"/>
    <n v="2786"/>
    <m/>
    <m/>
    <m/>
    <m/>
    <m/>
    <m/>
    <m/>
    <m/>
    <m/>
    <m/>
    <m/>
    <m/>
    <m/>
    <m/>
    <m/>
    <m/>
    <m/>
    <m/>
    <m/>
    <m/>
    <m/>
    <m/>
    <m/>
    <m/>
    <m/>
    <m/>
    <m/>
    <m/>
    <m/>
    <m/>
    <m/>
    <m/>
    <m/>
    <m/>
    <m/>
    <m/>
    <m/>
    <m/>
    <m/>
    <m/>
    <x v="2"/>
    <x v="2"/>
    <m/>
    <m/>
    <m/>
    <m/>
    <m/>
    <m/>
    <m/>
    <m/>
    <m/>
    <m/>
    <m/>
    <m/>
    <m/>
    <m/>
    <m/>
    <m/>
    <m/>
    <m/>
    <m/>
    <m/>
    <m/>
    <m/>
    <m/>
    <m/>
    <m/>
    <m/>
    <m/>
    <m/>
    <m/>
    <m/>
    <s v="no test"/>
    <s v="no test"/>
    <s v="No Test"/>
    <n v="0"/>
    <n v="0"/>
    <n v="0"/>
    <n v="0"/>
    <n v="0"/>
    <n v="0"/>
    <n v="0"/>
    <n v="0"/>
    <n v="0"/>
    <n v="0"/>
    <n v="0"/>
    <n v="0"/>
    <n v="0"/>
    <n v="0"/>
    <n v="0"/>
    <n v="0"/>
    <n v="1"/>
    <n v="2786"/>
    <n v="6"/>
    <n v="6"/>
    <n v="0"/>
    <n v="0"/>
    <n v="0"/>
    <n v="0"/>
    <n v="0"/>
    <n v="0"/>
    <n v="464"/>
    <n v="464"/>
    <n v="1"/>
    <n v="0"/>
    <n v="0"/>
    <n v="0"/>
    <n v="0"/>
    <n v="0"/>
    <n v="0"/>
    <n v="0"/>
    <n v="1"/>
    <n v="0"/>
    <n v="0"/>
    <n v="0"/>
    <n v="0"/>
    <n v="0"/>
    <n v="0"/>
    <n v="0"/>
    <s v="No"/>
    <s v=""/>
    <n v="0"/>
    <n v="0"/>
    <n v="0"/>
    <n v="0"/>
    <n v="0"/>
    <x v="2"/>
    <x v="10"/>
    <x v="0"/>
    <n v="23363276"/>
    <n v="98472978"/>
    <s v="MMR015CMP072"/>
    <x v="1"/>
    <m/>
    <n v="657"/>
    <n v="2786"/>
  </r>
  <r>
    <x v="1"/>
    <x v="10"/>
    <x v="7"/>
    <m/>
    <x v="0"/>
    <x v="0"/>
    <x v="0"/>
    <x v="1"/>
    <n v="34"/>
    <n v="170"/>
    <m/>
    <m/>
    <m/>
    <m/>
    <m/>
    <m/>
    <m/>
    <m/>
    <m/>
    <m/>
    <m/>
    <m/>
    <m/>
    <m/>
    <m/>
    <m/>
    <m/>
    <m/>
    <m/>
    <m/>
    <m/>
    <m/>
    <m/>
    <m/>
    <m/>
    <m/>
    <m/>
    <m/>
    <m/>
    <m/>
    <m/>
    <m/>
    <m/>
    <m/>
    <m/>
    <m/>
    <m/>
    <m/>
    <m/>
    <m/>
    <x v="2"/>
    <x v="2"/>
    <m/>
    <m/>
    <m/>
    <m/>
    <m/>
    <m/>
    <m/>
    <m/>
    <m/>
    <m/>
    <m/>
    <m/>
    <m/>
    <m/>
    <m/>
    <m/>
    <m/>
    <m/>
    <m/>
    <m/>
    <m/>
    <m/>
    <m/>
    <m/>
    <m/>
    <m/>
    <m/>
    <m/>
    <m/>
    <m/>
    <s v="no test"/>
    <s v="no test"/>
    <s v="No Test"/>
    <n v="0"/>
    <n v="0"/>
    <n v="0"/>
    <n v="0"/>
    <n v="0"/>
    <n v="0"/>
    <n v="0"/>
    <n v="0"/>
    <n v="0"/>
    <n v="0"/>
    <n v="0"/>
    <n v="0"/>
    <n v="0"/>
    <n v="0"/>
    <n v="0"/>
    <n v="0"/>
    <n v="1"/>
    <n v="170"/>
    <n v="1"/>
    <n v="1"/>
    <n v="0"/>
    <n v="0"/>
    <n v="0"/>
    <n v="0"/>
    <n v="0"/>
    <n v="0"/>
    <n v="9"/>
    <n v="9"/>
    <n v="1"/>
    <n v="0"/>
    <n v="0"/>
    <n v="0"/>
    <n v="0"/>
    <n v="0"/>
    <n v="0"/>
    <n v="0"/>
    <n v="1"/>
    <n v="0"/>
    <n v="0"/>
    <n v="0"/>
    <n v="0"/>
    <n v="0"/>
    <n v="0"/>
    <n v="0"/>
    <s v="No"/>
    <s v=""/>
    <n v="0"/>
    <n v="0"/>
    <n v="0"/>
    <n v="0"/>
    <n v="0"/>
    <x v="0"/>
    <x v="0"/>
    <x v="0"/>
    <s v="23.7.29893"/>
    <n v="98.779853500000002"/>
    <s v="MMR015CMP070"/>
    <x v="1"/>
    <m/>
    <n v="34"/>
    <n v="170"/>
  </r>
  <r>
    <x v="1"/>
    <x v="10"/>
    <x v="7"/>
    <m/>
    <x v="1"/>
    <x v="4"/>
    <x v="0"/>
    <x v="131"/>
    <n v="67"/>
    <n v="308"/>
    <s v="13-8-2021, 6-1-2020"/>
    <s v="12-20-2022, 30-7-2021"/>
    <m/>
    <m/>
    <m/>
    <m/>
    <m/>
    <m/>
    <n v="4"/>
    <m/>
    <m/>
    <m/>
    <m/>
    <m/>
    <m/>
    <m/>
    <m/>
    <m/>
    <m/>
    <m/>
    <m/>
    <m/>
    <m/>
    <m/>
    <m/>
    <m/>
    <m/>
    <m/>
    <m/>
    <m/>
    <m/>
    <m/>
    <m/>
    <m/>
    <m/>
    <m/>
    <m/>
    <m/>
    <m/>
    <m/>
    <x v="2"/>
    <x v="2"/>
    <m/>
    <m/>
    <m/>
    <m/>
    <m/>
    <m/>
    <n v="7"/>
    <m/>
    <m/>
    <n v="7"/>
    <m/>
    <m/>
    <m/>
    <m/>
    <m/>
    <m/>
    <m/>
    <m/>
    <m/>
    <m/>
    <m/>
    <m/>
    <m/>
    <m/>
    <m/>
    <m/>
    <m/>
    <m/>
    <m/>
    <m/>
    <s v="no test"/>
    <s v="no test"/>
    <s v="No Test"/>
    <n v="0"/>
    <n v="0"/>
    <n v="0"/>
    <n v="0"/>
    <n v="0"/>
    <n v="0"/>
    <n v="0"/>
    <n v="0"/>
    <n v="0"/>
    <n v="0"/>
    <n v="0"/>
    <n v="0"/>
    <n v="0"/>
    <n v="0"/>
    <n v="0"/>
    <n v="0"/>
    <n v="1"/>
    <n v="308"/>
    <n v="1"/>
    <n v="1"/>
    <n v="0"/>
    <n v="0"/>
    <n v="0"/>
    <n v="0"/>
    <n v="0"/>
    <n v="0"/>
    <n v="15"/>
    <n v="15"/>
    <n v="1"/>
    <n v="0"/>
    <n v="0"/>
    <n v="0"/>
    <n v="0"/>
    <n v="0"/>
    <n v="0"/>
    <n v="0"/>
    <n v="1"/>
    <n v="0"/>
    <n v="0"/>
    <n v="0"/>
    <n v="7"/>
    <n v="67"/>
    <n v="0"/>
    <n v="308"/>
    <s v="No"/>
    <s v=""/>
    <n v="0"/>
    <n v="0"/>
    <n v="0"/>
    <n v="0"/>
    <s v="uncovered"/>
    <x v="0"/>
    <x v="4"/>
    <x v="0"/>
    <n v="24.118618999999999"/>
    <n v="97.298055000000005"/>
    <s v="MMR001CMP196"/>
    <x v="1"/>
    <m/>
    <n v="70"/>
    <n v="344"/>
  </r>
  <r>
    <x v="1"/>
    <x v="10"/>
    <x v="7"/>
    <m/>
    <x v="1"/>
    <x v="5"/>
    <x v="0"/>
    <x v="132"/>
    <n v="6"/>
    <n v="32"/>
    <s v="13-8-2021, 6-1-2020"/>
    <s v="12-20-2022, 30-7-2021"/>
    <m/>
    <m/>
    <m/>
    <m/>
    <m/>
    <m/>
    <m/>
    <m/>
    <m/>
    <m/>
    <m/>
    <m/>
    <m/>
    <m/>
    <m/>
    <m/>
    <m/>
    <m/>
    <m/>
    <m/>
    <m/>
    <m/>
    <m/>
    <m/>
    <m/>
    <m/>
    <m/>
    <m/>
    <m/>
    <m/>
    <m/>
    <m/>
    <m/>
    <m/>
    <m/>
    <m/>
    <m/>
    <m/>
    <x v="2"/>
    <x v="2"/>
    <m/>
    <m/>
    <m/>
    <m/>
    <m/>
    <m/>
    <n v="3"/>
    <m/>
    <m/>
    <n v="2"/>
    <m/>
    <m/>
    <m/>
    <m/>
    <m/>
    <m/>
    <m/>
    <m/>
    <m/>
    <m/>
    <m/>
    <m/>
    <m/>
    <m/>
    <m/>
    <m/>
    <m/>
    <m/>
    <m/>
    <m/>
    <s v="no test"/>
    <s v="no test"/>
    <s v="No Test"/>
    <n v="0"/>
    <n v="0"/>
    <n v="0"/>
    <n v="0"/>
    <n v="0"/>
    <n v="0"/>
    <n v="0"/>
    <n v="0"/>
    <n v="0"/>
    <n v="0"/>
    <n v="0"/>
    <n v="0"/>
    <n v="0"/>
    <n v="0"/>
    <n v="0"/>
    <n v="0"/>
    <n v="1"/>
    <n v="32"/>
    <n v="1"/>
    <n v="1"/>
    <n v="0"/>
    <n v="0"/>
    <n v="0"/>
    <n v="0"/>
    <n v="0"/>
    <n v="0"/>
    <n v="2"/>
    <n v="2"/>
    <n v="1"/>
    <n v="0"/>
    <n v="0"/>
    <n v="0"/>
    <n v="0"/>
    <n v="0"/>
    <n v="0"/>
    <n v="0"/>
    <n v="1"/>
    <n v="0"/>
    <n v="0"/>
    <n v="0"/>
    <n v="3"/>
    <n v="6"/>
    <n v="0"/>
    <n v="32"/>
    <s v="No"/>
    <s v=""/>
    <n v="0"/>
    <n v="0"/>
    <n v="0"/>
    <n v="0"/>
    <s v="uncovered"/>
    <x v="0"/>
    <x v="0"/>
    <x v="0"/>
    <n v="25.30274"/>
    <n v="96.940380000000005"/>
    <s v="MMR001CMP262"/>
    <x v="1"/>
    <m/>
    <n v="5"/>
    <n v="32"/>
  </r>
  <r>
    <x v="1"/>
    <x v="10"/>
    <x v="7"/>
    <m/>
    <x v="1"/>
    <x v="6"/>
    <x v="0"/>
    <x v="133"/>
    <n v="27"/>
    <n v="126"/>
    <s v="13-8-2021, 6-1-2020"/>
    <s v="12-20-2022, 30-7-2021"/>
    <m/>
    <m/>
    <m/>
    <m/>
    <m/>
    <m/>
    <m/>
    <m/>
    <m/>
    <m/>
    <m/>
    <m/>
    <m/>
    <m/>
    <m/>
    <m/>
    <m/>
    <m/>
    <m/>
    <m/>
    <m/>
    <m/>
    <m/>
    <m/>
    <m/>
    <m/>
    <m/>
    <m/>
    <m/>
    <m/>
    <m/>
    <m/>
    <m/>
    <m/>
    <m/>
    <m/>
    <m/>
    <m/>
    <x v="2"/>
    <x v="2"/>
    <m/>
    <m/>
    <m/>
    <m/>
    <m/>
    <m/>
    <n v="8"/>
    <m/>
    <m/>
    <n v="3"/>
    <m/>
    <m/>
    <m/>
    <m/>
    <m/>
    <m/>
    <m/>
    <m/>
    <m/>
    <m/>
    <m/>
    <m/>
    <m/>
    <m/>
    <m/>
    <m/>
    <m/>
    <m/>
    <m/>
    <m/>
    <s v="no test"/>
    <s v="no test"/>
    <s v="No Test"/>
    <n v="0"/>
    <n v="0"/>
    <n v="0"/>
    <n v="0"/>
    <n v="0"/>
    <n v="0"/>
    <n v="0"/>
    <n v="0"/>
    <n v="0"/>
    <n v="0"/>
    <n v="0"/>
    <n v="0"/>
    <n v="0"/>
    <n v="0"/>
    <n v="0"/>
    <n v="0"/>
    <n v="1"/>
    <n v="126"/>
    <n v="1"/>
    <n v="1"/>
    <n v="0"/>
    <n v="0"/>
    <n v="0"/>
    <n v="0"/>
    <n v="0"/>
    <n v="0"/>
    <n v="6"/>
    <n v="6"/>
    <n v="1"/>
    <n v="0"/>
    <n v="0"/>
    <n v="0"/>
    <n v="0"/>
    <n v="0"/>
    <n v="0"/>
    <n v="0"/>
    <n v="1"/>
    <n v="0"/>
    <n v="0"/>
    <n v="0"/>
    <n v="8"/>
    <n v="27"/>
    <n v="0"/>
    <n v="126"/>
    <s v="No"/>
    <s v=""/>
    <n v="0"/>
    <n v="0"/>
    <n v="0"/>
    <n v="0"/>
    <s v="uncovered"/>
    <x v="0"/>
    <x v="4"/>
    <x v="0"/>
    <n v="24.996279999999999"/>
    <n v="96.52534"/>
    <s v="MMR001CMP232"/>
    <x v="1"/>
    <m/>
    <n v="26"/>
    <n v="125"/>
  </r>
  <r>
    <x v="1"/>
    <x v="10"/>
    <x v="7"/>
    <m/>
    <x v="1"/>
    <x v="6"/>
    <x v="0"/>
    <x v="134"/>
    <n v="15"/>
    <n v="71"/>
    <s v="13-8-2021, 6-1-2020"/>
    <s v="12-20-2022, 30-7-2021"/>
    <m/>
    <m/>
    <m/>
    <m/>
    <m/>
    <m/>
    <n v="4"/>
    <m/>
    <m/>
    <m/>
    <m/>
    <m/>
    <m/>
    <m/>
    <m/>
    <m/>
    <m/>
    <m/>
    <m/>
    <m/>
    <m/>
    <m/>
    <m/>
    <m/>
    <m/>
    <m/>
    <m/>
    <m/>
    <m/>
    <m/>
    <m/>
    <m/>
    <m/>
    <m/>
    <m/>
    <m/>
    <m/>
    <m/>
    <x v="2"/>
    <x v="2"/>
    <m/>
    <m/>
    <m/>
    <m/>
    <m/>
    <m/>
    <n v="3"/>
    <m/>
    <m/>
    <n v="2"/>
    <m/>
    <m/>
    <m/>
    <m/>
    <m/>
    <m/>
    <m/>
    <m/>
    <m/>
    <m/>
    <m/>
    <m/>
    <m/>
    <m/>
    <m/>
    <m/>
    <m/>
    <m/>
    <m/>
    <m/>
    <s v="no test"/>
    <s v="no test"/>
    <s v="No Test"/>
    <n v="0"/>
    <n v="0"/>
    <n v="0"/>
    <n v="0"/>
    <n v="0"/>
    <n v="0"/>
    <n v="0"/>
    <n v="0"/>
    <n v="0"/>
    <n v="0"/>
    <n v="0"/>
    <n v="0"/>
    <n v="0"/>
    <n v="0"/>
    <n v="0"/>
    <n v="0"/>
    <n v="1"/>
    <n v="71"/>
    <n v="1"/>
    <n v="1"/>
    <n v="0"/>
    <n v="0"/>
    <n v="0"/>
    <n v="0"/>
    <n v="0"/>
    <n v="0"/>
    <n v="4"/>
    <n v="4"/>
    <n v="1"/>
    <n v="0"/>
    <n v="0"/>
    <n v="0"/>
    <n v="0"/>
    <n v="0"/>
    <n v="0"/>
    <n v="0"/>
    <n v="1"/>
    <n v="0"/>
    <n v="0"/>
    <n v="0"/>
    <n v="3"/>
    <n v="15"/>
    <n v="0"/>
    <n v="71"/>
    <s v="No"/>
    <s v=""/>
    <n v="0"/>
    <n v="0"/>
    <n v="0"/>
    <n v="0"/>
    <s v="uncovered"/>
    <x v="0"/>
    <x v="4"/>
    <x v="0"/>
    <n v="24.764959999999999"/>
    <n v="96.366919999999993"/>
    <s v="MMR001CMP233"/>
    <x v="1"/>
    <m/>
    <n v="7"/>
    <n v="35"/>
  </r>
  <r>
    <x v="1"/>
    <x v="10"/>
    <x v="7"/>
    <m/>
    <x v="1"/>
    <x v="7"/>
    <x v="0"/>
    <x v="136"/>
    <n v="223"/>
    <n v="1067"/>
    <s v="13-8-2021, 6-1-2020"/>
    <s v="12-20-2022, 30-7-2021"/>
    <m/>
    <m/>
    <m/>
    <m/>
    <m/>
    <m/>
    <n v="4"/>
    <m/>
    <m/>
    <m/>
    <m/>
    <m/>
    <m/>
    <m/>
    <m/>
    <m/>
    <m/>
    <m/>
    <m/>
    <m/>
    <m/>
    <m/>
    <m/>
    <m/>
    <m/>
    <m/>
    <m/>
    <m/>
    <m/>
    <m/>
    <m/>
    <m/>
    <m/>
    <m/>
    <m/>
    <m/>
    <m/>
    <m/>
    <x v="2"/>
    <x v="2"/>
    <m/>
    <m/>
    <m/>
    <m/>
    <m/>
    <m/>
    <n v="3"/>
    <m/>
    <m/>
    <n v="2"/>
    <m/>
    <m/>
    <m/>
    <m/>
    <m/>
    <m/>
    <m/>
    <m/>
    <m/>
    <m/>
    <m/>
    <m/>
    <m/>
    <m/>
    <m/>
    <m/>
    <m/>
    <m/>
    <m/>
    <m/>
    <s v="no test"/>
    <s v="no test"/>
    <s v="No Test"/>
    <n v="0"/>
    <n v="0"/>
    <n v="0"/>
    <n v="0"/>
    <n v="0"/>
    <n v="0"/>
    <n v="0"/>
    <n v="0"/>
    <n v="0"/>
    <n v="0"/>
    <n v="0"/>
    <n v="0"/>
    <n v="0"/>
    <n v="0"/>
    <n v="0"/>
    <n v="0"/>
    <n v="1"/>
    <n v="1067"/>
    <n v="2"/>
    <n v="2"/>
    <n v="0"/>
    <n v="0"/>
    <n v="0"/>
    <n v="0"/>
    <n v="0"/>
    <n v="0"/>
    <n v="53"/>
    <n v="53"/>
    <n v="1"/>
    <n v="0"/>
    <n v="0"/>
    <n v="0"/>
    <n v="0"/>
    <n v="0"/>
    <n v="0"/>
    <n v="0"/>
    <n v="1"/>
    <n v="0"/>
    <n v="0"/>
    <n v="0"/>
    <n v="3"/>
    <n v="60"/>
    <n v="0"/>
    <n v="300"/>
    <s v="No"/>
    <s v=""/>
    <n v="0"/>
    <n v="0"/>
    <n v="0"/>
    <n v="0"/>
    <s v="uncovered"/>
    <x v="0"/>
    <x v="4"/>
    <x v="0"/>
    <n v="24.251232000000002"/>
    <n v="97.348405"/>
    <s v="MMR001CMP197"/>
    <x v="1"/>
    <m/>
    <n v="171"/>
    <n v="882"/>
  </r>
  <r>
    <x v="1"/>
    <x v="10"/>
    <x v="7"/>
    <m/>
    <x v="1"/>
    <x v="7"/>
    <x v="0"/>
    <x v="137"/>
    <n v="15"/>
    <n v="101"/>
    <s v="13-8-2021, 6-1-2020"/>
    <s v="12-20-2022, 30-7-2021"/>
    <m/>
    <m/>
    <m/>
    <m/>
    <m/>
    <m/>
    <n v="1"/>
    <m/>
    <m/>
    <m/>
    <m/>
    <m/>
    <m/>
    <m/>
    <m/>
    <m/>
    <m/>
    <m/>
    <m/>
    <m/>
    <m/>
    <m/>
    <m/>
    <m/>
    <m/>
    <m/>
    <m/>
    <m/>
    <m/>
    <m/>
    <m/>
    <m/>
    <m/>
    <m/>
    <m/>
    <m/>
    <m/>
    <m/>
    <x v="2"/>
    <x v="2"/>
    <m/>
    <m/>
    <m/>
    <m/>
    <m/>
    <m/>
    <n v="1"/>
    <m/>
    <m/>
    <n v="3"/>
    <m/>
    <m/>
    <m/>
    <m/>
    <m/>
    <m/>
    <m/>
    <m/>
    <m/>
    <m/>
    <m/>
    <m/>
    <m/>
    <m/>
    <m/>
    <m/>
    <m/>
    <m/>
    <m/>
    <m/>
    <s v="no test"/>
    <s v="no test"/>
    <s v="No Test"/>
    <n v="0"/>
    <n v="0"/>
    <n v="0"/>
    <n v="0"/>
    <n v="0"/>
    <n v="0"/>
    <n v="0"/>
    <n v="0"/>
    <n v="0"/>
    <n v="0"/>
    <n v="0"/>
    <n v="0"/>
    <n v="0"/>
    <n v="0"/>
    <n v="0"/>
    <n v="0"/>
    <n v="1"/>
    <n v="101"/>
    <n v="1"/>
    <n v="1"/>
    <n v="0"/>
    <n v="0"/>
    <n v="0"/>
    <n v="0"/>
    <n v="0"/>
    <n v="0"/>
    <n v="5"/>
    <n v="5"/>
    <n v="1"/>
    <n v="0"/>
    <n v="0"/>
    <n v="0"/>
    <n v="0"/>
    <n v="0"/>
    <n v="0"/>
    <n v="0"/>
    <n v="1"/>
    <n v="0"/>
    <n v="0"/>
    <n v="0"/>
    <n v="1"/>
    <n v="15"/>
    <n v="0"/>
    <n v="100"/>
    <s v="No"/>
    <s v=""/>
    <n v="0"/>
    <n v="0"/>
    <n v="0"/>
    <n v="0"/>
    <s v="uncovered"/>
    <x v="0"/>
    <x v="4"/>
    <x v="0"/>
    <n v="24.404876999999999"/>
    <n v="97.407787999999996"/>
    <s v="MMR001CMP061"/>
    <x v="1"/>
    <m/>
    <n v="15"/>
    <n v="101"/>
  </r>
  <r>
    <x v="1"/>
    <x v="10"/>
    <x v="7"/>
    <m/>
    <x v="1"/>
    <x v="8"/>
    <x v="0"/>
    <x v="139"/>
    <n v="26"/>
    <n v="147"/>
    <s v="13-8-2021, 6-1-2020"/>
    <s v="12-20-2022, 30-7-2021"/>
    <m/>
    <m/>
    <m/>
    <m/>
    <m/>
    <m/>
    <n v="4"/>
    <m/>
    <m/>
    <m/>
    <m/>
    <m/>
    <m/>
    <m/>
    <m/>
    <m/>
    <m/>
    <m/>
    <m/>
    <m/>
    <m/>
    <m/>
    <m/>
    <m/>
    <m/>
    <m/>
    <m/>
    <m/>
    <m/>
    <m/>
    <m/>
    <m/>
    <m/>
    <m/>
    <m/>
    <m/>
    <m/>
    <m/>
    <x v="2"/>
    <x v="2"/>
    <m/>
    <m/>
    <m/>
    <m/>
    <m/>
    <m/>
    <n v="1"/>
    <m/>
    <m/>
    <n v="1"/>
    <m/>
    <m/>
    <m/>
    <m/>
    <m/>
    <m/>
    <m/>
    <m/>
    <m/>
    <m/>
    <m/>
    <m/>
    <m/>
    <m/>
    <m/>
    <m/>
    <m/>
    <m/>
    <m/>
    <m/>
    <s v="no test"/>
    <s v="no test"/>
    <s v="No Test"/>
    <n v="0"/>
    <n v="0"/>
    <n v="0"/>
    <n v="0"/>
    <n v="0"/>
    <n v="0"/>
    <n v="0"/>
    <n v="0"/>
    <n v="0"/>
    <n v="0"/>
    <n v="0"/>
    <n v="0"/>
    <n v="0"/>
    <n v="0"/>
    <n v="0"/>
    <n v="0"/>
    <n v="1"/>
    <n v="147"/>
    <n v="1"/>
    <n v="1"/>
    <n v="0"/>
    <n v="0"/>
    <n v="0"/>
    <n v="0"/>
    <n v="0"/>
    <n v="0"/>
    <n v="7"/>
    <n v="7"/>
    <n v="1"/>
    <n v="0"/>
    <n v="0"/>
    <n v="0"/>
    <n v="0"/>
    <n v="0"/>
    <n v="0"/>
    <n v="0"/>
    <n v="1"/>
    <n v="0"/>
    <n v="0"/>
    <n v="0"/>
    <n v="1"/>
    <n v="20"/>
    <n v="0"/>
    <n v="100"/>
    <s v="No"/>
    <s v=""/>
    <n v="0"/>
    <n v="0"/>
    <n v="0"/>
    <n v="0"/>
    <s v="uncovered"/>
    <x v="0"/>
    <x v="1"/>
    <x v="0"/>
    <n v="25.387892000000001"/>
    <n v="97.325181999999998"/>
    <s v="MMR001CMP276"/>
    <x v="1"/>
    <m/>
    <n v="26"/>
    <n v="138"/>
  </r>
  <r>
    <x v="1"/>
    <x v="10"/>
    <x v="7"/>
    <m/>
    <x v="1"/>
    <x v="11"/>
    <x v="0"/>
    <x v="140"/>
    <n v="31"/>
    <n v="171"/>
    <s v="13-8-2021, 6-1-2020"/>
    <s v="12-20-2022, 30-7-2021"/>
    <m/>
    <m/>
    <m/>
    <m/>
    <m/>
    <m/>
    <n v="4"/>
    <m/>
    <m/>
    <m/>
    <m/>
    <m/>
    <m/>
    <m/>
    <m/>
    <m/>
    <m/>
    <m/>
    <m/>
    <m/>
    <m/>
    <m/>
    <m/>
    <m/>
    <m/>
    <m/>
    <m/>
    <m/>
    <m/>
    <m/>
    <m/>
    <m/>
    <m/>
    <m/>
    <m/>
    <m/>
    <m/>
    <m/>
    <x v="2"/>
    <x v="2"/>
    <m/>
    <m/>
    <m/>
    <m/>
    <m/>
    <m/>
    <n v="1"/>
    <m/>
    <m/>
    <n v="1"/>
    <m/>
    <m/>
    <m/>
    <m/>
    <m/>
    <m/>
    <m/>
    <m/>
    <m/>
    <m/>
    <m/>
    <m/>
    <m/>
    <m/>
    <m/>
    <m/>
    <m/>
    <m/>
    <m/>
    <m/>
    <s v="no test"/>
    <s v="no test"/>
    <s v="No Test"/>
    <n v="0"/>
    <n v="0"/>
    <n v="0"/>
    <n v="0"/>
    <n v="0"/>
    <n v="0"/>
    <n v="0"/>
    <n v="0"/>
    <n v="0"/>
    <n v="0"/>
    <n v="0"/>
    <n v="0"/>
    <n v="0"/>
    <n v="0"/>
    <n v="0"/>
    <n v="0"/>
    <n v="1"/>
    <n v="171"/>
    <n v="1"/>
    <n v="1"/>
    <n v="0"/>
    <n v="0"/>
    <n v="0"/>
    <n v="0"/>
    <n v="0"/>
    <n v="0"/>
    <n v="9"/>
    <n v="9"/>
    <n v="1"/>
    <n v="0"/>
    <n v="0"/>
    <n v="0"/>
    <n v="0"/>
    <n v="0"/>
    <n v="0"/>
    <n v="0"/>
    <n v="1"/>
    <n v="0"/>
    <n v="0"/>
    <n v="0"/>
    <n v="1"/>
    <n v="20"/>
    <n v="0"/>
    <n v="100"/>
    <s v="No"/>
    <s v=""/>
    <n v="0"/>
    <n v="0"/>
    <n v="0"/>
    <n v="0"/>
    <s v="uncovered"/>
    <x v="0"/>
    <x v="0"/>
    <x v="0"/>
    <n v="26.299828999999999"/>
    <n v="97.487258999999995"/>
    <s v="MMR001CMP272"/>
    <x v="1"/>
    <m/>
    <n v="31"/>
    <n v="171"/>
  </r>
  <r>
    <x v="1"/>
    <x v="10"/>
    <x v="7"/>
    <m/>
    <x v="1"/>
    <x v="13"/>
    <x v="0"/>
    <x v="141"/>
    <n v="48"/>
    <n v="240"/>
    <m/>
    <m/>
    <m/>
    <m/>
    <m/>
    <m/>
    <m/>
    <m/>
    <m/>
    <m/>
    <m/>
    <m/>
    <m/>
    <m/>
    <m/>
    <m/>
    <m/>
    <m/>
    <m/>
    <m/>
    <m/>
    <m/>
    <m/>
    <m/>
    <m/>
    <m/>
    <m/>
    <m/>
    <m/>
    <m/>
    <m/>
    <m/>
    <m/>
    <m/>
    <m/>
    <m/>
    <m/>
    <m/>
    <m/>
    <m/>
    <x v="2"/>
    <x v="2"/>
    <m/>
    <m/>
    <m/>
    <m/>
    <m/>
    <m/>
    <n v="7"/>
    <m/>
    <m/>
    <n v="4"/>
    <m/>
    <m/>
    <m/>
    <m/>
    <m/>
    <m/>
    <m/>
    <m/>
    <m/>
    <m/>
    <m/>
    <m/>
    <m/>
    <m/>
    <m/>
    <m/>
    <m/>
    <m/>
    <m/>
    <m/>
    <s v="no test"/>
    <s v="no test"/>
    <s v="No Test"/>
    <n v="0"/>
    <n v="0"/>
    <n v="0"/>
    <n v="0"/>
    <n v="0"/>
    <n v="0"/>
    <n v="0"/>
    <n v="0"/>
    <n v="0"/>
    <n v="0"/>
    <n v="0"/>
    <n v="0"/>
    <n v="0"/>
    <n v="0"/>
    <n v="0"/>
    <n v="0"/>
    <n v="1"/>
    <n v="240"/>
    <n v="1"/>
    <n v="1"/>
    <n v="0"/>
    <n v="0"/>
    <n v="0"/>
    <n v="0"/>
    <n v="0"/>
    <n v="0"/>
    <n v="12"/>
    <n v="12"/>
    <n v="1"/>
    <n v="0"/>
    <n v="0"/>
    <n v="0"/>
    <n v="0"/>
    <n v="0"/>
    <n v="0"/>
    <n v="0"/>
    <n v="1"/>
    <n v="0"/>
    <n v="0"/>
    <n v="0"/>
    <n v="7"/>
    <n v="48"/>
    <n v="0"/>
    <n v="240"/>
    <s v="No"/>
    <s v=""/>
    <n v="0"/>
    <n v="0"/>
    <n v="0"/>
    <n v="0"/>
    <s v="Uncovered  "/>
    <x v="0"/>
    <x v="0"/>
    <x v="0"/>
    <n v="0"/>
    <n v="0"/>
    <s v="MMR001CMP293"/>
    <x v="1"/>
    <m/>
    <n v="48"/>
    <n v="240"/>
  </r>
  <r>
    <x v="1"/>
    <x v="10"/>
    <x v="7"/>
    <m/>
    <x v="1"/>
    <x v="13"/>
    <x v="0"/>
    <x v="142"/>
    <n v="34"/>
    <n v="189"/>
    <m/>
    <m/>
    <m/>
    <m/>
    <m/>
    <m/>
    <m/>
    <m/>
    <m/>
    <m/>
    <m/>
    <m/>
    <m/>
    <m/>
    <m/>
    <m/>
    <m/>
    <m/>
    <m/>
    <m/>
    <m/>
    <m/>
    <m/>
    <m/>
    <m/>
    <m/>
    <m/>
    <m/>
    <m/>
    <m/>
    <m/>
    <m/>
    <m/>
    <m/>
    <m/>
    <m/>
    <m/>
    <m/>
    <m/>
    <m/>
    <x v="2"/>
    <x v="2"/>
    <m/>
    <m/>
    <m/>
    <m/>
    <m/>
    <m/>
    <n v="3"/>
    <m/>
    <m/>
    <n v="2"/>
    <m/>
    <m/>
    <m/>
    <m/>
    <m/>
    <m/>
    <m/>
    <m/>
    <m/>
    <m/>
    <m/>
    <m/>
    <m/>
    <m/>
    <m/>
    <m/>
    <m/>
    <m/>
    <m/>
    <m/>
    <s v="no test"/>
    <s v="no test"/>
    <s v="No Test"/>
    <n v="0"/>
    <n v="0"/>
    <n v="0"/>
    <n v="0"/>
    <n v="0"/>
    <n v="0"/>
    <n v="0"/>
    <n v="0"/>
    <n v="0"/>
    <n v="0"/>
    <n v="0"/>
    <n v="0"/>
    <n v="0"/>
    <n v="0"/>
    <n v="0"/>
    <n v="0"/>
    <n v="1"/>
    <n v="189"/>
    <n v="1"/>
    <n v="1"/>
    <n v="0"/>
    <n v="0"/>
    <n v="0"/>
    <n v="0"/>
    <n v="0"/>
    <n v="0"/>
    <n v="9"/>
    <n v="9"/>
    <n v="1"/>
    <n v="0"/>
    <n v="0"/>
    <n v="0"/>
    <n v="0"/>
    <n v="0"/>
    <n v="0"/>
    <n v="0"/>
    <n v="1"/>
    <n v="0"/>
    <n v="0"/>
    <n v="0"/>
    <n v="3"/>
    <n v="34"/>
    <n v="0"/>
    <n v="189"/>
    <s v="No"/>
    <s v=""/>
    <n v="0"/>
    <n v="0"/>
    <n v="0"/>
    <n v="0"/>
    <s v="Uncovered  "/>
    <x v="0"/>
    <x v="0"/>
    <x v="0"/>
    <n v="0"/>
    <n v="0"/>
    <s v="MMR001CMP294"/>
    <x v="1"/>
    <m/>
    <n v="34"/>
    <n v="189"/>
  </r>
  <r>
    <x v="1"/>
    <x v="10"/>
    <x v="7"/>
    <m/>
    <x v="1"/>
    <x v="13"/>
    <x v="0"/>
    <x v="143"/>
    <n v="45"/>
    <n v="247"/>
    <m/>
    <m/>
    <m/>
    <m/>
    <m/>
    <m/>
    <m/>
    <m/>
    <m/>
    <m/>
    <m/>
    <m/>
    <m/>
    <m/>
    <m/>
    <m/>
    <m/>
    <m/>
    <m/>
    <m/>
    <m/>
    <m/>
    <m/>
    <m/>
    <m/>
    <m/>
    <m/>
    <m/>
    <m/>
    <m/>
    <m/>
    <m/>
    <m/>
    <m/>
    <m/>
    <m/>
    <m/>
    <m/>
    <m/>
    <m/>
    <x v="2"/>
    <x v="2"/>
    <m/>
    <m/>
    <m/>
    <m/>
    <m/>
    <m/>
    <n v="3"/>
    <m/>
    <m/>
    <n v="2"/>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3"/>
    <n v="45"/>
    <n v="0"/>
    <n v="247"/>
    <s v="No"/>
    <s v=""/>
    <n v="0"/>
    <n v="0"/>
    <n v="0"/>
    <n v="0"/>
    <s v="Uncovered  "/>
    <x v="0"/>
    <x v="0"/>
    <x v="0"/>
    <n v="0"/>
    <n v="0"/>
    <s v="MMR001CMP292"/>
    <x v="1"/>
    <m/>
    <n v="87"/>
    <n v="478"/>
  </r>
  <r>
    <x v="1"/>
    <x v="10"/>
    <x v="7"/>
    <m/>
    <x v="1"/>
    <x v="13"/>
    <x v="0"/>
    <x v="144"/>
    <n v="40"/>
    <n v="220"/>
    <m/>
    <m/>
    <m/>
    <m/>
    <m/>
    <m/>
    <m/>
    <m/>
    <m/>
    <m/>
    <m/>
    <m/>
    <m/>
    <m/>
    <m/>
    <m/>
    <m/>
    <m/>
    <m/>
    <m/>
    <m/>
    <m/>
    <m/>
    <m/>
    <m/>
    <m/>
    <m/>
    <m/>
    <m/>
    <m/>
    <m/>
    <m/>
    <m/>
    <m/>
    <m/>
    <m/>
    <m/>
    <m/>
    <m/>
    <m/>
    <x v="2"/>
    <x v="2"/>
    <m/>
    <m/>
    <m/>
    <m/>
    <m/>
    <m/>
    <n v="3"/>
    <m/>
    <m/>
    <n v="2"/>
    <m/>
    <m/>
    <m/>
    <m/>
    <m/>
    <m/>
    <m/>
    <m/>
    <m/>
    <m/>
    <m/>
    <m/>
    <m/>
    <m/>
    <m/>
    <m/>
    <m/>
    <m/>
    <m/>
    <m/>
    <s v="no test"/>
    <s v="no test"/>
    <s v="No Test"/>
    <n v="0"/>
    <n v="0"/>
    <n v="0"/>
    <n v="0"/>
    <n v="0"/>
    <n v="0"/>
    <n v="0"/>
    <n v="0"/>
    <n v="0"/>
    <n v="0"/>
    <n v="0"/>
    <n v="0"/>
    <n v="0"/>
    <n v="0"/>
    <n v="0"/>
    <n v="0"/>
    <n v="1"/>
    <n v="220"/>
    <n v="1"/>
    <n v="1"/>
    <n v="0"/>
    <n v="0"/>
    <n v="0"/>
    <n v="0"/>
    <n v="0"/>
    <n v="0"/>
    <n v="11"/>
    <n v="11"/>
    <n v="1"/>
    <n v="0"/>
    <n v="0"/>
    <n v="0"/>
    <n v="0"/>
    <n v="0"/>
    <n v="0"/>
    <n v="0"/>
    <n v="1"/>
    <n v="0"/>
    <n v="0"/>
    <n v="0"/>
    <n v="3"/>
    <n v="40"/>
    <n v="0"/>
    <n v="220"/>
    <s v="No"/>
    <s v=""/>
    <n v="0"/>
    <n v="0"/>
    <n v="0"/>
    <n v="0"/>
    <s v="Uncovered  "/>
    <x v="0"/>
    <x v="0"/>
    <x v="0"/>
    <n v="25.210599999999999"/>
    <n v="97.264700000000005"/>
    <s v="MMR001CMP289"/>
    <x v="1"/>
    <m/>
    <n v="40"/>
    <n v="220"/>
  </r>
  <r>
    <x v="1"/>
    <x v="10"/>
    <x v="7"/>
    <m/>
    <x v="1"/>
    <x v="13"/>
    <x v="0"/>
    <x v="145"/>
    <n v="12"/>
    <n v="59"/>
    <m/>
    <m/>
    <m/>
    <m/>
    <m/>
    <m/>
    <m/>
    <m/>
    <m/>
    <m/>
    <m/>
    <m/>
    <m/>
    <m/>
    <m/>
    <m/>
    <m/>
    <m/>
    <m/>
    <m/>
    <m/>
    <m/>
    <m/>
    <m/>
    <m/>
    <m/>
    <m/>
    <m/>
    <m/>
    <m/>
    <m/>
    <m/>
    <m/>
    <m/>
    <m/>
    <m/>
    <m/>
    <m/>
    <m/>
    <m/>
    <x v="2"/>
    <x v="2"/>
    <m/>
    <m/>
    <m/>
    <m/>
    <m/>
    <m/>
    <n v="7"/>
    <m/>
    <m/>
    <n v="7"/>
    <m/>
    <m/>
    <m/>
    <m/>
    <m/>
    <m/>
    <m/>
    <m/>
    <m/>
    <m/>
    <m/>
    <m/>
    <m/>
    <m/>
    <m/>
    <m/>
    <m/>
    <m/>
    <m/>
    <m/>
    <s v="no test"/>
    <s v="no test"/>
    <s v="No Test"/>
    <n v="0"/>
    <n v="0"/>
    <n v="0"/>
    <n v="0"/>
    <n v="0"/>
    <n v="0"/>
    <n v="0"/>
    <n v="0"/>
    <n v="0"/>
    <n v="0"/>
    <n v="0"/>
    <n v="0"/>
    <n v="0"/>
    <n v="0"/>
    <n v="0"/>
    <n v="0"/>
    <n v="1"/>
    <n v="59"/>
    <n v="1"/>
    <n v="1"/>
    <n v="0"/>
    <n v="0"/>
    <n v="0"/>
    <n v="0"/>
    <n v="0"/>
    <n v="0"/>
    <n v="3"/>
    <n v="3"/>
    <n v="1"/>
    <n v="0"/>
    <n v="0"/>
    <n v="0"/>
    <n v="0"/>
    <n v="0"/>
    <n v="0"/>
    <n v="0"/>
    <n v="1"/>
    <n v="0"/>
    <n v="0"/>
    <n v="0"/>
    <n v="7"/>
    <n v="12"/>
    <n v="0"/>
    <n v="59"/>
    <s v="No"/>
    <s v=""/>
    <n v="0"/>
    <n v="0"/>
    <n v="0"/>
    <n v="0"/>
    <s v="Uncovered  "/>
    <x v="0"/>
    <x v="0"/>
    <x v="0"/>
    <n v="0"/>
    <n v="0"/>
    <s v="MMR001CMP295"/>
    <x v="1"/>
    <m/>
    <n v="12"/>
    <n v="59"/>
  </r>
  <r>
    <x v="1"/>
    <x v="10"/>
    <x v="7"/>
    <m/>
    <x v="1"/>
    <x v="13"/>
    <x v="0"/>
    <x v="146"/>
    <n v="12"/>
    <n v="80"/>
    <m/>
    <m/>
    <m/>
    <m/>
    <m/>
    <m/>
    <m/>
    <m/>
    <m/>
    <m/>
    <m/>
    <m/>
    <m/>
    <m/>
    <m/>
    <m/>
    <m/>
    <m/>
    <m/>
    <m/>
    <m/>
    <m/>
    <m/>
    <m/>
    <m/>
    <m/>
    <m/>
    <m/>
    <m/>
    <m/>
    <m/>
    <m/>
    <m/>
    <m/>
    <m/>
    <m/>
    <m/>
    <m/>
    <m/>
    <m/>
    <x v="2"/>
    <x v="2"/>
    <m/>
    <m/>
    <m/>
    <m/>
    <m/>
    <m/>
    <n v="7"/>
    <m/>
    <m/>
    <n v="4"/>
    <m/>
    <m/>
    <m/>
    <m/>
    <m/>
    <m/>
    <m/>
    <m/>
    <m/>
    <m/>
    <m/>
    <m/>
    <m/>
    <m/>
    <m/>
    <m/>
    <m/>
    <m/>
    <m/>
    <m/>
    <s v="no test"/>
    <s v="no test"/>
    <s v="No Test"/>
    <n v="0"/>
    <n v="0"/>
    <n v="0"/>
    <n v="0"/>
    <n v="0"/>
    <n v="0"/>
    <n v="0"/>
    <n v="0"/>
    <n v="0"/>
    <n v="0"/>
    <n v="0"/>
    <n v="0"/>
    <n v="0"/>
    <n v="0"/>
    <n v="0"/>
    <n v="0"/>
    <n v="1"/>
    <n v="80"/>
    <n v="1"/>
    <n v="1"/>
    <n v="0"/>
    <n v="0"/>
    <n v="0"/>
    <n v="0"/>
    <n v="0"/>
    <n v="0"/>
    <n v="4"/>
    <n v="4"/>
    <n v="1"/>
    <n v="0"/>
    <n v="0"/>
    <n v="0"/>
    <n v="0"/>
    <n v="0"/>
    <n v="0"/>
    <n v="0"/>
    <n v="1"/>
    <n v="0"/>
    <n v="0"/>
    <n v="0"/>
    <n v="7"/>
    <n v="12"/>
    <n v="0"/>
    <n v="80"/>
    <s v="No"/>
    <s v=""/>
    <n v="0"/>
    <n v="0"/>
    <n v="0"/>
    <s v="Yes"/>
    <s v="Shalom"/>
    <x v="0"/>
    <x v="0"/>
    <x v="0"/>
    <n v="25.221299999999999"/>
    <n v="97.255300000000005"/>
    <s v="MMR001CMP286"/>
    <x v="1"/>
    <m/>
    <n v="12"/>
    <n v="80"/>
  </r>
  <r>
    <x v="1"/>
    <x v="10"/>
    <x v="7"/>
    <m/>
    <x v="1"/>
    <x v="13"/>
    <x v="0"/>
    <x v="148"/>
    <n v="45"/>
    <n v="247"/>
    <s v="13-8-2021, 6-1-2020"/>
    <s v="12-20-2022, 30-7-2021"/>
    <m/>
    <m/>
    <m/>
    <m/>
    <m/>
    <m/>
    <n v="2"/>
    <m/>
    <m/>
    <m/>
    <m/>
    <m/>
    <m/>
    <m/>
    <m/>
    <m/>
    <m/>
    <m/>
    <m/>
    <m/>
    <m/>
    <m/>
    <m/>
    <m/>
    <m/>
    <m/>
    <m/>
    <m/>
    <m/>
    <m/>
    <m/>
    <m/>
    <m/>
    <m/>
    <m/>
    <m/>
    <m/>
    <m/>
    <x v="2"/>
    <x v="2"/>
    <m/>
    <m/>
    <m/>
    <m/>
    <m/>
    <m/>
    <n v="1"/>
    <m/>
    <m/>
    <n v="3"/>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1"/>
    <n v="20"/>
    <n v="0"/>
    <n v="100"/>
    <s v="No"/>
    <s v=""/>
    <n v="0"/>
    <n v="0"/>
    <n v="0"/>
    <n v="0"/>
    <s v="uncovered"/>
    <x v="0"/>
    <x v="0"/>
    <x v="0"/>
    <n v="25.391428000000001"/>
    <n v="97.898184999999998"/>
    <s v="MMR001CMP258"/>
    <x v="1"/>
    <m/>
    <n v="45"/>
    <n v="247"/>
  </r>
  <r>
    <x v="1"/>
    <x v="10"/>
    <x v="7"/>
    <m/>
    <x v="1"/>
    <x v="13"/>
    <x v="0"/>
    <x v="150"/>
    <n v="27"/>
    <n v="139"/>
    <m/>
    <m/>
    <m/>
    <m/>
    <m/>
    <m/>
    <m/>
    <m/>
    <m/>
    <m/>
    <m/>
    <m/>
    <m/>
    <m/>
    <m/>
    <m/>
    <m/>
    <m/>
    <m/>
    <m/>
    <m/>
    <m/>
    <m/>
    <m/>
    <m/>
    <m/>
    <m/>
    <m/>
    <m/>
    <m/>
    <m/>
    <m/>
    <m/>
    <m/>
    <m/>
    <m/>
    <m/>
    <m/>
    <m/>
    <m/>
    <x v="2"/>
    <x v="2"/>
    <m/>
    <m/>
    <m/>
    <m/>
    <m/>
    <m/>
    <n v="7"/>
    <m/>
    <m/>
    <n v="7"/>
    <m/>
    <m/>
    <m/>
    <m/>
    <m/>
    <m/>
    <m/>
    <m/>
    <m/>
    <m/>
    <m/>
    <m/>
    <m/>
    <m/>
    <m/>
    <m/>
    <m/>
    <m/>
    <m/>
    <m/>
    <s v="no test"/>
    <s v="no test"/>
    <s v="No Test"/>
    <n v="0"/>
    <n v="0"/>
    <n v="0"/>
    <n v="0"/>
    <n v="0"/>
    <n v="0"/>
    <n v="0"/>
    <n v="0"/>
    <n v="0"/>
    <n v="0"/>
    <n v="0"/>
    <n v="0"/>
    <n v="0"/>
    <n v="0"/>
    <n v="0"/>
    <n v="0"/>
    <n v="1"/>
    <n v="139"/>
    <n v="1"/>
    <n v="1"/>
    <n v="0"/>
    <n v="0"/>
    <n v="0"/>
    <n v="0"/>
    <n v="0"/>
    <n v="0"/>
    <n v="7"/>
    <n v="7"/>
    <n v="1"/>
    <n v="0"/>
    <n v="0"/>
    <n v="0"/>
    <n v="0"/>
    <n v="0"/>
    <n v="0"/>
    <n v="0"/>
    <n v="1"/>
    <n v="0"/>
    <n v="0"/>
    <n v="0"/>
    <n v="7"/>
    <n v="27"/>
    <n v="0"/>
    <n v="139"/>
    <s v="No"/>
    <s v=""/>
    <n v="0"/>
    <n v="0"/>
    <n v="0"/>
    <n v="0"/>
    <s v="Uncovered  "/>
    <x v="0"/>
    <x v="0"/>
    <x v="0"/>
    <n v="25.211500000000001"/>
    <n v="97.261799999999994"/>
    <s v="MMR001CMP287"/>
    <x v="1"/>
    <m/>
    <n v="27"/>
    <n v="139"/>
  </r>
  <r>
    <x v="1"/>
    <x v="11"/>
    <x v="8"/>
    <s v="MHF"/>
    <x v="1"/>
    <x v="2"/>
    <x v="0"/>
    <x v="152"/>
    <n v="138"/>
    <n v="706"/>
    <d v="2022-01-01T00:00:00"/>
    <d v="2022-12-31T00:00:00"/>
    <m/>
    <n v="1"/>
    <n v="1"/>
    <m/>
    <s v="Yes"/>
    <n v="2"/>
    <n v="6"/>
    <m/>
    <m/>
    <m/>
    <m/>
    <m/>
    <m/>
    <m/>
    <n v="12"/>
    <m/>
    <n v="1"/>
    <m/>
    <n v="3"/>
    <m/>
    <n v="1"/>
    <m/>
    <m/>
    <m/>
    <m/>
    <m/>
    <m/>
    <m/>
    <m/>
    <m/>
    <n v="15"/>
    <m/>
    <m/>
    <n v="4"/>
    <n v="1"/>
    <n v="6"/>
    <s v="6 in"/>
    <n v="0"/>
    <x v="1"/>
    <x v="1"/>
    <m/>
    <m/>
    <m/>
    <m/>
    <m/>
    <m/>
    <n v="2"/>
    <m/>
    <m/>
    <n v="1"/>
    <m/>
    <m/>
    <n v="1"/>
    <m/>
    <m/>
    <m/>
    <m/>
    <m/>
    <m/>
    <n v="0.8"/>
    <n v="0.3"/>
    <m/>
    <n v="0.9"/>
    <m/>
    <m/>
    <m/>
    <m/>
    <m/>
    <m/>
    <m/>
    <s v="no test"/>
    <s v="no test"/>
    <s v="No Test"/>
    <n v="0"/>
    <n v="0"/>
    <n v="12"/>
    <n v="0"/>
    <n v="0"/>
    <n v="0"/>
    <n v="0"/>
    <n v="1"/>
    <n v="1"/>
    <n v="1"/>
    <n v="706"/>
    <n v="1"/>
    <n v="706"/>
    <n v="1"/>
    <n v="706"/>
    <n v="1.4119999999999999"/>
    <n v="0"/>
    <n v="0"/>
    <n v="0"/>
    <n v="1"/>
    <n v="11"/>
    <n v="0.31161473087818697"/>
    <n v="220"/>
    <n v="120"/>
    <n v="0"/>
    <n v="0"/>
    <n v="35"/>
    <n v="20"/>
    <n v="0.68838526912181308"/>
    <n v="0.26666666666666666"/>
    <n v="500"/>
    <n v="0"/>
    <n v="0"/>
    <n v="0"/>
    <n v="500"/>
    <n v="0.70821529745042489"/>
    <n v="0.29178470254957511"/>
    <n v="0.70821529745042489"/>
    <n v="0"/>
    <n v="0"/>
    <n v="2"/>
    <n v="40"/>
    <n v="0"/>
    <n v="200"/>
    <s v="No"/>
    <s v=""/>
    <n v="0"/>
    <n v="0"/>
    <n v="0"/>
    <s v="Yes"/>
    <s v="Shalom"/>
    <x v="0"/>
    <x v="1"/>
    <x v="0"/>
    <n v="25.889410000000002"/>
    <n v="98.131550000000004"/>
    <s v="MMR001CMP042"/>
    <x v="0"/>
    <m/>
    <n v="138"/>
    <n v="706"/>
  </r>
  <r>
    <x v="1"/>
    <x v="11"/>
    <x v="8"/>
    <s v="MHF"/>
    <x v="1"/>
    <x v="2"/>
    <x v="0"/>
    <x v="153"/>
    <n v="201"/>
    <n v="884"/>
    <d v="2022-01-01T00:00:00"/>
    <d v="2022-12-31T00:00:00"/>
    <n v="410"/>
    <n v="1"/>
    <m/>
    <m/>
    <s v="Yes"/>
    <n v="4"/>
    <n v="2"/>
    <n v="1"/>
    <m/>
    <m/>
    <m/>
    <m/>
    <m/>
    <m/>
    <n v="3"/>
    <m/>
    <n v="2"/>
    <m/>
    <m/>
    <m/>
    <n v="10"/>
    <m/>
    <m/>
    <m/>
    <m/>
    <m/>
    <n v="3"/>
    <n v="3"/>
    <m/>
    <m/>
    <n v="50"/>
    <n v="8"/>
    <s v="MRC"/>
    <n v="6"/>
    <n v="1"/>
    <n v="5"/>
    <s v="Over 10000 gallon"/>
    <n v="50"/>
    <x v="1"/>
    <x v="1"/>
    <m/>
    <m/>
    <n v="4"/>
    <m/>
    <m/>
    <m/>
    <n v="8"/>
    <n v="2"/>
    <m/>
    <n v="3"/>
    <m/>
    <n v="1"/>
    <n v="1"/>
    <n v="50"/>
    <n v="295"/>
    <m/>
    <n v="5"/>
    <n v="0.5"/>
    <m/>
    <n v="0.8"/>
    <n v="0.8"/>
    <n v="20"/>
    <n v="0.6"/>
    <m/>
    <m/>
    <m/>
    <m/>
    <m/>
    <m/>
    <m/>
    <s v="no test"/>
    <s v="no test"/>
    <s v="No Test"/>
    <n v="1"/>
    <n v="0"/>
    <n v="3"/>
    <n v="0"/>
    <n v="0"/>
    <n v="884"/>
    <n v="0"/>
    <n v="0.67873303167420818"/>
    <n v="0.50904977375565608"/>
    <n v="0.67873303167420818"/>
    <n v="600"/>
    <n v="0"/>
    <n v="0"/>
    <n v="0.67873303167420818"/>
    <n v="600"/>
    <n v="1.2"/>
    <n v="0.32126696832579182"/>
    <n v="284"/>
    <n v="0.8"/>
    <n v="2"/>
    <n v="52"/>
    <n v="1"/>
    <n v="884"/>
    <n v="100"/>
    <n v="200"/>
    <n v="0"/>
    <n v="44"/>
    <n v="0"/>
    <n v="0"/>
    <n v="0.10344827586206896"/>
    <n v="884"/>
    <n v="250"/>
    <n v="295"/>
    <n v="295"/>
    <n v="884"/>
    <n v="1"/>
    <n v="0"/>
    <n v="1"/>
    <n v="0.99502487562189057"/>
    <n v="1"/>
    <n v="6"/>
    <n v="120"/>
    <n v="0"/>
    <n v="600"/>
    <s v="Yes"/>
    <n v="2.2624434389140271E-2"/>
    <n v="0"/>
    <n v="884"/>
    <n v="0"/>
    <s v="Yes"/>
    <s v="Shalom"/>
    <x v="0"/>
    <x v="1"/>
    <x v="0"/>
    <n v="25.887339999999998"/>
    <n v="98.129990000000006"/>
    <s v="MMR001CMP195"/>
    <x v="0"/>
    <m/>
    <n v="195"/>
    <n v="854"/>
  </r>
  <r>
    <x v="1"/>
    <x v="11"/>
    <x v="8"/>
    <s v="MHF"/>
    <x v="1"/>
    <x v="3"/>
    <x v="0"/>
    <x v="154"/>
    <n v="95"/>
    <n v="440"/>
    <d v="2022-01-01T00:00:00"/>
    <d v="2022-12-31T00:00:00"/>
    <n v="15"/>
    <n v="1"/>
    <m/>
    <m/>
    <s v="Yes"/>
    <n v="6"/>
    <n v="5"/>
    <n v="1"/>
    <m/>
    <m/>
    <m/>
    <m/>
    <m/>
    <m/>
    <m/>
    <m/>
    <m/>
    <m/>
    <n v="4"/>
    <n v="3000"/>
    <n v="1"/>
    <m/>
    <m/>
    <m/>
    <m/>
    <m/>
    <n v="3"/>
    <m/>
    <m/>
    <m/>
    <n v="6"/>
    <n v="5"/>
    <s v="Chruch"/>
    <m/>
    <m/>
    <m/>
    <m/>
    <n v="5"/>
    <x v="1"/>
    <x v="1"/>
    <m/>
    <m/>
    <m/>
    <m/>
    <m/>
    <s v="အိမ်သာအသစ် လိုအပ် မလုံလောက်"/>
    <n v="3"/>
    <m/>
    <m/>
    <n v="3"/>
    <m/>
    <m/>
    <n v="1"/>
    <m/>
    <m/>
    <m/>
    <m/>
    <m/>
    <s v="Capacity building training"/>
    <n v="0.1"/>
    <n v="0.1"/>
    <m/>
    <n v="0.1"/>
    <m/>
    <m/>
    <m/>
    <m/>
    <m/>
    <m/>
    <m/>
    <s v="no test"/>
    <s v="no test"/>
    <s v="No Test"/>
    <n v="1"/>
    <n v="0"/>
    <n v="0"/>
    <n v="0"/>
    <n v="2.2222222222222223"/>
    <n v="0"/>
    <n v="0"/>
    <n v="0.91414141414141414"/>
    <n v="0.5732323232323232"/>
    <n v="0.91414141414141414"/>
    <n v="402.22222222222223"/>
    <n v="1"/>
    <n v="440"/>
    <n v="1"/>
    <n v="440"/>
    <n v="0.88"/>
    <n v="0"/>
    <n v="0"/>
    <n v="0.12"/>
    <n v="1"/>
    <n v="11"/>
    <n v="0.5"/>
    <n v="220"/>
    <n v="0"/>
    <n v="0"/>
    <n v="0"/>
    <n v="22"/>
    <n v="11"/>
    <n v="0.5"/>
    <n v="0"/>
    <n v="440"/>
    <n v="0"/>
    <n v="0"/>
    <n v="0"/>
    <n v="440"/>
    <n v="1"/>
    <n v="0"/>
    <n v="1"/>
    <n v="0"/>
    <n v="0"/>
    <n v="3"/>
    <n v="60"/>
    <n v="0"/>
    <n v="300"/>
    <s v="Yes"/>
    <s v=""/>
    <n v="0"/>
    <n v="0"/>
    <n v="0"/>
    <s v="Yes"/>
    <s v="Shalom"/>
    <x v="0"/>
    <x v="1"/>
    <x v="0"/>
    <n v="25.635300000000001"/>
    <n v="96.345569999999995"/>
    <s v="MMR001CMP176"/>
    <x v="0"/>
    <m/>
    <n v="94"/>
    <n v="438"/>
  </r>
  <r>
    <x v="1"/>
    <x v="11"/>
    <x v="8"/>
    <s v="MHF"/>
    <x v="1"/>
    <x v="3"/>
    <x v="0"/>
    <x v="155"/>
    <n v="13"/>
    <n v="72"/>
    <d v="2022-01-01T00:00:00"/>
    <d v="2022-12-31T00:00:00"/>
    <m/>
    <n v="1"/>
    <m/>
    <m/>
    <s v="Yes"/>
    <n v="1"/>
    <n v="4"/>
    <n v="1"/>
    <m/>
    <m/>
    <m/>
    <m/>
    <m/>
    <n v="1"/>
    <m/>
    <m/>
    <m/>
    <m/>
    <m/>
    <n v="1000"/>
    <n v="2"/>
    <m/>
    <m/>
    <m/>
    <m/>
    <m/>
    <n v="1"/>
    <m/>
    <m/>
    <m/>
    <n v="5"/>
    <m/>
    <m/>
    <m/>
    <m/>
    <m/>
    <m/>
    <m/>
    <x v="1"/>
    <x v="1"/>
    <m/>
    <n v="2"/>
    <m/>
    <m/>
    <m/>
    <m/>
    <n v="5"/>
    <m/>
    <m/>
    <n v="1"/>
    <m/>
    <m/>
    <n v="1"/>
    <m/>
    <m/>
    <m/>
    <m/>
    <n v="0.8"/>
    <m/>
    <n v="0.5"/>
    <n v="0.5"/>
    <n v="58"/>
    <n v="0.5"/>
    <m/>
    <m/>
    <m/>
    <m/>
    <m/>
    <m/>
    <m/>
    <s v="no test"/>
    <s v="no test"/>
    <s v="No Test"/>
    <n v="1"/>
    <n v="0"/>
    <n v="0"/>
    <n v="0"/>
    <n v="0.7407407407407407"/>
    <n v="0"/>
    <n v="0"/>
    <n v="1"/>
    <n v="1"/>
    <n v="1"/>
    <n v="72"/>
    <n v="0"/>
    <n v="0"/>
    <n v="1"/>
    <n v="72"/>
    <n v="0.14399999999999999"/>
    <n v="0"/>
    <n v="0"/>
    <n v="0.85599999999999998"/>
    <n v="1"/>
    <n v="5"/>
    <n v="1"/>
    <n v="72"/>
    <n v="0"/>
    <n v="0"/>
    <n v="0"/>
    <n v="4"/>
    <n v="0"/>
    <n v="0"/>
    <n v="0"/>
    <n v="72"/>
    <n v="0"/>
    <n v="0"/>
    <n v="0"/>
    <n v="72"/>
    <n v="1"/>
    <n v="0"/>
    <n v="1"/>
    <n v="0"/>
    <n v="0"/>
    <n v="5"/>
    <n v="13"/>
    <n v="0"/>
    <n v="72"/>
    <s v="No"/>
    <n v="0.80555555555555558"/>
    <n v="0"/>
    <n v="0"/>
    <n v="0"/>
    <s v="Yes"/>
    <s v="Shalom"/>
    <x v="0"/>
    <x v="1"/>
    <x v="0"/>
    <n v="25.616509000000001"/>
    <n v="96.317350000000005"/>
    <s v="MMR001CMP190"/>
    <x v="0"/>
    <m/>
    <n v="14"/>
    <n v="72"/>
  </r>
  <r>
    <x v="1"/>
    <x v="11"/>
    <x v="8"/>
    <s v="MHF"/>
    <x v="1"/>
    <x v="3"/>
    <x v="0"/>
    <x v="156"/>
    <n v="41"/>
    <n v="250"/>
    <d v="2022-01-01T00:00:00"/>
    <d v="2022-12-31T00:00:00"/>
    <n v="30"/>
    <n v="1"/>
    <m/>
    <m/>
    <s v="Yes"/>
    <m/>
    <n v="5"/>
    <n v="2"/>
    <m/>
    <m/>
    <m/>
    <m/>
    <m/>
    <m/>
    <m/>
    <m/>
    <m/>
    <m/>
    <n v="1"/>
    <n v="10000"/>
    <n v="1"/>
    <m/>
    <m/>
    <m/>
    <m/>
    <m/>
    <m/>
    <m/>
    <m/>
    <m/>
    <n v="10"/>
    <m/>
    <m/>
    <m/>
    <m/>
    <m/>
    <m/>
    <m/>
    <x v="0"/>
    <x v="1"/>
    <m/>
    <m/>
    <m/>
    <m/>
    <m/>
    <m/>
    <n v="2"/>
    <m/>
    <n v="1"/>
    <n v="2"/>
    <m/>
    <m/>
    <n v="1"/>
    <n v="41"/>
    <m/>
    <m/>
    <m/>
    <m/>
    <s v="Hygiene Kits"/>
    <n v="0.5"/>
    <n v="0.9"/>
    <n v="15"/>
    <m/>
    <m/>
    <m/>
    <m/>
    <m/>
    <m/>
    <m/>
    <m/>
    <s v="no test"/>
    <s v="no test"/>
    <s v="No Test"/>
    <n v="2"/>
    <n v="0"/>
    <n v="0"/>
    <n v="0"/>
    <n v="7.4074074074074074"/>
    <n v="0"/>
    <n v="0"/>
    <n v="1"/>
    <n v="1"/>
    <n v="1"/>
    <n v="250"/>
    <n v="1"/>
    <n v="250"/>
    <n v="1"/>
    <n v="250"/>
    <n v="0.5"/>
    <n v="0"/>
    <n v="0"/>
    <n v="0.5"/>
    <n v="1"/>
    <n v="10"/>
    <n v="0.8"/>
    <n v="200"/>
    <n v="0"/>
    <n v="0"/>
    <n v="0"/>
    <n v="13"/>
    <n v="3"/>
    <n v="0.19999999999999996"/>
    <n v="0"/>
    <n v="250"/>
    <n v="250"/>
    <n v="0"/>
    <n v="250"/>
    <n v="250"/>
    <n v="1"/>
    <n v="0"/>
    <n v="1"/>
    <n v="1"/>
    <n v="0"/>
    <n v="2"/>
    <n v="40"/>
    <n v="0"/>
    <n v="200"/>
    <s v="Yes"/>
    <n v="0.06"/>
    <n v="0"/>
    <n v="0"/>
    <n v="0"/>
    <s v="Yes"/>
    <s v="KBC-MYT"/>
    <x v="0"/>
    <x v="1"/>
    <x v="0"/>
    <n v="25.647649999999999"/>
    <n v="96.346469999999997"/>
    <s v="MMR001CMP169"/>
    <x v="0"/>
    <m/>
    <n v="41"/>
    <n v="249"/>
  </r>
  <r>
    <x v="1"/>
    <x v="11"/>
    <x v="8"/>
    <s v="MHF"/>
    <x v="1"/>
    <x v="3"/>
    <x v="0"/>
    <x v="157"/>
    <n v="5"/>
    <n v="24"/>
    <d v="2022-01-01T00:00:00"/>
    <d v="2022-12-31T00:00:00"/>
    <m/>
    <m/>
    <m/>
    <m/>
    <s v="Yes"/>
    <n v="2"/>
    <n v="2"/>
    <n v="0"/>
    <m/>
    <m/>
    <m/>
    <m/>
    <m/>
    <m/>
    <n v="4"/>
    <m/>
    <m/>
    <m/>
    <m/>
    <m/>
    <n v="1"/>
    <m/>
    <m/>
    <m/>
    <m/>
    <m/>
    <m/>
    <m/>
    <m/>
    <m/>
    <n v="2"/>
    <m/>
    <m/>
    <m/>
    <m/>
    <m/>
    <m/>
    <m/>
    <x v="1"/>
    <x v="1"/>
    <m/>
    <m/>
    <m/>
    <m/>
    <m/>
    <s v="အိမ်သာ(အသစ်) (2)"/>
    <n v="2"/>
    <n v="1"/>
    <m/>
    <n v="1"/>
    <m/>
    <m/>
    <n v="1"/>
    <n v="5"/>
    <m/>
    <m/>
    <m/>
    <m/>
    <s v="Capacity building training"/>
    <n v="0.8"/>
    <n v="0.5"/>
    <n v="5"/>
    <n v="0.7"/>
    <m/>
    <m/>
    <m/>
    <m/>
    <m/>
    <m/>
    <m/>
    <s v="no test"/>
    <s v="no test"/>
    <s v="No Test"/>
    <n v="0"/>
    <n v="0"/>
    <n v="4"/>
    <n v="0"/>
    <n v="0"/>
    <n v="0"/>
    <n v="0"/>
    <n v="1"/>
    <n v="1"/>
    <n v="1"/>
    <n v="24"/>
    <n v="0"/>
    <n v="0"/>
    <n v="1"/>
    <n v="24"/>
    <n v="4.8000000000000001E-2"/>
    <n v="0"/>
    <n v="0"/>
    <n v="0.95199999999999996"/>
    <n v="1"/>
    <n v="2"/>
    <n v="1"/>
    <n v="24"/>
    <n v="0"/>
    <n v="0"/>
    <n v="0"/>
    <n v="1"/>
    <n v="0"/>
    <n v="0"/>
    <n v="0"/>
    <n v="24"/>
    <n v="24"/>
    <n v="0"/>
    <n v="24"/>
    <n v="24"/>
    <n v="1"/>
    <n v="0"/>
    <n v="1"/>
    <n v="1"/>
    <n v="0"/>
    <n v="1"/>
    <n v="5"/>
    <n v="0"/>
    <n v="24"/>
    <s v="No"/>
    <n v="0.20833333333333334"/>
    <n v="0"/>
    <n v="0"/>
    <n v="0"/>
    <s v="Yes"/>
    <s v="Shalom"/>
    <x v="0"/>
    <x v="0"/>
    <x v="0"/>
    <n v="25.582065"/>
    <n v="96.283377000000002"/>
    <s v="MMR001CMP109"/>
    <x v="0"/>
    <m/>
    <n v="5"/>
    <n v="24"/>
  </r>
  <r>
    <x v="1"/>
    <x v="11"/>
    <x v="8"/>
    <s v="MHF"/>
    <x v="1"/>
    <x v="3"/>
    <x v="0"/>
    <x v="158"/>
    <n v="91"/>
    <n v="443"/>
    <d v="2022-01-01T00:00:00"/>
    <d v="2022-12-31T00:00:00"/>
    <n v="240"/>
    <n v="1"/>
    <m/>
    <m/>
    <s v="Yes"/>
    <n v="4"/>
    <n v="5"/>
    <m/>
    <m/>
    <m/>
    <n v="1"/>
    <m/>
    <m/>
    <m/>
    <m/>
    <m/>
    <m/>
    <m/>
    <n v="2"/>
    <m/>
    <n v="2"/>
    <m/>
    <m/>
    <m/>
    <m/>
    <m/>
    <n v="1"/>
    <n v="1"/>
    <m/>
    <s v="သောက်သုံးရေ ခက်ခဲ"/>
    <n v="23"/>
    <n v="23"/>
    <m/>
    <m/>
    <n v="19"/>
    <m/>
    <m/>
    <m/>
    <x v="1"/>
    <x v="1"/>
    <m/>
    <n v="1"/>
    <m/>
    <m/>
    <n v="8"/>
    <m/>
    <n v="8"/>
    <n v="4"/>
    <m/>
    <n v="3"/>
    <m/>
    <m/>
    <n v="1"/>
    <n v="91"/>
    <n v="148"/>
    <s v="Yes"/>
    <n v="4"/>
    <n v="0.3"/>
    <s v="soap "/>
    <n v="0.7"/>
    <n v="0.5"/>
    <m/>
    <n v="0.2"/>
    <m/>
    <m/>
    <m/>
    <m/>
    <m/>
    <m/>
    <m/>
    <s v="no test"/>
    <s v="no test"/>
    <s v="No Test"/>
    <n v="0"/>
    <n v="1"/>
    <n v="0"/>
    <n v="0"/>
    <n v="0"/>
    <n v="443"/>
    <n v="0"/>
    <n v="1"/>
    <n v="0.56433408577878108"/>
    <n v="1"/>
    <n v="443"/>
    <n v="1"/>
    <n v="443"/>
    <n v="1"/>
    <n v="443"/>
    <n v="0.88600000000000001"/>
    <n v="0"/>
    <n v="0"/>
    <n v="0.11399999999999999"/>
    <n v="1"/>
    <n v="46"/>
    <n v="1"/>
    <n v="443"/>
    <n v="0"/>
    <n v="0"/>
    <n v="0"/>
    <n v="22"/>
    <n v="0"/>
    <n v="0"/>
    <n v="0"/>
    <n v="443"/>
    <n v="443"/>
    <n v="148"/>
    <n v="443"/>
    <n v="443"/>
    <n v="1"/>
    <n v="0"/>
    <n v="1"/>
    <n v="1"/>
    <n v="1"/>
    <n v="4"/>
    <n v="80"/>
    <n v="1"/>
    <n v="400"/>
    <s v="Yes"/>
    <s v=""/>
    <n v="0"/>
    <n v="443"/>
    <n v="0"/>
    <s v="Yes"/>
    <s v="Shalom"/>
    <x v="0"/>
    <x v="1"/>
    <x v="0"/>
    <n v="25.637309999999999"/>
    <n v="96.35257"/>
    <s v="MMR001CMP174"/>
    <x v="0"/>
    <m/>
    <n v="91"/>
    <n v="442"/>
  </r>
  <r>
    <x v="1"/>
    <x v="11"/>
    <x v="8"/>
    <s v="MHF"/>
    <x v="1"/>
    <x v="3"/>
    <x v="0"/>
    <x v="159"/>
    <n v="100"/>
    <n v="504"/>
    <d v="2022-01-01T00:00:00"/>
    <d v="2022-12-31T00:00:00"/>
    <n v="50"/>
    <m/>
    <m/>
    <m/>
    <s v="Yes"/>
    <n v="7"/>
    <n v="2"/>
    <n v="0"/>
    <m/>
    <m/>
    <m/>
    <m/>
    <m/>
    <m/>
    <n v="1"/>
    <m/>
    <n v="1"/>
    <m/>
    <n v="1"/>
    <m/>
    <n v="1"/>
    <m/>
    <m/>
    <m/>
    <m/>
    <m/>
    <n v="1"/>
    <n v="4"/>
    <m/>
    <s v="water intake and water quality testing "/>
    <n v="30"/>
    <m/>
    <m/>
    <n v="14"/>
    <n v="6"/>
    <m/>
    <m/>
    <m/>
    <x v="1"/>
    <x v="1"/>
    <n v="2"/>
    <m/>
    <m/>
    <m/>
    <n v="3"/>
    <s v="၆ ကျင်း စုပ်ထုတ်ရန်"/>
    <n v="4"/>
    <m/>
    <m/>
    <n v="7"/>
    <n v="3"/>
    <n v="1"/>
    <m/>
    <n v="100"/>
    <m/>
    <s v="No"/>
    <n v="3"/>
    <n v="0.3"/>
    <s v="Hygiene Kits"/>
    <n v="0.5"/>
    <n v="0.8"/>
    <n v="10"/>
    <n v="0.5"/>
    <m/>
    <m/>
    <m/>
    <m/>
    <m/>
    <m/>
    <m/>
    <s v="no test"/>
    <s v="no test"/>
    <s v="No Test"/>
    <n v="0"/>
    <n v="0"/>
    <n v="1"/>
    <n v="0"/>
    <n v="0"/>
    <n v="504"/>
    <n v="0"/>
    <n v="0.1322751322751323"/>
    <n v="0.1322751322751323"/>
    <n v="0.1322751322751323"/>
    <n v="66.666666666666671"/>
    <n v="0.49603174603174605"/>
    <n v="250"/>
    <n v="0.62830687830687837"/>
    <n v="316.66666666666669"/>
    <n v="0.63333333333333341"/>
    <n v="0.37169312169312163"/>
    <n v="187.33333333333331"/>
    <n v="0.36666666666666659"/>
    <n v="1"/>
    <n v="16"/>
    <n v="0.72023809523809523"/>
    <n v="363"/>
    <n v="0"/>
    <n v="0"/>
    <n v="0"/>
    <n v="25"/>
    <n v="0"/>
    <n v="0.27976190476190477"/>
    <n v="0.46666666666666667"/>
    <n v="500"/>
    <n v="504"/>
    <n v="0"/>
    <n v="504"/>
    <n v="504"/>
    <n v="1"/>
    <n v="0"/>
    <n v="0.99206349206349209"/>
    <n v="1"/>
    <n v="0"/>
    <n v="4"/>
    <n v="80"/>
    <n v="0"/>
    <n v="400"/>
    <s v="Yes"/>
    <n v="1.984126984126984E-2"/>
    <n v="0"/>
    <n v="504"/>
    <n v="0"/>
    <s v="Yes"/>
    <s v="KBC-MYT"/>
    <x v="0"/>
    <x v="1"/>
    <x v="0"/>
    <n v="25.611160000000002"/>
    <n v="96.312790000000007"/>
    <s v="MMR001CMP229"/>
    <x v="0"/>
    <m/>
    <n v="97"/>
    <n v="484"/>
  </r>
  <r>
    <x v="1"/>
    <x v="11"/>
    <x v="8"/>
    <s v="MHF"/>
    <x v="1"/>
    <x v="3"/>
    <x v="0"/>
    <x v="160"/>
    <n v="124"/>
    <n v="633"/>
    <d v="2022-01-01T00:00:00"/>
    <d v="2022-12-31T00:00:00"/>
    <n v="152"/>
    <n v="1"/>
    <m/>
    <m/>
    <s v="Yes"/>
    <n v="4"/>
    <n v="6"/>
    <n v="1"/>
    <m/>
    <m/>
    <m/>
    <m/>
    <m/>
    <m/>
    <n v="1"/>
    <m/>
    <n v="1"/>
    <m/>
    <n v="1"/>
    <m/>
    <n v="1"/>
    <m/>
    <m/>
    <m/>
    <m/>
    <m/>
    <n v="2"/>
    <m/>
    <m/>
    <m/>
    <n v="29"/>
    <m/>
    <m/>
    <m/>
    <n v="10"/>
    <n v="7"/>
    <m/>
    <n v="0"/>
    <x v="1"/>
    <x v="1"/>
    <n v="1"/>
    <n v="0"/>
    <m/>
    <m/>
    <n v="7"/>
    <s v="ရေနုတ်မြောင်း ပြုပြင်ရန်"/>
    <n v="7"/>
    <m/>
    <m/>
    <n v="4"/>
    <m/>
    <m/>
    <n v="1"/>
    <n v="124"/>
    <m/>
    <m/>
    <m/>
    <m/>
    <s v="Hygiene Kits and capacity building training"/>
    <n v="0.5"/>
    <n v="0.9"/>
    <n v="40"/>
    <n v="0.3"/>
    <m/>
    <m/>
    <m/>
    <m/>
    <m/>
    <m/>
    <m/>
    <s v="no test"/>
    <s v="no test"/>
    <s v="No Test"/>
    <n v="1"/>
    <n v="0"/>
    <n v="1"/>
    <n v="0"/>
    <n v="0"/>
    <n v="0"/>
    <n v="0"/>
    <n v="0.73723012111637709"/>
    <n v="0.50026329647182732"/>
    <n v="0.73723012111637709"/>
    <n v="466.66666666666669"/>
    <n v="0.39494470774091628"/>
    <n v="250"/>
    <n v="1"/>
    <n v="633"/>
    <n v="1.266"/>
    <n v="0"/>
    <n v="0"/>
    <n v="0"/>
    <n v="1"/>
    <n v="29"/>
    <n v="0.95892575039494465"/>
    <n v="607"/>
    <n v="140"/>
    <n v="0"/>
    <n v="0"/>
    <n v="32"/>
    <n v="3"/>
    <n v="4.1074249605055346E-2"/>
    <n v="0"/>
    <n v="500"/>
    <n v="633"/>
    <n v="0"/>
    <n v="633"/>
    <n v="633"/>
    <n v="1"/>
    <n v="0"/>
    <n v="0.78988941548183256"/>
    <n v="1"/>
    <n v="0"/>
    <n v="7"/>
    <n v="124"/>
    <n v="0"/>
    <n v="633"/>
    <s v="Yes"/>
    <n v="6.3191153238546599E-2"/>
    <n v="0"/>
    <n v="0"/>
    <n v="0"/>
    <s v="Yes"/>
    <s v="KBC-MYT"/>
    <x v="0"/>
    <x v="1"/>
    <x v="0"/>
    <n v="25.664000000000001"/>
    <n v="96.34"/>
    <s v="MMR001CMP250"/>
    <x v="0"/>
    <m/>
    <n v="124"/>
    <n v="634"/>
  </r>
  <r>
    <x v="1"/>
    <x v="11"/>
    <x v="8"/>
    <s v="MHF"/>
    <x v="1"/>
    <x v="3"/>
    <x v="0"/>
    <x v="161"/>
    <n v="19"/>
    <n v="103"/>
    <d v="2022-01-01T00:00:00"/>
    <d v="2022-12-31T00:00:00"/>
    <n v="49"/>
    <n v="1"/>
    <m/>
    <m/>
    <s v="Yes"/>
    <n v="4"/>
    <n v="3"/>
    <m/>
    <m/>
    <m/>
    <m/>
    <m/>
    <m/>
    <m/>
    <m/>
    <m/>
    <m/>
    <m/>
    <m/>
    <m/>
    <m/>
    <m/>
    <m/>
    <m/>
    <m/>
    <m/>
    <m/>
    <m/>
    <m/>
    <s v="ရေပိုက်လိုအပ်သည်"/>
    <n v="8"/>
    <m/>
    <m/>
    <m/>
    <m/>
    <n v="1"/>
    <m/>
    <m/>
    <x v="1"/>
    <x v="1"/>
    <m/>
    <m/>
    <m/>
    <m/>
    <m/>
    <m/>
    <n v="2"/>
    <m/>
    <m/>
    <n v="4"/>
    <m/>
    <m/>
    <m/>
    <n v="19"/>
    <m/>
    <m/>
    <n v="5"/>
    <n v="0.99"/>
    <s v="Hygiene Kits"/>
    <n v="1"/>
    <n v="0.99"/>
    <m/>
    <n v="0.8"/>
    <m/>
    <m/>
    <m/>
    <m/>
    <m/>
    <m/>
    <m/>
    <s v="no test"/>
    <s v="no test"/>
    <s v="No Test"/>
    <n v="0"/>
    <n v="0"/>
    <n v="0"/>
    <n v="0"/>
    <n v="0"/>
    <n v="0"/>
    <n v="0"/>
    <n v="0"/>
    <n v="0"/>
    <n v="0"/>
    <n v="0"/>
    <n v="0"/>
    <n v="0"/>
    <n v="0"/>
    <n v="0"/>
    <n v="0"/>
    <n v="1"/>
    <n v="103"/>
    <n v="1"/>
    <n v="1"/>
    <n v="8"/>
    <n v="1"/>
    <n v="103"/>
    <n v="20"/>
    <n v="0"/>
    <n v="0"/>
    <n v="5"/>
    <n v="0"/>
    <n v="0"/>
    <n v="0"/>
    <n v="0"/>
    <n v="103"/>
    <n v="0"/>
    <n v="103"/>
    <n v="103"/>
    <n v="1"/>
    <n v="0"/>
    <n v="0"/>
    <n v="1"/>
    <n v="0"/>
    <n v="2"/>
    <n v="19"/>
    <n v="0"/>
    <n v="103"/>
    <s v="Yes"/>
    <s v=""/>
    <n v="0"/>
    <n v="0"/>
    <n v="0"/>
    <s v="Yes"/>
    <s v="Shalom"/>
    <x v="0"/>
    <x v="1"/>
    <x v="0"/>
    <n v="25.566510000000001"/>
    <n v="96.269199999999998"/>
    <s v="MMR001CMP181"/>
    <x v="0"/>
    <m/>
    <n v="19"/>
    <n v="100"/>
  </r>
  <r>
    <x v="1"/>
    <x v="11"/>
    <x v="8"/>
    <s v="MHF"/>
    <x v="1"/>
    <x v="3"/>
    <x v="0"/>
    <x v="162"/>
    <n v="10"/>
    <n v="54"/>
    <d v="2022-01-01T00:00:00"/>
    <d v="2022-12-31T00:00:00"/>
    <m/>
    <n v="1"/>
    <m/>
    <m/>
    <s v="Yes"/>
    <n v="3"/>
    <n v="4"/>
    <n v="1"/>
    <m/>
    <m/>
    <n v="1"/>
    <m/>
    <m/>
    <m/>
    <m/>
    <m/>
    <m/>
    <m/>
    <n v="1"/>
    <n v="1000"/>
    <n v="1"/>
    <m/>
    <m/>
    <m/>
    <m/>
    <m/>
    <m/>
    <m/>
    <m/>
    <s v="ရေအရည်သွေးစစ်ဆေးမူပြုလုပ်စေချင်။ "/>
    <n v="2"/>
    <n v="2"/>
    <m/>
    <m/>
    <m/>
    <m/>
    <m/>
    <m/>
    <x v="1"/>
    <x v="1"/>
    <m/>
    <m/>
    <m/>
    <m/>
    <m/>
    <m/>
    <n v="3"/>
    <m/>
    <m/>
    <n v="2"/>
    <n v="2"/>
    <m/>
    <n v="1"/>
    <n v="10"/>
    <n v="14"/>
    <m/>
    <m/>
    <n v="0.2"/>
    <s v="soap "/>
    <n v="0.99"/>
    <n v="0.99"/>
    <m/>
    <n v="0.3"/>
    <m/>
    <m/>
    <m/>
    <m/>
    <m/>
    <m/>
    <m/>
    <s v="no test"/>
    <s v="no test"/>
    <s v="No Test"/>
    <n v="1"/>
    <n v="1"/>
    <n v="0"/>
    <n v="0"/>
    <n v="0.7407407407407407"/>
    <n v="0"/>
    <n v="0"/>
    <n v="1"/>
    <n v="1"/>
    <n v="1"/>
    <n v="54"/>
    <n v="1"/>
    <n v="54"/>
    <n v="1"/>
    <n v="54"/>
    <n v="0.108"/>
    <n v="0"/>
    <n v="0"/>
    <n v="0.89200000000000002"/>
    <n v="1"/>
    <n v="4"/>
    <n v="1"/>
    <n v="54"/>
    <n v="0"/>
    <n v="0"/>
    <n v="0"/>
    <n v="3"/>
    <n v="0"/>
    <n v="0"/>
    <n v="0"/>
    <n v="54"/>
    <n v="54"/>
    <n v="14"/>
    <n v="54"/>
    <n v="54"/>
    <n v="1"/>
    <n v="0"/>
    <n v="1"/>
    <n v="1"/>
    <n v="1"/>
    <n v="3"/>
    <n v="10"/>
    <n v="0"/>
    <n v="54"/>
    <s v="No"/>
    <s v=""/>
    <n v="0"/>
    <n v="0"/>
    <n v="0"/>
    <s v="Yes"/>
    <s v="Shalom"/>
    <x v="0"/>
    <x v="1"/>
    <x v="0"/>
    <n v="25.61842"/>
    <n v="96.316400000000002"/>
    <s v="MMR001CMP167"/>
    <x v="0"/>
    <m/>
    <n v="10"/>
    <n v="54"/>
  </r>
  <r>
    <x v="1"/>
    <x v="11"/>
    <x v="8"/>
    <s v="MHF"/>
    <x v="1"/>
    <x v="3"/>
    <x v="0"/>
    <x v="163"/>
    <n v="7"/>
    <n v="24"/>
    <d v="2022-01-01T00:00:00"/>
    <d v="2022-12-31T00:00:00"/>
    <m/>
    <n v="1"/>
    <m/>
    <m/>
    <s v="Yes"/>
    <n v="2"/>
    <n v="2"/>
    <n v="1"/>
    <m/>
    <m/>
    <m/>
    <m/>
    <m/>
    <m/>
    <n v="1"/>
    <m/>
    <m/>
    <m/>
    <n v="2"/>
    <n v="1000"/>
    <m/>
    <m/>
    <m/>
    <m/>
    <m/>
    <m/>
    <m/>
    <m/>
    <m/>
    <m/>
    <n v="3"/>
    <m/>
    <m/>
    <m/>
    <m/>
    <m/>
    <m/>
    <m/>
    <x v="1"/>
    <x v="0"/>
    <m/>
    <m/>
    <m/>
    <m/>
    <m/>
    <m/>
    <n v="2"/>
    <m/>
    <m/>
    <n v="2"/>
    <m/>
    <n v="1"/>
    <m/>
    <n v="7"/>
    <m/>
    <m/>
    <m/>
    <m/>
    <s v="Hygiene Kits"/>
    <n v="0.5"/>
    <n v="0.5"/>
    <n v="5"/>
    <n v="0.6"/>
    <m/>
    <m/>
    <m/>
    <m/>
    <m/>
    <m/>
    <m/>
    <s v="no test"/>
    <s v="no test"/>
    <s v="No Test"/>
    <n v="1"/>
    <n v="0"/>
    <n v="1"/>
    <n v="0"/>
    <n v="0.7407407407407407"/>
    <n v="0"/>
    <n v="0"/>
    <n v="1"/>
    <n v="1"/>
    <n v="1"/>
    <n v="24"/>
    <n v="1"/>
    <n v="24"/>
    <n v="1"/>
    <n v="24"/>
    <n v="4.8000000000000001E-2"/>
    <n v="0"/>
    <n v="0"/>
    <n v="0.95199999999999996"/>
    <n v="1"/>
    <n v="3"/>
    <n v="1"/>
    <n v="24"/>
    <n v="0"/>
    <n v="0"/>
    <n v="0"/>
    <n v="1"/>
    <n v="0"/>
    <n v="0"/>
    <n v="0"/>
    <n v="24"/>
    <n v="24"/>
    <n v="0"/>
    <n v="24"/>
    <n v="24"/>
    <n v="1"/>
    <n v="0"/>
    <n v="1"/>
    <n v="1"/>
    <n v="0"/>
    <n v="2"/>
    <n v="7"/>
    <n v="0"/>
    <n v="24"/>
    <s v="No"/>
    <n v="0.20833333333333334"/>
    <n v="0"/>
    <n v="0"/>
    <n v="0"/>
    <s v="Yes"/>
    <s v="Shalom"/>
    <x v="0"/>
    <x v="0"/>
    <x v="0"/>
    <n v="25.617998"/>
    <n v="96.339590000000001"/>
    <s v="MMR001CMP192"/>
    <x v="0"/>
    <m/>
    <n v="7"/>
    <n v="24"/>
  </r>
  <r>
    <x v="1"/>
    <x v="11"/>
    <x v="8"/>
    <s v="MHF"/>
    <x v="1"/>
    <x v="3"/>
    <x v="0"/>
    <x v="164"/>
    <n v="16"/>
    <n v="70"/>
    <d v="2022-01-01T00:00:00"/>
    <d v="2022-12-31T00:00:00"/>
    <m/>
    <m/>
    <m/>
    <m/>
    <s v="Yes"/>
    <n v="4"/>
    <n v="3"/>
    <n v="1"/>
    <m/>
    <m/>
    <n v="1"/>
    <m/>
    <m/>
    <m/>
    <n v="1"/>
    <m/>
    <n v="1"/>
    <m/>
    <n v="2"/>
    <m/>
    <n v="1"/>
    <m/>
    <m/>
    <m/>
    <m/>
    <m/>
    <m/>
    <m/>
    <m/>
    <m/>
    <n v="2"/>
    <m/>
    <m/>
    <m/>
    <m/>
    <m/>
    <m/>
    <m/>
    <x v="1"/>
    <x v="1"/>
    <m/>
    <m/>
    <m/>
    <m/>
    <m/>
    <m/>
    <n v="3"/>
    <m/>
    <m/>
    <n v="2"/>
    <m/>
    <n v="1"/>
    <m/>
    <n v="16"/>
    <n v="17"/>
    <m/>
    <m/>
    <m/>
    <m/>
    <n v="1"/>
    <n v="1"/>
    <m/>
    <n v="1"/>
    <m/>
    <m/>
    <m/>
    <m/>
    <m/>
    <m/>
    <m/>
    <s v="no test"/>
    <s v="no test"/>
    <s v="No Test"/>
    <n v="1"/>
    <n v="1"/>
    <n v="1"/>
    <n v="0"/>
    <n v="0"/>
    <n v="0"/>
    <n v="0"/>
    <n v="1"/>
    <n v="1"/>
    <n v="1"/>
    <n v="70"/>
    <n v="1"/>
    <n v="70"/>
    <n v="1"/>
    <n v="70"/>
    <n v="0.14000000000000001"/>
    <n v="0"/>
    <n v="0"/>
    <n v="0.86"/>
    <n v="1"/>
    <n v="2"/>
    <n v="0.5714285714285714"/>
    <n v="40"/>
    <n v="0"/>
    <n v="0"/>
    <n v="0"/>
    <n v="4"/>
    <n v="2"/>
    <n v="0.4285714285714286"/>
    <n v="0"/>
    <n v="70"/>
    <n v="70"/>
    <n v="17"/>
    <n v="70"/>
    <n v="70"/>
    <n v="1"/>
    <n v="0"/>
    <n v="1"/>
    <n v="1"/>
    <n v="1"/>
    <n v="3"/>
    <n v="16"/>
    <n v="0"/>
    <n v="70"/>
    <s v="No"/>
    <s v=""/>
    <n v="0"/>
    <n v="0"/>
    <n v="0"/>
    <s v="Yes"/>
    <s v="Shalom"/>
    <x v="0"/>
    <x v="0"/>
    <x v="0"/>
    <n v="25.56551"/>
    <n v="96.279200000000003"/>
    <s v="MMR001CMP182"/>
    <x v="0"/>
    <m/>
    <n v="16"/>
    <n v="70"/>
  </r>
  <r>
    <x v="1"/>
    <x v="11"/>
    <x v="8"/>
    <s v="MHF"/>
    <x v="1"/>
    <x v="3"/>
    <x v="0"/>
    <x v="165"/>
    <n v="25"/>
    <n v="133"/>
    <d v="2022-01-01T00:00:00"/>
    <d v="2022-12-31T00:00:00"/>
    <m/>
    <m/>
    <m/>
    <m/>
    <s v="Yes"/>
    <n v="2"/>
    <n v="2"/>
    <n v="1"/>
    <m/>
    <m/>
    <m/>
    <n v="1"/>
    <m/>
    <m/>
    <n v="1"/>
    <m/>
    <m/>
    <m/>
    <n v="3"/>
    <m/>
    <m/>
    <m/>
    <m/>
    <m/>
    <m/>
    <m/>
    <m/>
    <m/>
    <m/>
    <m/>
    <n v="8"/>
    <n v="4"/>
    <s v="Chruch"/>
    <m/>
    <n v="3"/>
    <m/>
    <m/>
    <m/>
    <x v="1"/>
    <x v="1"/>
    <m/>
    <n v="2"/>
    <m/>
    <m/>
    <n v="1"/>
    <m/>
    <n v="5"/>
    <m/>
    <m/>
    <n v="2"/>
    <m/>
    <n v="1"/>
    <n v="25"/>
    <n v="47"/>
    <m/>
    <m/>
    <m/>
    <m/>
    <s v="Hygiene Kits"/>
    <n v="0.7"/>
    <m/>
    <n v="7"/>
    <n v="0.8"/>
    <m/>
    <m/>
    <m/>
    <m/>
    <m/>
    <m/>
    <m/>
    <s v="no test"/>
    <s v="no test"/>
    <s v="No Test"/>
    <n v="1"/>
    <n v="1"/>
    <n v="1"/>
    <n v="0"/>
    <n v="0"/>
    <n v="0"/>
    <n v="0"/>
    <n v="1"/>
    <n v="1"/>
    <n v="1"/>
    <n v="133"/>
    <n v="1"/>
    <n v="133"/>
    <n v="1"/>
    <n v="133"/>
    <n v="0.26600000000000001"/>
    <n v="0"/>
    <n v="0"/>
    <n v="0.73399999999999999"/>
    <n v="1"/>
    <n v="12"/>
    <n v="1"/>
    <n v="133"/>
    <n v="0"/>
    <n v="0"/>
    <n v="0"/>
    <n v="7"/>
    <n v="0"/>
    <n v="0"/>
    <n v="0"/>
    <n v="133"/>
    <n v="133"/>
    <n v="0"/>
    <n v="133"/>
    <n v="133"/>
    <n v="1"/>
    <n v="0"/>
    <n v="1"/>
    <n v="1"/>
    <n v="0"/>
    <n v="5"/>
    <n v="25"/>
    <n v="0"/>
    <n v="133"/>
    <s v="No"/>
    <n v="5.2631578947368418E-2"/>
    <n v="0"/>
    <n v="0"/>
    <n v="0"/>
    <s v="Yes"/>
    <s v="KBC-MYT"/>
    <x v="0"/>
    <x v="1"/>
    <x v="0"/>
    <n v="25.577559999999998"/>
    <n v="96.286680000000004"/>
    <s v="MMR001CMP184"/>
    <x v="0"/>
    <m/>
    <n v="25"/>
    <n v="133"/>
  </r>
  <r>
    <x v="1"/>
    <x v="11"/>
    <x v="8"/>
    <s v="MHF"/>
    <x v="1"/>
    <x v="3"/>
    <x v="0"/>
    <x v="166"/>
    <n v="16"/>
    <n v="66"/>
    <d v="2022-01-01T00:00:00"/>
    <d v="2022-12-31T00:00:00"/>
    <n v="30"/>
    <n v="1"/>
    <m/>
    <m/>
    <s v="Yes"/>
    <n v="2"/>
    <n v="4"/>
    <m/>
    <m/>
    <m/>
    <m/>
    <m/>
    <m/>
    <m/>
    <n v="1"/>
    <m/>
    <m/>
    <m/>
    <m/>
    <m/>
    <m/>
    <m/>
    <m/>
    <m/>
    <m/>
    <m/>
    <n v="2"/>
    <m/>
    <m/>
    <s v="ထုံးဓာတ်များခြင်း"/>
    <n v="5"/>
    <m/>
    <m/>
    <m/>
    <m/>
    <m/>
    <m/>
    <m/>
    <x v="1"/>
    <x v="1"/>
    <m/>
    <m/>
    <n v="5"/>
    <m/>
    <m/>
    <m/>
    <n v="2"/>
    <n v="1"/>
    <m/>
    <n v="2"/>
    <m/>
    <n v="1"/>
    <n v="1"/>
    <n v="16"/>
    <m/>
    <m/>
    <n v="1"/>
    <m/>
    <m/>
    <n v="0.75"/>
    <m/>
    <m/>
    <m/>
    <m/>
    <m/>
    <m/>
    <m/>
    <m/>
    <m/>
    <m/>
    <s v="no test"/>
    <s v="no test"/>
    <s v="No Test"/>
    <n v="0"/>
    <n v="0"/>
    <n v="1"/>
    <n v="0"/>
    <n v="0"/>
    <n v="0"/>
    <n v="0"/>
    <n v="1"/>
    <n v="1"/>
    <n v="1"/>
    <n v="66"/>
    <n v="0"/>
    <n v="0"/>
    <n v="1"/>
    <n v="66"/>
    <n v="0.13200000000000001"/>
    <n v="0"/>
    <n v="0"/>
    <n v="0.86799999999999999"/>
    <n v="1"/>
    <n v="5"/>
    <n v="1"/>
    <n v="66"/>
    <n v="0"/>
    <n v="30"/>
    <n v="0"/>
    <n v="3"/>
    <n v="0"/>
    <n v="0"/>
    <n v="0"/>
    <n v="66"/>
    <n v="66"/>
    <n v="0"/>
    <n v="66"/>
    <n v="66"/>
    <n v="1"/>
    <n v="0"/>
    <n v="1"/>
    <n v="1"/>
    <n v="0"/>
    <n v="1"/>
    <n v="16"/>
    <n v="0"/>
    <n v="66"/>
    <s v="Yes"/>
    <s v=""/>
    <n v="0"/>
    <n v="30"/>
    <n v="0"/>
    <s v="Yes"/>
    <s v="KBC-MYT"/>
    <x v="0"/>
    <x v="1"/>
    <x v="0"/>
    <n v="25.599250000000001"/>
    <n v="96.306910999999999"/>
    <s v="MMR001CMP105"/>
    <x v="0"/>
    <m/>
    <n v="16"/>
    <n v="64"/>
  </r>
  <r>
    <x v="1"/>
    <x v="11"/>
    <x v="8"/>
    <s v="MHF"/>
    <x v="1"/>
    <x v="8"/>
    <x v="0"/>
    <x v="167"/>
    <n v="19"/>
    <n v="84"/>
    <d v="2022-01-01T00:00:00"/>
    <d v="2022-12-31T00:00:00"/>
    <m/>
    <n v="1"/>
    <m/>
    <m/>
    <s v="Yes"/>
    <n v="2"/>
    <n v="3"/>
    <n v="1"/>
    <m/>
    <m/>
    <m/>
    <n v="1"/>
    <m/>
    <m/>
    <m/>
    <m/>
    <m/>
    <m/>
    <m/>
    <m/>
    <m/>
    <m/>
    <m/>
    <m/>
    <m/>
    <m/>
    <m/>
    <m/>
    <m/>
    <m/>
    <n v="5"/>
    <m/>
    <m/>
    <m/>
    <m/>
    <n v="3"/>
    <m/>
    <m/>
    <x v="1"/>
    <x v="1"/>
    <m/>
    <m/>
    <m/>
    <m/>
    <m/>
    <m/>
    <n v="4"/>
    <m/>
    <m/>
    <n v="3"/>
    <m/>
    <m/>
    <m/>
    <n v="19"/>
    <m/>
    <s v="No"/>
    <m/>
    <n v="0.5"/>
    <m/>
    <n v="0.5"/>
    <n v="0.8"/>
    <n v="20"/>
    <n v="0.8"/>
    <m/>
    <m/>
    <m/>
    <m/>
    <m/>
    <m/>
    <m/>
    <s v="no test"/>
    <s v="no test"/>
    <s v="No Test"/>
    <n v="1"/>
    <n v="1"/>
    <n v="0"/>
    <n v="0"/>
    <n v="0"/>
    <n v="0"/>
    <n v="0"/>
    <n v="1"/>
    <n v="1"/>
    <n v="1"/>
    <n v="84"/>
    <n v="0"/>
    <n v="0"/>
    <n v="1"/>
    <n v="84"/>
    <n v="0.16800000000000001"/>
    <n v="0"/>
    <n v="0"/>
    <n v="0.83199999999999996"/>
    <n v="1"/>
    <n v="5"/>
    <n v="1"/>
    <n v="84"/>
    <n v="60"/>
    <n v="0"/>
    <n v="0"/>
    <n v="4"/>
    <n v="0"/>
    <n v="0"/>
    <n v="0"/>
    <n v="0"/>
    <n v="84"/>
    <n v="0"/>
    <n v="84"/>
    <n v="84"/>
    <n v="1"/>
    <n v="0"/>
    <n v="0"/>
    <n v="1"/>
    <n v="0"/>
    <n v="4"/>
    <n v="19"/>
    <n v="0"/>
    <n v="84"/>
    <s v="No"/>
    <n v="0.23809523809523808"/>
    <n v="0"/>
    <n v="0"/>
    <n v="0"/>
    <s v="Yes"/>
    <s v="Shalom"/>
    <x v="0"/>
    <x v="1"/>
    <x v="0"/>
    <n v="25.374343974359"/>
    <n v="97.2843958974359"/>
    <s v="MMR001CMP020"/>
    <x v="0"/>
    <m/>
    <n v="22"/>
    <n v="90"/>
  </r>
  <r>
    <x v="1"/>
    <x v="11"/>
    <x v="8"/>
    <s v="MHF"/>
    <x v="1"/>
    <x v="8"/>
    <x v="0"/>
    <x v="168"/>
    <n v="29"/>
    <n v="174"/>
    <d v="2022-01-01T00:00:00"/>
    <d v="2022-12-31T00:00:00"/>
    <m/>
    <n v="1"/>
    <n v="1"/>
    <m/>
    <s v="Yes"/>
    <n v="3"/>
    <n v="5"/>
    <n v="2"/>
    <m/>
    <m/>
    <n v="1"/>
    <n v="1"/>
    <m/>
    <m/>
    <m/>
    <m/>
    <m/>
    <m/>
    <n v="2"/>
    <m/>
    <m/>
    <m/>
    <m/>
    <m/>
    <m/>
    <m/>
    <m/>
    <m/>
    <m/>
    <m/>
    <n v="6"/>
    <m/>
    <m/>
    <m/>
    <m/>
    <n v="6"/>
    <m/>
    <m/>
    <x v="0"/>
    <x v="1"/>
    <m/>
    <m/>
    <m/>
    <m/>
    <m/>
    <m/>
    <n v="4"/>
    <m/>
    <m/>
    <n v="2"/>
    <m/>
    <m/>
    <n v="2"/>
    <n v="29"/>
    <m/>
    <s v="Yes"/>
    <n v="4"/>
    <n v="0.4"/>
    <m/>
    <n v="1"/>
    <n v="1"/>
    <n v="40"/>
    <n v="0.7"/>
    <m/>
    <m/>
    <m/>
    <m/>
    <m/>
    <m/>
    <m/>
    <s v="no test"/>
    <s v="no test"/>
    <s v="No Test"/>
    <n v="2"/>
    <n v="2"/>
    <n v="0"/>
    <n v="0"/>
    <n v="0"/>
    <n v="0"/>
    <n v="0"/>
    <n v="1"/>
    <n v="1"/>
    <n v="1"/>
    <n v="174"/>
    <n v="1"/>
    <n v="174"/>
    <n v="1"/>
    <n v="174"/>
    <n v="0.34799999999999998"/>
    <n v="0"/>
    <n v="0"/>
    <n v="0.65200000000000002"/>
    <n v="1"/>
    <n v="6"/>
    <n v="0.68965517241379315"/>
    <n v="120"/>
    <n v="120"/>
    <n v="0"/>
    <n v="0"/>
    <n v="9"/>
    <n v="3"/>
    <n v="0.31034482758620685"/>
    <n v="0"/>
    <n v="174"/>
    <n v="174"/>
    <n v="0"/>
    <n v="174"/>
    <n v="174"/>
    <n v="1"/>
    <n v="0"/>
    <n v="1"/>
    <n v="1"/>
    <n v="0"/>
    <n v="4"/>
    <n v="29"/>
    <n v="0"/>
    <n v="174"/>
    <s v="No"/>
    <n v="0.22988505747126436"/>
    <n v="0"/>
    <n v="0"/>
    <n v="0"/>
    <s v="Yes"/>
    <s v="Shalom"/>
    <x v="0"/>
    <x v="1"/>
    <x v="0"/>
    <n v="25.371049444444399"/>
    <n v="97.290952037037002"/>
    <s v="MMR001CMP021"/>
    <x v="0"/>
    <m/>
    <n v="30"/>
    <n v="177"/>
  </r>
  <r>
    <x v="1"/>
    <x v="11"/>
    <x v="8"/>
    <s v="MHF"/>
    <x v="1"/>
    <x v="8"/>
    <x v="0"/>
    <x v="169"/>
    <n v="16"/>
    <n v="85"/>
    <d v="2021-01-01T00:00:00"/>
    <d v="2022-03-31T00:00:00"/>
    <n v="20"/>
    <n v="1"/>
    <n v="1"/>
    <m/>
    <s v="Yes"/>
    <n v="2"/>
    <n v="2"/>
    <n v="3"/>
    <n v="1"/>
    <m/>
    <n v="3"/>
    <n v="3"/>
    <n v="2"/>
    <n v="2"/>
    <m/>
    <m/>
    <m/>
    <m/>
    <n v="2"/>
    <m/>
    <m/>
    <m/>
    <m/>
    <m/>
    <m/>
    <m/>
    <n v="2"/>
    <n v="2"/>
    <m/>
    <m/>
    <n v="7"/>
    <n v="5"/>
    <s v="Chruch"/>
    <m/>
    <m/>
    <m/>
    <m/>
    <n v="7"/>
    <x v="1"/>
    <x v="1"/>
    <m/>
    <m/>
    <n v="2"/>
    <m/>
    <m/>
    <m/>
    <n v="3"/>
    <m/>
    <m/>
    <n v="2"/>
    <m/>
    <m/>
    <n v="1"/>
    <n v="16"/>
    <m/>
    <s v="Yes"/>
    <n v="2"/>
    <n v="0.7"/>
    <m/>
    <n v="1"/>
    <n v="1"/>
    <m/>
    <m/>
    <m/>
    <m/>
    <m/>
    <m/>
    <m/>
    <m/>
    <m/>
    <s v="no test"/>
    <s v="no test"/>
    <s v="No Test"/>
    <n v="2"/>
    <n v="4"/>
    <n v="0"/>
    <n v="0"/>
    <n v="0"/>
    <n v="85"/>
    <n v="0"/>
    <n v="1"/>
    <n v="1"/>
    <n v="1"/>
    <n v="85"/>
    <n v="1"/>
    <n v="85"/>
    <n v="1"/>
    <n v="85"/>
    <n v="0.17"/>
    <n v="0"/>
    <n v="0"/>
    <n v="0.83"/>
    <n v="1"/>
    <n v="12"/>
    <n v="1"/>
    <n v="85"/>
    <n v="0"/>
    <n v="20"/>
    <n v="0"/>
    <n v="4"/>
    <n v="0"/>
    <n v="0"/>
    <n v="0"/>
    <n v="85"/>
    <n v="85"/>
    <n v="0"/>
    <n v="85"/>
    <n v="85"/>
    <n v="1"/>
    <n v="0"/>
    <n v="1"/>
    <n v="1"/>
    <n v="0"/>
    <n v="3"/>
    <n v="16"/>
    <n v="2"/>
    <n v="85"/>
    <s v="Yes"/>
    <s v=""/>
    <n v="0"/>
    <n v="85"/>
    <n v="0"/>
    <s v="Yes"/>
    <s v="Shalom"/>
    <x v="0"/>
    <x v="1"/>
    <x v="0"/>
    <n v="25.417733999999999"/>
    <n v="97.389778000000007"/>
    <s v="MMR001CMP004"/>
    <x v="0"/>
    <m/>
    <n v="16"/>
    <n v="83"/>
  </r>
  <r>
    <x v="1"/>
    <x v="11"/>
    <x v="8"/>
    <s v="MHF"/>
    <x v="1"/>
    <x v="8"/>
    <x v="0"/>
    <x v="170"/>
    <n v="26"/>
    <n v="120"/>
    <d v="2021-01-01T00:00:00"/>
    <d v="2022-03-31T00:00:00"/>
    <m/>
    <n v="1"/>
    <m/>
    <m/>
    <s v="Yes"/>
    <n v="1"/>
    <n v="4"/>
    <n v="1"/>
    <m/>
    <m/>
    <m/>
    <m/>
    <m/>
    <m/>
    <m/>
    <m/>
    <m/>
    <m/>
    <m/>
    <m/>
    <m/>
    <m/>
    <m/>
    <m/>
    <m/>
    <m/>
    <n v="4"/>
    <n v="1"/>
    <m/>
    <m/>
    <n v="2"/>
    <n v="5"/>
    <m/>
    <m/>
    <m/>
    <m/>
    <m/>
    <m/>
    <x v="1"/>
    <x v="1"/>
    <m/>
    <m/>
    <m/>
    <m/>
    <m/>
    <m/>
    <n v="6"/>
    <m/>
    <m/>
    <n v="5"/>
    <m/>
    <m/>
    <m/>
    <m/>
    <m/>
    <m/>
    <m/>
    <m/>
    <m/>
    <n v="1"/>
    <m/>
    <m/>
    <m/>
    <m/>
    <m/>
    <m/>
    <m/>
    <m/>
    <m/>
    <m/>
    <s v="no test"/>
    <s v="no test"/>
    <s v="No Test"/>
    <n v="1"/>
    <n v="0"/>
    <n v="0"/>
    <n v="0"/>
    <n v="0"/>
    <n v="120"/>
    <n v="0"/>
    <n v="1"/>
    <n v="1"/>
    <n v="1"/>
    <n v="120"/>
    <n v="0"/>
    <n v="0"/>
    <n v="1"/>
    <n v="120"/>
    <n v="0.24"/>
    <n v="0"/>
    <n v="0"/>
    <n v="0.76"/>
    <n v="1"/>
    <n v="7"/>
    <n v="1"/>
    <n v="120"/>
    <n v="0"/>
    <n v="0"/>
    <n v="0"/>
    <n v="6"/>
    <n v="0"/>
    <n v="0"/>
    <n v="0"/>
    <n v="0"/>
    <n v="0"/>
    <n v="0"/>
    <n v="0"/>
    <n v="0"/>
    <n v="0"/>
    <n v="1"/>
    <n v="0"/>
    <n v="0"/>
    <n v="0"/>
    <n v="6"/>
    <n v="26"/>
    <n v="0"/>
    <n v="120"/>
    <s v="No"/>
    <s v=""/>
    <n v="0"/>
    <n v="120"/>
    <n v="0"/>
    <s v="Yes"/>
    <s v="Shalom"/>
    <x v="0"/>
    <x v="1"/>
    <x v="0"/>
    <n v="25.423817"/>
    <n v="97.418004999999994"/>
    <s v="MMR001CMP007"/>
    <x v="0"/>
    <m/>
    <n v="26"/>
    <n v="119"/>
  </r>
  <r>
    <x v="1"/>
    <x v="11"/>
    <x v="8"/>
    <s v="MHF"/>
    <x v="1"/>
    <x v="8"/>
    <x v="0"/>
    <x v="171"/>
    <n v="56"/>
    <n v="262"/>
    <d v="2022-01-01T00:00:00"/>
    <d v="2022-12-31T00:00:00"/>
    <m/>
    <n v="1"/>
    <n v="1"/>
    <m/>
    <s v="Yes"/>
    <n v="2"/>
    <n v="5"/>
    <n v="1"/>
    <m/>
    <n v="1"/>
    <n v="4"/>
    <m/>
    <m/>
    <m/>
    <m/>
    <m/>
    <m/>
    <m/>
    <n v="5"/>
    <m/>
    <m/>
    <m/>
    <m/>
    <m/>
    <m/>
    <m/>
    <n v="2"/>
    <n v="2"/>
    <m/>
    <m/>
    <n v="18"/>
    <m/>
    <m/>
    <m/>
    <m/>
    <n v="6"/>
    <m/>
    <m/>
    <x v="1"/>
    <x v="1"/>
    <m/>
    <n v="1"/>
    <m/>
    <m/>
    <m/>
    <m/>
    <n v="4"/>
    <n v="1"/>
    <m/>
    <n v="4"/>
    <m/>
    <m/>
    <m/>
    <m/>
    <m/>
    <m/>
    <m/>
    <m/>
    <m/>
    <n v="0.8"/>
    <n v="0.8"/>
    <m/>
    <m/>
    <m/>
    <m/>
    <m/>
    <m/>
    <m/>
    <m/>
    <m/>
    <s v="no test"/>
    <s v="no test"/>
    <s v="No Test"/>
    <n v="1"/>
    <n v="4"/>
    <n v="0"/>
    <n v="0"/>
    <n v="0"/>
    <n v="262"/>
    <n v="0"/>
    <n v="1"/>
    <n v="1"/>
    <n v="1"/>
    <n v="262"/>
    <n v="1"/>
    <n v="262"/>
    <n v="1"/>
    <n v="262"/>
    <n v="0.52400000000000002"/>
    <n v="0"/>
    <n v="0"/>
    <n v="0.47599999999999998"/>
    <n v="1"/>
    <n v="18"/>
    <n v="1"/>
    <n v="262"/>
    <n v="120"/>
    <n v="0"/>
    <n v="0"/>
    <n v="13"/>
    <n v="0"/>
    <n v="0"/>
    <n v="0"/>
    <n v="0"/>
    <n v="0"/>
    <n v="0"/>
    <n v="0"/>
    <n v="0"/>
    <n v="0"/>
    <n v="1"/>
    <n v="0"/>
    <n v="0"/>
    <n v="0"/>
    <n v="3"/>
    <n v="56"/>
    <n v="0"/>
    <n v="262"/>
    <s v="No"/>
    <s v=""/>
    <n v="0"/>
    <n v="262"/>
    <n v="0"/>
    <s v="Yes"/>
    <s v="Shalom"/>
    <x v="0"/>
    <x v="1"/>
    <x v="0"/>
    <n v="25.423209"/>
    <n v="97.379987"/>
    <s v="MMR001CMP023"/>
    <x v="0"/>
    <m/>
    <n v="56"/>
    <n v="266"/>
  </r>
  <r>
    <x v="1"/>
    <x v="11"/>
    <x v="8"/>
    <s v="MHF"/>
    <x v="1"/>
    <x v="13"/>
    <x v="0"/>
    <x v="172"/>
    <n v="59"/>
    <n v="293"/>
    <d v="2022-01-01T00:00:00"/>
    <d v="2022-12-31T00:00:00"/>
    <m/>
    <n v="1"/>
    <n v="1"/>
    <m/>
    <s v="Yes"/>
    <n v="1"/>
    <n v="6"/>
    <n v="1"/>
    <n v="1"/>
    <m/>
    <m/>
    <m/>
    <m/>
    <m/>
    <m/>
    <m/>
    <m/>
    <m/>
    <n v="1"/>
    <m/>
    <n v="2"/>
    <s v="Yes"/>
    <m/>
    <m/>
    <m/>
    <m/>
    <n v="2"/>
    <n v="2"/>
    <n v="2"/>
    <m/>
    <n v="6"/>
    <n v="2"/>
    <s v="World vision"/>
    <n v="8"/>
    <m/>
    <m/>
    <m/>
    <m/>
    <x v="1"/>
    <x v="1"/>
    <m/>
    <m/>
    <m/>
    <n v="4"/>
    <m/>
    <m/>
    <n v="2"/>
    <m/>
    <m/>
    <n v="3"/>
    <m/>
    <m/>
    <m/>
    <n v="59"/>
    <m/>
    <s v="Yes"/>
    <m/>
    <n v="0.5"/>
    <m/>
    <n v="1"/>
    <n v="0.9"/>
    <m/>
    <n v="1"/>
    <m/>
    <m/>
    <m/>
    <m/>
    <m/>
    <m/>
    <m/>
    <s v="no test"/>
    <s v="no test"/>
    <s v="No Test"/>
    <n v="0"/>
    <n v="0"/>
    <n v="0"/>
    <n v="0"/>
    <n v="0"/>
    <n v="293"/>
    <n v="293"/>
    <n v="0"/>
    <n v="0"/>
    <n v="0"/>
    <n v="0"/>
    <n v="0.85324232081911267"/>
    <n v="250"/>
    <n v="0.85324232081911267"/>
    <n v="250"/>
    <n v="0.5"/>
    <n v="0.14675767918088733"/>
    <n v="42.999999999999986"/>
    <n v="0.5"/>
    <n v="1"/>
    <n v="0"/>
    <n v="0"/>
    <n v="0"/>
    <n v="0"/>
    <n v="0"/>
    <n v="200"/>
    <n v="15"/>
    <n v="7"/>
    <n v="1"/>
    <n v="1"/>
    <n v="0"/>
    <n v="293"/>
    <n v="0"/>
    <n v="293"/>
    <n v="293"/>
    <n v="1"/>
    <n v="0"/>
    <n v="0"/>
    <n v="1"/>
    <n v="0"/>
    <n v="2"/>
    <n v="40"/>
    <n v="2"/>
    <n v="200"/>
    <s v="No"/>
    <s v=""/>
    <n v="0"/>
    <n v="293"/>
    <n v="293"/>
    <s v="Yes"/>
    <s v="Shalom"/>
    <x v="0"/>
    <x v="1"/>
    <x v="0"/>
    <n v="25.321710740740698"/>
    <n v="97.404195925926004"/>
    <s v="MMR001CMP028"/>
    <x v="0"/>
    <m/>
    <n v="59"/>
    <n v="291"/>
  </r>
  <r>
    <x v="1"/>
    <x v="11"/>
    <x v="8"/>
    <s v="MHF"/>
    <x v="1"/>
    <x v="13"/>
    <x v="0"/>
    <x v="173"/>
    <n v="353"/>
    <n v="2166"/>
    <d v="2022-01-01T00:00:00"/>
    <d v="2022-12-31T00:00:00"/>
    <n v="60"/>
    <n v="1"/>
    <m/>
    <m/>
    <s v="Yes"/>
    <n v="1"/>
    <n v="6"/>
    <n v="3"/>
    <m/>
    <m/>
    <n v="2"/>
    <n v="1"/>
    <n v="3"/>
    <m/>
    <m/>
    <m/>
    <m/>
    <m/>
    <m/>
    <m/>
    <m/>
    <m/>
    <m/>
    <m/>
    <m/>
    <m/>
    <n v="2"/>
    <m/>
    <m/>
    <m/>
    <n v="20"/>
    <n v="4"/>
    <s v="worldvision/KBC"/>
    <m/>
    <m/>
    <m/>
    <m/>
    <m/>
    <x v="1"/>
    <x v="1"/>
    <m/>
    <n v="10"/>
    <n v="4"/>
    <n v="18"/>
    <m/>
    <s v="Camp 2 တွင်လူဦးရေနှင့် အိမ်သာမမြ"/>
    <n v="14"/>
    <n v="1"/>
    <m/>
    <n v="4"/>
    <n v="1"/>
    <n v="1"/>
    <n v="1"/>
    <n v="356"/>
    <m/>
    <s v="Yes"/>
    <m/>
    <n v="0.6"/>
    <m/>
    <n v="0.9"/>
    <n v="1"/>
    <m/>
    <n v="1"/>
    <m/>
    <m/>
    <m/>
    <m/>
    <m/>
    <m/>
    <m/>
    <s v="no test"/>
    <s v="no test"/>
    <s v="No Test"/>
    <n v="3"/>
    <n v="0"/>
    <n v="0"/>
    <n v="0"/>
    <n v="0"/>
    <n v="0"/>
    <n v="0"/>
    <n v="0.554016620498615"/>
    <n v="0.34626038781163437"/>
    <n v="0.554016620498615"/>
    <n v="1200"/>
    <n v="0"/>
    <n v="0"/>
    <n v="0.554016620498615"/>
    <n v="1200"/>
    <n v="2.4"/>
    <n v="0.445983379501385"/>
    <n v="965.99999999999989"/>
    <n v="1.6"/>
    <n v="4"/>
    <n v="24"/>
    <n v="0.22160664819944598"/>
    <n v="480"/>
    <n v="0"/>
    <n v="60"/>
    <n v="900"/>
    <n v="108"/>
    <n v="84"/>
    <n v="0.77839335180055402"/>
    <n v="0"/>
    <n v="1000"/>
    <n v="1780"/>
    <n v="0"/>
    <n v="1780"/>
    <n v="1780"/>
    <n v="0.82179132040627889"/>
    <n v="0.17820867959372111"/>
    <n v="0.46168051708217911"/>
    <n v="1"/>
    <n v="0"/>
    <n v="13"/>
    <n v="260"/>
    <n v="2"/>
    <n v="1300"/>
    <s v="Yes"/>
    <s v=""/>
    <n v="0"/>
    <n v="60"/>
    <n v="900"/>
    <s v="Yes"/>
    <s v="Shalom"/>
    <x v="0"/>
    <x v="1"/>
    <x v="0"/>
    <n v="25.424529444444399"/>
    <n v="97.433419259259296"/>
    <s v="MMR001CMP031"/>
    <x v="0"/>
    <m/>
    <n v="353"/>
    <n v="2166"/>
  </r>
  <r>
    <x v="1"/>
    <x v="11"/>
    <x v="8"/>
    <s v="MHF"/>
    <x v="1"/>
    <x v="13"/>
    <x v="0"/>
    <x v="176"/>
    <n v="40"/>
    <n v="221"/>
    <d v="2022-01-01T00:00:00"/>
    <d v="2022-12-31T00:00:00"/>
    <m/>
    <n v="1"/>
    <m/>
    <m/>
    <s v="Yes"/>
    <n v="1"/>
    <n v="4"/>
    <n v="1"/>
    <m/>
    <m/>
    <m/>
    <m/>
    <m/>
    <m/>
    <m/>
    <m/>
    <m/>
    <m/>
    <m/>
    <m/>
    <m/>
    <m/>
    <m/>
    <m/>
    <m/>
    <m/>
    <m/>
    <m/>
    <m/>
    <s v="နွေရာသီတွင် ရေရှားပါးမှုဖြစ်"/>
    <n v="8"/>
    <m/>
    <m/>
    <m/>
    <m/>
    <m/>
    <m/>
    <m/>
    <x v="1"/>
    <x v="1"/>
    <m/>
    <m/>
    <m/>
    <m/>
    <m/>
    <m/>
    <n v="10"/>
    <n v="5"/>
    <m/>
    <n v="4"/>
    <m/>
    <m/>
    <m/>
    <n v="40"/>
    <m/>
    <s v="Yes"/>
    <m/>
    <n v="0.5"/>
    <m/>
    <n v="0.98"/>
    <n v="0.9"/>
    <n v="4"/>
    <n v="0.99"/>
    <m/>
    <m/>
    <m/>
    <m/>
    <m/>
    <m/>
    <m/>
    <s v="no test"/>
    <s v="no test"/>
    <s v="No Test"/>
    <n v="1"/>
    <n v="0"/>
    <n v="0"/>
    <n v="0"/>
    <n v="0"/>
    <n v="0"/>
    <n v="0"/>
    <n v="1"/>
    <n v="1"/>
    <n v="1"/>
    <n v="221"/>
    <n v="0"/>
    <n v="0"/>
    <n v="1"/>
    <n v="221"/>
    <n v="0.442"/>
    <n v="0"/>
    <n v="0"/>
    <n v="0.55800000000000005"/>
    <n v="1"/>
    <n v="8"/>
    <n v="0.72398190045248867"/>
    <n v="160"/>
    <n v="0"/>
    <n v="0"/>
    <n v="0"/>
    <n v="11"/>
    <n v="3"/>
    <n v="0.27601809954751133"/>
    <n v="0"/>
    <n v="0"/>
    <n v="221"/>
    <n v="0"/>
    <n v="221"/>
    <n v="221"/>
    <n v="1"/>
    <n v="0"/>
    <n v="0"/>
    <n v="1"/>
    <n v="0"/>
    <n v="5"/>
    <n v="40"/>
    <n v="0"/>
    <n v="221"/>
    <s v="No"/>
    <n v="1.8099547511312219E-2"/>
    <n v="0"/>
    <n v="0"/>
    <n v="0"/>
    <s v="Yes"/>
    <s v="Shalom"/>
    <x v="0"/>
    <x v="1"/>
    <x v="0"/>
    <n v="25.345918166666699"/>
    <n v="97.437472666666693"/>
    <s v="MMR001CMP030"/>
    <x v="0"/>
    <m/>
    <n v="40"/>
    <n v="221"/>
  </r>
  <r>
    <x v="1"/>
    <x v="11"/>
    <x v="8"/>
    <s v="MHF"/>
    <x v="1"/>
    <x v="13"/>
    <x v="0"/>
    <x v="174"/>
    <n v="19"/>
    <n v="85"/>
    <d v="2022-01-01T00:00:00"/>
    <d v="2022-12-31T00:00:00"/>
    <m/>
    <n v="1"/>
    <m/>
    <m/>
    <s v="Yes"/>
    <m/>
    <n v="5"/>
    <n v="1"/>
    <m/>
    <m/>
    <n v="1"/>
    <n v="1"/>
    <m/>
    <m/>
    <m/>
    <m/>
    <m/>
    <m/>
    <m/>
    <m/>
    <m/>
    <m/>
    <m/>
    <m/>
    <m/>
    <m/>
    <n v="2"/>
    <m/>
    <m/>
    <s v="နွေရာသီတွင် ရေအခက်အခဲအနည်းငယ် ဖြစ်"/>
    <n v="4"/>
    <m/>
    <m/>
    <m/>
    <m/>
    <m/>
    <m/>
    <m/>
    <x v="1"/>
    <x v="1"/>
    <m/>
    <m/>
    <m/>
    <m/>
    <m/>
    <m/>
    <n v="2"/>
    <m/>
    <m/>
    <n v="2"/>
    <m/>
    <m/>
    <m/>
    <n v="19"/>
    <m/>
    <s v="Yes"/>
    <m/>
    <n v="0.7"/>
    <m/>
    <n v="0.8"/>
    <n v="0.7"/>
    <n v="4"/>
    <n v="0.9"/>
    <m/>
    <m/>
    <m/>
    <m/>
    <m/>
    <m/>
    <m/>
    <s v="no test"/>
    <s v="no test"/>
    <s v="No Test"/>
    <n v="1"/>
    <n v="2"/>
    <n v="0"/>
    <n v="0"/>
    <n v="0"/>
    <n v="0"/>
    <n v="0"/>
    <n v="1"/>
    <n v="1"/>
    <n v="1"/>
    <n v="85"/>
    <n v="0"/>
    <n v="0"/>
    <n v="1"/>
    <n v="85"/>
    <n v="0.17"/>
    <n v="0"/>
    <n v="0"/>
    <n v="0.83"/>
    <n v="1"/>
    <n v="4"/>
    <n v="0.94117647058823528"/>
    <n v="80"/>
    <n v="0"/>
    <n v="0"/>
    <n v="0"/>
    <n v="4"/>
    <n v="0"/>
    <n v="5.8823529411764719E-2"/>
    <n v="0"/>
    <n v="0"/>
    <n v="85"/>
    <n v="0"/>
    <n v="85"/>
    <n v="85"/>
    <n v="1"/>
    <n v="0"/>
    <n v="0"/>
    <n v="1"/>
    <n v="0"/>
    <n v="2"/>
    <n v="19"/>
    <n v="2"/>
    <n v="85"/>
    <s v="No"/>
    <n v="4.7058823529411764E-2"/>
    <n v="0"/>
    <n v="0"/>
    <n v="0"/>
    <s v="Yes"/>
    <s v="Shalom"/>
    <x v="0"/>
    <x v="1"/>
    <x v="0"/>
    <n v="25.351965"/>
    <n v="97.345039"/>
    <s v="MMR001CMP033"/>
    <x v="0"/>
    <m/>
    <n v="19"/>
    <n v="85"/>
  </r>
  <r>
    <x v="1"/>
    <x v="11"/>
    <x v="8"/>
    <s v="MHF"/>
    <x v="1"/>
    <x v="13"/>
    <x v="0"/>
    <x v="175"/>
    <n v="109"/>
    <n v="463"/>
    <d v="2022-01-01T00:00:00"/>
    <d v="2022-12-31T00:00:00"/>
    <m/>
    <n v="2"/>
    <m/>
    <m/>
    <s v="Yes"/>
    <n v="4"/>
    <n v="9"/>
    <n v="3"/>
    <n v="1"/>
    <m/>
    <n v="2"/>
    <m/>
    <m/>
    <m/>
    <m/>
    <m/>
    <m/>
    <m/>
    <n v="2"/>
    <m/>
    <m/>
    <n v="2"/>
    <m/>
    <m/>
    <m/>
    <m/>
    <n v="3"/>
    <m/>
    <m/>
    <s v="နွေရာသီတွင် ရေခမ်း၍ ရေအနည်များခြင်း"/>
    <n v="15"/>
    <m/>
    <m/>
    <m/>
    <m/>
    <m/>
    <m/>
    <m/>
    <x v="1"/>
    <x v="1"/>
    <m/>
    <m/>
    <m/>
    <n v="5"/>
    <m/>
    <s v="မိလ္လာစုပ်ထုတ်ရန် အခက်အခဲဖြစ်"/>
    <n v="9"/>
    <n v="4"/>
    <m/>
    <n v="4"/>
    <m/>
    <m/>
    <m/>
    <n v="80"/>
    <m/>
    <s v="Yes"/>
    <m/>
    <n v="0.56000000000000005"/>
    <m/>
    <n v="0.95"/>
    <n v="0.9"/>
    <m/>
    <n v="0.95"/>
    <m/>
    <m/>
    <m/>
    <m/>
    <m/>
    <m/>
    <m/>
    <s v="no test"/>
    <s v="no test"/>
    <s v="No Test"/>
    <n v="2"/>
    <n v="2"/>
    <n v="0"/>
    <n v="0"/>
    <n v="0"/>
    <n v="0"/>
    <n v="0"/>
    <n v="1"/>
    <n v="1"/>
    <n v="1"/>
    <n v="463"/>
    <n v="1"/>
    <n v="463"/>
    <n v="1"/>
    <n v="463"/>
    <n v="0.92600000000000005"/>
    <n v="0"/>
    <n v="0"/>
    <n v="7.3999999999999955E-2"/>
    <n v="1"/>
    <n v="15"/>
    <n v="0.64794816414686829"/>
    <n v="300"/>
    <n v="0"/>
    <n v="0"/>
    <n v="250"/>
    <n v="23"/>
    <n v="8"/>
    <n v="0.35205183585313171"/>
    <n v="0"/>
    <n v="0"/>
    <n v="400"/>
    <n v="0"/>
    <n v="400"/>
    <n v="400"/>
    <n v="0.86393088552915764"/>
    <n v="0.13606911447084236"/>
    <n v="0"/>
    <n v="1"/>
    <n v="0"/>
    <n v="5"/>
    <n v="100"/>
    <n v="3"/>
    <n v="463"/>
    <s v="No"/>
    <s v=""/>
    <n v="0"/>
    <n v="0"/>
    <n v="250"/>
    <s v="Yes"/>
    <s v="Shalom"/>
    <x v="0"/>
    <x v="1"/>
    <x v="0"/>
    <n v="25.3540362037037"/>
    <n v="97.441166388888902"/>
    <s v="MMR001CMP032"/>
    <x v="0"/>
    <m/>
    <n v="111"/>
    <n v="505"/>
  </r>
  <r>
    <x v="1"/>
    <x v="11"/>
    <x v="8"/>
    <s v="MHF"/>
    <x v="1"/>
    <x v="13"/>
    <x v="0"/>
    <x v="177"/>
    <n v="46"/>
    <n v="192"/>
    <d v="2022-01-01T00:00:00"/>
    <d v="2022-12-31T00:00:00"/>
    <m/>
    <n v="1"/>
    <m/>
    <m/>
    <s v="Yes"/>
    <n v="1"/>
    <n v="4"/>
    <n v="1"/>
    <m/>
    <m/>
    <m/>
    <m/>
    <m/>
    <m/>
    <m/>
    <m/>
    <m/>
    <m/>
    <m/>
    <m/>
    <m/>
    <m/>
    <m/>
    <m/>
    <m/>
    <m/>
    <m/>
    <m/>
    <m/>
    <s v="နွေရာသီတွင် ရေခမ်း၍ ရေအနည်များခြင်း"/>
    <n v="6"/>
    <m/>
    <m/>
    <m/>
    <m/>
    <m/>
    <m/>
    <m/>
    <x v="1"/>
    <x v="1"/>
    <m/>
    <m/>
    <m/>
    <m/>
    <m/>
    <m/>
    <n v="4"/>
    <m/>
    <m/>
    <n v="2"/>
    <m/>
    <m/>
    <m/>
    <n v="46"/>
    <m/>
    <s v="Yes"/>
    <m/>
    <n v="0.4"/>
    <m/>
    <n v="0.95"/>
    <n v="0.9"/>
    <n v="3"/>
    <n v="0.99"/>
    <m/>
    <m/>
    <m/>
    <m/>
    <m/>
    <m/>
    <m/>
    <s v="no test"/>
    <s v="no test"/>
    <s v="No Test"/>
    <n v="1"/>
    <n v="0"/>
    <n v="0"/>
    <n v="0"/>
    <n v="0"/>
    <n v="0"/>
    <n v="0"/>
    <n v="1"/>
    <n v="1"/>
    <n v="1"/>
    <n v="192"/>
    <n v="0"/>
    <n v="0"/>
    <n v="1"/>
    <n v="192"/>
    <n v="0.38400000000000001"/>
    <n v="0"/>
    <n v="0"/>
    <n v="0.61599999999999999"/>
    <n v="1"/>
    <n v="6"/>
    <n v="0.625"/>
    <n v="120"/>
    <n v="0"/>
    <n v="0"/>
    <n v="0"/>
    <n v="10"/>
    <n v="4"/>
    <n v="0.375"/>
    <n v="0"/>
    <n v="0"/>
    <n v="192"/>
    <n v="0"/>
    <n v="192"/>
    <n v="192"/>
    <n v="1"/>
    <n v="0"/>
    <n v="0"/>
    <n v="1"/>
    <n v="0"/>
    <n v="4"/>
    <n v="46"/>
    <n v="0"/>
    <n v="192"/>
    <s v="No"/>
    <n v="1.5625E-2"/>
    <n v="0"/>
    <n v="0"/>
    <n v="0"/>
    <s v="Yes"/>
    <s v="Shalom"/>
    <x v="0"/>
    <x v="1"/>
    <x v="0"/>
    <n v="25.333683333333301"/>
    <n v="97.428251153846105"/>
    <s v="MMR001CMP037"/>
    <x v="0"/>
    <m/>
    <n v="46"/>
    <n v="192"/>
  </r>
  <r>
    <x v="1"/>
    <x v="11"/>
    <x v="8"/>
    <s v="MHF"/>
    <x v="1"/>
    <x v="13"/>
    <x v="0"/>
    <x v="178"/>
    <n v="68"/>
    <n v="193"/>
    <d v="2022-01-01T00:00:00"/>
    <d v="2022-12-31T00:00:00"/>
    <m/>
    <n v="1"/>
    <n v="1"/>
    <m/>
    <s v="Yes"/>
    <n v="3"/>
    <n v="3"/>
    <n v="2"/>
    <m/>
    <m/>
    <m/>
    <m/>
    <m/>
    <m/>
    <m/>
    <m/>
    <m/>
    <m/>
    <m/>
    <m/>
    <n v="1"/>
    <m/>
    <m/>
    <m/>
    <m/>
    <m/>
    <n v="1"/>
    <m/>
    <m/>
    <s v="နွေရာသီတွင် ရေခမ်း၍ ရေအနည်များခြင်း/မသန့်ခြင်း"/>
    <n v="9"/>
    <m/>
    <m/>
    <m/>
    <m/>
    <m/>
    <m/>
    <m/>
    <x v="1"/>
    <x v="1"/>
    <m/>
    <m/>
    <m/>
    <m/>
    <m/>
    <m/>
    <m/>
    <m/>
    <m/>
    <n v="2"/>
    <m/>
    <m/>
    <n v="1"/>
    <n v="68"/>
    <m/>
    <s v="Yes"/>
    <m/>
    <n v="0.5"/>
    <m/>
    <n v="0.96"/>
    <n v="0.9"/>
    <n v="4"/>
    <n v="0.99"/>
    <m/>
    <m/>
    <m/>
    <m/>
    <m/>
    <m/>
    <m/>
    <s v="no test"/>
    <s v="no test"/>
    <s v="No Test"/>
    <n v="2"/>
    <n v="0"/>
    <n v="0"/>
    <n v="0"/>
    <n v="0"/>
    <n v="0"/>
    <n v="0"/>
    <n v="1"/>
    <n v="1"/>
    <n v="1"/>
    <n v="193"/>
    <n v="0"/>
    <n v="0"/>
    <n v="1"/>
    <n v="193"/>
    <n v="0.38600000000000001"/>
    <n v="0"/>
    <n v="0"/>
    <n v="0.61399999999999999"/>
    <n v="1"/>
    <n v="9"/>
    <n v="0.93264248704663211"/>
    <n v="180"/>
    <n v="0"/>
    <n v="0"/>
    <n v="0"/>
    <n v="10"/>
    <n v="1"/>
    <n v="6.7357512953367893E-2"/>
    <n v="0"/>
    <n v="193"/>
    <n v="193"/>
    <n v="0"/>
    <n v="193"/>
    <n v="193"/>
    <n v="1"/>
    <n v="0"/>
    <n v="1"/>
    <n v="1"/>
    <n v="0"/>
    <n v="0"/>
    <n v="0"/>
    <n v="1"/>
    <n v="0"/>
    <s v="No"/>
    <n v="2.072538860103627E-2"/>
    <n v="0"/>
    <n v="0"/>
    <n v="0"/>
    <s v="Yes"/>
    <s v="Shalom"/>
    <x v="0"/>
    <x v="1"/>
    <x v="0"/>
    <n v="25.351250396825399"/>
    <n v="97.444283730158702"/>
    <s v="MMR001CMP038"/>
    <x v="0"/>
    <m/>
    <n v="71"/>
    <n v="307"/>
  </r>
  <r>
    <x v="1"/>
    <x v="12"/>
    <x v="9"/>
    <s v="ECHO 2739"/>
    <x v="1"/>
    <x v="1"/>
    <x v="0"/>
    <x v="180"/>
    <n v="260"/>
    <n v="1278"/>
    <d v="2022-04-01T00:00:00"/>
    <d v="2022-11-30T00:00:00"/>
    <m/>
    <m/>
    <m/>
    <m/>
    <s v="Yes"/>
    <n v="7"/>
    <n v="5"/>
    <n v="2"/>
    <m/>
    <m/>
    <n v="8"/>
    <m/>
    <m/>
    <m/>
    <m/>
    <m/>
    <m/>
    <m/>
    <m/>
    <m/>
    <m/>
    <m/>
    <n v="5"/>
    <n v="5"/>
    <n v="21"/>
    <n v="20"/>
    <m/>
    <m/>
    <m/>
    <m/>
    <n v="52"/>
    <m/>
    <m/>
    <m/>
    <m/>
    <n v="53"/>
    <n v="80"/>
    <m/>
    <x v="1"/>
    <x v="1"/>
    <m/>
    <n v="2"/>
    <m/>
    <m/>
    <n v="9"/>
    <m/>
    <n v="12"/>
    <m/>
    <m/>
    <n v="5"/>
    <m/>
    <m/>
    <n v="3"/>
    <n v="260"/>
    <n v="447"/>
    <m/>
    <m/>
    <m/>
    <m/>
    <n v="1"/>
    <n v="1"/>
    <n v="26"/>
    <n v="1"/>
    <m/>
    <n v="52"/>
    <n v="5"/>
    <m/>
    <m/>
    <m/>
    <m/>
    <n v="1"/>
    <n v="0.95238095238095233"/>
    <s v="Tested"/>
    <n v="2"/>
    <n v="8"/>
    <n v="0"/>
    <n v="0"/>
    <n v="0"/>
    <n v="0"/>
    <n v="0"/>
    <n v="1"/>
    <n v="1"/>
    <n v="1"/>
    <n v="1278"/>
    <n v="0"/>
    <n v="0"/>
    <n v="1"/>
    <n v="1278"/>
    <n v="2.556"/>
    <n v="0"/>
    <n v="0"/>
    <n v="0.44399999999999995"/>
    <n v="3"/>
    <n v="52"/>
    <n v="0.82081377151799684"/>
    <n v="1049"/>
    <n v="1060"/>
    <n v="0"/>
    <n v="0"/>
    <n v="64"/>
    <n v="12"/>
    <n v="0.17918622848200316"/>
    <n v="0"/>
    <n v="1278"/>
    <n v="1278"/>
    <n v="447"/>
    <n v="1278"/>
    <n v="1278"/>
    <n v="1"/>
    <n v="0"/>
    <n v="1"/>
    <n v="1"/>
    <n v="1"/>
    <n v="12"/>
    <n v="240"/>
    <n v="0"/>
    <n v="1200"/>
    <s v="No"/>
    <n v="2.0344287949921751E-2"/>
    <n v="57"/>
    <n v="0"/>
    <n v="0"/>
    <s v="Yes"/>
    <s v="KMSS-BMO"/>
    <x v="0"/>
    <x v="1"/>
    <x v="0"/>
    <n v="24.260719999999999"/>
    <n v="97.238829999999993"/>
    <s v="MMR001CMP050"/>
    <x v="0"/>
    <m/>
    <n v="222"/>
    <n v="1055"/>
  </r>
  <r>
    <x v="1"/>
    <x v="12"/>
    <x v="9"/>
    <s v="ECHO 2739"/>
    <x v="1"/>
    <x v="1"/>
    <x v="0"/>
    <x v="70"/>
    <n v="36"/>
    <n v="222"/>
    <d v="2022-04-01T00:00:00"/>
    <d v="2022-11-30T00:00:00"/>
    <m/>
    <m/>
    <m/>
    <m/>
    <s v="Yes"/>
    <n v="1"/>
    <n v="1"/>
    <n v="1"/>
    <m/>
    <m/>
    <n v="1"/>
    <m/>
    <m/>
    <m/>
    <m/>
    <m/>
    <m/>
    <m/>
    <m/>
    <m/>
    <m/>
    <m/>
    <m/>
    <m/>
    <m/>
    <m/>
    <m/>
    <m/>
    <m/>
    <m/>
    <n v="2"/>
    <m/>
    <m/>
    <m/>
    <m/>
    <m/>
    <m/>
    <m/>
    <x v="1"/>
    <x v="1"/>
    <m/>
    <m/>
    <m/>
    <m/>
    <m/>
    <m/>
    <m/>
    <m/>
    <n v="3"/>
    <m/>
    <m/>
    <m/>
    <m/>
    <m/>
    <m/>
    <m/>
    <m/>
    <m/>
    <m/>
    <m/>
    <m/>
    <m/>
    <n v="0"/>
    <m/>
    <n v="2"/>
    <n v="3"/>
    <m/>
    <m/>
    <m/>
    <m/>
    <s v="no test"/>
    <s v="no test"/>
    <s v="No Test"/>
    <n v="1"/>
    <n v="1"/>
    <n v="0"/>
    <n v="0"/>
    <n v="0"/>
    <n v="0"/>
    <n v="0"/>
    <n v="1"/>
    <n v="1"/>
    <n v="1"/>
    <n v="222"/>
    <n v="0"/>
    <n v="0"/>
    <n v="1"/>
    <n v="222"/>
    <n v="0.44400000000000001"/>
    <n v="0"/>
    <n v="0"/>
    <n v="0.55600000000000005"/>
    <n v="1"/>
    <n v="2"/>
    <n v="0.18018018018018017"/>
    <n v="40"/>
    <n v="0"/>
    <n v="0"/>
    <n v="0"/>
    <n v="11"/>
    <n v="9"/>
    <n v="0.81981981981981988"/>
    <n v="0"/>
    <n v="0"/>
    <n v="0"/>
    <n v="0"/>
    <n v="0"/>
    <n v="0"/>
    <n v="0"/>
    <n v="1"/>
    <n v="0"/>
    <n v="0"/>
    <n v="0"/>
    <n v="0"/>
    <n v="0"/>
    <n v="0"/>
    <n v="0"/>
    <s v="No"/>
    <s v=""/>
    <n v="5"/>
    <n v="0"/>
    <n v="0"/>
    <s v="Yes"/>
    <s v="KBC-BMO"/>
    <x v="0"/>
    <x v="1"/>
    <x v="0"/>
    <n v="24.260466999999998"/>
    <n v="97.252650000000003"/>
    <s v="MMR001CMP194"/>
    <x v="0"/>
    <m/>
    <n v="9"/>
    <n v="37"/>
  </r>
  <r>
    <x v="1"/>
    <x v="12"/>
    <x v="9"/>
    <s v="ECHO 2739"/>
    <x v="1"/>
    <x v="1"/>
    <x v="0"/>
    <x v="71"/>
    <n v="36"/>
    <n v="222"/>
    <d v="2022-04-01T00:00:00"/>
    <d v="2022-11-30T00:00:00"/>
    <m/>
    <m/>
    <m/>
    <m/>
    <s v="Yes"/>
    <n v="0"/>
    <n v="5"/>
    <m/>
    <m/>
    <m/>
    <n v="2"/>
    <m/>
    <m/>
    <m/>
    <m/>
    <m/>
    <m/>
    <m/>
    <m/>
    <m/>
    <m/>
    <m/>
    <n v="2"/>
    <n v="2"/>
    <m/>
    <m/>
    <m/>
    <m/>
    <m/>
    <m/>
    <n v="7"/>
    <m/>
    <m/>
    <m/>
    <m/>
    <n v="7"/>
    <n v="18"/>
    <m/>
    <x v="1"/>
    <x v="1"/>
    <m/>
    <m/>
    <m/>
    <m/>
    <m/>
    <m/>
    <m/>
    <m/>
    <m/>
    <n v="2"/>
    <m/>
    <m/>
    <m/>
    <m/>
    <m/>
    <m/>
    <m/>
    <m/>
    <m/>
    <m/>
    <m/>
    <m/>
    <n v="0"/>
    <m/>
    <n v="7"/>
    <n v="2"/>
    <m/>
    <m/>
    <m/>
    <m/>
    <n v="1"/>
    <s v="no test"/>
    <s v="Tested"/>
    <n v="0"/>
    <n v="2"/>
    <n v="0"/>
    <n v="0"/>
    <n v="0"/>
    <n v="0"/>
    <n v="0"/>
    <n v="1"/>
    <n v="1"/>
    <n v="1"/>
    <n v="222"/>
    <n v="0"/>
    <n v="0"/>
    <n v="1"/>
    <n v="222"/>
    <n v="0.44400000000000001"/>
    <n v="0"/>
    <n v="0"/>
    <n v="0.55600000000000005"/>
    <n v="1"/>
    <n v="7"/>
    <n v="0.63063063063063063"/>
    <n v="140"/>
    <n v="140"/>
    <n v="0"/>
    <n v="0"/>
    <n v="11"/>
    <n v="4"/>
    <n v="0.36936936936936937"/>
    <n v="0"/>
    <n v="0"/>
    <n v="0"/>
    <n v="0"/>
    <n v="0"/>
    <n v="0"/>
    <n v="0"/>
    <n v="1"/>
    <n v="0"/>
    <n v="0"/>
    <n v="0"/>
    <n v="0"/>
    <n v="0"/>
    <n v="0"/>
    <n v="0"/>
    <s v="No"/>
    <s v=""/>
    <n v="9"/>
    <n v="0"/>
    <n v="0"/>
    <s v="Yes"/>
    <s v="KBC-BMO"/>
    <x v="0"/>
    <x v="1"/>
    <x v="0"/>
    <n v="24.24766"/>
    <n v="97.236919999999998"/>
    <s v="MMR001CMP052"/>
    <x v="0"/>
    <m/>
    <n v="37"/>
    <n v="226"/>
  </r>
  <r>
    <x v="1"/>
    <x v="12"/>
    <x v="9"/>
    <s v="ECHO 2739"/>
    <x v="1"/>
    <x v="1"/>
    <x v="0"/>
    <x v="72"/>
    <n v="122"/>
    <n v="689"/>
    <d v="2022-04-01T00:00:00"/>
    <d v="2022-11-30T00:00:00"/>
    <m/>
    <m/>
    <m/>
    <m/>
    <s v="Yes"/>
    <n v="1"/>
    <n v="4"/>
    <n v="3"/>
    <m/>
    <m/>
    <n v="2"/>
    <m/>
    <m/>
    <m/>
    <m/>
    <m/>
    <m/>
    <m/>
    <m/>
    <m/>
    <m/>
    <m/>
    <n v="5"/>
    <n v="5"/>
    <m/>
    <m/>
    <m/>
    <m/>
    <m/>
    <m/>
    <n v="23"/>
    <m/>
    <m/>
    <m/>
    <m/>
    <n v="23"/>
    <n v="45"/>
    <m/>
    <x v="1"/>
    <x v="1"/>
    <m/>
    <m/>
    <m/>
    <m/>
    <m/>
    <m/>
    <n v="6"/>
    <m/>
    <m/>
    <n v="7"/>
    <m/>
    <m/>
    <m/>
    <m/>
    <m/>
    <m/>
    <m/>
    <m/>
    <m/>
    <m/>
    <m/>
    <m/>
    <n v="0"/>
    <m/>
    <n v="23"/>
    <n v="7"/>
    <m/>
    <m/>
    <m/>
    <m/>
    <n v="1"/>
    <s v="no test"/>
    <s v="Tested"/>
    <n v="3"/>
    <n v="2"/>
    <n v="0"/>
    <n v="0"/>
    <n v="0"/>
    <n v="0"/>
    <n v="0"/>
    <n v="1"/>
    <n v="1"/>
    <n v="1"/>
    <n v="689"/>
    <n v="0"/>
    <n v="0"/>
    <n v="1"/>
    <n v="689"/>
    <n v="1.3779999999999999"/>
    <n v="0"/>
    <n v="0"/>
    <n v="0"/>
    <n v="1"/>
    <n v="23"/>
    <n v="0.66763425253991293"/>
    <n v="460"/>
    <n v="460"/>
    <n v="0"/>
    <n v="0"/>
    <n v="34"/>
    <n v="11"/>
    <n v="0.33236574746008707"/>
    <n v="0"/>
    <n v="0"/>
    <n v="0"/>
    <n v="0"/>
    <n v="0"/>
    <n v="0"/>
    <n v="0"/>
    <n v="1"/>
    <n v="0"/>
    <n v="0"/>
    <n v="0"/>
    <n v="6"/>
    <n v="120"/>
    <n v="0"/>
    <n v="600"/>
    <s v="No"/>
    <s v=""/>
    <n v="30"/>
    <n v="0"/>
    <n v="0"/>
    <s v="Yes"/>
    <s v="Shalom"/>
    <x v="0"/>
    <x v="1"/>
    <x v="0"/>
    <n v="24.2631743589744"/>
    <n v="97.240183461538507"/>
    <s v="MMR001CMP049"/>
    <x v="0"/>
    <m/>
    <n v="134"/>
    <n v="767"/>
  </r>
  <r>
    <x v="1"/>
    <x v="12"/>
    <x v="9"/>
    <s v="ECHO 2739"/>
    <x v="1"/>
    <x v="1"/>
    <x v="0"/>
    <x v="121"/>
    <n v="40"/>
    <n v="168"/>
    <d v="2022-04-01T00:00:00"/>
    <d v="2022-11-30T00:00:00"/>
    <m/>
    <m/>
    <m/>
    <m/>
    <s v="Yes"/>
    <n v="4"/>
    <n v="4"/>
    <n v="1"/>
    <m/>
    <m/>
    <n v="1"/>
    <m/>
    <m/>
    <m/>
    <m/>
    <m/>
    <m/>
    <m/>
    <m/>
    <m/>
    <m/>
    <m/>
    <n v="2"/>
    <n v="2"/>
    <n v="3"/>
    <n v="1"/>
    <m/>
    <m/>
    <m/>
    <s v=" SI conducted HH Visits and Hygiene promotion when we found the fecal coliform "/>
    <n v="7"/>
    <m/>
    <m/>
    <m/>
    <m/>
    <n v="3"/>
    <n v="4"/>
    <m/>
    <x v="1"/>
    <x v="1"/>
    <m/>
    <m/>
    <m/>
    <m/>
    <n v="7"/>
    <m/>
    <n v="9"/>
    <m/>
    <m/>
    <n v="2"/>
    <m/>
    <m/>
    <m/>
    <n v="40"/>
    <n v="64"/>
    <m/>
    <m/>
    <m/>
    <m/>
    <m/>
    <m/>
    <m/>
    <n v="0"/>
    <m/>
    <n v="9"/>
    <n v="2"/>
    <m/>
    <m/>
    <m/>
    <m/>
    <n v="1"/>
    <n v="0.33333333333333331"/>
    <s v="Tested"/>
    <n v="1"/>
    <n v="1"/>
    <n v="0"/>
    <n v="0"/>
    <n v="0"/>
    <n v="0"/>
    <n v="0"/>
    <n v="1"/>
    <n v="1"/>
    <n v="1"/>
    <n v="168"/>
    <n v="0"/>
    <n v="0"/>
    <n v="1"/>
    <n v="168"/>
    <n v="0.33600000000000002"/>
    <n v="0"/>
    <n v="0"/>
    <n v="0.66399999999999992"/>
    <n v="1"/>
    <n v="7"/>
    <n v="0.875"/>
    <n v="147"/>
    <n v="60"/>
    <n v="0"/>
    <n v="0"/>
    <n v="8"/>
    <n v="1"/>
    <n v="0.125"/>
    <n v="0"/>
    <n v="0"/>
    <n v="168"/>
    <n v="64"/>
    <n v="168"/>
    <n v="168"/>
    <n v="1"/>
    <n v="0"/>
    <n v="0"/>
    <n v="1"/>
    <n v="1"/>
    <n v="9"/>
    <n v="40"/>
    <n v="0"/>
    <n v="168"/>
    <s v="No"/>
    <s v=""/>
    <n v="11"/>
    <n v="0"/>
    <n v="0"/>
    <n v="0"/>
    <n v="0"/>
    <x v="0"/>
    <x v="1"/>
    <x v="0"/>
    <n v="24.314934000000001"/>
    <n v="97.305190999999994"/>
    <s v="MMR001CMP285"/>
    <x v="0"/>
    <m/>
    <n v="40"/>
    <n v="190"/>
  </r>
  <r>
    <x v="1"/>
    <x v="12"/>
    <x v="9"/>
    <s v="ECHO 2739"/>
    <x v="1"/>
    <x v="1"/>
    <x v="0"/>
    <x v="73"/>
    <n v="65"/>
    <n v="334"/>
    <d v="2022-04-01T00:00:00"/>
    <d v="2022-11-30T00:00:00"/>
    <m/>
    <m/>
    <m/>
    <m/>
    <s v="Yes"/>
    <n v="2"/>
    <n v="4"/>
    <n v="1"/>
    <m/>
    <m/>
    <n v="2"/>
    <m/>
    <m/>
    <m/>
    <m/>
    <m/>
    <m/>
    <m/>
    <m/>
    <m/>
    <m/>
    <m/>
    <n v="3"/>
    <n v="3"/>
    <m/>
    <m/>
    <m/>
    <m/>
    <m/>
    <m/>
    <n v="33"/>
    <m/>
    <m/>
    <m/>
    <m/>
    <n v="33"/>
    <n v="28"/>
    <m/>
    <x v="1"/>
    <x v="1"/>
    <m/>
    <m/>
    <m/>
    <m/>
    <m/>
    <m/>
    <n v="19"/>
    <m/>
    <m/>
    <n v="7"/>
    <m/>
    <m/>
    <m/>
    <m/>
    <m/>
    <m/>
    <m/>
    <m/>
    <m/>
    <m/>
    <m/>
    <m/>
    <n v="0"/>
    <m/>
    <n v="33"/>
    <n v="7"/>
    <m/>
    <m/>
    <m/>
    <m/>
    <n v="1"/>
    <s v="no test"/>
    <s v="Tested"/>
    <n v="1"/>
    <n v="2"/>
    <n v="0"/>
    <n v="0"/>
    <n v="0"/>
    <n v="0"/>
    <n v="0"/>
    <n v="1"/>
    <n v="1"/>
    <n v="1"/>
    <n v="334"/>
    <n v="0"/>
    <n v="0"/>
    <n v="1"/>
    <n v="334"/>
    <n v="0.66800000000000004"/>
    <n v="0"/>
    <n v="0"/>
    <n v="0.33199999999999996"/>
    <n v="1"/>
    <n v="33"/>
    <n v="1"/>
    <n v="334"/>
    <n v="334"/>
    <n v="0"/>
    <n v="0"/>
    <n v="17"/>
    <n v="0"/>
    <n v="0"/>
    <n v="0"/>
    <n v="0"/>
    <n v="0"/>
    <n v="0"/>
    <n v="0"/>
    <n v="0"/>
    <n v="0"/>
    <n v="1"/>
    <n v="0"/>
    <n v="0"/>
    <n v="0"/>
    <n v="19"/>
    <n v="65"/>
    <n v="0"/>
    <n v="334"/>
    <s v="No"/>
    <s v=""/>
    <n v="40"/>
    <n v="0"/>
    <n v="0"/>
    <s v="Yes"/>
    <s v="KBC-BMO"/>
    <x v="0"/>
    <x v="1"/>
    <x v="0"/>
    <n v="24.222349999999999"/>
    <n v="97.252650000000003"/>
    <s v="MMR001CMP193"/>
    <x v="0"/>
    <m/>
    <n v="64"/>
    <n v="339"/>
  </r>
  <r>
    <x v="1"/>
    <x v="12"/>
    <x v="9"/>
    <s v="ECHO 2739"/>
    <x v="1"/>
    <x v="1"/>
    <x v="0"/>
    <x v="181"/>
    <n v="610"/>
    <n v="3860"/>
    <d v="2022-04-01T00:00:00"/>
    <d v="2022-11-30T00:00:00"/>
    <m/>
    <m/>
    <m/>
    <m/>
    <s v="Yes"/>
    <n v="20"/>
    <n v="14"/>
    <n v="1"/>
    <m/>
    <m/>
    <n v="23"/>
    <m/>
    <m/>
    <m/>
    <m/>
    <m/>
    <m/>
    <m/>
    <m/>
    <m/>
    <m/>
    <m/>
    <n v="15"/>
    <n v="15"/>
    <n v="27"/>
    <n v="27"/>
    <m/>
    <m/>
    <m/>
    <m/>
    <n v="148"/>
    <m/>
    <m/>
    <m/>
    <m/>
    <n v="141"/>
    <n v="173"/>
    <m/>
    <x v="1"/>
    <x v="1"/>
    <m/>
    <n v="10"/>
    <m/>
    <m/>
    <n v="23"/>
    <m/>
    <n v="32"/>
    <m/>
    <m/>
    <n v="15"/>
    <m/>
    <n v="1"/>
    <n v="5"/>
    <n v="606"/>
    <n v="1336"/>
    <m/>
    <m/>
    <m/>
    <m/>
    <n v="0.98"/>
    <n v="0.97"/>
    <n v="58"/>
    <n v="1"/>
    <m/>
    <n v="148"/>
    <n v="15"/>
    <m/>
    <m/>
    <m/>
    <m/>
    <n v="1"/>
    <n v="1"/>
    <s v="Tested"/>
    <n v="1"/>
    <n v="23"/>
    <n v="0"/>
    <n v="0"/>
    <n v="0"/>
    <n v="0"/>
    <n v="0"/>
    <n v="1"/>
    <n v="1"/>
    <n v="1"/>
    <n v="3860"/>
    <n v="0"/>
    <n v="0"/>
    <n v="1"/>
    <n v="3860"/>
    <n v="7.72"/>
    <n v="0"/>
    <n v="0"/>
    <n v="0.28000000000000025"/>
    <n v="8"/>
    <n v="148"/>
    <n v="0.77279792746113984"/>
    <n v="2983"/>
    <n v="2820"/>
    <n v="0"/>
    <n v="0"/>
    <n v="193"/>
    <n v="45"/>
    <n v="0.22720207253886016"/>
    <n v="0"/>
    <n v="3000"/>
    <n v="3030"/>
    <n v="1336"/>
    <n v="3030"/>
    <n v="3030"/>
    <n v="0.78497409326424872"/>
    <n v="0.21502590673575128"/>
    <n v="0.77720207253886009"/>
    <n v="1"/>
    <n v="1"/>
    <n v="32"/>
    <n v="610"/>
    <n v="0"/>
    <n v="3200"/>
    <s v="No"/>
    <n v="1.5025906735751295E-2"/>
    <n v="163"/>
    <n v="0"/>
    <n v="0"/>
    <s v="Yes"/>
    <s v="KBC-BMO"/>
    <x v="0"/>
    <x v="1"/>
    <x v="0"/>
    <n v="24.268292826086999"/>
    <n v="97.229116811594196"/>
    <s v="MMR001CMP047"/>
    <x v="0"/>
    <m/>
    <n v="597"/>
    <n v="3765"/>
  </r>
  <r>
    <x v="1"/>
    <x v="12"/>
    <x v="9"/>
    <s v="ECHO 2739"/>
    <x v="1"/>
    <x v="1"/>
    <x v="1"/>
    <x v="122"/>
    <m/>
    <m/>
    <d v="2020-01-03T00:00:00"/>
    <d v="2022-02-28T00:00:00"/>
    <m/>
    <m/>
    <m/>
    <m/>
    <s v="Yes"/>
    <m/>
    <m/>
    <m/>
    <m/>
    <m/>
    <n v="5"/>
    <m/>
    <m/>
    <m/>
    <m/>
    <m/>
    <m/>
    <m/>
    <m/>
    <m/>
    <m/>
    <m/>
    <m/>
    <m/>
    <m/>
    <m/>
    <m/>
    <m/>
    <m/>
    <m/>
    <n v="18"/>
    <m/>
    <m/>
    <m/>
    <m/>
    <m/>
    <m/>
    <m/>
    <x v="1"/>
    <x v="2"/>
    <m/>
    <m/>
    <m/>
    <m/>
    <m/>
    <m/>
    <n v="7"/>
    <m/>
    <m/>
    <n v="4"/>
    <m/>
    <m/>
    <m/>
    <m/>
    <m/>
    <m/>
    <m/>
    <m/>
    <m/>
    <m/>
    <m/>
    <m/>
    <m/>
    <m/>
    <m/>
    <m/>
    <m/>
    <m/>
    <m/>
    <m/>
    <s v="no test"/>
    <s v="no test"/>
    <s v="No Test"/>
    <n v="0"/>
    <n v="5"/>
    <n v="0"/>
    <n v="0"/>
    <n v="0"/>
    <n v="0"/>
    <n v="0"/>
    <s v=""/>
    <s v=""/>
    <s v=""/>
    <m/>
    <m/>
    <n v="0"/>
    <m/>
    <n v="0"/>
    <n v="0"/>
    <n v="1"/>
    <n v="0"/>
    <n v="1"/>
    <n v="1"/>
    <n v="18"/>
    <m/>
    <n v="0"/>
    <n v="0"/>
    <n v="0"/>
    <n v="0"/>
    <n v="0"/>
    <n v="0"/>
    <n v="1"/>
    <n v="0"/>
    <n v="0"/>
    <n v="0"/>
    <n v="0"/>
    <n v="0"/>
    <n v="0"/>
    <m/>
    <m/>
    <m/>
    <m/>
    <m/>
    <n v="7"/>
    <n v="0"/>
    <n v="0"/>
    <n v="0"/>
    <s v="No"/>
    <s v=""/>
    <n v="0"/>
    <n v="0"/>
    <n v="0"/>
    <s v="No"/>
    <n v="0"/>
    <x v="0"/>
    <x v="1"/>
    <x v="0"/>
    <n v="0"/>
    <n v="0"/>
    <n v="0"/>
    <x v="0"/>
    <m/>
    <n v="0"/>
    <n v="0"/>
  </r>
  <r>
    <x v="1"/>
    <x v="12"/>
    <x v="9"/>
    <s v="ECHO 2739"/>
    <x v="1"/>
    <x v="4"/>
    <x v="0"/>
    <x v="93"/>
    <n v="172"/>
    <n v="789"/>
    <d v="2022-04-01T00:00:00"/>
    <d v="2022-11-30T00:00:00"/>
    <m/>
    <m/>
    <m/>
    <m/>
    <s v="Yes"/>
    <m/>
    <n v="7"/>
    <n v="4"/>
    <m/>
    <m/>
    <n v="4"/>
    <m/>
    <m/>
    <m/>
    <m/>
    <m/>
    <m/>
    <m/>
    <m/>
    <m/>
    <m/>
    <m/>
    <m/>
    <m/>
    <m/>
    <m/>
    <m/>
    <m/>
    <m/>
    <m/>
    <n v="44"/>
    <m/>
    <m/>
    <m/>
    <m/>
    <n v="44"/>
    <n v="39"/>
    <m/>
    <x v="1"/>
    <x v="1"/>
    <m/>
    <n v="1"/>
    <m/>
    <m/>
    <n v="1"/>
    <m/>
    <n v="4"/>
    <m/>
    <m/>
    <n v="5"/>
    <m/>
    <m/>
    <m/>
    <m/>
    <m/>
    <m/>
    <m/>
    <m/>
    <m/>
    <m/>
    <m/>
    <m/>
    <m/>
    <m/>
    <n v="44"/>
    <n v="5"/>
    <m/>
    <m/>
    <m/>
    <m/>
    <s v="no test"/>
    <s v="no test"/>
    <s v="No Test"/>
    <n v="4"/>
    <n v="4"/>
    <n v="0"/>
    <n v="0"/>
    <n v="0"/>
    <n v="0"/>
    <n v="0"/>
    <n v="1"/>
    <n v="1"/>
    <n v="1"/>
    <n v="789"/>
    <n v="0"/>
    <n v="0"/>
    <n v="1"/>
    <n v="789"/>
    <n v="1.5780000000000001"/>
    <n v="0"/>
    <n v="0"/>
    <n v="0.42199999999999993"/>
    <n v="2"/>
    <n v="44"/>
    <n v="1"/>
    <n v="789"/>
    <n v="789"/>
    <n v="0"/>
    <n v="0"/>
    <n v="39"/>
    <n v="0"/>
    <n v="0"/>
    <n v="0"/>
    <n v="0"/>
    <n v="0"/>
    <n v="0"/>
    <n v="0"/>
    <n v="0"/>
    <n v="0"/>
    <n v="1"/>
    <n v="0"/>
    <n v="0"/>
    <n v="0"/>
    <n v="4"/>
    <n v="80"/>
    <n v="0"/>
    <n v="400"/>
    <s v="No"/>
    <s v=""/>
    <n v="49"/>
    <n v="0"/>
    <n v="0"/>
    <s v="Yes"/>
    <s v="KBC-BMO"/>
    <x v="0"/>
    <x v="1"/>
    <x v="0"/>
    <n v="24.129059999999999"/>
    <n v="97.291820000000001"/>
    <s v="MMR001CMP066"/>
    <x v="0"/>
    <m/>
    <n v="181"/>
    <n v="815"/>
  </r>
  <r>
    <x v="1"/>
    <x v="12"/>
    <x v="9"/>
    <s v="ECHO 2739"/>
    <x v="1"/>
    <x v="7"/>
    <x v="1"/>
    <x v="95"/>
    <n v="11"/>
    <n v="32"/>
    <d v="2022-04-01T00:00:00"/>
    <d v="2022-11-30T00:00:00"/>
    <m/>
    <m/>
    <m/>
    <m/>
    <s v="Yes"/>
    <n v="2"/>
    <n v="3"/>
    <n v="3"/>
    <m/>
    <m/>
    <n v="1"/>
    <m/>
    <m/>
    <m/>
    <m/>
    <m/>
    <m/>
    <m/>
    <m/>
    <m/>
    <m/>
    <m/>
    <n v="3"/>
    <n v="1"/>
    <m/>
    <m/>
    <m/>
    <m/>
    <m/>
    <s v="2 sources are not using any more for drinking"/>
    <n v="31"/>
    <m/>
    <m/>
    <m/>
    <m/>
    <n v="31"/>
    <n v="9"/>
    <m/>
    <x v="1"/>
    <x v="1"/>
    <m/>
    <m/>
    <n v="3"/>
    <m/>
    <m/>
    <m/>
    <n v="11"/>
    <m/>
    <m/>
    <n v="3"/>
    <m/>
    <m/>
    <m/>
    <m/>
    <m/>
    <m/>
    <m/>
    <m/>
    <m/>
    <m/>
    <m/>
    <m/>
    <n v="0"/>
    <m/>
    <n v="31"/>
    <n v="3"/>
    <m/>
    <m/>
    <m/>
    <m/>
    <n v="0.33333333333333331"/>
    <s v="no test"/>
    <s v="Tested"/>
    <n v="3"/>
    <n v="1"/>
    <n v="0"/>
    <n v="0"/>
    <n v="0"/>
    <n v="0"/>
    <n v="0"/>
    <n v="1"/>
    <n v="1"/>
    <n v="1"/>
    <n v="32"/>
    <n v="0"/>
    <n v="0"/>
    <n v="1"/>
    <n v="32"/>
    <n v="6.4000000000000001E-2"/>
    <n v="0"/>
    <n v="0"/>
    <n v="0.93599999999999994"/>
    <n v="1"/>
    <n v="31"/>
    <n v="1"/>
    <n v="32"/>
    <n v="32"/>
    <n v="0"/>
    <n v="0"/>
    <n v="2"/>
    <n v="0"/>
    <n v="0"/>
    <n v="0"/>
    <n v="0"/>
    <n v="0"/>
    <n v="0"/>
    <n v="0"/>
    <n v="0"/>
    <n v="0"/>
    <n v="1"/>
    <n v="0"/>
    <n v="0"/>
    <n v="0"/>
    <n v="11"/>
    <n v="11"/>
    <n v="0"/>
    <n v="32"/>
    <s v="No"/>
    <s v=""/>
    <n v="34"/>
    <n v="0"/>
    <n v="0"/>
    <n v="0"/>
    <n v="0"/>
    <x v="0"/>
    <x v="1"/>
    <x v="0"/>
    <n v="0"/>
    <n v="0"/>
    <n v="0"/>
    <x v="0"/>
    <m/>
    <n v="0"/>
    <n v="0"/>
  </r>
  <r>
    <x v="1"/>
    <x v="12"/>
    <x v="9"/>
    <s v="ECHO 2739"/>
    <x v="1"/>
    <x v="7"/>
    <x v="1"/>
    <x v="182"/>
    <n v="3"/>
    <n v="16"/>
    <d v="2022-04-01T00:00:00"/>
    <d v="2022-11-30T00:00:00"/>
    <m/>
    <m/>
    <m/>
    <m/>
    <s v="Yes"/>
    <n v="3"/>
    <n v="8"/>
    <m/>
    <m/>
    <m/>
    <n v="1"/>
    <m/>
    <m/>
    <m/>
    <m/>
    <m/>
    <m/>
    <m/>
    <m/>
    <m/>
    <m/>
    <m/>
    <n v="2"/>
    <n v="2"/>
    <n v="3"/>
    <n v="3"/>
    <m/>
    <m/>
    <m/>
    <m/>
    <n v="12"/>
    <m/>
    <m/>
    <m/>
    <m/>
    <n v="8"/>
    <n v="3.2"/>
    <m/>
    <x v="1"/>
    <x v="1"/>
    <m/>
    <m/>
    <m/>
    <m/>
    <m/>
    <m/>
    <n v="7"/>
    <m/>
    <m/>
    <n v="7"/>
    <m/>
    <m/>
    <n v="1"/>
    <n v="11"/>
    <m/>
    <m/>
    <m/>
    <m/>
    <m/>
    <n v="1"/>
    <n v="1"/>
    <n v="5"/>
    <n v="0"/>
    <m/>
    <n v="12"/>
    <n v="2"/>
    <m/>
    <m/>
    <m/>
    <m/>
    <n v="1"/>
    <n v="1"/>
    <s v="Tested"/>
    <n v="0"/>
    <n v="1"/>
    <n v="0"/>
    <n v="0"/>
    <n v="0"/>
    <n v="0"/>
    <n v="0"/>
    <n v="1"/>
    <n v="1"/>
    <n v="1"/>
    <n v="16"/>
    <n v="0"/>
    <n v="0"/>
    <n v="1"/>
    <n v="16"/>
    <n v="3.2000000000000001E-2"/>
    <n v="0"/>
    <n v="0"/>
    <n v="0.96799999999999997"/>
    <n v="1"/>
    <n v="12"/>
    <n v="1"/>
    <n v="16"/>
    <n v="16"/>
    <n v="0"/>
    <n v="0"/>
    <n v="1"/>
    <n v="0"/>
    <n v="0"/>
    <n v="0"/>
    <n v="16"/>
    <n v="16"/>
    <n v="0"/>
    <n v="16"/>
    <n v="16"/>
    <n v="1"/>
    <n v="0"/>
    <n v="1"/>
    <n v="1"/>
    <n v="0"/>
    <n v="7"/>
    <n v="3"/>
    <n v="0"/>
    <n v="16"/>
    <s v="No"/>
    <n v="0.3125"/>
    <n v="14"/>
    <n v="0"/>
    <n v="0"/>
    <n v="0"/>
    <n v="0"/>
    <x v="0"/>
    <x v="1"/>
    <x v="0"/>
    <n v="0"/>
    <n v="0"/>
    <n v="0"/>
    <x v="0"/>
    <m/>
    <n v="0"/>
    <n v="0"/>
  </r>
  <r>
    <x v="1"/>
    <x v="12"/>
    <x v="9"/>
    <s v="ECHO 2739"/>
    <x v="1"/>
    <x v="7"/>
    <x v="1"/>
    <x v="97"/>
    <n v="1597"/>
    <n v="8250"/>
    <d v="2022-04-01T00:00:00"/>
    <d v="2022-11-30T00:00:00"/>
    <m/>
    <m/>
    <m/>
    <m/>
    <s v="Yes"/>
    <n v="1"/>
    <n v="5"/>
    <n v="1"/>
    <m/>
    <m/>
    <m/>
    <m/>
    <m/>
    <m/>
    <m/>
    <m/>
    <m/>
    <m/>
    <m/>
    <m/>
    <m/>
    <m/>
    <n v="1"/>
    <n v="0"/>
    <m/>
    <m/>
    <m/>
    <m/>
    <m/>
    <s v="finished chlorination for HDW"/>
    <n v="6"/>
    <m/>
    <m/>
    <m/>
    <m/>
    <n v="6"/>
    <n v="4"/>
    <m/>
    <x v="1"/>
    <x v="1"/>
    <m/>
    <m/>
    <m/>
    <m/>
    <m/>
    <m/>
    <m/>
    <m/>
    <m/>
    <n v="2"/>
    <m/>
    <m/>
    <m/>
    <m/>
    <m/>
    <m/>
    <m/>
    <m/>
    <m/>
    <m/>
    <m/>
    <m/>
    <n v="0"/>
    <m/>
    <n v="6"/>
    <n v="2"/>
    <m/>
    <m/>
    <m/>
    <m/>
    <n v="0"/>
    <s v="no test"/>
    <s v="Tested"/>
    <n v="1"/>
    <n v="0"/>
    <n v="0"/>
    <n v="0"/>
    <n v="0"/>
    <n v="0"/>
    <n v="0"/>
    <n v="4.8484848484848485E-2"/>
    <n v="3.0303030303030304E-2"/>
    <n v="4.8484848484848485E-2"/>
    <n v="400"/>
    <n v="0"/>
    <n v="0"/>
    <n v="4.8484848484848485E-2"/>
    <n v="400"/>
    <n v="0.8"/>
    <n v="0.95151515151515154"/>
    <n v="7850"/>
    <n v="16.2"/>
    <n v="17"/>
    <n v="6"/>
    <n v="1.4545454545454545E-2"/>
    <n v="120"/>
    <n v="120"/>
    <n v="0"/>
    <n v="0"/>
    <n v="413"/>
    <n v="407"/>
    <n v="0.98545454545454547"/>
    <n v="0"/>
    <n v="0"/>
    <n v="0"/>
    <n v="0"/>
    <n v="0"/>
    <n v="0"/>
    <n v="0"/>
    <n v="1"/>
    <n v="0"/>
    <n v="0"/>
    <n v="0"/>
    <n v="0"/>
    <n v="0"/>
    <n v="0"/>
    <n v="0"/>
    <s v="No"/>
    <s v=""/>
    <n v="8"/>
    <n v="0"/>
    <n v="0"/>
    <n v="0"/>
    <n v="0"/>
    <x v="0"/>
    <x v="1"/>
    <x v="0"/>
    <n v="0"/>
    <n v="0"/>
    <n v="0"/>
    <x v="0"/>
    <m/>
    <n v="0"/>
    <n v="0"/>
  </r>
  <r>
    <x v="1"/>
    <x v="12"/>
    <x v="9"/>
    <s v="ECHO 2739"/>
    <x v="1"/>
    <x v="7"/>
    <x v="1"/>
    <x v="98"/>
    <n v="46"/>
    <n v="263"/>
    <d v="2022-04-01T00:00:00"/>
    <d v="2022-11-30T00:00:00"/>
    <m/>
    <m/>
    <m/>
    <m/>
    <s v="Yes"/>
    <n v="4"/>
    <n v="0"/>
    <n v="1"/>
    <m/>
    <m/>
    <n v="2"/>
    <m/>
    <m/>
    <m/>
    <m/>
    <m/>
    <m/>
    <m/>
    <m/>
    <m/>
    <m/>
    <m/>
    <n v="3"/>
    <n v="3"/>
    <m/>
    <m/>
    <m/>
    <m/>
    <m/>
    <m/>
    <n v="5"/>
    <m/>
    <m/>
    <m/>
    <m/>
    <n v="5"/>
    <n v="4"/>
    <m/>
    <x v="1"/>
    <x v="1"/>
    <m/>
    <m/>
    <m/>
    <m/>
    <m/>
    <m/>
    <n v="2"/>
    <m/>
    <m/>
    <n v="2"/>
    <m/>
    <m/>
    <m/>
    <m/>
    <m/>
    <m/>
    <m/>
    <m/>
    <m/>
    <m/>
    <m/>
    <m/>
    <n v="0"/>
    <m/>
    <n v="5"/>
    <n v="2"/>
    <m/>
    <m/>
    <m/>
    <m/>
    <n v="1"/>
    <s v="no test"/>
    <s v="Tested"/>
    <n v="1"/>
    <n v="2"/>
    <n v="0"/>
    <n v="0"/>
    <n v="0"/>
    <n v="0"/>
    <n v="0"/>
    <n v="1"/>
    <n v="1"/>
    <n v="1"/>
    <n v="263"/>
    <n v="0"/>
    <n v="0"/>
    <n v="1"/>
    <n v="263"/>
    <n v="0.52600000000000002"/>
    <n v="0"/>
    <n v="0"/>
    <n v="0.47399999999999998"/>
    <n v="1"/>
    <n v="5"/>
    <n v="0.38022813688212925"/>
    <n v="100"/>
    <n v="100"/>
    <n v="0"/>
    <n v="0"/>
    <n v="13"/>
    <n v="8"/>
    <n v="0.6197718631178708"/>
    <n v="0"/>
    <n v="0"/>
    <n v="0"/>
    <n v="0"/>
    <n v="0"/>
    <n v="0"/>
    <n v="0"/>
    <n v="1"/>
    <n v="0"/>
    <n v="0"/>
    <n v="0"/>
    <n v="2"/>
    <n v="40"/>
    <n v="0"/>
    <n v="200"/>
    <s v="No"/>
    <s v=""/>
    <n v="7"/>
    <n v="0"/>
    <n v="0"/>
    <n v="0"/>
    <n v="0"/>
    <x v="0"/>
    <x v="1"/>
    <x v="0"/>
    <n v="0"/>
    <n v="0"/>
    <n v="0"/>
    <x v="0"/>
    <m/>
    <n v="0"/>
    <n v="0"/>
  </r>
  <r>
    <x v="1"/>
    <x v="12"/>
    <x v="9"/>
    <s v="ECHO 2739"/>
    <x v="1"/>
    <x v="7"/>
    <x v="0"/>
    <x v="183"/>
    <n v="39"/>
    <n v="239"/>
    <d v="2022-04-01T00:00:00"/>
    <d v="2022-11-30T00:00:00"/>
    <m/>
    <m/>
    <m/>
    <m/>
    <s v="Yes"/>
    <n v="3"/>
    <n v="6"/>
    <n v="1"/>
    <m/>
    <m/>
    <m/>
    <m/>
    <m/>
    <m/>
    <n v="1"/>
    <m/>
    <m/>
    <m/>
    <m/>
    <m/>
    <m/>
    <m/>
    <n v="1"/>
    <n v="1"/>
    <n v="6"/>
    <n v="6"/>
    <m/>
    <m/>
    <m/>
    <m/>
    <n v="9"/>
    <m/>
    <m/>
    <m/>
    <m/>
    <n v="10"/>
    <n v="21"/>
    <m/>
    <x v="1"/>
    <x v="1"/>
    <m/>
    <m/>
    <m/>
    <m/>
    <n v="2"/>
    <m/>
    <n v="7"/>
    <m/>
    <m/>
    <n v="1"/>
    <m/>
    <m/>
    <n v="1"/>
    <n v="35"/>
    <m/>
    <m/>
    <m/>
    <m/>
    <m/>
    <n v="1"/>
    <n v="1"/>
    <n v="7"/>
    <n v="0"/>
    <m/>
    <n v="9"/>
    <n v="1"/>
    <m/>
    <m/>
    <m/>
    <m/>
    <n v="1"/>
    <n v="1"/>
    <s v="Tested"/>
    <n v="1"/>
    <n v="0"/>
    <n v="1"/>
    <n v="0"/>
    <n v="0"/>
    <n v="0"/>
    <n v="0"/>
    <n v="1"/>
    <n v="1"/>
    <n v="1"/>
    <n v="239"/>
    <n v="0"/>
    <n v="0"/>
    <n v="1"/>
    <n v="239"/>
    <n v="0.47799999999999998"/>
    <n v="0"/>
    <n v="0"/>
    <n v="0.52200000000000002"/>
    <n v="1"/>
    <n v="9"/>
    <n v="0.7615062761506276"/>
    <n v="182"/>
    <n v="200"/>
    <n v="0"/>
    <n v="0"/>
    <n v="12"/>
    <n v="3"/>
    <n v="0.2384937238493724"/>
    <n v="0"/>
    <n v="239"/>
    <n v="175"/>
    <n v="0"/>
    <n v="175"/>
    <n v="239"/>
    <n v="1"/>
    <n v="0"/>
    <n v="1"/>
    <n v="1"/>
    <n v="0"/>
    <n v="7"/>
    <n v="39"/>
    <n v="0"/>
    <n v="239"/>
    <s v="No"/>
    <n v="2.9288702928870293E-2"/>
    <n v="10"/>
    <n v="0"/>
    <n v="0"/>
    <s v="Yes"/>
    <s v="KBC-BMO"/>
    <x v="0"/>
    <x v="1"/>
    <x v="0"/>
    <n v="24.200972"/>
    <n v="97.718582999999995"/>
    <s v="MMR001CMP071"/>
    <x v="0"/>
    <m/>
    <n v="40"/>
    <n v="247"/>
  </r>
  <r>
    <x v="1"/>
    <x v="12"/>
    <x v="9"/>
    <s v="ECHO 2739"/>
    <x v="1"/>
    <x v="7"/>
    <x v="0"/>
    <x v="184"/>
    <n v="68"/>
    <n v="426"/>
    <d v="2022-04-01T00:00:00"/>
    <d v="2022-11-30T00:00:00"/>
    <m/>
    <m/>
    <m/>
    <m/>
    <s v="Yes"/>
    <n v="5"/>
    <n v="6"/>
    <m/>
    <m/>
    <m/>
    <n v="1"/>
    <m/>
    <m/>
    <m/>
    <n v="1"/>
    <m/>
    <m/>
    <m/>
    <m/>
    <m/>
    <m/>
    <m/>
    <n v="1"/>
    <n v="1"/>
    <n v="6"/>
    <n v="6"/>
    <m/>
    <m/>
    <m/>
    <m/>
    <n v="6"/>
    <m/>
    <m/>
    <m/>
    <m/>
    <n v="14"/>
    <n v="22"/>
    <m/>
    <x v="1"/>
    <x v="1"/>
    <m/>
    <m/>
    <m/>
    <m/>
    <n v="6"/>
    <m/>
    <n v="3"/>
    <m/>
    <m/>
    <n v="2"/>
    <m/>
    <m/>
    <n v="1"/>
    <n v="62"/>
    <m/>
    <m/>
    <m/>
    <m/>
    <m/>
    <n v="1"/>
    <n v="1"/>
    <n v="10"/>
    <n v="0"/>
    <m/>
    <n v="6"/>
    <n v="2"/>
    <m/>
    <m/>
    <m/>
    <m/>
    <n v="1"/>
    <n v="1"/>
    <s v="Tested"/>
    <n v="0"/>
    <n v="1"/>
    <n v="1"/>
    <n v="0"/>
    <n v="0"/>
    <n v="0"/>
    <n v="0"/>
    <n v="1"/>
    <n v="0.74334898278560257"/>
    <n v="1"/>
    <n v="426"/>
    <n v="0"/>
    <n v="0"/>
    <n v="1"/>
    <n v="426"/>
    <n v="0.85199999999999998"/>
    <n v="0"/>
    <n v="0"/>
    <n v="0.14800000000000002"/>
    <n v="1"/>
    <n v="6"/>
    <n v="0.29577464788732394"/>
    <n v="126"/>
    <n v="280"/>
    <n v="0"/>
    <n v="0"/>
    <n v="21"/>
    <n v="15"/>
    <n v="0.70422535211267601"/>
    <n v="0"/>
    <n v="426"/>
    <n v="310"/>
    <n v="0"/>
    <n v="310"/>
    <n v="426"/>
    <n v="1"/>
    <n v="0"/>
    <n v="1"/>
    <n v="1"/>
    <n v="0"/>
    <n v="3"/>
    <n v="60"/>
    <n v="0"/>
    <n v="300"/>
    <s v="No"/>
    <n v="2.3474178403755867E-2"/>
    <n v="8"/>
    <n v="0"/>
    <n v="0"/>
    <s v="Yes"/>
    <s v="KMSS-BMO"/>
    <x v="0"/>
    <x v="1"/>
    <x v="0"/>
    <n v="24.205417000000001"/>
    <n v="97.724566999999993"/>
    <s v="MMR001CMP069"/>
    <x v="0"/>
    <m/>
    <n v="79"/>
    <n v="448"/>
  </r>
  <r>
    <x v="1"/>
    <x v="12"/>
    <x v="9"/>
    <s v="ECHO 2739"/>
    <x v="1"/>
    <x v="7"/>
    <x v="0"/>
    <x v="185"/>
    <n v="232"/>
    <n v="1322"/>
    <d v="2022-04-01T00:00:00"/>
    <d v="2022-11-30T00:00:00"/>
    <m/>
    <m/>
    <m/>
    <m/>
    <s v="Yes"/>
    <n v="11"/>
    <n v="13"/>
    <n v="5"/>
    <m/>
    <m/>
    <n v="3"/>
    <m/>
    <m/>
    <m/>
    <n v="4"/>
    <m/>
    <m/>
    <m/>
    <m/>
    <m/>
    <m/>
    <m/>
    <n v="7"/>
    <n v="7"/>
    <n v="36"/>
    <n v="36"/>
    <m/>
    <m/>
    <m/>
    <m/>
    <n v="47"/>
    <m/>
    <m/>
    <m/>
    <m/>
    <n v="45"/>
    <n v="97"/>
    <m/>
    <x v="1"/>
    <x v="1"/>
    <m/>
    <m/>
    <m/>
    <m/>
    <n v="3"/>
    <m/>
    <n v="3"/>
    <m/>
    <m/>
    <n v="6"/>
    <m/>
    <m/>
    <n v="4"/>
    <n v="240"/>
    <m/>
    <m/>
    <m/>
    <m/>
    <m/>
    <n v="1"/>
    <n v="1"/>
    <n v="41"/>
    <n v="1"/>
    <m/>
    <n v="47"/>
    <n v="5"/>
    <m/>
    <m/>
    <m/>
    <m/>
    <n v="1"/>
    <n v="1"/>
    <s v="Tested"/>
    <n v="5"/>
    <n v="3"/>
    <n v="4"/>
    <n v="0"/>
    <n v="0"/>
    <n v="0"/>
    <n v="0"/>
    <n v="1"/>
    <n v="1"/>
    <n v="1"/>
    <n v="1322"/>
    <n v="0"/>
    <n v="0"/>
    <n v="1"/>
    <n v="1322"/>
    <n v="2.6440000000000001"/>
    <n v="0"/>
    <n v="0"/>
    <n v="0.35599999999999987"/>
    <n v="3"/>
    <n v="47"/>
    <n v="0.71331316187594551"/>
    <n v="943"/>
    <n v="900"/>
    <n v="0"/>
    <n v="0"/>
    <n v="66"/>
    <n v="19"/>
    <n v="0.28668683812405449"/>
    <n v="0"/>
    <n v="1322"/>
    <n v="1200"/>
    <n v="0"/>
    <n v="1200"/>
    <n v="1322"/>
    <n v="1"/>
    <n v="0"/>
    <n v="1"/>
    <n v="1"/>
    <n v="0"/>
    <n v="3"/>
    <n v="60"/>
    <n v="0"/>
    <n v="300"/>
    <s v="No"/>
    <n v="3.1013615733736764E-2"/>
    <n v="52"/>
    <n v="0"/>
    <n v="0"/>
    <s v="Yes"/>
    <s v="KBC-BMO"/>
    <x v="0"/>
    <x v="1"/>
    <x v="0"/>
    <n v="24.200433"/>
    <n v="97.717133000000004"/>
    <s v="MMR001CMP070"/>
    <x v="0"/>
    <m/>
    <n v="240"/>
    <n v="1395"/>
  </r>
  <r>
    <x v="1"/>
    <x v="12"/>
    <x v="9"/>
    <s v="ECHO 2739"/>
    <x v="1"/>
    <x v="7"/>
    <x v="1"/>
    <x v="135"/>
    <m/>
    <m/>
    <d v="2020-01-03T00:00:00"/>
    <d v="2022-02-28T00:00:00"/>
    <m/>
    <m/>
    <m/>
    <m/>
    <s v="Yes"/>
    <m/>
    <m/>
    <n v="2"/>
    <m/>
    <m/>
    <n v="1"/>
    <m/>
    <m/>
    <m/>
    <m/>
    <m/>
    <m/>
    <m/>
    <m/>
    <m/>
    <m/>
    <m/>
    <m/>
    <m/>
    <m/>
    <m/>
    <m/>
    <m/>
    <m/>
    <m/>
    <n v="7"/>
    <m/>
    <m/>
    <m/>
    <m/>
    <m/>
    <m/>
    <m/>
    <x v="1"/>
    <x v="2"/>
    <m/>
    <m/>
    <m/>
    <m/>
    <n v="5"/>
    <m/>
    <n v="1"/>
    <m/>
    <m/>
    <n v="3"/>
    <m/>
    <m/>
    <m/>
    <m/>
    <m/>
    <m/>
    <m/>
    <m/>
    <m/>
    <m/>
    <m/>
    <m/>
    <m/>
    <m/>
    <m/>
    <m/>
    <m/>
    <m/>
    <m/>
    <m/>
    <s v="no test"/>
    <s v="no test"/>
    <s v="No Test"/>
    <n v="2"/>
    <n v="1"/>
    <n v="0"/>
    <n v="0"/>
    <n v="0"/>
    <n v="0"/>
    <n v="0"/>
    <s v=""/>
    <s v=""/>
    <s v=""/>
    <m/>
    <m/>
    <n v="0"/>
    <m/>
    <n v="0"/>
    <n v="0"/>
    <n v="1"/>
    <n v="0"/>
    <n v="1"/>
    <n v="1"/>
    <n v="7"/>
    <m/>
    <n v="0"/>
    <n v="0"/>
    <n v="0"/>
    <n v="0"/>
    <n v="0"/>
    <n v="0"/>
    <n v="1"/>
    <n v="0"/>
    <n v="0"/>
    <n v="0"/>
    <n v="0"/>
    <n v="0"/>
    <n v="0"/>
    <m/>
    <m/>
    <m/>
    <m/>
    <m/>
    <n v="1"/>
    <n v="0"/>
    <n v="0"/>
    <n v="0"/>
    <s v="No"/>
    <s v=""/>
    <n v="0"/>
    <n v="0"/>
    <n v="0"/>
    <n v="0"/>
    <n v="0"/>
    <x v="0"/>
    <x v="2"/>
    <x v="0"/>
    <n v="0"/>
    <n v="0"/>
    <n v="0"/>
    <x v="0"/>
    <m/>
    <n v="0"/>
    <n v="0"/>
  </r>
  <r>
    <x v="1"/>
    <x v="12"/>
    <x v="9"/>
    <s v="ECHO 2739"/>
    <x v="1"/>
    <x v="7"/>
    <x v="0"/>
    <x v="99"/>
    <n v="127"/>
    <n v="741"/>
    <d v="2022-04-01T00:00:00"/>
    <d v="2022-11-30T00:00:00"/>
    <m/>
    <m/>
    <m/>
    <m/>
    <s v="Yes"/>
    <n v="3"/>
    <n v="3"/>
    <m/>
    <m/>
    <m/>
    <n v="3"/>
    <m/>
    <m/>
    <m/>
    <m/>
    <m/>
    <m/>
    <m/>
    <m/>
    <m/>
    <m/>
    <m/>
    <m/>
    <m/>
    <m/>
    <m/>
    <m/>
    <m/>
    <m/>
    <m/>
    <n v="50"/>
    <m/>
    <m/>
    <m/>
    <m/>
    <n v="50"/>
    <n v="9"/>
    <m/>
    <x v="1"/>
    <x v="1"/>
    <m/>
    <m/>
    <m/>
    <m/>
    <m/>
    <m/>
    <n v="8"/>
    <m/>
    <m/>
    <n v="7"/>
    <m/>
    <m/>
    <m/>
    <m/>
    <m/>
    <m/>
    <m/>
    <m/>
    <m/>
    <m/>
    <m/>
    <m/>
    <n v="0"/>
    <m/>
    <n v="50"/>
    <n v="7"/>
    <m/>
    <m/>
    <m/>
    <m/>
    <s v="no test"/>
    <s v="no test"/>
    <s v="No Test"/>
    <n v="0"/>
    <n v="3"/>
    <n v="0"/>
    <n v="0"/>
    <n v="0"/>
    <n v="0"/>
    <n v="0"/>
    <n v="1"/>
    <n v="1"/>
    <n v="1"/>
    <n v="741"/>
    <n v="0"/>
    <n v="0"/>
    <n v="1"/>
    <n v="741"/>
    <n v="1.482"/>
    <n v="0"/>
    <n v="0"/>
    <n v="0"/>
    <n v="1"/>
    <n v="50"/>
    <n v="1"/>
    <n v="741"/>
    <n v="741"/>
    <n v="0"/>
    <n v="0"/>
    <n v="37"/>
    <n v="0"/>
    <n v="0"/>
    <n v="0"/>
    <n v="0"/>
    <n v="0"/>
    <n v="0"/>
    <n v="0"/>
    <n v="0"/>
    <n v="0"/>
    <n v="1"/>
    <n v="0"/>
    <n v="0"/>
    <n v="0"/>
    <n v="8"/>
    <n v="127"/>
    <n v="0"/>
    <n v="741"/>
    <s v="No"/>
    <s v=""/>
    <n v="57"/>
    <n v="0"/>
    <n v="0"/>
    <s v="Yes"/>
    <s v="KMSS-BMO"/>
    <x v="0"/>
    <x v="1"/>
    <x v="0"/>
    <n v="24.245100000000001"/>
    <n v="97.325019999999995"/>
    <s v="MMR001CMP062"/>
    <x v="0"/>
    <m/>
    <n v="122"/>
    <n v="571"/>
  </r>
  <r>
    <x v="1"/>
    <x v="12"/>
    <x v="9"/>
    <s v="ECHO 2739"/>
    <x v="1"/>
    <x v="7"/>
    <x v="1"/>
    <x v="186"/>
    <n v="114"/>
    <n v="586"/>
    <d v="2022-04-01T00:00:00"/>
    <d v="2022-11-30T00:00:00"/>
    <m/>
    <m/>
    <m/>
    <m/>
    <s v="Yes"/>
    <n v="4"/>
    <n v="3"/>
    <n v="1"/>
    <m/>
    <m/>
    <n v="1"/>
    <m/>
    <m/>
    <m/>
    <m/>
    <m/>
    <m/>
    <m/>
    <m/>
    <m/>
    <m/>
    <m/>
    <n v="2"/>
    <n v="2"/>
    <n v="15"/>
    <n v="15"/>
    <m/>
    <m/>
    <m/>
    <m/>
    <n v="28"/>
    <m/>
    <m/>
    <m/>
    <m/>
    <n v="38"/>
    <n v="50"/>
    <m/>
    <x v="1"/>
    <x v="1"/>
    <m/>
    <n v="1"/>
    <m/>
    <m/>
    <n v="3"/>
    <m/>
    <n v="8"/>
    <m/>
    <m/>
    <n v="4"/>
    <m/>
    <n v="0"/>
    <n v="2"/>
    <n v="114"/>
    <n v="206"/>
    <m/>
    <m/>
    <m/>
    <m/>
    <n v="1"/>
    <n v="1"/>
    <n v="12"/>
    <n v="0"/>
    <m/>
    <n v="28"/>
    <n v="4"/>
    <m/>
    <m/>
    <m/>
    <m/>
    <n v="1"/>
    <n v="1"/>
    <s v="Tested"/>
    <n v="1"/>
    <n v="1"/>
    <n v="0"/>
    <n v="0"/>
    <n v="0"/>
    <n v="0"/>
    <n v="0"/>
    <n v="1"/>
    <n v="0.85324232081911267"/>
    <n v="1"/>
    <n v="586"/>
    <n v="0"/>
    <n v="0"/>
    <n v="1"/>
    <n v="586"/>
    <n v="1.1719999999999999"/>
    <n v="0"/>
    <n v="0"/>
    <n v="0"/>
    <n v="1"/>
    <n v="28"/>
    <n v="0.96075085324232079"/>
    <n v="563"/>
    <n v="586"/>
    <n v="0"/>
    <n v="0"/>
    <n v="29"/>
    <n v="1"/>
    <n v="3.924914675767921E-2"/>
    <n v="0"/>
    <n v="586"/>
    <n v="586"/>
    <n v="206"/>
    <n v="586"/>
    <n v="586"/>
    <n v="1"/>
    <n v="0"/>
    <n v="1"/>
    <n v="1"/>
    <n v="1"/>
    <n v="8"/>
    <n v="114"/>
    <n v="0"/>
    <n v="586"/>
    <s v="No"/>
    <n v="2.0477815699658702E-2"/>
    <n v="32"/>
    <n v="0"/>
    <n v="0"/>
    <n v="0"/>
    <n v="0"/>
    <x v="0"/>
    <x v="1"/>
    <x v="0"/>
    <n v="0"/>
    <n v="0"/>
    <n v="0"/>
    <x v="0"/>
    <m/>
    <n v="0"/>
    <n v="0"/>
  </r>
  <r>
    <x v="1"/>
    <x v="12"/>
    <x v="9"/>
    <s v="ECHO 2739"/>
    <x v="1"/>
    <x v="7"/>
    <x v="0"/>
    <x v="100"/>
    <n v="86"/>
    <n v="424"/>
    <d v="2022-04-01T00:00:00"/>
    <d v="2022-11-30T00:00:00"/>
    <m/>
    <m/>
    <m/>
    <m/>
    <s v="Yes"/>
    <n v="2"/>
    <n v="5"/>
    <n v="2"/>
    <m/>
    <m/>
    <m/>
    <m/>
    <m/>
    <m/>
    <m/>
    <m/>
    <m/>
    <m/>
    <m/>
    <m/>
    <m/>
    <m/>
    <n v="2"/>
    <n v="1"/>
    <m/>
    <m/>
    <m/>
    <m/>
    <m/>
    <m/>
    <n v="6"/>
    <m/>
    <m/>
    <m/>
    <m/>
    <n v="6"/>
    <n v="5"/>
    <m/>
    <x v="1"/>
    <x v="1"/>
    <m/>
    <m/>
    <m/>
    <m/>
    <m/>
    <m/>
    <m/>
    <m/>
    <m/>
    <n v="1"/>
    <m/>
    <m/>
    <m/>
    <m/>
    <m/>
    <m/>
    <m/>
    <m/>
    <m/>
    <m/>
    <m/>
    <m/>
    <n v="0"/>
    <m/>
    <n v="6"/>
    <n v="1"/>
    <m/>
    <m/>
    <m/>
    <m/>
    <n v="0.5"/>
    <s v="no test"/>
    <s v="Tested"/>
    <n v="2"/>
    <n v="0"/>
    <n v="0"/>
    <n v="0"/>
    <n v="0"/>
    <n v="0"/>
    <n v="0"/>
    <n v="1"/>
    <n v="1"/>
    <n v="1"/>
    <n v="424"/>
    <n v="0"/>
    <n v="0"/>
    <n v="1"/>
    <n v="424"/>
    <n v="0.84799999999999998"/>
    <n v="0"/>
    <n v="0"/>
    <n v="0.15200000000000002"/>
    <n v="1"/>
    <n v="6"/>
    <n v="0.28301886792452829"/>
    <n v="120"/>
    <n v="120"/>
    <n v="0"/>
    <n v="0"/>
    <n v="21"/>
    <n v="15"/>
    <n v="0.71698113207547176"/>
    <n v="0"/>
    <n v="0"/>
    <n v="0"/>
    <n v="0"/>
    <n v="0"/>
    <n v="0"/>
    <n v="0"/>
    <n v="1"/>
    <n v="0"/>
    <n v="0"/>
    <n v="0"/>
    <n v="0"/>
    <n v="0"/>
    <n v="0"/>
    <n v="0"/>
    <s v="No"/>
    <s v=""/>
    <n v="7"/>
    <n v="0"/>
    <n v="0"/>
    <s v="Yes"/>
    <s v="KBC-BMO"/>
    <x v="0"/>
    <x v="1"/>
    <x v="0"/>
    <n v="24.250689999999999"/>
    <n v="97.344359999999995"/>
    <s v="MMR001CMP056"/>
    <x v="0"/>
    <m/>
    <n v="646"/>
    <n v="2978"/>
  </r>
  <r>
    <x v="1"/>
    <x v="12"/>
    <x v="9"/>
    <s v="ECHO 2739"/>
    <x v="1"/>
    <x v="7"/>
    <x v="0"/>
    <x v="188"/>
    <n v="47"/>
    <n v="299"/>
    <d v="2022-04-01T00:00:00"/>
    <d v="2022-11-30T00:00:00"/>
    <m/>
    <m/>
    <m/>
    <m/>
    <s v="Yes"/>
    <n v="3"/>
    <n v="9"/>
    <n v="3"/>
    <m/>
    <m/>
    <n v="1"/>
    <m/>
    <m/>
    <m/>
    <m/>
    <m/>
    <m/>
    <m/>
    <m/>
    <m/>
    <m/>
    <m/>
    <m/>
    <m/>
    <m/>
    <m/>
    <m/>
    <m/>
    <m/>
    <m/>
    <n v="13"/>
    <m/>
    <m/>
    <m/>
    <m/>
    <n v="15"/>
    <n v="26"/>
    <m/>
    <x v="1"/>
    <x v="1"/>
    <m/>
    <m/>
    <m/>
    <m/>
    <n v="3"/>
    <m/>
    <n v="8"/>
    <m/>
    <m/>
    <n v="3"/>
    <m/>
    <m/>
    <n v="1"/>
    <n v="46"/>
    <m/>
    <m/>
    <m/>
    <m/>
    <m/>
    <n v="1"/>
    <n v="1"/>
    <n v="9"/>
    <n v="1"/>
    <m/>
    <m/>
    <m/>
    <m/>
    <m/>
    <m/>
    <m/>
    <s v="no test"/>
    <s v="no test"/>
    <s v="No Test"/>
    <n v="3"/>
    <n v="1"/>
    <n v="0"/>
    <n v="0"/>
    <n v="0"/>
    <n v="0"/>
    <n v="0"/>
    <n v="1"/>
    <n v="1"/>
    <n v="1"/>
    <n v="299"/>
    <n v="0"/>
    <n v="0"/>
    <n v="1"/>
    <n v="299"/>
    <n v="0.59799999999999998"/>
    <n v="0"/>
    <n v="0"/>
    <n v="0.40200000000000002"/>
    <n v="1"/>
    <n v="13"/>
    <n v="0.87959866220735783"/>
    <n v="263"/>
    <n v="299"/>
    <n v="0"/>
    <n v="0"/>
    <n v="15"/>
    <n v="2"/>
    <n v="0.12040133779264217"/>
    <n v="0"/>
    <n v="299"/>
    <n v="230"/>
    <n v="0"/>
    <n v="230"/>
    <n v="299"/>
    <n v="1"/>
    <n v="0"/>
    <n v="1"/>
    <n v="1"/>
    <n v="0"/>
    <n v="8"/>
    <n v="47"/>
    <n v="0"/>
    <n v="299"/>
    <s v="No"/>
    <n v="3.0100334448160536E-2"/>
    <n v="0"/>
    <n v="0"/>
    <n v="0"/>
    <s v="Yes"/>
    <s v="KBC-BMO"/>
    <x v="0"/>
    <x v="1"/>
    <x v="0"/>
    <n v="24.205417000000001"/>
    <n v="97.724483000000006"/>
    <s v="MMR001CMP072"/>
    <x v="0"/>
    <m/>
    <n v="47"/>
    <n v="291"/>
  </r>
  <r>
    <x v="1"/>
    <x v="12"/>
    <x v="9"/>
    <s v="ECHO 2739"/>
    <x v="1"/>
    <x v="7"/>
    <x v="0"/>
    <x v="189"/>
    <n v="40"/>
    <n v="255"/>
    <d v="2022-04-01T00:00:00"/>
    <d v="2022-11-30T00:00:00"/>
    <m/>
    <m/>
    <m/>
    <m/>
    <s v="Yes"/>
    <n v="3"/>
    <n v="10"/>
    <n v="2"/>
    <m/>
    <m/>
    <n v="1"/>
    <m/>
    <m/>
    <m/>
    <n v="1"/>
    <m/>
    <m/>
    <m/>
    <m/>
    <m/>
    <m/>
    <m/>
    <n v="3"/>
    <n v="3"/>
    <n v="6"/>
    <n v="6"/>
    <m/>
    <m/>
    <m/>
    <m/>
    <n v="16"/>
    <m/>
    <m/>
    <m/>
    <m/>
    <n v="13"/>
    <n v="23"/>
    <m/>
    <x v="1"/>
    <x v="1"/>
    <m/>
    <m/>
    <m/>
    <m/>
    <m/>
    <m/>
    <n v="3"/>
    <m/>
    <m/>
    <n v="2"/>
    <m/>
    <n v="1"/>
    <n v="1"/>
    <n v="41"/>
    <m/>
    <m/>
    <m/>
    <m/>
    <m/>
    <n v="0.78"/>
    <n v="1"/>
    <n v="9"/>
    <n v="0"/>
    <m/>
    <n v="16"/>
    <n v="2"/>
    <m/>
    <m/>
    <m/>
    <m/>
    <n v="1"/>
    <n v="1"/>
    <s v="Tested"/>
    <n v="2"/>
    <n v="1"/>
    <n v="1"/>
    <n v="0"/>
    <n v="0"/>
    <n v="0"/>
    <n v="0"/>
    <n v="1"/>
    <n v="1"/>
    <n v="1"/>
    <n v="255"/>
    <n v="0"/>
    <n v="0"/>
    <n v="1"/>
    <n v="255"/>
    <n v="0.51"/>
    <n v="0"/>
    <n v="0"/>
    <n v="0.49"/>
    <n v="1"/>
    <n v="16"/>
    <n v="1"/>
    <n v="255"/>
    <n v="255"/>
    <n v="0"/>
    <n v="0"/>
    <n v="13"/>
    <n v="0"/>
    <n v="0"/>
    <n v="0"/>
    <n v="255"/>
    <n v="205"/>
    <n v="0"/>
    <n v="205"/>
    <n v="255"/>
    <n v="1"/>
    <n v="0"/>
    <n v="1"/>
    <n v="1"/>
    <n v="0"/>
    <n v="3"/>
    <n v="40"/>
    <n v="0"/>
    <n v="255"/>
    <s v="No"/>
    <n v="3.5294117647058823E-2"/>
    <n v="18"/>
    <n v="0"/>
    <n v="0"/>
    <s v="Yes"/>
    <s v="KBC-BMO"/>
    <x v="0"/>
    <x v="1"/>
    <x v="0"/>
    <n v="24.207332999999998"/>
    <n v="97.710864000000001"/>
    <s v="MMR001CMP073"/>
    <x v="0"/>
    <m/>
    <n v="47"/>
    <n v="279"/>
  </r>
  <r>
    <x v="1"/>
    <x v="12"/>
    <x v="9"/>
    <s v="ECHO 2739"/>
    <x v="1"/>
    <x v="10"/>
    <x v="0"/>
    <x v="110"/>
    <n v="43"/>
    <n v="182"/>
    <d v="2022-04-01T00:00:00"/>
    <d v="2022-11-30T00:00:00"/>
    <m/>
    <m/>
    <m/>
    <m/>
    <s v="Yes"/>
    <n v="1"/>
    <n v="3"/>
    <m/>
    <m/>
    <m/>
    <n v="2"/>
    <m/>
    <m/>
    <m/>
    <m/>
    <m/>
    <m/>
    <m/>
    <m/>
    <m/>
    <m/>
    <m/>
    <n v="1"/>
    <n v="1"/>
    <m/>
    <m/>
    <m/>
    <m/>
    <m/>
    <m/>
    <n v="9"/>
    <m/>
    <m/>
    <m/>
    <m/>
    <m/>
    <m/>
    <m/>
    <x v="1"/>
    <x v="1"/>
    <m/>
    <m/>
    <m/>
    <m/>
    <m/>
    <m/>
    <n v="3"/>
    <m/>
    <m/>
    <n v="2"/>
    <m/>
    <m/>
    <m/>
    <m/>
    <m/>
    <m/>
    <m/>
    <m/>
    <m/>
    <m/>
    <m/>
    <m/>
    <m/>
    <m/>
    <n v="9"/>
    <n v="2"/>
    <m/>
    <m/>
    <m/>
    <m/>
    <n v="1"/>
    <s v="no test"/>
    <s v="Tested"/>
    <n v="0"/>
    <n v="2"/>
    <n v="0"/>
    <n v="0"/>
    <n v="0"/>
    <n v="0"/>
    <n v="0"/>
    <n v="1"/>
    <n v="1"/>
    <n v="1"/>
    <n v="182"/>
    <n v="0"/>
    <n v="0"/>
    <n v="1"/>
    <n v="182"/>
    <n v="0.36399999999999999"/>
    <n v="0"/>
    <n v="0"/>
    <n v="0.63600000000000001"/>
    <n v="1"/>
    <n v="9"/>
    <n v="0.98901098901098905"/>
    <n v="180"/>
    <n v="0"/>
    <n v="0"/>
    <n v="0"/>
    <n v="9"/>
    <n v="0"/>
    <n v="1.098901098901095E-2"/>
    <n v="0"/>
    <n v="0"/>
    <n v="0"/>
    <n v="0"/>
    <n v="0"/>
    <n v="0"/>
    <n v="0"/>
    <n v="1"/>
    <n v="0"/>
    <n v="0"/>
    <n v="0"/>
    <n v="3"/>
    <n v="43"/>
    <n v="0"/>
    <n v="182"/>
    <s v="No"/>
    <s v=""/>
    <n v="11"/>
    <n v="0"/>
    <n v="0"/>
    <s v="Yes"/>
    <s v="KMSS-BMO"/>
    <x v="0"/>
    <x v="1"/>
    <x v="0"/>
    <n v="24.200367"/>
    <n v="96.807353000000006"/>
    <s v="MMR001CMP068"/>
    <x v="0"/>
    <m/>
    <n v="35"/>
    <n v="170"/>
  </r>
  <r>
    <x v="1"/>
    <x v="13"/>
    <x v="10"/>
    <s v="Trocaire/Irish"/>
    <x v="1"/>
    <x v="23"/>
    <x v="0"/>
    <x v="190"/>
    <n v="126"/>
    <n v="591"/>
    <d v="2022-01-01T00:00:00"/>
    <d v="2022-12-31T00:00:00"/>
    <m/>
    <m/>
    <m/>
    <m/>
    <s v="Yes"/>
    <n v="4"/>
    <n v="3"/>
    <n v="1"/>
    <m/>
    <m/>
    <n v="2"/>
    <m/>
    <m/>
    <m/>
    <n v="1"/>
    <m/>
    <m/>
    <m/>
    <m/>
    <m/>
    <m/>
    <m/>
    <m/>
    <m/>
    <m/>
    <m/>
    <m/>
    <m/>
    <m/>
    <s v="Needed Water tasting ,O&amp;M Training"/>
    <n v="48"/>
    <n v="12"/>
    <s v="Metta"/>
    <m/>
    <m/>
    <m/>
    <m/>
    <m/>
    <x v="1"/>
    <x v="1"/>
    <m/>
    <m/>
    <m/>
    <m/>
    <m/>
    <s v="Needed Solid wates management,Cleaning Tools"/>
    <n v="60"/>
    <m/>
    <n v="108"/>
    <n v="1"/>
    <m/>
    <n v="1"/>
    <n v="1"/>
    <n v="126"/>
    <n v="489"/>
    <s v="No"/>
    <m/>
    <n v="0.4"/>
    <s v="Need Local IEC meterial and Hygiene Promotion,Hygiene Kits Refill Item."/>
    <m/>
    <n v="0.5"/>
    <n v="7"/>
    <n v="0.2"/>
    <n v="48"/>
    <n v="9"/>
    <n v="1"/>
    <m/>
    <m/>
    <m/>
    <m/>
    <s v="no test"/>
    <s v="no test"/>
    <s v="No Test"/>
    <n v="1"/>
    <n v="2"/>
    <n v="1"/>
    <n v="0"/>
    <n v="0"/>
    <n v="0"/>
    <n v="0"/>
    <n v="1"/>
    <n v="1"/>
    <n v="1"/>
    <n v="591"/>
    <n v="0"/>
    <n v="0"/>
    <n v="1"/>
    <n v="591"/>
    <n v="1.1819999999999999"/>
    <n v="0"/>
    <n v="0"/>
    <n v="0"/>
    <n v="1"/>
    <n v="60"/>
    <n v="1"/>
    <n v="591"/>
    <n v="0"/>
    <n v="0"/>
    <n v="0"/>
    <n v="30"/>
    <n v="0"/>
    <n v="0"/>
    <n v="0"/>
    <n v="591"/>
    <n v="591"/>
    <n v="489"/>
    <n v="591"/>
    <n v="591"/>
    <n v="1"/>
    <n v="0"/>
    <n v="1"/>
    <n v="1"/>
    <n v="1"/>
    <n v="60"/>
    <n v="126"/>
    <n v="0"/>
    <n v="591"/>
    <s v="No"/>
    <n v="1.1844331641285956E-2"/>
    <n v="58"/>
    <n v="0"/>
    <n v="0"/>
    <s v="Yes"/>
    <s v="STW/KMSS-MYT"/>
    <x v="0"/>
    <x v="1"/>
    <x v="1"/>
    <n v="26.007408000000002"/>
    <n v="97.823777000000007"/>
    <s v="MMR001CMP280"/>
    <x v="0"/>
    <m/>
    <n v="140"/>
    <n v="659"/>
  </r>
  <r>
    <x v="1"/>
    <x v="13"/>
    <x v="10"/>
    <s v="Trocaire/MHF"/>
    <x v="1"/>
    <x v="13"/>
    <x v="0"/>
    <x v="191"/>
    <n v="64"/>
    <n v="381"/>
    <d v="2022-01-01T00:00:00"/>
    <d v="2022-12-31T00:00:00"/>
    <m/>
    <m/>
    <m/>
    <m/>
    <s v="Yes"/>
    <n v="3"/>
    <n v="8"/>
    <n v="2"/>
    <m/>
    <m/>
    <n v="1"/>
    <m/>
    <m/>
    <m/>
    <n v="1"/>
    <m/>
    <m/>
    <m/>
    <m/>
    <m/>
    <m/>
    <m/>
    <m/>
    <m/>
    <m/>
    <m/>
    <m/>
    <m/>
    <m/>
    <s v="Needed Water tasting ,O&amp;M Training"/>
    <n v="8"/>
    <m/>
    <m/>
    <m/>
    <n v="2"/>
    <m/>
    <m/>
    <m/>
    <x v="1"/>
    <x v="1"/>
    <m/>
    <n v="2"/>
    <m/>
    <m/>
    <m/>
    <s v="Needed Solid wates management,Cleaning Tools and Fly Proof Latrine"/>
    <n v="3"/>
    <m/>
    <m/>
    <n v="2"/>
    <n v="1"/>
    <m/>
    <n v="1"/>
    <n v="64"/>
    <n v="336"/>
    <s v="No"/>
    <m/>
    <n v="0.3"/>
    <s v="Need Local IEC meterial and Hygiene Promotion,Hygiene Kits Refill Item."/>
    <n v="0.7"/>
    <n v="0.4"/>
    <n v="9"/>
    <n v="0.2"/>
    <n v="8"/>
    <n v="16"/>
    <n v="2"/>
    <m/>
    <m/>
    <m/>
    <m/>
    <s v="no test"/>
    <s v="no test"/>
    <s v="No Test"/>
    <n v="2"/>
    <n v="1"/>
    <n v="1"/>
    <n v="0"/>
    <n v="0"/>
    <n v="0"/>
    <n v="0"/>
    <n v="1"/>
    <n v="1"/>
    <n v="1"/>
    <n v="381"/>
    <n v="0"/>
    <n v="0"/>
    <n v="1"/>
    <n v="381"/>
    <n v="0.76200000000000001"/>
    <n v="0"/>
    <n v="0"/>
    <n v="0.23799999999999999"/>
    <n v="1"/>
    <n v="8"/>
    <n v="0.41994750656167978"/>
    <n v="160"/>
    <n v="0"/>
    <n v="0"/>
    <n v="0"/>
    <n v="19"/>
    <n v="11"/>
    <n v="0.58005249343832022"/>
    <n v="0"/>
    <n v="381"/>
    <n v="381"/>
    <n v="336"/>
    <n v="381"/>
    <n v="381"/>
    <n v="1"/>
    <n v="0"/>
    <n v="1"/>
    <n v="1"/>
    <n v="1"/>
    <n v="3"/>
    <n v="60"/>
    <n v="0"/>
    <n v="300"/>
    <s v="No"/>
    <n v="2.3622047244094488E-2"/>
    <n v="26"/>
    <n v="0"/>
    <n v="0"/>
    <n v="0"/>
    <s v="uncovered"/>
    <x v="0"/>
    <x v="0"/>
    <x v="0"/>
    <n v="25.305008999999998"/>
    <n v="97.430321000000006"/>
    <s v="MMR001CMP248"/>
    <x v="0"/>
    <m/>
    <n v="60"/>
    <n v="371"/>
  </r>
  <r>
    <x v="1"/>
    <x v="14"/>
    <x v="11"/>
    <s v="SI (ECHO)"/>
    <x v="1"/>
    <x v="4"/>
    <x v="0"/>
    <x v="192"/>
    <n v="388"/>
    <n v="1900"/>
    <d v="2022-04-01T00:00:00"/>
    <d v="2022-12-31T00:00:00"/>
    <m/>
    <m/>
    <m/>
    <m/>
    <s v="Yes"/>
    <n v="5"/>
    <n v="6"/>
    <n v="4"/>
    <m/>
    <m/>
    <n v="1"/>
    <m/>
    <m/>
    <m/>
    <n v="1"/>
    <m/>
    <m/>
    <m/>
    <n v="5"/>
    <m/>
    <m/>
    <n v="5"/>
    <m/>
    <m/>
    <m/>
    <m/>
    <n v="0"/>
    <n v="5"/>
    <m/>
    <m/>
    <n v="185"/>
    <m/>
    <m/>
    <m/>
    <m/>
    <m/>
    <m/>
    <n v="73"/>
    <x v="0"/>
    <x v="1"/>
    <n v="4"/>
    <n v="60"/>
    <n v="15"/>
    <n v="2"/>
    <n v="6"/>
    <m/>
    <n v="3"/>
    <m/>
    <n v="60"/>
    <n v="2"/>
    <m/>
    <m/>
    <n v="6"/>
    <m/>
    <m/>
    <m/>
    <m/>
    <m/>
    <m/>
    <m/>
    <m/>
    <m/>
    <m/>
    <m/>
    <m/>
    <m/>
    <m/>
    <m/>
    <m/>
    <m/>
    <s v="no test"/>
    <s v="no test"/>
    <s v="No Test"/>
    <n v="4"/>
    <n v="1"/>
    <n v="1"/>
    <n v="0"/>
    <n v="0"/>
    <n v="1900"/>
    <n v="0"/>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1900"/>
    <n v="100"/>
    <s v="Yes"/>
    <s v="KMSS-BMO"/>
    <x v="0"/>
    <x v="1"/>
    <x v="1"/>
    <n v="24.002433"/>
    <n v="97.609832999999995"/>
    <s v="MMR001CMP129"/>
    <x v="0"/>
    <m/>
    <n v="388"/>
    <n v="1900"/>
  </r>
  <r>
    <x v="1"/>
    <x v="14"/>
    <x v="11"/>
    <s v="SI (ECHO)"/>
    <x v="1"/>
    <x v="4"/>
    <x v="0"/>
    <x v="195"/>
    <n v="542"/>
    <n v="2503"/>
    <d v="2022-04-01T00:00:00"/>
    <d v="2022-12-31T00:00:00"/>
    <m/>
    <m/>
    <m/>
    <m/>
    <s v="Yes"/>
    <m/>
    <m/>
    <n v="4"/>
    <m/>
    <m/>
    <m/>
    <m/>
    <m/>
    <m/>
    <m/>
    <m/>
    <m/>
    <m/>
    <n v="1"/>
    <m/>
    <m/>
    <n v="1"/>
    <m/>
    <m/>
    <m/>
    <m/>
    <n v="5"/>
    <n v="2"/>
    <m/>
    <m/>
    <n v="438"/>
    <m/>
    <m/>
    <m/>
    <m/>
    <m/>
    <m/>
    <n v="266"/>
    <x v="0"/>
    <x v="1"/>
    <n v="6"/>
    <n v="274"/>
    <n v="62"/>
    <n v="2"/>
    <m/>
    <m/>
    <n v="7"/>
    <m/>
    <n v="266"/>
    <n v="4"/>
    <m/>
    <m/>
    <n v="7"/>
    <m/>
    <m/>
    <m/>
    <m/>
    <m/>
    <m/>
    <m/>
    <m/>
    <m/>
    <m/>
    <m/>
    <m/>
    <m/>
    <m/>
    <m/>
    <m/>
    <m/>
    <s v="no test"/>
    <s v="no test"/>
    <s v="No Test"/>
    <n v="4"/>
    <n v="0"/>
    <n v="0"/>
    <n v="0"/>
    <n v="0"/>
    <n v="1000"/>
    <n v="0"/>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1000"/>
    <n v="100"/>
    <s v="Yes"/>
    <s v="KMSS-BMO"/>
    <x v="0"/>
    <x v="1"/>
    <x v="1"/>
    <n v="24.056132999999999"/>
    <n v="97.625617000000005"/>
    <s v="MMR001CMP128"/>
    <x v="0"/>
    <m/>
    <n v="542"/>
    <n v="2503"/>
  </r>
  <r>
    <x v="1"/>
    <x v="14"/>
    <x v="11"/>
    <s v="SI (ECHO)"/>
    <x v="1"/>
    <x v="7"/>
    <x v="0"/>
    <x v="193"/>
    <n v="349"/>
    <n v="1570"/>
    <d v="2022-04-01T00:00:00"/>
    <d v="2022-12-31T00:00:00"/>
    <m/>
    <m/>
    <m/>
    <m/>
    <s v="Yes"/>
    <m/>
    <m/>
    <m/>
    <m/>
    <m/>
    <m/>
    <m/>
    <m/>
    <m/>
    <m/>
    <m/>
    <m/>
    <m/>
    <n v="6"/>
    <m/>
    <m/>
    <n v="6"/>
    <m/>
    <m/>
    <m/>
    <m/>
    <n v="4"/>
    <n v="2"/>
    <m/>
    <m/>
    <n v="181"/>
    <m/>
    <m/>
    <m/>
    <m/>
    <m/>
    <m/>
    <n v="71"/>
    <x v="0"/>
    <x v="1"/>
    <n v="2"/>
    <m/>
    <n v="16"/>
    <n v="2"/>
    <m/>
    <m/>
    <n v="8"/>
    <m/>
    <n v="30"/>
    <n v="3"/>
    <m/>
    <m/>
    <n v="6"/>
    <m/>
    <m/>
    <m/>
    <m/>
    <m/>
    <m/>
    <m/>
    <m/>
    <m/>
    <m/>
    <m/>
    <m/>
    <m/>
    <m/>
    <m/>
    <m/>
    <m/>
    <s v="no test"/>
    <s v="no test"/>
    <s v="No Test"/>
    <n v="0"/>
    <n v="0"/>
    <n v="0"/>
    <n v="0"/>
    <n v="0"/>
    <n v="1000"/>
    <n v="0"/>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1000"/>
    <n v="100"/>
    <s v="Yes"/>
    <s v="KMSS-BMO"/>
    <x v="0"/>
    <x v="1"/>
    <x v="1"/>
    <n v="24.378167000000001"/>
    <n v="97.669366999999994"/>
    <s v="MMR001CMP131"/>
    <x v="0"/>
    <m/>
    <n v="349"/>
    <n v="1570"/>
  </r>
  <r>
    <x v="1"/>
    <x v="14"/>
    <x v="11"/>
    <s v="SI (ECHO)"/>
    <x v="1"/>
    <x v="7"/>
    <x v="0"/>
    <x v="194"/>
    <n v="616"/>
    <n v="3682"/>
    <d v="2022-04-01T00:00:00"/>
    <d v="2022-12-31T00:00:00"/>
    <m/>
    <m/>
    <m/>
    <m/>
    <s v="Yes"/>
    <m/>
    <m/>
    <m/>
    <m/>
    <m/>
    <m/>
    <m/>
    <m/>
    <m/>
    <m/>
    <m/>
    <m/>
    <m/>
    <n v="1"/>
    <m/>
    <m/>
    <n v="1"/>
    <m/>
    <m/>
    <m/>
    <m/>
    <n v="21"/>
    <n v="6"/>
    <m/>
    <m/>
    <n v="152"/>
    <m/>
    <m/>
    <m/>
    <m/>
    <m/>
    <m/>
    <m/>
    <x v="0"/>
    <x v="1"/>
    <n v="4"/>
    <m/>
    <n v="16"/>
    <n v="2"/>
    <m/>
    <m/>
    <n v="7"/>
    <m/>
    <m/>
    <n v="7"/>
    <m/>
    <m/>
    <n v="6"/>
    <m/>
    <m/>
    <m/>
    <m/>
    <m/>
    <m/>
    <m/>
    <m/>
    <m/>
    <m/>
    <m/>
    <m/>
    <m/>
    <m/>
    <m/>
    <m/>
    <m/>
    <s v="no test"/>
    <s v="no test"/>
    <s v="No Test"/>
    <n v="0"/>
    <n v="0"/>
    <n v="0"/>
    <n v="0"/>
    <n v="0"/>
    <n v="3000"/>
    <n v="0"/>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3000"/>
    <n v="100"/>
    <s v="Yes"/>
    <s v="KMSS-BMO"/>
    <x v="0"/>
    <x v="1"/>
    <x v="1"/>
    <n v="24.2744"/>
    <n v="97.752667000000002"/>
    <s v="MMR001CMP126"/>
    <x v="0"/>
    <m/>
    <n v="616"/>
    <n v="3682"/>
  </r>
  <r>
    <x v="1"/>
    <x v="7"/>
    <x v="14"/>
    <s v="UNICEF, USAID"/>
    <x v="1"/>
    <x v="4"/>
    <x v="0"/>
    <x v="92"/>
    <n v="97"/>
    <n v="544"/>
    <s v="2-01-2019, 07-01-2020"/>
    <s v="30-09-2021, 28-2-2022"/>
    <m/>
    <m/>
    <m/>
    <m/>
    <m/>
    <m/>
    <m/>
    <n v="3"/>
    <m/>
    <m/>
    <m/>
    <m/>
    <m/>
    <m/>
    <m/>
    <m/>
    <m/>
    <m/>
    <m/>
    <m/>
    <m/>
    <m/>
    <m/>
    <m/>
    <m/>
    <m/>
    <m/>
    <m/>
    <m/>
    <m/>
    <m/>
    <m/>
    <m/>
    <m/>
    <m/>
    <m/>
    <m/>
    <m/>
    <x v="2"/>
    <x v="2"/>
    <m/>
    <m/>
    <m/>
    <m/>
    <m/>
    <m/>
    <n v="7"/>
    <m/>
    <m/>
    <n v="7"/>
    <m/>
    <m/>
    <m/>
    <m/>
    <m/>
    <m/>
    <m/>
    <m/>
    <m/>
    <m/>
    <m/>
    <m/>
    <m/>
    <m/>
    <m/>
    <m/>
    <m/>
    <m/>
    <m/>
    <m/>
    <s v="no test"/>
    <s v="no test"/>
    <s v="No Test"/>
    <n v="3"/>
    <n v="0"/>
    <n v="0"/>
    <n v="0"/>
    <n v="0"/>
    <n v="0"/>
    <n v="0"/>
    <n v="1"/>
    <n v="1"/>
    <n v="1"/>
    <n v="544"/>
    <n v="0"/>
    <n v="0"/>
    <n v="1"/>
    <n v="544"/>
    <n v="1.0880000000000001"/>
    <n v="0"/>
    <n v="0"/>
    <n v="0"/>
    <n v="1"/>
    <n v="0"/>
    <n v="0"/>
    <n v="0"/>
    <n v="0"/>
    <n v="0"/>
    <n v="0"/>
    <n v="27"/>
    <n v="27"/>
    <n v="1"/>
    <n v="0"/>
    <n v="0"/>
    <n v="0"/>
    <n v="0"/>
    <n v="0"/>
    <n v="0"/>
    <n v="0"/>
    <n v="1"/>
    <n v="0"/>
    <n v="0"/>
    <n v="0"/>
    <n v="7"/>
    <n v="97"/>
    <n v="0"/>
    <n v="544"/>
    <s v="No"/>
    <s v=""/>
    <n v="0"/>
    <n v="0"/>
    <n v="0"/>
    <n v="0"/>
    <s v="uncovered"/>
    <x v="0"/>
    <x v="4"/>
    <x v="0"/>
    <n v="23.827870999999998"/>
    <n v="97.588291999999996"/>
    <s v="MMR001CMP134"/>
    <x v="0"/>
    <m/>
    <n v="120"/>
    <n v="66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4" firstHeaderRow="1" firstDataRow="1" firstDataCol="1" rowPageCount="1" colPageCount="1"/>
  <pivotFields count="155">
    <pivotField axis="axisPage" multipleItemSelectionAllowed="1" showAll="0">
      <items count="25">
        <item m="1" x="21"/>
        <item m="1" x="22"/>
        <item m="1" x="8"/>
        <item m="1" x="23"/>
        <item m="1" x="15"/>
        <item m="1" x="17"/>
        <item m="1" x="19"/>
        <item m="1" x="20"/>
        <item m="1" x="4"/>
        <item m="1" x="11"/>
        <item m="1" x="13"/>
        <item m="1" x="16"/>
        <item m="1" x="18"/>
        <item h="1" m="1" x="6"/>
        <item h="1" m="1" x="9"/>
        <item m="1" x="12"/>
        <item m="1" x="2"/>
        <item h="1" m="1" x="14"/>
        <item h="1" m="1" x="3"/>
        <item h="1" m="1" x="5"/>
        <item h="1" m="1" x="7"/>
        <item h="1" m="1" x="10"/>
        <item h="1" x="0"/>
        <item h="1" x="1"/>
        <item t="default"/>
      </items>
    </pivotField>
    <pivotField showAll="0"/>
    <pivotField showAll="0"/>
    <pivotField showAll="0"/>
    <pivotField axis="axisRow" showAll="0">
      <items count="7">
        <item m="1" x="5"/>
        <item x="1"/>
        <item m="1" x="4"/>
        <item m="1" x="3"/>
        <item x="0"/>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6"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B52:D61" firstHeaderRow="0" firstDataRow="1" firstDataCol="1" rowPageCount="2" colPageCount="1"/>
  <pivotFields count="155">
    <pivotField axis="axisRow" subtotalTop="0" multipleItemSelectionAllowed="1" showAll="0">
      <items count="25">
        <item m="1" x="22"/>
        <item m="1" x="8"/>
        <item m="1" x="15"/>
        <item m="1" x="2"/>
        <item m="1" x="23"/>
        <item m="1" x="4"/>
        <item m="1" x="21"/>
        <item m="1" x="17"/>
        <item m="1" x="19"/>
        <item m="1" x="20"/>
        <item m="1" x="11"/>
        <item m="1" x="13"/>
        <item m="1" x="16"/>
        <item m="1" x="18"/>
        <item m="1" x="6"/>
        <item m="1" x="9"/>
        <item m="1" x="12"/>
        <item m="1" x="14"/>
        <item m="1" x="3"/>
        <item m="1" x="5"/>
        <item m="1" x="7"/>
        <item m="1" x="10"/>
        <item x="0"/>
        <item x="1"/>
        <item t="default"/>
      </items>
    </pivotField>
    <pivotField showAll="0" defaultSubtotal="0"/>
    <pivotField showAll="0" defaultSubtotal="0"/>
    <pivotField subtotalTop="0" showAll="0"/>
    <pivotField axis="axisRow" subtotalTop="0" showAll="0">
      <items count="7">
        <item x="1"/>
        <item m="1" x="3"/>
        <item x="0"/>
        <item m="1" x="2"/>
        <item m="1" x="5"/>
        <item m="1" x="4"/>
        <item t="default"/>
      </items>
    </pivotField>
    <pivotField subtotalTop="0" showAll="0"/>
    <pivotField axis="axisPage" multipleItemSelectionAllowed="1" showAll="0" defaultSubtotal="0">
      <items count="14">
        <item x="0"/>
        <item x="1"/>
        <item m="1" x="11"/>
        <item m="1" x="7"/>
        <item m="1" x="6"/>
        <item h="1" x="3"/>
        <item m="1" x="10"/>
        <item h="1" m="1" x="13"/>
        <item h="1" m="1" x="8"/>
        <item h="1" m="1" x="9"/>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9">
    <i>
      <x/>
    </i>
    <i r="1">
      <x v="22"/>
    </i>
    <i r="1">
      <x v="23"/>
    </i>
    <i t="default">
      <x/>
    </i>
    <i>
      <x v="2"/>
    </i>
    <i r="1">
      <x v="22"/>
    </i>
    <i r="1">
      <x v="23"/>
    </i>
    <i t="default">
      <x v="2"/>
    </i>
    <i t="grand">
      <x/>
    </i>
  </rowItems>
  <colFields count="1">
    <field x="-2"/>
  </colFields>
  <colItems count="2">
    <i>
      <x/>
    </i>
    <i i="1">
      <x v="1"/>
    </i>
  </colItems>
  <pageFields count="2">
    <pageField fld="142" hier="-1"/>
    <pageField fld="6" hier="-1"/>
  </pageFields>
  <dataFields count="2">
    <dataField name="Sum of #_Water sources tested for fecal coliform " fld="34" baseField="0" baseItem="0"/>
    <dataField name="Sum of #_Water sources passed" fld="35" baseField="0" baseItem="0"/>
  </dataFields>
  <formats count="10">
    <format dxfId="280">
      <pivotArea field="4" type="button" dataOnly="0" labelOnly="1" outline="0" axis="axisRow" fieldPosition="0"/>
    </format>
    <format dxfId="279">
      <pivotArea type="all" dataOnly="0" outline="0" fieldPosition="0"/>
    </format>
    <format dxfId="278">
      <pivotArea outline="0" collapsedLevelsAreSubtotals="1" fieldPosition="0"/>
    </format>
    <format dxfId="277">
      <pivotArea field="4" type="button" dataOnly="0" labelOnly="1" outline="0" axis="axisRow" fieldPosition="0"/>
    </format>
    <format dxfId="276">
      <pivotArea dataOnly="0" labelOnly="1" fieldPosition="0">
        <references count="1">
          <reference field="4" count="0"/>
        </references>
      </pivotArea>
    </format>
    <format dxfId="275">
      <pivotArea type="all" dataOnly="0" outline="0" fieldPosition="0"/>
    </format>
    <format dxfId="274">
      <pivotArea type="all" dataOnly="0" outline="0" fieldPosition="0"/>
    </format>
    <format dxfId="273">
      <pivotArea outline="0" collapsedLevelsAreSubtotals="1" fieldPosition="0"/>
    </format>
    <format dxfId="272">
      <pivotArea field="4" type="button" dataOnly="0" labelOnly="1" outline="0" axis="axisRow" fieldPosition="0"/>
    </format>
    <format dxfId="271">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67">
  <location ref="C294:E306" firstHeaderRow="1" firstDataRow="2" firstDataCol="1" rowPageCount="2"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x="1"/>
        <item h="1" m="1" x="3"/>
        <item h="1" x="0"/>
        <item m="1" x="2"/>
        <item h="1" m="1" x="5"/>
        <item h="1" m="1" x="4"/>
        <item t="default"/>
      </items>
    </pivotField>
    <pivotField subtotalTop="0" showAll="0"/>
    <pivotField axis="axisRow" showAll="0" defaultSubtotal="0">
      <items count="14">
        <item x="0"/>
        <item x="1"/>
        <item m="1" x="11"/>
        <item m="1" x="7"/>
        <item m="1" x="6"/>
        <item x="3"/>
        <item m="1" x="10"/>
        <item m="1" x="13"/>
        <item m="1" x="8"/>
        <item m="1" x="9"/>
        <item m="1" x="12"/>
        <item m="1" x="4"/>
        <item m="1" x="5"/>
        <item x="2"/>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axis="axisRow" subtotalTop="0" showAll="0">
      <items count="13">
        <item m="1" x="11"/>
        <item x="6"/>
        <item x="1"/>
        <item x="0"/>
        <item x="3"/>
        <item x="7"/>
        <item x="2"/>
        <item x="4"/>
        <item x="8"/>
        <item x="9"/>
        <item x="5"/>
        <item x="10"/>
        <item t="default"/>
      </items>
    </pivotField>
    <pivotField subtotalTop="0" showAll="0"/>
    <pivotField subtotalTop="0" showAll="0"/>
    <pivotField subtotalTop="0" showAll="0"/>
    <pivotField subtotalTop="0" showAll="0"/>
    <pivotField axis="axisCol" subtotalTop="0" showAll="0">
      <items count="6">
        <item x="0"/>
        <item n="Gap" x="1"/>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6"/>
    <field x="137"/>
  </rowFields>
  <rowItems count="11">
    <i>
      <x/>
    </i>
    <i r="1">
      <x v="1"/>
    </i>
    <i r="1">
      <x v="2"/>
    </i>
    <i r="1">
      <x v="3"/>
    </i>
    <i r="1">
      <x v="4"/>
    </i>
    <i r="1">
      <x v="7"/>
    </i>
    <i>
      <x v="1"/>
    </i>
    <i r="1">
      <x v="2"/>
    </i>
    <i r="1">
      <x v="3"/>
    </i>
    <i r="1">
      <x v="5"/>
    </i>
    <i r="1">
      <x v="6"/>
    </i>
  </rowItems>
  <colFields count="1">
    <field x="142"/>
  </colFields>
  <colItems count="2">
    <i>
      <x/>
    </i>
    <i>
      <x v="1"/>
    </i>
  </colItems>
  <pageFields count="2">
    <pageField fld="0" hier="-1"/>
    <pageField fld="4" hier="-1"/>
  </pageFields>
  <dataFields count="1">
    <dataField name="Count of Site Name" fld="7" subtotal="count" baseField="0" baseItem="0"/>
  </dataFields>
  <formats count="19">
    <format dxfId="299">
      <pivotArea type="all" dataOnly="0" outline="0" fieldPosition="0"/>
    </format>
    <format dxfId="298">
      <pivotArea outline="0" collapsedLevelsAreSubtotals="1" fieldPosition="0"/>
    </format>
    <format dxfId="297">
      <pivotArea field="4" type="button" dataOnly="0" labelOnly="1" outline="0" axis="axisPage" fieldPosition="1"/>
    </format>
    <format dxfId="296">
      <pivotArea dataOnly="0" labelOnly="1" fieldPosition="0">
        <references count="1">
          <reference field="4" count="0"/>
        </references>
      </pivotArea>
    </format>
    <format dxfId="295">
      <pivotArea dataOnly="0" labelOnly="1" grandRow="1" outline="0" fieldPosition="0"/>
    </format>
    <format dxfId="294">
      <pivotArea dataOnly="0" labelOnly="1" outline="0" fieldPosition="0">
        <references count="1">
          <reference field="4294967294" count="1">
            <x v="0"/>
          </reference>
        </references>
      </pivotArea>
    </format>
    <format dxfId="293">
      <pivotArea type="all" dataOnly="0" outline="0" fieldPosition="0"/>
    </format>
    <format dxfId="292">
      <pivotArea outline="0" collapsedLevelsAreSubtotals="1" fieldPosition="0"/>
    </format>
    <format dxfId="291">
      <pivotArea type="origin" dataOnly="0" labelOnly="1" outline="0" fieldPosition="0"/>
    </format>
    <format dxfId="290">
      <pivotArea field="142" type="button" dataOnly="0" labelOnly="1" outline="0" axis="axisCol" fieldPosition="0"/>
    </format>
    <format dxfId="289">
      <pivotArea type="topRight" dataOnly="0" labelOnly="1" outline="0" fieldPosition="0"/>
    </format>
    <format dxfId="288">
      <pivotArea dataOnly="0" labelOnly="1" fieldPosition="0">
        <references count="1">
          <reference field="142" count="0"/>
        </references>
      </pivotArea>
    </format>
    <format dxfId="287">
      <pivotArea type="all" dataOnly="0" outline="0" fieldPosition="0"/>
    </format>
    <format dxfId="286">
      <pivotArea outline="0" collapsedLevelsAreSubtotals="1" fieldPosition="0"/>
    </format>
    <format dxfId="285">
      <pivotArea dataOnly="0" labelOnly="1" fieldPosition="0">
        <references count="1">
          <reference field="142" count="0"/>
        </references>
      </pivotArea>
    </format>
    <format dxfId="284">
      <pivotArea field="4" type="button" dataOnly="0" labelOnly="1" outline="0" axis="axisPage" fieldPosition="1"/>
    </format>
    <format dxfId="283">
      <pivotArea dataOnly="0" labelOnly="1" outline="0" fieldPosition="0">
        <references count="2">
          <reference field="0" count="1" selected="0">
            <x v="8"/>
          </reference>
          <reference field="4" count="0"/>
        </references>
      </pivotArea>
    </format>
    <format dxfId="282">
      <pivotArea dataOnly="0" labelOnly="1" outline="0" fieldPosition="0">
        <references count="2">
          <reference field="0" count="1" selected="0">
            <x v="9"/>
          </reference>
          <reference field="4" count="0"/>
        </references>
      </pivotArea>
    </format>
    <format dxfId="281">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2" count="1" selected="0">
            <x v="0"/>
          </reference>
        </references>
      </pivotArea>
    </chartFormat>
    <chartFormat chart="7" format="9" series="1">
      <pivotArea type="data" outline="0" fieldPosition="0">
        <references count="2">
          <reference field="4294967294" count="1" selected="0">
            <x v="0"/>
          </reference>
          <reference field="142" count="1" selected="0">
            <x v="1"/>
          </reference>
        </references>
      </pivotArea>
    </chartFormat>
    <chartFormat chart="10" format="8" series="1">
      <pivotArea type="data" outline="0" fieldPosition="0">
        <references count="2">
          <reference field="4294967294" count="1" selected="0">
            <x v="0"/>
          </reference>
          <reference field="142" count="1" selected="0">
            <x v="0"/>
          </reference>
        </references>
      </pivotArea>
    </chartFormat>
    <chartFormat chart="10" format="9" series="1">
      <pivotArea type="data" outline="0" fieldPosition="0">
        <references count="2">
          <reference field="4294967294" count="1" selected="0">
            <x v="0"/>
          </reference>
          <reference field="142" count="1" selected="0">
            <x v="1"/>
          </reference>
        </references>
      </pivotArea>
    </chartFormat>
    <chartFormat chart="40" format="8" series="1">
      <pivotArea type="data" outline="0" fieldPosition="0">
        <references count="2">
          <reference field="4294967294" count="1" selected="0">
            <x v="0"/>
          </reference>
          <reference field="142" count="1" selected="0">
            <x v="0"/>
          </reference>
        </references>
      </pivotArea>
    </chartFormat>
    <chartFormat chart="40" format="9" series="1">
      <pivotArea type="data" outline="0" fieldPosition="0">
        <references count="2">
          <reference field="4294967294" count="1" selected="0">
            <x v="0"/>
          </reference>
          <reference field="142" count="1" selected="0">
            <x v="1"/>
          </reference>
        </references>
      </pivotArea>
    </chartFormat>
    <chartFormat chart="42" format="12" series="1">
      <pivotArea type="data" outline="0" fieldPosition="0">
        <references count="2">
          <reference field="4294967294" count="1" selected="0">
            <x v="0"/>
          </reference>
          <reference field="142" count="1" selected="0">
            <x v="0"/>
          </reference>
        </references>
      </pivotArea>
    </chartFormat>
    <chartFormat chart="42" format="13" series="1">
      <pivotArea type="data" outline="0" fieldPosition="0">
        <references count="2">
          <reference field="4294967294" count="1" selected="0">
            <x v="0"/>
          </reference>
          <reference field="142" count="1" selected="0">
            <x v="1"/>
          </reference>
        </references>
      </pivotArea>
    </chartFormat>
    <chartFormat chart="60" format="12" series="1">
      <pivotArea type="data" outline="0" fieldPosition="0">
        <references count="2">
          <reference field="4294967294" count="1" selected="0">
            <x v="0"/>
          </reference>
          <reference field="142" count="1" selected="0">
            <x v="0"/>
          </reference>
        </references>
      </pivotArea>
    </chartFormat>
    <chartFormat chart="60" format="13" series="1">
      <pivotArea type="data" outline="0" fieldPosition="0">
        <references count="2">
          <reference field="4294967294" count="1" selected="0">
            <x v="0"/>
          </reference>
          <reference field="142"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2" rowHeaderCaption="State" colHeaderCaption=" ">
  <location ref="J188:L197"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item="2" hier="-1"/>
    <pageField fld="6" hier="-1"/>
  </pageFields>
  <dataFields count="2">
    <dataField name="  % Latrine Coverage" fld="152" baseField="0" baseItem="0" numFmtId="1"/>
    <dataField name="  % Latrine GAP" fld="153" baseField="0" baseItem="0" numFmtId="1"/>
  </dataFields>
  <formats count="12">
    <format dxfId="311">
      <pivotArea type="all" dataOnly="0" outline="0" fieldPosition="0"/>
    </format>
    <format dxfId="310">
      <pivotArea outline="0" collapsedLevelsAreSubtotals="1" fieldPosition="0"/>
    </format>
    <format dxfId="309">
      <pivotArea field="4" type="button" dataOnly="0" labelOnly="1" outline="0" axis="axisPage" fieldPosition="2"/>
    </format>
    <format dxfId="308">
      <pivotArea type="all" dataOnly="0" outline="0" fieldPosition="0"/>
    </format>
    <format dxfId="307">
      <pivotArea outline="0" collapsedLevelsAreSubtotals="1" fieldPosition="0"/>
    </format>
    <format dxfId="306">
      <pivotArea outline="0" collapsedLevelsAreSubtotals="1" fieldPosition="0"/>
    </format>
    <format dxfId="305">
      <pivotArea field="5" type="button" dataOnly="0" labelOnly="1" outline="0" axis="axisRow" fieldPosition="0"/>
    </format>
    <format dxfId="304">
      <pivotArea field="5" type="button" dataOnly="0" labelOnly="1" outline="0" axis="axisRow" fieldPosition="0"/>
    </format>
    <format dxfId="303">
      <pivotArea field="5" type="button" dataOnly="0" labelOnly="1" outline="0" axis="axisRow" fieldPosition="0"/>
    </format>
    <format dxfId="302">
      <pivotArea field="4" type="button" dataOnly="0" labelOnly="1" outline="0" axis="axisPage" fieldPosition="2"/>
    </format>
    <format dxfId="301">
      <pivotArea dataOnly="0" labelOnly="1" outline="0" fieldPosition="0">
        <references count="2">
          <reference field="4" count="1">
            <x v="0"/>
          </reference>
          <reference field="142" count="1" selected="0">
            <x v="0"/>
          </reference>
        </references>
      </pivotArea>
    </format>
    <format dxfId="300">
      <pivotArea dataOnly="0" labelOnly="1" outline="0" fieldPosition="0">
        <references count="2">
          <reference field="4" count="1">
            <x v="2"/>
          </reference>
          <reference field="142"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63:I65"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42"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5]"/>
        <member name="[WWWW].[#_Water sources tested for fecal coliform].&amp;[6]"/>
        <member name="[WWWW].[#_Water sources tested for fecal coliform].&amp;[7]"/>
        <member name="[WWWW].[#_Water sources tested for fecal coliform].&amp;[9]"/>
        <member name="[WWWW].[#_Water sources tested for fecal coliform].&amp;[10]"/>
        <member name="[WWWW].[#_Water sources tested for fecal coliform].&amp;[1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250:D254" firstHeaderRow="0" firstDataRow="1" firstDataCol="1" rowPageCount="3" colPageCount="1"/>
  <pivotFields count="155">
    <pivotField axis="axisPage" subtotalTop="0" multipleItemSelectionAllowed="1" showAll="0">
      <items count="25">
        <item h="1"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x="0"/>
        <item h="1" x="1"/>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4">
    <i>
      <x/>
    </i>
    <i r="1">
      <x v="339"/>
    </i>
    <i r="1">
      <x v="340"/>
    </i>
    <i t="default">
      <x/>
    </i>
  </rowItems>
  <colFields count="1">
    <field x="-2"/>
  </colFields>
  <colItems count="2">
    <i>
      <x/>
    </i>
    <i i="1">
      <x v="1"/>
    </i>
  </colItems>
  <pageFields count="3">
    <pageField fld="0" hier="-1"/>
    <pageField fld="142"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322">
      <pivotArea type="all" dataOnly="0" outline="0" fieldPosition="0"/>
    </format>
    <format dxfId="321">
      <pivotArea type="all" dataOnly="0" outline="0" fieldPosition="0"/>
    </format>
    <format dxfId="320">
      <pivotArea outline="0" collapsedLevelsAreSubtotals="1" fieldPosition="0"/>
    </format>
    <format dxfId="319">
      <pivotArea field="4" type="button" dataOnly="0" labelOnly="1" outline="0" axis="axisRow" fieldPosition="0"/>
    </format>
    <format dxfId="318">
      <pivotArea dataOnly="0" labelOnly="1" fieldPosition="0">
        <references count="1">
          <reference field="4" count="0"/>
        </references>
      </pivotArea>
    </format>
    <format dxfId="317">
      <pivotArea dataOnly="0" labelOnly="1" grandRow="1" outline="0" fieldPosition="0"/>
    </format>
    <format dxfId="316">
      <pivotArea type="all" dataOnly="0" outline="0" fieldPosition="0"/>
    </format>
    <format dxfId="315">
      <pivotArea outline="0" collapsedLevelsAreSubtotals="1" fieldPosition="0"/>
    </format>
    <format dxfId="314">
      <pivotArea field="4" type="button" dataOnly="0" labelOnly="1" outline="0" axis="axisRow" fieldPosition="0"/>
    </format>
    <format dxfId="313">
      <pivotArea dataOnly="0" labelOnly="1" fieldPosition="0">
        <references count="1">
          <reference field="4" count="0"/>
        </references>
      </pivotArea>
    </format>
    <format dxfId="312">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rowHeaderCaption="State" colHeaderCaption=" ">
  <location ref="B80:D93"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Water Coverage" fld="150" baseField="0" baseItem="0"/>
    <dataField name=" % Water GAP" fld="151" baseField="0" baseItem="0"/>
  </dataFields>
  <formats count="10">
    <format dxfId="332">
      <pivotArea field="4" type="button" dataOnly="0" labelOnly="1" outline="0" axis="axisPage" fieldPosition="2"/>
    </format>
    <format dxfId="331">
      <pivotArea type="all" dataOnly="0" outline="0" fieldPosition="0"/>
    </format>
    <format dxfId="330">
      <pivotArea outline="0" collapsedLevelsAreSubtotals="1" fieldPosition="0"/>
    </format>
    <format dxfId="329">
      <pivotArea field="4" type="button" dataOnly="0" labelOnly="1" outline="0" axis="axisPage" fieldPosition="2"/>
    </format>
    <format dxfId="328">
      <pivotArea type="all" dataOnly="0" outline="0" fieldPosition="0"/>
    </format>
    <format dxfId="327">
      <pivotArea outline="0" collapsedLevelsAreSubtotals="1" fieldPosition="0"/>
    </format>
    <format dxfId="326">
      <pivotArea outline="0" collapsedLevelsAreSubtotals="1" fieldPosition="0"/>
    </format>
    <format dxfId="325">
      <pivotArea field="5" type="button" dataOnly="0" labelOnly="1" outline="0" axis="axisRow" fieldPosition="0"/>
    </format>
    <format dxfId="324">
      <pivotArea field="5" type="button" dataOnly="0" labelOnly="1" outline="0" axis="axisRow" fieldPosition="0"/>
    </format>
    <format dxfId="323">
      <pivotArea field="5" type="button" dataOnly="0" labelOnly="1" outline="0" axis="axisRow" fieldPosition="0"/>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3"/>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3" rowHeaderCaption="State" colHeaderCaption=" ">
  <location ref="B267:D280"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Hygiene Coverage" fld="149" baseField="0" baseItem="0" numFmtId="1"/>
    <dataField name="  % Hygiene Gap" fld="148" baseField="0" baseItem="0" numFmtId="1"/>
  </dataFields>
  <formats count="11">
    <format dxfId="343">
      <pivotArea type="all" dataOnly="0" outline="0" fieldPosition="0"/>
    </format>
    <format dxfId="342">
      <pivotArea outline="0" collapsedLevelsAreSubtotals="1" fieldPosition="0"/>
    </format>
    <format dxfId="341">
      <pivotArea field="4" type="button" dataOnly="0" labelOnly="1" outline="0" axis="axisPage" fieldPosition="2"/>
    </format>
    <format dxfId="340">
      <pivotArea type="all" dataOnly="0" outline="0" fieldPosition="0"/>
    </format>
    <format dxfId="339">
      <pivotArea outline="0" collapsedLevelsAreSubtotals="1" fieldPosition="0"/>
    </format>
    <format dxfId="338">
      <pivotArea outline="0" collapsedLevelsAreSubtotals="1" fieldPosition="0"/>
    </format>
    <format dxfId="337">
      <pivotArea field="5" type="button" dataOnly="0" labelOnly="1" outline="0" axis="axisRow" fieldPosition="0"/>
    </format>
    <format dxfId="336">
      <pivotArea field="5" type="button" dataOnly="0" labelOnly="1" outline="0" axis="axisRow" fieldPosition="0"/>
    </format>
    <format dxfId="335">
      <pivotArea field="5" type="button" dataOnly="0" labelOnly="1" outline="0" axis="axisRow" fieldPosition="0"/>
    </format>
    <format dxfId="334">
      <pivotArea field="4" type="button" dataOnly="0" labelOnly="1" outline="0" axis="axisPage" fieldPosition="2"/>
    </format>
    <format dxfId="333">
      <pivotArea dataOnly="0" labelOnly="1" outline="0" fieldPosition="0">
        <references count="2">
          <reference field="4" count="1">
            <x v="0"/>
          </reference>
          <reference field="142"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97A2615-AF6E-4D96-B23D-A92D9FC660C2}" name="PivotTable4"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0" rowHeaderCaption="State">
  <location ref="C419:E424" firstHeaderRow="1" firstDataRow="2" firstDataCol="1" rowPageCount="3" colPageCount="1"/>
  <pivotFields count="155">
    <pivotField axis="axisCol" subtotalTop="0" multipleItemSelectionAllowed="1" showAll="0">
      <items count="25">
        <item m="1" x="22"/>
        <item m="1" x="8"/>
        <item m="1" x="23"/>
        <item m="1" x="15"/>
        <item m="1" x="4"/>
        <item m="1" x="2"/>
        <item m="1" x="21"/>
        <item m="1" x="17"/>
        <item m="1" x="19"/>
        <item m="1" x="20"/>
        <item m="1" x="11"/>
        <item m="1" x="13"/>
        <item m="1" x="16"/>
        <item m="1" x="18"/>
        <item m="1" x="6"/>
        <item m="1" x="9"/>
        <item m="1" x="12"/>
        <item m="1" x="14"/>
        <item m="1" x="3"/>
        <item m="1" x="5"/>
        <item m="1" x="7"/>
        <item m="1" x="10"/>
        <item x="0"/>
        <item x="1"/>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2"/>
    </i>
    <i>
      <x v="23"/>
    </i>
  </colItems>
  <pageFields count="3">
    <pageField fld="142"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357">
      <pivotArea type="all" dataOnly="0" outline="0" fieldPosition="0"/>
    </format>
    <format dxfId="356">
      <pivotArea outline="0" collapsedLevelsAreSubtotals="1" fieldPosition="0"/>
    </format>
    <format dxfId="355">
      <pivotArea field="4" type="button" dataOnly="0" labelOnly="1" outline="0" axis="axisPage" fieldPosition="2"/>
    </format>
    <format dxfId="354">
      <pivotArea dataOnly="0" labelOnly="1" grandRow="1" outline="0" fieldPosition="0"/>
    </format>
    <format dxfId="353">
      <pivotArea type="all" dataOnly="0" outline="0" fieldPosition="0"/>
    </format>
    <format dxfId="352">
      <pivotArea outline="0" collapsedLevelsAreSubtotals="1" fieldPosition="0"/>
    </format>
    <format dxfId="351">
      <pivotArea type="origin" dataOnly="0" labelOnly="1" outline="0" fieldPosition="0"/>
    </format>
    <format dxfId="350">
      <pivotArea field="142" type="button" dataOnly="0" labelOnly="1" outline="0" axis="axisPage" fieldPosition="0"/>
    </format>
    <format dxfId="349">
      <pivotArea type="topRight" dataOnly="0" labelOnly="1" outline="0" fieldPosition="0"/>
    </format>
    <format dxfId="348">
      <pivotArea dataOnly="0" labelOnly="1" fieldPosition="0">
        <references count="1">
          <reference field="142" count="0"/>
        </references>
      </pivotArea>
    </format>
    <format dxfId="347">
      <pivotArea type="all" dataOnly="0" outline="0" fieldPosition="0"/>
    </format>
    <format dxfId="346">
      <pivotArea outline="0" collapsedLevelsAreSubtotals="1" fieldPosition="0"/>
    </format>
    <format dxfId="345">
      <pivotArea field="4" type="button" dataOnly="0" labelOnly="1" outline="0" axis="axisPage" fieldPosition="2"/>
    </format>
    <format dxfId="344">
      <pivotArea outline="0" collapsedLevelsAreSubtotals="1" fieldPosition="0"/>
    </format>
  </formats>
  <chartFormats count="19">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2"/>
          </reference>
        </references>
      </pivotArea>
    </chartFormat>
    <chartFormat chart="24" format="1" series="1">
      <pivotArea type="data" outline="0" fieldPosition="0">
        <references count="2">
          <reference field="4294967294" count="1" selected="0">
            <x v="0"/>
          </reference>
          <reference field="0" count="1" selected="0">
            <x v="23"/>
          </reference>
        </references>
      </pivotArea>
    </chartFormat>
    <chartFormat chart="29" format="8" series="1">
      <pivotArea type="data" outline="0" fieldPosition="0">
        <references count="2">
          <reference field="4294967294" count="1" selected="0">
            <x v="0"/>
          </reference>
          <reference field="0" count="1" selected="0">
            <x v="22"/>
          </reference>
        </references>
      </pivotArea>
    </chartFormat>
    <chartFormat chart="29" format="9" series="1">
      <pivotArea type="data" outline="0" fieldPosition="0">
        <references count="2">
          <reference field="4294967294" count="1" selected="0">
            <x v="0"/>
          </reference>
          <reference field="0" count="1" selected="0">
            <x v="23"/>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I10:N12" firstHeaderRow="0" firstDataRow="1" firstDataCol="1" rowPageCount="4" colPageCount="1"/>
  <pivotFields count="155">
    <pivotField axis="axisPage" subtotalTop="0" multipleItemSelectionAllowed="1" showAll="0">
      <items count="25">
        <item m="1" x="22"/>
        <item m="1" x="8"/>
        <item m="1" x="15"/>
        <item m="1" x="2"/>
        <item m="1" x="23"/>
        <item m="1" x="4"/>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7">
        <item m="1" x="31"/>
        <item x="1"/>
        <item m="1" x="43"/>
        <item m="1" x="35"/>
        <item x="2"/>
        <item x="3"/>
        <item x="14"/>
        <item x="21"/>
        <item x="23"/>
        <item x="15"/>
        <item x="22"/>
        <item m="1" x="38"/>
        <item m="1" x="26"/>
        <item x="16"/>
        <item m="1" x="45"/>
        <item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 t="default"/>
      </items>
    </pivotField>
    <pivotField axis="axisPage" multipleItemSelectionAllowed="1" showAll="0" defaultSubtotal="0">
      <items count="14">
        <item h="1" x="0"/>
        <item x="1"/>
        <item m="1" x="11"/>
        <item m="1" x="7"/>
        <item h="1" m="1" x="6"/>
        <item h="1" x="3"/>
        <item h="1" m="1" x="10"/>
        <item h="1" m="1" x="13"/>
        <item h="1" m="1" x="8"/>
        <item m="1" x="9"/>
        <item h="1" m="1" x="12"/>
        <item h="1" m="1" x="4"/>
        <item h="1" m="1" x="5"/>
        <item h="1" x="2"/>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2">
    <i>
      <x v="13"/>
    </i>
    <i t="grand">
      <x/>
    </i>
  </rowItems>
  <colFields count="1">
    <field x="-2"/>
  </colFields>
  <colItems count="5">
    <i>
      <x/>
    </i>
    <i i="1">
      <x v="1"/>
    </i>
    <i i="2">
      <x v="2"/>
    </i>
    <i i="3">
      <x v="3"/>
    </i>
    <i i="4">
      <x v="4"/>
    </i>
  </colItems>
  <pageFields count="4">
    <pageField fld="0" hier="-1"/>
    <pageField fld="142" item="0" hier="-1"/>
    <pageField fld="4" item="2"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8">
    <format dxfId="395">
      <pivotArea type="all" dataOnly="0" outline="0" fieldPosition="0"/>
    </format>
    <format dxfId="394">
      <pivotArea outline="0" collapsedLevelsAreSubtotals="1" fieldPosition="0"/>
    </format>
    <format dxfId="393">
      <pivotArea field="5" type="button" dataOnly="0" labelOnly="1" outline="0" axis="axisRow" fieldPosition="0"/>
    </format>
    <format dxfId="392">
      <pivotArea dataOnly="0" labelOnly="1" outline="0" axis="axisValues" fieldPosition="0"/>
    </format>
    <format dxfId="391">
      <pivotArea dataOnly="0" labelOnly="1" fieldPosition="0">
        <references count="1">
          <reference field="5" count="0"/>
        </references>
      </pivotArea>
    </format>
    <format dxfId="390">
      <pivotArea dataOnly="0" labelOnly="1" grandRow="1" outline="0" fieldPosition="0"/>
    </format>
    <format dxfId="389">
      <pivotArea dataOnly="0" labelOnly="1" outline="0" axis="axisValues" fieldPosition="0"/>
    </format>
    <format dxfId="388">
      <pivotArea type="all" dataOnly="0" outline="0" fieldPosition="0"/>
    </format>
    <format dxfId="387">
      <pivotArea field="5" type="button" dataOnly="0" labelOnly="1" outline="0" axis="axisRow" fieldPosition="0"/>
    </format>
    <format dxfId="386">
      <pivotArea dataOnly="0" labelOnly="1" outline="0" axis="axisValues" fieldPosition="0"/>
    </format>
    <format dxfId="385">
      <pivotArea dataOnly="0" labelOnly="1" fieldPosition="0">
        <references count="1">
          <reference field="5" count="0"/>
        </references>
      </pivotArea>
    </format>
    <format dxfId="384">
      <pivotArea dataOnly="0" labelOnly="1" outline="0" axis="axisValues" fieldPosition="0"/>
    </format>
    <format dxfId="383">
      <pivotArea field="5" type="button" dataOnly="0" labelOnly="1" outline="0" axis="axisRow" fieldPosition="0"/>
    </format>
    <format dxfId="382">
      <pivotArea type="all" dataOnly="0" outline="0" fieldPosition="0"/>
    </format>
    <format dxfId="381">
      <pivotArea field="5" type="button" dataOnly="0" labelOnly="1" outline="0" axis="axisRow" fieldPosition="0"/>
    </format>
    <format dxfId="380">
      <pivotArea dataOnly="0" labelOnly="1" fieldPosition="0">
        <references count="1">
          <reference field="5" count="7">
            <x v="6"/>
            <x v="9"/>
            <x v="13"/>
            <x v="18"/>
            <x v="26"/>
            <x v="30"/>
            <x v="32"/>
          </reference>
        </references>
      </pivotArea>
    </format>
    <format dxfId="379">
      <pivotArea dataOnly="0" labelOnly="1" outline="0" fieldPosition="0">
        <references count="1">
          <reference field="4294967294" count="1">
            <x v="1"/>
          </reference>
        </references>
      </pivotArea>
    </format>
    <format dxfId="378">
      <pivotArea type="all" dataOnly="0" outline="0" fieldPosition="0"/>
    </format>
    <format dxfId="377">
      <pivotArea outline="0" collapsedLevelsAreSubtotals="1" fieldPosition="0"/>
    </format>
    <format dxfId="376">
      <pivotArea field="5" type="button" dataOnly="0" labelOnly="1" outline="0" axis="axisRow" fieldPosition="0"/>
    </format>
    <format dxfId="375">
      <pivotArea dataOnly="0" labelOnly="1" fieldPosition="0">
        <references count="1">
          <reference field="5" count="7">
            <x v="6"/>
            <x v="9"/>
            <x v="13"/>
            <x v="18"/>
            <x v="26"/>
            <x v="30"/>
            <x v="32"/>
          </reference>
        </references>
      </pivotArea>
    </format>
    <format dxfId="374">
      <pivotArea dataOnly="0" labelOnly="1" outline="0" fieldPosition="0">
        <references count="1">
          <reference field="4294967294" count="1">
            <x v="1"/>
          </reference>
        </references>
      </pivotArea>
    </format>
    <format dxfId="373">
      <pivotArea field="5" type="button" dataOnly="0" labelOnly="1" outline="0" axis="axisRow" fieldPosition="0"/>
    </format>
    <format dxfId="372">
      <pivotArea dataOnly="0" labelOnly="1" outline="0" fieldPosition="0">
        <references count="1">
          <reference field="4294967294" count="1">
            <x v="1"/>
          </reference>
        </references>
      </pivotArea>
    </format>
    <format dxfId="371">
      <pivotArea type="all" dataOnly="0" outline="0" fieldPosition="0"/>
    </format>
    <format dxfId="370">
      <pivotArea outline="0" collapsedLevelsAreSubtotals="1" fieldPosition="0"/>
    </format>
    <format dxfId="369">
      <pivotArea field="5" type="button" dataOnly="0" labelOnly="1" outline="0" axis="axisRow" fieldPosition="0"/>
    </format>
    <format dxfId="368">
      <pivotArea dataOnly="0" labelOnly="1" fieldPosition="0">
        <references count="1">
          <reference field="5" count="6">
            <x v="6"/>
            <x v="9"/>
            <x v="18"/>
            <x v="26"/>
            <x v="30"/>
            <x v="32"/>
          </reference>
        </references>
      </pivotArea>
    </format>
    <format dxfId="367">
      <pivotArea dataOnly="0" labelOnly="1" grandRow="1" outline="0" fieldPosition="0"/>
    </format>
    <format dxfId="366">
      <pivotArea dataOnly="0" labelOnly="1" outline="0" fieldPosition="0">
        <references count="1">
          <reference field="4294967294" count="1">
            <x v="1"/>
          </reference>
        </references>
      </pivotArea>
    </format>
    <format dxfId="365">
      <pivotArea field="4" type="button" dataOnly="0" labelOnly="1" outline="0" axis="axisPage" fieldPosition="2"/>
    </format>
    <format dxfId="364">
      <pivotArea dataOnly="0" labelOnly="1" outline="0" fieldPosition="0">
        <references count="3">
          <reference field="0" count="1" selected="0">
            <x v="7"/>
          </reference>
          <reference field="4" count="1">
            <x v="2"/>
          </reference>
          <reference field="142" count="1" selected="0">
            <x v="0"/>
          </reference>
        </references>
      </pivotArea>
    </format>
    <format dxfId="363">
      <pivotArea dataOnly="0" labelOnly="1" outline="0" fieldPosition="0">
        <references count="3">
          <reference field="0" count="1" selected="0">
            <x v="8"/>
          </reference>
          <reference field="4" count="1">
            <x v="2"/>
          </reference>
          <reference field="142" count="1" selected="0">
            <x v="0"/>
          </reference>
        </references>
      </pivotArea>
    </format>
    <format dxfId="362">
      <pivotArea outline="0" collapsedLevelsAreSubtotals="1" fieldPosition="0">
        <references count="1">
          <reference field="4294967294" count="1" selected="0">
            <x v="1"/>
          </reference>
        </references>
      </pivotArea>
    </format>
    <format dxfId="361">
      <pivotArea dataOnly="0" labelOnly="1" outline="0" fieldPosition="0">
        <references count="3">
          <reference field="0" count="1" selected="0">
            <x v="10"/>
          </reference>
          <reference field="4" count="1">
            <x v="0"/>
          </reference>
          <reference field="142" count="1" selected="0">
            <x v="0"/>
          </reference>
        </references>
      </pivotArea>
    </format>
    <format dxfId="360">
      <pivotArea dataOnly="0" labelOnly="1" outline="0" fieldPosition="0">
        <references count="3">
          <reference field="0" count="1" selected="0">
            <x v="10"/>
          </reference>
          <reference field="4" count="1">
            <x v="2"/>
          </reference>
          <reference field="142" count="1" selected="0">
            <x v="0"/>
          </reference>
        </references>
      </pivotArea>
    </format>
    <format dxfId="359">
      <pivotArea outline="0" collapsedLevelsAreSubtotals="1" fieldPosition="0">
        <references count="1">
          <reference field="4294967294" count="3" selected="0">
            <x v="2"/>
            <x v="3"/>
            <x v="4"/>
          </reference>
        </references>
      </pivotArea>
    </format>
    <format dxfId="358">
      <pivotArea dataOnly="0" labelOnly="1" outline="0" fieldPosition="0">
        <references count="3">
          <reference field="0" count="1" selected="0">
            <x v="11"/>
          </reference>
          <reference field="4" count="1">
            <x v="2"/>
          </reference>
          <reference field="142" count="1" selected="0">
            <x v="0"/>
          </reference>
        </references>
      </pivotArea>
    </format>
  </formats>
  <conditionalFormats count="1">
    <conditionalFormat priority="13">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7" rowHeaderCaption="State" colHeaderCaption=" ">
  <location ref="B187:D200"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3"/>
    </i>
    <i>
      <x v="4"/>
    </i>
    <i>
      <x v="12"/>
    </i>
    <i>
      <x v="16"/>
    </i>
    <i>
      <x v="17"/>
    </i>
    <i>
      <x v="18"/>
    </i>
    <i>
      <x v="22"/>
    </i>
    <i>
      <x v="32"/>
    </i>
    <i>
      <x v="34"/>
    </i>
    <i>
      <x v="35"/>
    </i>
    <i>
      <x v="36"/>
    </i>
    <i>
      <x v="44"/>
    </i>
  </rowItems>
  <colFields count="1">
    <field x="-2"/>
  </colFields>
  <colItems count="2">
    <i>
      <x/>
    </i>
    <i i="1">
      <x v="1"/>
    </i>
  </colItems>
  <pageFields count="4">
    <pageField fld="0" hier="-1"/>
    <pageField fld="142" item="0" hier="-1"/>
    <pageField fld="4" item="0" hier="-1"/>
    <pageField fld="6" hier="-1"/>
  </pageFields>
  <dataFields count="2">
    <dataField name=" % Latrine Coverage" fld="152" baseField="0" baseItem="0" numFmtId="1"/>
    <dataField name="  % Latrine GAP" fld="153" baseField="0" baseItem="0" numFmtId="1"/>
  </dataFields>
  <formats count="11">
    <format dxfId="406">
      <pivotArea type="all" dataOnly="0" outline="0" fieldPosition="0"/>
    </format>
    <format dxfId="405">
      <pivotArea outline="0" collapsedLevelsAreSubtotals="1" fieldPosition="0"/>
    </format>
    <format dxfId="404">
      <pivotArea field="4" type="button" dataOnly="0" labelOnly="1" outline="0" axis="axisPage" fieldPosition="2"/>
    </format>
    <format dxfId="403">
      <pivotArea type="all" dataOnly="0" outline="0" fieldPosition="0"/>
    </format>
    <format dxfId="402">
      <pivotArea outline="0" collapsedLevelsAreSubtotals="1" fieldPosition="0"/>
    </format>
    <format dxfId="401">
      <pivotArea outline="0" collapsedLevelsAreSubtotals="1" fieldPosition="0"/>
    </format>
    <format dxfId="400">
      <pivotArea field="5" type="button" dataOnly="0" labelOnly="1" outline="0" axis="axisRow" fieldPosition="0"/>
    </format>
    <format dxfId="399">
      <pivotArea field="5" type="button" dataOnly="0" labelOnly="1" outline="0" axis="axisRow" fieldPosition="0"/>
    </format>
    <format dxfId="398">
      <pivotArea field="5" type="button" dataOnly="0" labelOnly="1" outline="0" axis="axisRow" fieldPosition="0"/>
    </format>
    <format dxfId="397">
      <pivotArea field="4" type="button" dataOnly="0" labelOnly="1" outline="0" axis="axisPage" fieldPosition="2"/>
    </format>
    <format dxfId="396">
      <pivotArea dataOnly="0" labelOnly="1" outline="0" fieldPosition="0">
        <references count="2">
          <reference field="4" count="1">
            <x v="0"/>
          </reference>
          <reference field="142"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6" applyNumberFormats="0" applyBorderFormats="0" applyFontFormats="0" applyPatternFormats="0" applyAlignmentFormats="0" applyWidthHeightFormats="1" dataCaption="Values" updatedVersion="6" minRefreshableVersion="3" colGrandTotals="0" itemPrintTitles="1" createdVersion="6" indent="0" showHeaders="0" compact="0" compactData="0" multipleFieldFilters="0">
  <location ref="A8:L13" firstHeaderRow="0" firstDataRow="1" firstDataCol="2" rowPageCount="2" colPageCount="1"/>
  <pivotFields count="155">
    <pivotField axis="axisRow" compact="0" outline="0" subtotalTop="0" showAll="0" defaultSubtotal="0">
      <items count="24">
        <item m="1" x="22"/>
        <item m="1" x="15"/>
        <item m="1" x="2"/>
        <item m="1" x="8"/>
        <item m="1" x="23"/>
        <item m="1" x="4"/>
        <item m="1" x="21"/>
        <item m="1" x="17"/>
        <item m="1" x="19"/>
        <item m="1" x="20"/>
        <item m="1" x="11"/>
        <item m="1" x="13"/>
        <item m="1" x="16"/>
        <item m="1" x="18"/>
        <item m="1" x="6"/>
        <item m="1" x="9"/>
        <item m="1" x="12"/>
        <item m="1" x="14"/>
        <item m="1" x="3"/>
        <item m="1" x="5"/>
        <item m="1" x="7"/>
        <item m="1" x="10"/>
        <item x="0"/>
        <item x="1"/>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1"/>
        <item m="1" x="3"/>
        <item x="0"/>
        <item m="1" x="2"/>
        <item m="1" x="5"/>
        <item m="1" x="4"/>
      </items>
    </pivotField>
    <pivotField compact="0" outline="0" subtotalTop="0" showAll="0" defaultSubtotal="0"/>
    <pivotField axis="axisPage" compact="0" outline="0" multipleItemSelectionAllowed="1" showAll="0" defaultSubtotal="0">
      <items count="14">
        <item x="0"/>
        <item x="1"/>
        <item m="1" x="11"/>
        <item h="1" x="3"/>
        <item h="1" m="1" x="13"/>
        <item h="1" m="1" x="7"/>
        <item h="1" m="1" x="10"/>
        <item h="1" m="1" x="6"/>
        <item m="1" x="8"/>
        <item m="1" x="9"/>
        <item h="1" m="1" x="12"/>
        <item h="1" m="1" x="4"/>
        <item h="1" m="1" x="5"/>
        <item h="1" x="2"/>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5">
    <i>
      <x/>
      <x v="22"/>
    </i>
    <i r="1">
      <x v="23"/>
    </i>
    <i>
      <x v="2"/>
      <x v="22"/>
    </i>
    <i r="1">
      <x v="23"/>
    </i>
    <i t="grand">
      <x/>
    </i>
  </rowItems>
  <colFields count="1">
    <field x="-2"/>
  </colFields>
  <colItems count="10">
    <i>
      <x/>
    </i>
    <i i="1">
      <x v="1"/>
    </i>
    <i i="2">
      <x v="2"/>
    </i>
    <i i="3">
      <x v="3"/>
    </i>
    <i i="4">
      <x v="4"/>
    </i>
    <i i="5">
      <x v="5"/>
    </i>
    <i i="6">
      <x v="6"/>
    </i>
    <i i="7">
      <x v="7"/>
    </i>
    <i i="8">
      <x v="8"/>
    </i>
    <i i="9">
      <x v="9"/>
    </i>
  </colItems>
  <pageFields count="2">
    <pageField fld="142" item="0" hier="-1"/>
    <pageField fld="6" hier="-1"/>
  </pageFields>
  <dataFields count="10">
    <dataField name="Total Population reached" fld="9" baseField="2" baseItem="0" numFmtId="3"/>
    <dataField name=" HRP1" fld="99" baseField="4" baseItem="0"/>
    <dataField name=" HRP2" fld="107" baseField="0" baseItem="0"/>
    <dataField name=" HRP3" fld="119" baseField="0" baseItem="0"/>
    <dataField name=" HRP4" fld="131" baseField="4" baseItem="0"/>
    <dataField name=" HRP5" fld="132" baseField="4" baseItem="0"/>
    <dataField name=" # People received regular supply of hygiene items" fld="118" baseField="0" baseItem="0"/>
    <dataField name=" # people reached by regular dedicated hygiene promotion" fld="115" baseField="0" baseItem="0"/>
    <dataField name=" # People access to Handwashing Station" fld="128" baseField="0" baseItem="0"/>
    <dataField name=" # students access to functioning school latrines_HRP5" fld="109" baseField="0" baseItem="0"/>
  </dataFields>
  <formats count="53">
    <format dxfId="821">
      <pivotArea field="4" type="button" dataOnly="0" labelOnly="1" outline="0" axis="axisRow" fieldPosition="0"/>
    </format>
    <format dxfId="820">
      <pivotArea type="all" dataOnly="0" outline="0" fieldPosition="0"/>
    </format>
    <format dxfId="819">
      <pivotArea field="4" type="button" dataOnly="0" labelOnly="1" outline="0" axis="axisRow" fieldPosition="0"/>
    </format>
    <format dxfId="818">
      <pivotArea outline="0" fieldPosition="0">
        <references count="1">
          <reference field="4294967294" count="1">
            <x v="0"/>
          </reference>
        </references>
      </pivotArea>
    </format>
    <format dxfId="817">
      <pivotArea dataOnly="0" labelOnly="1" outline="0" fieldPosition="0">
        <references count="1">
          <reference field="4294967294" count="1">
            <x v="0"/>
          </reference>
        </references>
      </pivotArea>
    </format>
    <format dxfId="816">
      <pivotArea type="all" dataOnly="0" outline="0" fieldPosition="0"/>
    </format>
    <format dxfId="815">
      <pivotArea outline="0" collapsedLevelsAreSubtotals="1" fieldPosition="0"/>
    </format>
    <format dxfId="814">
      <pivotArea dataOnly="0" labelOnly="1" fieldPosition="0">
        <references count="1">
          <reference field="4" count="0"/>
        </references>
      </pivotArea>
    </format>
    <format dxfId="813">
      <pivotArea dataOnly="0" labelOnly="1" grandRow="1" outline="0" fieldPosition="0"/>
    </format>
    <format dxfId="812">
      <pivotArea dataOnly="0" labelOnly="1" outline="0" fieldPosition="0">
        <references count="1">
          <reference field="4294967294" count="1">
            <x v="0"/>
          </reference>
        </references>
      </pivotArea>
    </format>
    <format dxfId="811">
      <pivotArea type="all" dataOnly="0" outline="0" fieldPosition="0"/>
    </format>
    <format dxfId="810">
      <pivotArea outline="0" collapsedLevelsAreSubtotals="1" fieldPosition="0"/>
    </format>
    <format dxfId="809">
      <pivotArea dataOnly="0" labelOnly="1" fieldPosition="0">
        <references count="1">
          <reference field="4" count="0"/>
        </references>
      </pivotArea>
    </format>
    <format dxfId="808">
      <pivotArea dataOnly="0" labelOnly="1" grandRow="1" outline="0" fieldPosition="0"/>
    </format>
    <format dxfId="807">
      <pivotArea dataOnly="0" labelOnly="1" outline="0" fieldPosition="0">
        <references count="1">
          <reference field="4294967294" count="1">
            <x v="0"/>
          </reference>
        </references>
      </pivotArea>
    </format>
    <format dxfId="806">
      <pivotArea outline="0" collapsedLevelsAreSubtotals="1" fieldPosition="0"/>
    </format>
    <format dxfId="805">
      <pivotArea outline="0" collapsedLevelsAreSubtotals="1" fieldPosition="0">
        <references count="1">
          <reference field="4294967294" count="1" selected="0">
            <x v="1"/>
          </reference>
        </references>
      </pivotArea>
    </format>
    <format dxfId="804">
      <pivotArea dataOnly="0" labelOnly="1" outline="0" fieldPosition="0">
        <references count="1">
          <reference field="4294967294" count="1">
            <x v="1"/>
          </reference>
        </references>
      </pivotArea>
    </format>
    <format dxfId="803">
      <pivotArea outline="0" collapsedLevelsAreSubtotals="1" fieldPosition="0">
        <references count="1">
          <reference field="4294967294" count="1" selected="0">
            <x v="1"/>
          </reference>
        </references>
      </pivotArea>
    </format>
    <format dxfId="802">
      <pivotArea dataOnly="0" labelOnly="1" outline="0" fieldPosition="0">
        <references count="1">
          <reference field="4294967294" count="1">
            <x v="1"/>
          </reference>
        </references>
      </pivotArea>
    </format>
    <format dxfId="801">
      <pivotArea outline="0" collapsedLevelsAreSubtotals="1" fieldPosition="0">
        <references count="1">
          <reference field="4294967294" count="1" selected="0">
            <x v="2"/>
          </reference>
        </references>
      </pivotArea>
    </format>
    <format dxfId="800">
      <pivotArea dataOnly="0" labelOnly="1" outline="0" fieldPosition="0">
        <references count="1">
          <reference field="4294967294" count="1">
            <x v="2"/>
          </reference>
        </references>
      </pivotArea>
    </format>
    <format dxfId="799">
      <pivotArea outline="0" collapsedLevelsAreSubtotals="1" fieldPosition="0">
        <references count="1">
          <reference field="4294967294" count="1" selected="0">
            <x v="2"/>
          </reference>
        </references>
      </pivotArea>
    </format>
    <format dxfId="798">
      <pivotArea dataOnly="0" labelOnly="1" outline="0" fieldPosition="0">
        <references count="1">
          <reference field="4294967294" count="1">
            <x v="2"/>
          </reference>
        </references>
      </pivotArea>
    </format>
    <format dxfId="797">
      <pivotArea outline="0" collapsedLevelsAreSubtotals="1" fieldPosition="0">
        <references count="1">
          <reference field="4294967294" count="1" selected="0">
            <x v="3"/>
          </reference>
        </references>
      </pivotArea>
    </format>
    <format dxfId="796">
      <pivotArea dataOnly="0" labelOnly="1" outline="0" fieldPosition="0">
        <references count="1">
          <reference field="4294967294" count="1">
            <x v="3"/>
          </reference>
        </references>
      </pivotArea>
    </format>
    <format dxfId="795">
      <pivotArea outline="0" collapsedLevelsAreSubtotals="1" fieldPosition="0">
        <references count="1">
          <reference field="4294967294" count="1" selected="0">
            <x v="3"/>
          </reference>
        </references>
      </pivotArea>
    </format>
    <format dxfId="794">
      <pivotArea dataOnly="0" labelOnly="1" outline="0" fieldPosition="0">
        <references count="1">
          <reference field="4294967294" count="1">
            <x v="3"/>
          </reference>
        </references>
      </pivotArea>
    </format>
    <format dxfId="793">
      <pivotArea outline="0" collapsedLevelsAreSubtotals="1" fieldPosition="0">
        <references count="1">
          <reference field="4294967294" count="1" selected="0">
            <x v="0"/>
          </reference>
        </references>
      </pivotArea>
    </format>
    <format dxfId="792">
      <pivotArea dataOnly="0" labelOnly="1" outline="0" fieldPosition="0">
        <references count="1">
          <reference field="4294967294" count="1">
            <x v="0"/>
          </reference>
        </references>
      </pivotArea>
    </format>
    <format dxfId="791">
      <pivotArea outline="0" collapsedLevelsAreSubtotals="1" fieldPosition="0">
        <references count="1">
          <reference field="4294967294" count="1" selected="0">
            <x v="0"/>
          </reference>
        </references>
      </pivotArea>
    </format>
    <format dxfId="790">
      <pivotArea dataOnly="0" labelOnly="1" outline="0" fieldPosition="0">
        <references count="1">
          <reference field="4294967294" count="1">
            <x v="0"/>
          </reference>
        </references>
      </pivotArea>
    </format>
    <format dxfId="789">
      <pivotArea dataOnly="0" labelOnly="1" outline="0" fieldPosition="0">
        <references count="1">
          <reference field="4294967294" count="4">
            <x v="0"/>
            <x v="1"/>
            <x v="2"/>
            <x v="3"/>
          </reference>
        </references>
      </pivotArea>
    </format>
    <format dxfId="788">
      <pivotArea dataOnly="0" labelOnly="1" outline="0" fieldPosition="0">
        <references count="1">
          <reference field="4294967294" count="4">
            <x v="0"/>
            <x v="1"/>
            <x v="2"/>
            <x v="3"/>
          </reference>
        </references>
      </pivotArea>
    </format>
    <format dxfId="787">
      <pivotArea dataOnly="0" labelOnly="1" outline="0" fieldPosition="0">
        <references count="1">
          <reference field="4294967294" count="1">
            <x v="6"/>
          </reference>
        </references>
      </pivotArea>
    </format>
    <format dxfId="786">
      <pivotArea dataOnly="0" labelOnly="1" outline="0" fieldPosition="0">
        <references count="1">
          <reference field="4294967294" count="1">
            <x v="6"/>
          </reference>
        </references>
      </pivotArea>
    </format>
    <format dxfId="785">
      <pivotArea dataOnly="0" labelOnly="1" outline="0" fieldPosition="0">
        <references count="1">
          <reference field="4294967294" count="1">
            <x v="8"/>
          </reference>
        </references>
      </pivotArea>
    </format>
    <format dxfId="784">
      <pivotArea outline="0" collapsedLevelsAreSubtotals="1" fieldPosition="0">
        <references count="1">
          <reference field="4294967294" count="2" selected="0">
            <x v="6"/>
            <x v="8"/>
          </reference>
        </references>
      </pivotArea>
    </format>
    <format dxfId="783">
      <pivotArea dataOnly="0" labelOnly="1" outline="0" fieldPosition="0">
        <references count="1">
          <reference field="4294967294" count="1">
            <x v="7"/>
          </reference>
        </references>
      </pivotArea>
    </format>
    <format dxfId="782">
      <pivotArea collapsedLevelsAreSubtotals="1" fieldPosition="0">
        <references count="2">
          <reference field="4294967294" count="1" selected="0">
            <x v="7"/>
          </reference>
          <reference field="4" count="1">
            <x v="0"/>
          </reference>
        </references>
      </pivotArea>
    </format>
    <format dxfId="781">
      <pivotArea outline="0" collapsedLevelsAreSubtotals="1" fieldPosition="0">
        <references count="1">
          <reference field="4294967294" count="3" selected="0">
            <x v="6"/>
            <x v="7"/>
            <x v="8"/>
          </reference>
        </references>
      </pivotArea>
    </format>
    <format dxfId="780">
      <pivotArea dataOnly="0" labelOnly="1" outline="0" fieldPosition="0">
        <references count="1">
          <reference field="4294967294" count="3">
            <x v="6"/>
            <x v="7"/>
            <x v="8"/>
          </reference>
        </references>
      </pivotArea>
    </format>
    <format dxfId="779">
      <pivotArea outline="0" collapsedLevelsAreSubtotals="1" fieldPosition="0">
        <references count="1">
          <reference field="4294967294" count="3" selected="0">
            <x v="6"/>
            <x v="7"/>
            <x v="8"/>
          </reference>
        </references>
      </pivotArea>
    </format>
    <format dxfId="778">
      <pivotArea dataOnly="0" labelOnly="1" outline="0" fieldPosition="0">
        <references count="1">
          <reference field="4294967294" count="3">
            <x v="6"/>
            <x v="7"/>
            <x v="8"/>
          </reference>
        </references>
      </pivotArea>
    </format>
    <format dxfId="777">
      <pivotArea outline="0" collapsedLevelsAreSubtotals="1" fieldPosition="0">
        <references count="1">
          <reference field="4294967294" count="1" selected="0">
            <x v="4"/>
          </reference>
        </references>
      </pivotArea>
    </format>
    <format dxfId="776">
      <pivotArea dataOnly="0" labelOnly="1" outline="0" fieldPosition="0">
        <references count="1">
          <reference field="4294967294" count="1">
            <x v="4"/>
          </reference>
        </references>
      </pivotArea>
    </format>
    <format dxfId="775">
      <pivotArea outline="0" collapsedLevelsAreSubtotals="1" fieldPosition="0">
        <references count="1">
          <reference field="4294967294" count="1" selected="0">
            <x v="5"/>
          </reference>
        </references>
      </pivotArea>
    </format>
    <format dxfId="774">
      <pivotArea dataOnly="0" labelOnly="1" outline="0" fieldPosition="0">
        <references count="1">
          <reference field="4294967294" count="1">
            <x v="5"/>
          </reference>
        </references>
      </pivotArea>
    </format>
    <format dxfId="773">
      <pivotArea dataOnly="0" labelOnly="1" outline="0" fieldPosition="0">
        <references count="1">
          <reference field="4294967294" count="5">
            <x v="4"/>
            <x v="5"/>
            <x v="6"/>
            <x v="7"/>
            <x v="8"/>
          </reference>
        </references>
      </pivotArea>
    </format>
    <format dxfId="772">
      <pivotArea dataOnly="0" labelOnly="1" outline="0" fieldPosition="0">
        <references count="1">
          <reference field="4294967294" count="1">
            <x v="9"/>
          </reference>
        </references>
      </pivotArea>
    </format>
    <format dxfId="771">
      <pivotArea dataOnly="0" labelOnly="1" outline="0" fieldPosition="0">
        <references count="1">
          <reference field="4294967294" count="1">
            <x v="9"/>
          </reference>
        </references>
      </pivotArea>
    </format>
    <format dxfId="770">
      <pivotArea dataOnly="0" labelOnly="1" outline="0" fieldPosition="0">
        <references count="1">
          <reference field="4294967294" count="1">
            <x v="9"/>
          </reference>
        </references>
      </pivotArea>
    </format>
    <format dxfId="769">
      <pivotArea dataOnly="0" outline="0" fieldPosition="0">
        <references count="2">
          <reference field="4" count="0" defaultSubtotal="1"/>
          <reference field="142"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6"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2">
  <location ref="O120:Q122" firstHeaderRow="0" firstDataRow="1" firstDataCol="1" rowPageCount="4"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4">
        <item x="0"/>
        <item x="1"/>
        <item m="1" x="11"/>
        <item h="1" m="1" x="9"/>
        <item m="1" x="7"/>
        <item m="1" x="6"/>
        <item h="1" x="3"/>
        <item m="1" x="10"/>
        <item h="1" m="1" x="13"/>
        <item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item="0" hier="-1"/>
    <pageField fld="142" item="0" hier="-1"/>
    <pageField fld="6" hier="-1"/>
  </pageFields>
  <dataFields count="2">
    <dataField name="Accessed" fld="107" baseField="0" baseItem="0"/>
    <dataField name="Not-accessed" fld="154" baseField="0" baseItem="0" numFmtId="1"/>
  </dataFields>
  <formats count="15">
    <format dxfId="421">
      <pivotArea field="4" type="button" dataOnly="0" labelOnly="1" outline="0" axis="axisPage" fieldPosition="1"/>
    </format>
    <format dxfId="420">
      <pivotArea type="all" dataOnly="0" outline="0" fieldPosition="0"/>
    </format>
    <format dxfId="419">
      <pivotArea type="origin" dataOnly="0" labelOnly="1" outline="0" fieldPosition="0"/>
    </format>
    <format dxfId="418">
      <pivotArea type="topRight" dataOnly="0" labelOnly="1" outline="0" fieldPosition="0"/>
    </format>
    <format dxfId="417">
      <pivotArea field="-2" type="button" dataOnly="0" labelOnly="1" outline="0" axis="axisCol" fieldPosition="0"/>
    </format>
    <format dxfId="416">
      <pivotArea type="all" dataOnly="0" outline="0" fieldPosition="0"/>
    </format>
    <format dxfId="415">
      <pivotArea outline="0" collapsedLevelsAreSubtotals="1" fieldPosition="0"/>
    </format>
    <format dxfId="414">
      <pivotArea type="origin" dataOnly="0" labelOnly="1" outline="0" fieldPosition="0"/>
    </format>
    <format dxfId="413">
      <pivotArea type="topRight" dataOnly="0" labelOnly="1" outline="0" fieldPosition="0"/>
    </format>
    <format dxfId="412">
      <pivotArea field="-2" type="button" dataOnly="0" labelOnly="1" outline="0" axis="axisCol" fieldPosition="0"/>
    </format>
    <format dxfId="411">
      <pivotArea dataOnly="0" labelOnly="1" outline="0" fieldPosition="0">
        <references count="3">
          <reference field="0" count="1" selected="0">
            <x v="7"/>
          </reference>
          <reference field="4" count="1">
            <x v="0"/>
          </reference>
          <reference field="142" count="1" selected="0">
            <x v="0"/>
          </reference>
        </references>
      </pivotArea>
    </format>
    <format dxfId="410">
      <pivotArea type="all" dataOnly="0" outline="0" fieldPosition="0"/>
    </format>
    <format dxfId="409">
      <pivotArea outline="0" collapsedLevelsAreSubtotals="1" fieldPosition="0"/>
    </format>
    <format dxfId="408">
      <pivotArea dataOnly="0" labelOnly="1" fieldPosition="0">
        <references count="1">
          <reference field="138" count="2">
            <x v="339"/>
            <x v="340"/>
          </reference>
        </references>
      </pivotArea>
    </format>
    <format dxfId="407">
      <pivotArea outline="0" collapsedLevelsAreSubtotals="1" fieldPosition="0"/>
    </format>
  </formats>
  <chartFormats count="6">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rowHeaderCaption="State" colHeaderCaption=" ">
  <location ref="K266:M275"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hier="-1"/>
    <pageField fld="6" hier="-1"/>
  </pageFields>
  <dataFields count="2">
    <dataField name="  % Hygiene Coverage" fld="149" baseField="0" baseItem="0" numFmtId="1"/>
    <dataField name="  % Hygiene Gap" fld="148" baseField="0" baseItem="0" numFmtId="1"/>
  </dataFields>
  <formats count="11">
    <format dxfId="432">
      <pivotArea type="all" dataOnly="0" outline="0" fieldPosition="0"/>
    </format>
    <format dxfId="431">
      <pivotArea outline="0" collapsedLevelsAreSubtotals="1" fieldPosition="0"/>
    </format>
    <format dxfId="430">
      <pivotArea field="4" type="button" dataOnly="0" labelOnly="1" outline="0" axis="axisPage" fieldPosition="2"/>
    </format>
    <format dxfId="429">
      <pivotArea type="all" dataOnly="0" outline="0" fieldPosition="0"/>
    </format>
    <format dxfId="428">
      <pivotArea outline="0" collapsedLevelsAreSubtotals="1" fieldPosition="0"/>
    </format>
    <format dxfId="427">
      <pivotArea outline="0" collapsedLevelsAreSubtotals="1" fieldPosition="0"/>
    </format>
    <format dxfId="426">
      <pivotArea field="5" type="button" dataOnly="0" labelOnly="1" outline="0" axis="axisRow" fieldPosition="0"/>
    </format>
    <format dxfId="425">
      <pivotArea field="5" type="button" dataOnly="0" labelOnly="1" outline="0" axis="axisRow" fieldPosition="0"/>
    </format>
    <format dxfId="424">
      <pivotArea field="5" type="button" dataOnly="0" labelOnly="1" outline="0" axis="axisRow" fieldPosition="0"/>
    </format>
    <format dxfId="423">
      <pivotArea field="4" type="button" dataOnly="0" labelOnly="1" outline="0" axis="axisPage" fieldPosition="2"/>
    </format>
    <format dxfId="422">
      <pivotArea dataOnly="0" labelOnly="1" outline="0" fieldPosition="0">
        <references count="2">
          <reference field="4" count="0"/>
          <reference field="142"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G212:M214" firstHeaderRow="0" firstDataRow="1" firstDataCol="1" rowPageCount="3" colPageCount="1"/>
  <pivotFields count="155">
    <pivotField axis="axisPage" subtotalTop="0" multipleItemSelectionAllowed="1" showAll="0">
      <items count="25">
        <item h="1"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h="1" x="1"/>
        <item h="1" m="1" x="3"/>
        <item x="0"/>
        <item h="1"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3">
    <pageField fld="0" hier="-1"/>
    <pageField fld="142" item="0" hier="-1"/>
    <pageField fld="6" hier="-1"/>
  </pageFields>
  <dataFields count="6">
    <dataField name="Sum of Total PoP " fld="9" baseField="0" baseItem="0"/>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447">
      <pivotArea type="all" dataOnly="0" outline="0" fieldPosition="0"/>
    </format>
    <format dxfId="446">
      <pivotArea type="all" dataOnly="0" outline="0" fieldPosition="0"/>
    </format>
    <format dxfId="445">
      <pivotArea outline="0" collapsedLevelsAreSubtotals="1" fieldPosition="0"/>
    </format>
    <format dxfId="444">
      <pivotArea field="4" type="button" dataOnly="0" labelOnly="1" outline="0" axis="axisRow" fieldPosition="0"/>
    </format>
    <format dxfId="443">
      <pivotArea dataOnly="0" labelOnly="1" fieldPosition="0">
        <references count="1">
          <reference field="4" count="0"/>
        </references>
      </pivotArea>
    </format>
    <format dxfId="442">
      <pivotArea dataOnly="0" labelOnly="1" grandRow="1" outline="0" fieldPosition="0"/>
    </format>
    <format dxfId="441">
      <pivotArea dataOnly="0" labelOnly="1" outline="0" fieldPosition="0">
        <references count="1">
          <reference field="4294967294" count="2">
            <x v="1"/>
            <x v="3"/>
          </reference>
        </references>
      </pivotArea>
    </format>
    <format dxfId="440">
      <pivotArea outline="0" fieldPosition="0">
        <references count="1">
          <reference field="4294967294" count="1">
            <x v="1"/>
          </reference>
        </references>
      </pivotArea>
    </format>
    <format dxfId="439">
      <pivotArea outline="0" fieldPosition="0">
        <references count="1">
          <reference field="4294967294" count="1">
            <x v="3"/>
          </reference>
        </references>
      </pivotArea>
    </format>
    <format dxfId="438">
      <pivotArea type="all" dataOnly="0" outline="0" fieldPosition="0"/>
    </format>
    <format dxfId="437">
      <pivotArea outline="0" collapsedLevelsAreSubtotals="1" fieldPosition="0"/>
    </format>
    <format dxfId="436">
      <pivotArea field="4" type="button" dataOnly="0" labelOnly="1" outline="0" axis="axisRow" fieldPosition="0"/>
    </format>
    <format dxfId="435">
      <pivotArea dataOnly="0" labelOnly="1" fieldPosition="0">
        <references count="1">
          <reference field="4" count="0"/>
        </references>
      </pivotArea>
    </format>
    <format dxfId="434">
      <pivotArea dataOnly="0" labelOnly="1" grandRow="1" outline="0" fieldPosition="0"/>
    </format>
    <format dxfId="433">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370:I372" firstHeaderRow="0" firstDataRow="1" firstDataCol="1" rowPageCount="2"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multipleItemSelectionAllowed="1" showAll="0">
      <items count="7">
        <item x="1"/>
        <item m="1" x="3"/>
        <item x="0"/>
        <item h="1" m="1" x="2"/>
        <item m="1" x="5"/>
        <item m="1" x="4"/>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2">
    <pageField fld="0" hier="-1"/>
    <pageField fld="142"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7"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468">
      <pivotArea type="all" dataOnly="0" outline="0" fieldPosition="0"/>
    </format>
    <format dxfId="467">
      <pivotArea outline="0" collapsedLevelsAreSubtotals="1" fieldPosition="0"/>
    </format>
    <format dxfId="466">
      <pivotArea field="4" type="button" dataOnly="0" labelOnly="1" outline="0" axis="axisRow" fieldPosition="0"/>
    </format>
    <format dxfId="465">
      <pivotArea dataOnly="0" labelOnly="1" grandRow="1" outline="0" fieldPosition="0"/>
    </format>
    <format dxfId="464">
      <pivotArea type="all" dataOnly="0" outline="0" fieldPosition="0"/>
    </format>
    <format dxfId="463">
      <pivotArea outline="0" collapsedLevelsAreSubtotals="1" fieldPosition="0"/>
    </format>
    <format dxfId="462">
      <pivotArea type="origin" dataOnly="0" labelOnly="1" outline="0" fieldPosition="0"/>
    </format>
    <format dxfId="461">
      <pivotArea field="142" type="button" dataOnly="0" labelOnly="1" outline="0" axis="axisPage" fieldPosition="1"/>
    </format>
    <format dxfId="460">
      <pivotArea type="topRight" dataOnly="0" labelOnly="1" outline="0" fieldPosition="0"/>
    </format>
    <format dxfId="459">
      <pivotArea dataOnly="0" labelOnly="1" fieldPosition="0">
        <references count="1">
          <reference field="142" count="0"/>
        </references>
      </pivotArea>
    </format>
    <format dxfId="458">
      <pivotArea type="all" dataOnly="0" outline="0" fieldPosition="0"/>
    </format>
    <format dxfId="457">
      <pivotArea outline="0" collapsedLevelsAreSubtotals="1" fieldPosition="0"/>
    </format>
    <format dxfId="456">
      <pivotArea field="4" type="button" dataOnly="0" labelOnly="1" outline="0" axis="axisRow" fieldPosition="0"/>
    </format>
    <format dxfId="455">
      <pivotArea dataOnly="0" labelOnly="1" fieldPosition="0">
        <references count="1">
          <reference field="4" count="0"/>
        </references>
      </pivotArea>
    </format>
    <format dxfId="454">
      <pivotArea outline="0" collapsedLevelsAreSubtotals="1" fieldPosition="0"/>
    </format>
    <format dxfId="453">
      <pivotArea field="4" type="button" dataOnly="0" labelOnly="1" outline="0" axis="axisRow" fieldPosition="0"/>
    </format>
    <format dxfId="452">
      <pivotArea dataOnly="0" labelOnly="1" outline="0" fieldPosition="0">
        <references count="1">
          <reference field="4294967294" count="6">
            <x v="0"/>
            <x v="1"/>
            <x v="2"/>
            <x v="3"/>
            <x v="4"/>
            <x v="5"/>
          </reference>
        </references>
      </pivotArea>
    </format>
    <format dxfId="451">
      <pivotArea field="4" type="button" dataOnly="0" labelOnly="1" outline="0" axis="axisRow" fieldPosition="0"/>
    </format>
    <format dxfId="450">
      <pivotArea dataOnly="0" labelOnly="1" outline="0" fieldPosition="0">
        <references count="1">
          <reference field="4294967294" count="6">
            <x v="0"/>
            <x v="1"/>
            <x v="2"/>
            <x v="3"/>
            <x v="4"/>
            <x v="5"/>
          </reference>
        </references>
      </pivotArea>
    </format>
    <format dxfId="449">
      <pivotArea field="4" type="button" dataOnly="0" labelOnly="1" outline="0" axis="axisRow" fieldPosition="0"/>
    </format>
    <format dxfId="448">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0">
  <location ref="AI120:AK134" firstHeaderRow="0" firstDataRow="1" firstDataCol="1" rowPageCount="4"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x="0"/>
        <item h="1"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m="1" x="35"/>
        <item x="2"/>
        <item x="3"/>
        <item x="14"/>
        <item x="21"/>
        <item x="23"/>
        <item x="15"/>
        <item x="22"/>
        <item m="1" x="38"/>
        <item m="1" x="26"/>
        <item x="16"/>
        <item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 m="1" x="45"/>
        <item t="default"/>
      </items>
    </pivotField>
    <pivotField axis="axisPage" multipleItemSelectionAllowed="1" showAll="0" defaultSubtotal="0">
      <items count="14">
        <item x="0"/>
        <item x="1"/>
        <item m="1" x="11"/>
        <item h="1" m="1" x="9"/>
        <item m="1" x="7"/>
        <item m="1" x="6"/>
        <item h="1" x="3"/>
        <item m="1" x="10"/>
        <item h="1" m="1" x="13"/>
        <item m="1" x="8"/>
        <item h="1" m="1" x="12"/>
        <item h="1" m="1" x="4"/>
        <item h="1" m="1" x="5"/>
        <item h="1"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4">
    <i>
      <x v="1"/>
    </i>
    <i>
      <x v="4"/>
    </i>
    <i>
      <x v="5"/>
    </i>
    <i>
      <x v="8"/>
    </i>
    <i>
      <x v="16"/>
    </i>
    <i>
      <x v="20"/>
    </i>
    <i>
      <x v="21"/>
    </i>
    <i>
      <x v="23"/>
    </i>
    <i>
      <x v="27"/>
    </i>
    <i>
      <x v="36"/>
    </i>
    <i>
      <x v="39"/>
    </i>
    <i>
      <x v="41"/>
    </i>
    <i>
      <x v="42"/>
    </i>
    <i>
      <x v="43"/>
    </i>
  </rowItems>
  <colFields count="1">
    <field x="-2"/>
  </colFields>
  <colItems count="2">
    <i>
      <x/>
    </i>
    <i i="1">
      <x v="1"/>
    </i>
  </colItems>
  <pageFields count="4">
    <pageField fld="0" hier="-1"/>
    <pageField fld="4" item="0" hier="-1"/>
    <pageField fld="142" item="0" hier="-1"/>
    <pageField fld="6" hier="-1"/>
  </pageFields>
  <dataFields count="2">
    <dataField name="Reached" fld="105" baseField="0" baseItem="0"/>
    <dataField name="Target (20:1)" fld="111" baseField="0" baseItem="0"/>
  </dataFields>
  <formats count="14">
    <format dxfId="482">
      <pivotArea field="4" type="button" dataOnly="0" labelOnly="1" outline="0" axis="axisPage" fieldPosition="1"/>
    </format>
    <format dxfId="481">
      <pivotArea type="all" dataOnly="0" outline="0" fieldPosition="0"/>
    </format>
    <format dxfId="480">
      <pivotArea type="origin" dataOnly="0" labelOnly="1" outline="0" fieldPosition="0"/>
    </format>
    <format dxfId="479">
      <pivotArea type="topRight" dataOnly="0" labelOnly="1" outline="0" fieldPosition="0"/>
    </format>
    <format dxfId="478">
      <pivotArea field="-2" type="button" dataOnly="0" labelOnly="1" outline="0" axis="axisCol" fieldPosition="0"/>
    </format>
    <format dxfId="477">
      <pivotArea type="all" dataOnly="0" outline="0" fieldPosition="0"/>
    </format>
    <format dxfId="476">
      <pivotArea outline="0" collapsedLevelsAreSubtotals="1" fieldPosition="0"/>
    </format>
    <format dxfId="475">
      <pivotArea type="origin" dataOnly="0" labelOnly="1" outline="0" fieldPosition="0"/>
    </format>
    <format dxfId="474">
      <pivotArea type="topRight" dataOnly="0" labelOnly="1" outline="0" fieldPosition="0"/>
    </format>
    <format dxfId="473">
      <pivotArea field="-2" type="button" dataOnly="0" labelOnly="1" outline="0" axis="axisCol" fieldPosition="0"/>
    </format>
    <format dxfId="472">
      <pivotArea dataOnly="0" labelOnly="1" outline="0" fieldPosition="0">
        <references count="3">
          <reference field="0" count="1" selected="0">
            <x v="7"/>
          </reference>
          <reference field="4" count="1">
            <x v="0"/>
          </reference>
          <reference field="142" count="1" selected="0">
            <x v="0"/>
          </reference>
        </references>
      </pivotArea>
    </format>
    <format dxfId="471">
      <pivotArea type="all" dataOnly="0" outline="0" fieldPosition="0"/>
    </format>
    <format dxfId="470">
      <pivotArea outline="0" collapsedLevelsAreSubtotals="1" fieldPosition="0"/>
    </format>
    <format dxfId="469">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J120:K128" firstHeaderRow="1" firstDataRow="2" firstDataCol="1" rowPageCount="4" colPageCount="1"/>
  <pivotFields count="155">
    <pivotField axis="axisPage" subtotalTop="0" multipleItemSelectionAllowed="1" showAll="0">
      <items count="25">
        <item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x="1"/>
        <item h="1" m="1" x="3"/>
        <item x="0"/>
        <item m="1" x="2"/>
        <item h="1" m="1" x="5"/>
        <item h="1" m="1" x="4"/>
        <item t="default"/>
      </items>
    </pivotField>
    <pivotField subtotalTop="0" showAll="0"/>
    <pivotField axis="axisPage" multipleItemSelectionAllowed="1" showAll="0" defaultSubtotal="0">
      <items count="14">
        <item x="0"/>
        <item x="1"/>
        <item m="1" x="11"/>
        <item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m="1" x="2"/>
        <item h="1" m="1" x="288"/>
        <item h="1" m="1" x="105"/>
        <item h="1" m="1" x="4"/>
        <item h="1" m="1" x="94"/>
        <item h="1" m="1" x="177"/>
        <item h="1" m="1" x="186"/>
        <item h="1" m="1" x="12"/>
        <item h="1" m="1" x="62"/>
        <item h="1" m="1" x="170"/>
        <item h="1" m="1" x="90"/>
        <item h="1" m="1" x="138"/>
        <item h="1" m="1" x="111"/>
        <item h="1" m="1" x="98"/>
        <item h="1" m="1" x="30"/>
        <item h="1" m="1" x="93"/>
        <item h="1" m="1" x="101"/>
        <item h="1" m="1" x="64"/>
        <item h="1" m="1" x="132"/>
        <item h="1" m="1" x="19"/>
        <item h="1" m="1" x="323"/>
        <item h="1" m="1" x="84"/>
        <item h="1" m="1" x="295"/>
        <item h="1" m="1" x="89"/>
        <item h="1" m="1" x="315"/>
        <item h="1" m="1" x="172"/>
        <item h="1" m="1" x="189"/>
        <item h="1" m="1" x="119"/>
        <item h="1" m="1" x="206"/>
        <item h="1" m="1" x="147"/>
        <item h="1" m="1" x="191"/>
        <item h="1" m="1" x="183"/>
        <item h="1" m="1" x="187"/>
        <item h="1" m="1" x="67"/>
        <item h="1" m="1" x="160"/>
        <item h="1" m="1" x="168"/>
        <item h="1" m="1" x="150"/>
        <item h="1" m="1" x="314"/>
        <item h="1" m="1" x="298"/>
        <item h="1" m="1" x="165"/>
        <item h="1" m="1" x="325"/>
        <item h="1" m="1" x="7"/>
        <item h="1" m="1" x="289"/>
        <item h="1" m="1" x="249"/>
        <item h="1" m="1" x="277"/>
        <item h="1" m="1" x="212"/>
        <item h="1" m="1" x="287"/>
        <item h="1" m="1" x="331"/>
        <item h="1" m="1" x="335"/>
        <item h="1" m="1" x="292"/>
        <item h="1" m="1" x="159"/>
        <item h="1" m="1" x="338"/>
        <item h="1" m="1" x="316"/>
        <item h="1" m="1" x="169"/>
        <item h="1" m="1" x="285"/>
        <item h="1" m="1" x="251"/>
        <item h="1" m="1" x="91"/>
        <item h="1" m="1" x="304"/>
        <item h="1" m="1" x="265"/>
        <item h="1" m="1" x="85"/>
        <item h="1" m="1" x="133"/>
        <item h="1" m="1" x="286"/>
        <item h="1" m="1" x="239"/>
        <item h="1" m="1" x="122"/>
        <item h="1" m="1" x="300"/>
        <item h="1" m="1" x="53"/>
        <item h="1" m="1" x="204"/>
        <item h="1" m="1" x="97"/>
        <item h="1" m="1" x="214"/>
        <item h="1" m="1" x="334"/>
        <item h="1" m="1" x="59"/>
        <item h="1" m="1" x="201"/>
        <item h="1" m="1" x="243"/>
        <item h="1" m="1" x="256"/>
        <item h="1" m="1" x="296"/>
        <item h="1" m="1" x="142"/>
        <item h="1" m="1" x="332"/>
        <item h="1" m="1" x="270"/>
        <item h="1" m="1" x="240"/>
        <item h="1" m="1" x="302"/>
        <item h="1" m="1" x="139"/>
        <item h="1" m="1" x="115"/>
        <item h="1" m="1" x="155"/>
        <item h="1" m="1" x="209"/>
        <item h="1" m="1" x="263"/>
        <item h="1" m="1" x="321"/>
        <item h="1" m="1" x="328"/>
        <item h="1" m="1" x="195"/>
        <item h="1" m="1" x="118"/>
        <item h="1" m="1" x="44"/>
        <item h="1" m="1" x="255"/>
        <item h="1" m="1" x="128"/>
        <item h="1" m="1" x="42"/>
        <item h="1" m="1" x="34"/>
        <item h="1" m="1" x="153"/>
        <item h="1" m="1" x="70"/>
        <item h="1" m="1" x="162"/>
        <item h="1" m="1" x="129"/>
        <item h="1" m="1" x="320"/>
        <item h="1" m="1" x="29"/>
        <item h="1" m="1" x="26"/>
        <item h="1" m="1" x="233"/>
        <item h="1" m="1" x="228"/>
        <item h="1" m="1" x="294"/>
        <item h="1" m="1" x="11"/>
        <item h="1" m="1" x="291"/>
        <item h="1" m="1" x="146"/>
        <item h="1" m="1" x="336"/>
        <item h="1" m="1" x="241"/>
        <item h="1" m="1" x="166"/>
        <item h="1" m="1" x="116"/>
        <item h="1" m="1" x="267"/>
        <item h="1" m="1" x="278"/>
        <item h="1" m="1" x="10"/>
        <item h="1" m="1" x="175"/>
        <item h="1" m="1" x="123"/>
        <item h="1" m="1" x="215"/>
        <item h="1" m="1" x="319"/>
        <item h="1" m="1" x="182"/>
        <item h="1" m="1" x="253"/>
        <item h="1" m="1" x="333"/>
        <item h="1" m="1" x="152"/>
        <item h="1" m="1" x="271"/>
        <item h="1" m="1" x="77"/>
        <item h="1" m="1" x="311"/>
        <item h="1" m="1" x="310"/>
        <item h="1" m="1" x="24"/>
        <item h="1" m="1" x="73"/>
        <item h="1" m="1" x="143"/>
        <item h="1" m="1" x="279"/>
        <item h="1" m="1" x="17"/>
        <item h="1" m="1" x="134"/>
        <item h="1" m="1" x="20"/>
        <item h="1" m="1" x="163"/>
        <item h="1" m="1" x="231"/>
        <item h="1" m="1" x="227"/>
        <item h="1" m="1" x="33"/>
        <item h="1" m="1" x="157"/>
        <item h="1" m="1" x="40"/>
        <item h="1" m="1" x="107"/>
        <item h="1" m="1" x="36"/>
        <item h="1" m="1" x="96"/>
        <item h="1" m="1" x="13"/>
        <item h="1" m="1" x="65"/>
        <item h="1" m="1" x="69"/>
        <item h="1" m="1" x="83"/>
        <item h="1" m="1" x="102"/>
        <item h="1" m="1" x="114"/>
        <item h="1" m="1" x="303"/>
        <item h="1" m="1" x="317"/>
        <item h="1" m="1" x="237"/>
        <item h="1" m="1" x="210"/>
        <item h="1" m="1" x="313"/>
        <item h="1" m="1" x="61"/>
        <item h="1" m="1" x="50"/>
        <item h="1" m="1" x="318"/>
        <item h="1" m="1" x="337"/>
        <item h="1" m="1" x="68"/>
        <item h="1" m="1" x="109"/>
        <item h="1" m="1" x="247"/>
        <item h="1" m="1" x="269"/>
        <item h="1" m="1" x="167"/>
        <item h="1" m="1" x="235"/>
        <item h="1" m="1" x="25"/>
        <item h="1" m="1" x="225"/>
        <item h="1" m="1" x="275"/>
        <item h="1" m="1" x="276"/>
        <item h="1" m="1" x="184"/>
        <item h="1" m="1" x="71"/>
        <item h="1" m="1" x="112"/>
        <item h="1" m="1" x="220"/>
        <item h="1" m="1" x="216"/>
        <item h="1" m="1" x="188"/>
        <item h="1" m="1" x="164"/>
        <item h="1" m="1" x="46"/>
        <item h="1" m="1" x="234"/>
        <item h="1" m="1" x="198"/>
        <item h="1" m="1" x="72"/>
        <item h="1" m="1" x="140"/>
        <item h="1" m="1" x="213"/>
        <item h="1" m="1" x="266"/>
        <item h="1" m="1" x="82"/>
        <item h="1" m="1" x="32"/>
        <item h="1" m="1" x="339"/>
        <item h="1" m="1" x="87"/>
        <item h="1" m="1" x="6"/>
        <item h="1" m="1" x="131"/>
        <item h="1" m="1" x="254"/>
        <item h="1" m="1" x="205"/>
        <item h="1" m="1" x="299"/>
        <item h="1" m="1" x="81"/>
        <item h="1" m="1" x="264"/>
        <item h="1" m="1" x="324"/>
        <item h="1" m="1" x="92"/>
        <item h="1" m="1" x="35"/>
        <item h="1" m="1" x="199"/>
        <item h="1" m="1" x="340"/>
        <item h="1" m="1" x="75"/>
        <item h="1" m="1" x="104"/>
        <item h="1" m="1" x="309"/>
        <item h="1" m="1" x="100"/>
        <item h="1" m="1" x="250"/>
        <item h="1" m="1" x="305"/>
        <item h="1" m="1" x="290"/>
        <item h="1" m="1" x="108"/>
        <item h="1" m="1" x="238"/>
        <item h="1" m="1" x="18"/>
        <item h="1" m="1" x="86"/>
        <item h="1" m="1" x="43"/>
        <item h="1" m="1" x="222"/>
        <item h="1" m="1" x="154"/>
        <item h="1" m="1" x="136"/>
        <item h="1" m="1" x="197"/>
        <item h="1" m="1" x="203"/>
        <item h="1" m="1" x="148"/>
        <item h="1" m="1" x="45"/>
        <item h="1" m="1" x="145"/>
        <item h="1" m="1" x="76"/>
        <item h="1" m="1" x="207"/>
        <item h="1" m="1" x="282"/>
        <item h="1" m="1" x="202"/>
        <item h="1" m="1" x="8"/>
        <item h="1" m="1" x="217"/>
        <item h="1" m="1" x="178"/>
        <item h="1" m="1" x="192"/>
        <item h="1" m="1" x="248"/>
        <item h="1" m="1" x="171"/>
        <item h="1" m="1" x="80"/>
        <item h="1" m="1" x="161"/>
        <item h="1" m="1" x="268"/>
        <item h="1" m="1" x="307"/>
        <item h="1" m="1" x="121"/>
        <item h="1" m="1" x="23"/>
        <item h="1" m="1" x="21"/>
        <item h="1" m="1" x="173"/>
        <item h="1" m="1" x="51"/>
        <item h="1" m="1" x="88"/>
        <item h="1" m="1" x="226"/>
        <item h="1" m="1" x="259"/>
        <item h="1" m="1" x="301"/>
        <item h="1" m="1" x="48"/>
        <item h="1" m="1" x="57"/>
        <item h="1" m="1" x="110"/>
        <item h="1" m="1" x="293"/>
        <item h="1" m="1" x="185"/>
        <item h="1" m="1" x="37"/>
        <item h="1" m="1" x="144"/>
        <item h="1" m="1" x="236"/>
        <item h="1" m="1" x="218"/>
        <item h="1" m="1" x="327"/>
        <item h="1" m="1" x="245"/>
        <item h="1" m="1" x="99"/>
        <item h="1" m="1" x="58"/>
        <item h="1" m="1" x="194"/>
        <item h="1" m="1" x="200"/>
        <item h="1" m="1" x="223"/>
        <item h="1" m="1" x="5"/>
        <item h="1" m="1" x="52"/>
        <item h="1" m="1" x="31"/>
        <item h="1" m="1" x="158"/>
        <item h="1" m="1" x="78"/>
        <item h="1" m="1" x="179"/>
        <item h="1" m="1" x="262"/>
        <item h="1" m="1" x="297"/>
        <item h="1" m="1" x="41"/>
        <item h="1" m="1" x="14"/>
        <item h="1" m="1" x="3"/>
        <item h="1" m="1" x="130"/>
        <item h="1" m="1" x="280"/>
        <item h="1" m="1" x="257"/>
        <item h="1" m="1" x="273"/>
        <item h="1" m="1" x="181"/>
        <item h="1" m="1" x="39"/>
        <item h="1" m="1" x="312"/>
        <item h="1" m="1" x="244"/>
        <item h="1" m="1" x="54"/>
        <item h="1" m="1" x="196"/>
        <item h="1" m="1" x="252"/>
        <item h="1" m="1" x="66"/>
        <item h="1" m="1" x="27"/>
        <item h="1" m="1" x="28"/>
        <item h="1" m="1" x="141"/>
        <item h="1" m="1" x="322"/>
        <item h="1" m="1" x="56"/>
        <item h="1" m="1" x="156"/>
        <item h="1" m="1" x="330"/>
        <item h="1" m="1" x="149"/>
        <item h="1" m="1" x="79"/>
        <item h="1" m="1" x="106"/>
        <item h="1" m="1" x="219"/>
        <item h="1" m="1" x="22"/>
        <item h="1" m="1" x="103"/>
        <item h="1" m="1" x="326"/>
        <item h="1" m="1" x="113"/>
        <item h="1" m="1" x="281"/>
        <item h="1" m="1" x="260"/>
        <item h="1" m="1" x="284"/>
        <item h="1" m="1" x="127"/>
        <item h="1" m="1" x="151"/>
        <item h="1" m="1" x="126"/>
        <item h="1" m="1" x="124"/>
        <item h="1" m="1" x="55"/>
        <item h="1" m="1" x="242"/>
        <item h="1" m="1" x="258"/>
        <item h="1" m="1" x="246"/>
        <item h="1" m="1" x="283"/>
        <item h="1" m="1" x="229"/>
        <item h="1" m="1" x="174"/>
        <item h="1" m="1" x="224"/>
        <item h="1" m="1" x="137"/>
        <item h="1" m="1" x="9"/>
        <item h="1" m="1" x="15"/>
        <item h="1" m="1" x="60"/>
        <item h="1" m="1" x="261"/>
        <item h="1" m="1" x="232"/>
        <item h="1" m="1" x="63"/>
        <item h="1" m="1" x="306"/>
        <item h="1" m="1" x="308"/>
        <item h="1" m="1" x="190"/>
        <item h="1" m="1" x="272"/>
        <item h="1" m="1" x="49"/>
        <item h="1" m="1" x="329"/>
        <item h="1" m="1" x="117"/>
        <item h="1" m="1" x="274"/>
        <item h="1" m="1" x="208"/>
        <item h="1" m="1" x="230"/>
        <item h="1" m="1" x="74"/>
        <item h="1" m="1" x="176"/>
        <item h="1" m="1" x="120"/>
        <item h="1" m="1" x="193"/>
        <item h="1" m="1" x="95"/>
        <item h="1" m="1" x="180"/>
        <item h="1" m="1" x="47"/>
        <item h="1" m="1" x="16"/>
        <item h="1" m="1" x="135"/>
        <item h="1" m="1" x="125"/>
        <item h="1" m="1" x="211"/>
        <item h="1" m="1" x="221"/>
        <item h="1" m="1" x="38"/>
        <item n="# in GCA (20:1)" x="0"/>
        <item n="# in NGCA (20:1)" x="1"/>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1">
    <i>
      <x v="339"/>
    </i>
  </colItems>
  <pageFields count="4">
    <pageField fld="0" hier="-1"/>
    <pageField fld="4" hier="-1"/>
    <pageField fld="142"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0">
    <format dxfId="492">
      <pivotArea field="4" type="button" dataOnly="0" labelOnly="1" outline="0" axis="axisPage" fieldPosition="1"/>
    </format>
    <format dxfId="491">
      <pivotArea type="all" dataOnly="0" outline="0" fieldPosition="0"/>
    </format>
    <format dxfId="490">
      <pivotArea outline="0" collapsedLevelsAreSubtotals="1" fieldPosition="0"/>
    </format>
    <format dxfId="489">
      <pivotArea type="origin" dataOnly="0" labelOnly="1" outline="0" fieldPosition="0"/>
    </format>
    <format dxfId="488">
      <pivotArea type="topRight" dataOnly="0" labelOnly="1" outline="0" fieldPosition="0"/>
    </format>
    <format dxfId="487">
      <pivotArea field="-2" type="button" dataOnly="0" labelOnly="1" outline="0" axis="axisRow" fieldPosition="0"/>
    </format>
    <format dxfId="486">
      <pivotArea type="all" dataOnly="0" outline="0" fieldPosition="0"/>
    </format>
    <format dxfId="485">
      <pivotArea dataOnly="0" labelOnly="1" outline="0" fieldPosition="0">
        <references count="1">
          <reference field="4294967294" count="1">
            <x v="0"/>
          </reference>
        </references>
      </pivotArea>
    </format>
    <format dxfId="484">
      <pivotArea field="4" type="button" dataOnly="0" labelOnly="1" outline="0" axis="axisPage" fieldPosition="1"/>
    </format>
    <format dxfId="483">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7">
  <location ref="B38:D40" firstHeaderRow="0" firstDataRow="1" firstDataCol="1" rowPageCount="4" colPageCount="1"/>
  <pivotFields count="155">
    <pivotField axis="axisPage" subtotalTop="0" multipleItemSelectionAllowed="1" showAll="0">
      <items count="25">
        <item h="1"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x="1"/>
        <item h="1" m="1" x="3"/>
        <item h="1" x="0"/>
        <item h="1" m="1" x="2"/>
        <item h="1" m="1" x="5"/>
        <item h="1" m="1" x="4"/>
        <item t="default"/>
      </items>
    </pivotField>
    <pivotField subtotalTop="0" showAll="0"/>
    <pivotField axis="axisPage" multipleItemSelectionAllowed="1" showAll="0" defaultSubtotal="0">
      <items count="14">
        <item x="0"/>
        <item x="1"/>
        <item m="1" x="11"/>
        <item m="1" x="7"/>
        <item m="1" x="6"/>
        <item h="1" x="3"/>
        <item m="1" x="10"/>
        <item h="1" m="1" x="13"/>
        <item h="1" m="1" x="8"/>
        <item h="1" m="1" x="9"/>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0"/>
        <item n="NGCA (500:1)"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2">
    <i>
      <x v="339"/>
    </i>
    <i>
      <x v="340"/>
    </i>
  </rowItems>
  <colFields count="1">
    <field x="-2"/>
  </colFields>
  <colItems count="2">
    <i>
      <x/>
    </i>
    <i i="1">
      <x v="1"/>
    </i>
  </colItems>
  <pageFields count="4">
    <pageField fld="0" hier="-1"/>
    <pageField fld="4" hier="-1"/>
    <pageField fld="142" item="0" hier="-1"/>
    <pageField fld="6" hier="-1"/>
  </pageFields>
  <dataFields count="2">
    <dataField name="Coverage" fld="99" baseField="132" baseItem="340"/>
    <dataField name="Gap" fld="102" baseField="132" baseItem="340"/>
  </dataFields>
  <formats count="15">
    <format dxfId="507">
      <pivotArea type="all" dataOnly="0" outline="0" fieldPosition="0"/>
    </format>
    <format dxfId="506">
      <pivotArea outline="0" collapsedLevelsAreSubtotals="1" fieldPosition="0"/>
    </format>
    <format dxfId="505">
      <pivotArea field="138" type="button" dataOnly="0" labelOnly="1" outline="0" axis="axisRow" fieldPosition="0"/>
    </format>
    <format dxfId="504">
      <pivotArea dataOnly="0" labelOnly="1" fieldPosition="0">
        <references count="1">
          <reference field="138" count="0"/>
        </references>
      </pivotArea>
    </format>
    <format dxfId="503">
      <pivotArea type="all" dataOnly="0" outline="0" fieldPosition="0"/>
    </format>
    <format dxfId="502">
      <pivotArea field="138" type="button" dataOnly="0" labelOnly="1" outline="0" axis="axisRow" fieldPosition="0"/>
    </format>
    <format dxfId="501">
      <pivotArea dataOnly="0" labelOnly="1" fieldPosition="0">
        <references count="1">
          <reference field="138" count="0"/>
        </references>
      </pivotArea>
    </format>
    <format dxfId="500">
      <pivotArea field="138" type="button" dataOnly="0" labelOnly="1" outline="0" axis="axisRow" fieldPosition="0"/>
    </format>
    <format dxfId="499">
      <pivotArea type="all" dataOnly="0" outline="0" fieldPosition="0"/>
    </format>
    <format dxfId="498">
      <pivotArea outline="0" collapsedLevelsAreSubtotals="1" fieldPosition="0"/>
    </format>
    <format dxfId="497">
      <pivotArea field="138" type="button" dataOnly="0" labelOnly="1" outline="0" axis="axisRow" fieldPosition="0"/>
    </format>
    <format dxfId="496">
      <pivotArea dataOnly="0" labelOnly="1" fieldPosition="0">
        <references count="1">
          <reference field="138" count="2">
            <x v="339"/>
            <x v="340"/>
          </reference>
        </references>
      </pivotArea>
    </format>
    <format dxfId="495">
      <pivotArea field="4" type="button" dataOnly="0" labelOnly="1" outline="0" axis="axisPage" fieldPosition="1"/>
    </format>
    <format dxfId="494">
      <pivotArea dataOnly="0" labelOnly="1" outline="0" fieldPosition="0">
        <references count="2">
          <reference field="4" count="0"/>
          <reference field="142" count="1" selected="0">
            <x v="0"/>
          </reference>
        </references>
      </pivotArea>
    </format>
    <format dxfId="493">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120:E128" firstHeaderRow="1" firstDataRow="2" firstDataCol="1" rowPageCount="4"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4">
        <item x="0"/>
        <item x="1"/>
        <item m="1" x="11"/>
        <item h="1" m="1" x="9"/>
        <item m="1" x="7"/>
        <item m="1" x="6"/>
        <item h="1" x="3"/>
        <item m="1" x="10"/>
        <item h="1" m="1" x="13"/>
        <item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38"/>
  </colFields>
  <colItems count="2">
    <i>
      <x v="339"/>
    </i>
    <i>
      <x v="340"/>
    </i>
  </colItems>
  <pageFields count="4">
    <pageField fld="0" hier="-1"/>
    <pageField fld="4" item="0" hier="-1"/>
    <pageField fld="142" item="0"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6" baseField="0" baseItem="0"/>
    <dataField name="Sum of #_Non-functional latrines" fld="45" baseField="0" baseItem="0"/>
  </dataFields>
  <formats count="15">
    <format dxfId="522">
      <pivotArea field="4" type="button" dataOnly="0" labelOnly="1" outline="0" axis="axisPage" fieldPosition="1"/>
    </format>
    <format dxfId="521">
      <pivotArea type="all" dataOnly="0" outline="0" fieldPosition="0"/>
    </format>
    <format dxfId="520">
      <pivotArea type="origin" dataOnly="0" labelOnly="1" outline="0" fieldPosition="0"/>
    </format>
    <format dxfId="519">
      <pivotArea type="topRight" dataOnly="0" labelOnly="1" outline="0" fieldPosition="0"/>
    </format>
    <format dxfId="518">
      <pivotArea field="-2" type="button" dataOnly="0" labelOnly="1" outline="0" axis="axisRow" fieldPosition="0"/>
    </format>
    <format dxfId="517">
      <pivotArea type="all" dataOnly="0" outline="0" fieldPosition="0"/>
    </format>
    <format dxfId="516">
      <pivotArea outline="0" collapsedLevelsAreSubtotals="1" fieldPosition="0"/>
    </format>
    <format dxfId="515">
      <pivotArea type="origin" dataOnly="0" labelOnly="1" outline="0" fieldPosition="0"/>
    </format>
    <format dxfId="514">
      <pivotArea type="topRight" dataOnly="0" labelOnly="1" outline="0" fieldPosition="0"/>
    </format>
    <format dxfId="513">
      <pivotArea field="-2" type="button" dataOnly="0" labelOnly="1" outline="0" axis="axisRow" fieldPosition="0"/>
    </format>
    <format dxfId="512">
      <pivotArea dataOnly="0" labelOnly="1" outline="0" fieldPosition="0">
        <references count="3">
          <reference field="0" count="1" selected="0">
            <x v="7"/>
          </reference>
          <reference field="4" count="1">
            <x v="0"/>
          </reference>
          <reference field="142" count="1" selected="0">
            <x v="0"/>
          </reference>
        </references>
      </pivotArea>
    </format>
    <format dxfId="511">
      <pivotArea type="all" dataOnly="0" outline="0" fieldPosition="0"/>
    </format>
    <format dxfId="510">
      <pivotArea outline="0" collapsedLevelsAreSubtotals="1" fieldPosition="0"/>
    </format>
    <format dxfId="509">
      <pivotArea dataOnly="0" labelOnly="1" outline="0" fieldPosition="0">
        <references count="1">
          <reference field="4294967294" count="1">
            <x v="0"/>
          </reference>
        </references>
      </pivotArea>
    </format>
    <format dxfId="508">
      <pivotArea dataOnly="0" labelOnly="1" fieldPosition="0">
        <references count="1">
          <reference field="138" count="2">
            <x v="339"/>
            <x v="34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38:D243" firstHeaderRow="0" firstDataRow="1" firstDataCol="1" rowPageCount="3" colPageCount="1"/>
  <pivotFields count="155">
    <pivotField axis="axisPage" subtotalTop="0" multipleItemSelectionAllowed="1" showAll="0">
      <items count="25">
        <item h="1"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38"/>
  </rowFields>
  <rowItems count="5">
    <i>
      <x/>
    </i>
    <i r="1">
      <x v="339"/>
    </i>
    <i r="1">
      <x v="340"/>
    </i>
    <i t="default">
      <x/>
    </i>
    <i t="grand">
      <x/>
    </i>
  </rowItems>
  <colFields count="1">
    <field x="-2"/>
  </colFields>
  <colItems count="2">
    <i>
      <x/>
    </i>
    <i i="1">
      <x v="1"/>
    </i>
  </colItems>
  <pageFields count="3">
    <pageField fld="0" hier="-1"/>
    <pageField fld="142" item="0" hier="-1"/>
    <pageField fld="6" hier="-1"/>
  </pageFields>
  <dataFields count="2">
    <dataField name="Sum of Total HH" fld="8" baseField="2" baseItem="0" numFmtId="3"/>
    <dataField name="Sum of Total PoP " fld="9" baseField="0" baseItem="0"/>
  </dataFields>
  <formats count="14">
    <format dxfId="536">
      <pivotArea type="all" dataOnly="0" outline="0" fieldPosition="0"/>
    </format>
    <format dxfId="535">
      <pivotArea type="all" dataOnly="0" outline="0" fieldPosition="0"/>
    </format>
    <format dxfId="534">
      <pivotArea outline="0" collapsedLevelsAreSubtotals="1" fieldPosition="0"/>
    </format>
    <format dxfId="533">
      <pivotArea field="4" type="button" dataOnly="0" labelOnly="1" outline="0" axis="axisRow" fieldPosition="0"/>
    </format>
    <format dxfId="532">
      <pivotArea dataOnly="0" labelOnly="1" fieldPosition="0">
        <references count="1">
          <reference field="4" count="0"/>
        </references>
      </pivotArea>
    </format>
    <format dxfId="531">
      <pivotArea dataOnly="0" labelOnly="1" grandRow="1" outline="0" fieldPosition="0"/>
    </format>
    <format dxfId="530">
      <pivotArea dataOnly="0" labelOnly="1" outline="0" fieldPosition="0">
        <references count="1">
          <reference field="4294967294" count="1">
            <x v="0"/>
          </reference>
        </references>
      </pivotArea>
    </format>
    <format dxfId="529">
      <pivotArea outline="0" fieldPosition="0">
        <references count="1">
          <reference field="4294967294" count="1">
            <x v="0"/>
          </reference>
        </references>
      </pivotArea>
    </format>
    <format dxfId="528">
      <pivotArea type="all" dataOnly="0" outline="0" fieldPosition="0"/>
    </format>
    <format dxfId="527">
      <pivotArea outline="0" collapsedLevelsAreSubtotals="1" fieldPosition="0"/>
    </format>
    <format dxfId="526">
      <pivotArea field="4" type="button" dataOnly="0" labelOnly="1" outline="0" axis="axisRow" fieldPosition="0"/>
    </format>
    <format dxfId="525">
      <pivotArea dataOnly="0" labelOnly="1" fieldPosition="0">
        <references count="1">
          <reference field="4" count="0"/>
        </references>
      </pivotArea>
    </format>
    <format dxfId="524">
      <pivotArea dataOnly="0" labelOnly="1" grandRow="1" outline="0" fieldPosition="0"/>
    </format>
    <format dxfId="523">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4" rowHeaderCaption="State" colHeaderCaption=" ">
  <location ref="B101:D110"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axis="axisRow" subtotalTop="0" showAll="0">
      <items count="47">
        <item m="1" x="31"/>
        <item x="1"/>
        <item m="1" x="43"/>
        <item x="2"/>
        <item x="3"/>
        <item x="14"/>
        <item x="21"/>
        <item x="15"/>
        <item m="1" x="38"/>
        <item m="1" x="26"/>
        <item x="16"/>
        <item m="1" x="41"/>
        <item x="4"/>
        <item x="17"/>
        <item m="1" x="36"/>
        <item m="1" x="30"/>
        <item x="5"/>
        <item x="6"/>
        <item x="7"/>
        <item m="1" x="42"/>
        <item x="18"/>
        <item m="1" x="34"/>
        <item x="8"/>
        <item m="1" x="33"/>
        <item x="19"/>
        <item x="20"/>
        <item m="1" x="28"/>
        <item m="1" x="32"/>
        <item m="1" x="37"/>
        <item x="9"/>
        <item m="1" x="44"/>
        <item m="1" x="40"/>
        <item x="10"/>
        <item m="1" x="39"/>
        <item x="11"/>
        <item x="12"/>
        <item x="13"/>
        <item m="1" x="25"/>
        <item m="1" x="27"/>
        <item m="1" x="24"/>
        <item m="1" x="35"/>
        <item x="0"/>
        <item m="1" x="29"/>
        <item x="22"/>
        <item x="23"/>
        <item m="1" x="45"/>
        <item t="default"/>
      </items>
    </pivotField>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5"/>
    </i>
    <i>
      <x v="7"/>
    </i>
    <i>
      <x v="10"/>
    </i>
    <i>
      <x v="13"/>
    </i>
    <i>
      <x v="20"/>
    </i>
    <i>
      <x v="24"/>
    </i>
    <i>
      <x v="25"/>
    </i>
    <i>
      <x v="41"/>
    </i>
    <i>
      <x v="43"/>
    </i>
  </rowItems>
  <colFields count="1">
    <field x="-2"/>
  </colFields>
  <colItems count="2">
    <i>
      <x/>
    </i>
    <i i="1">
      <x v="1"/>
    </i>
  </colItems>
  <pageFields count="4">
    <pageField fld="0" hier="-1"/>
    <pageField fld="142" item="0" hier="-1"/>
    <pageField fld="4" hier="-1"/>
    <pageField fld="6" hier="-1"/>
  </pageFields>
  <dataFields count="2">
    <dataField name=" % Water Coverage" fld="150" baseField="0" baseItem="0"/>
    <dataField name=" % Water GAP" fld="151" baseField="0" baseItem="0"/>
  </dataFields>
  <formats count="13">
    <format dxfId="549">
      <pivotArea field="4" type="button" dataOnly="0" labelOnly="1" outline="0" axis="axisPage" fieldPosition="2"/>
    </format>
    <format dxfId="548">
      <pivotArea type="all" dataOnly="0" outline="0" fieldPosition="0"/>
    </format>
    <format dxfId="547">
      <pivotArea outline="0" collapsedLevelsAreSubtotals="1" fieldPosition="0"/>
    </format>
    <format dxfId="546">
      <pivotArea field="4" type="button" dataOnly="0" labelOnly="1" outline="0" axis="axisPage" fieldPosition="2"/>
    </format>
    <format dxfId="545">
      <pivotArea type="all" dataOnly="0" outline="0" fieldPosition="0"/>
    </format>
    <format dxfId="544">
      <pivotArea outline="0" collapsedLevelsAreSubtotals="1" fieldPosition="0"/>
    </format>
    <format dxfId="543">
      <pivotArea outline="0" collapsedLevelsAreSubtotals="1" fieldPosition="0"/>
    </format>
    <format dxfId="542">
      <pivotArea field="5" type="button" dataOnly="0" labelOnly="1" outline="0" axis="axisRow" fieldPosition="0"/>
    </format>
    <format dxfId="541">
      <pivotArea field="5" type="button" dataOnly="0" labelOnly="1" outline="0" axis="axisRow" fieldPosition="0"/>
    </format>
    <format dxfId="540">
      <pivotArea field="5" type="button" dataOnly="0" labelOnly="1" outline="0" axis="axisRow" fieldPosition="0"/>
    </format>
    <format dxfId="539">
      <pivotArea field="4" type="button" dataOnly="0" labelOnly="1" outline="0" axis="axisPage" fieldPosition="2"/>
    </format>
    <format dxfId="538">
      <pivotArea dataOnly="0" labelOnly="1" outline="0" fieldPosition="0">
        <references count="2">
          <reference field="4" count="1">
            <x v="2"/>
          </reference>
          <reference field="142" count="1" selected="0">
            <x v="0"/>
          </reference>
        </references>
      </pivotArea>
    </format>
    <format dxfId="537">
      <pivotArea dataOnly="0" labelOnly="1" outline="0" fieldPosition="0">
        <references count="2">
          <reference field="4" count="0"/>
          <reference field="142"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6" applyNumberFormats="0" applyBorderFormats="0" applyFontFormats="0" applyPatternFormats="0" applyAlignmentFormats="0" applyWidthHeightFormats="1" dataCaption="Values" updatedVersion="6" minRefreshableVersion="3" rowGrandTotals="0" colGrandTotals="0" itemPrintTitles="1" createdVersion="6" indent="0" showHeaders="0" compact="0" compactData="0" multipleFieldFilters="0">
  <location ref="A5:O138"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3"/>
        <item x="0"/>
        <item m="1" x="2"/>
        <item m="1" x="5"/>
        <item m="1" x="4"/>
      </items>
    </pivotField>
    <pivotField compact="0" outline="0" subtotalTop="0" showAll="0" defaultSubtotal="0"/>
    <pivotField axis="axisPage" compact="0" outline="0" multipleItemSelectionAllowed="1" showAll="0" defaultSubtotal="0">
      <items count="14">
        <item x="0"/>
        <item x="1"/>
        <item m="1" x="11"/>
        <item h="1" x="3"/>
        <item h="1" m="1" x="13"/>
        <item h="1" m="1" x="7"/>
        <item h="1" m="1" x="10"/>
        <item h="1" m="1" x="6"/>
        <item m="1" x="8"/>
        <item m="1" x="9"/>
        <item h="1" m="1" x="12"/>
        <item h="1" m="1" x="4"/>
        <item h="1" m="1" x="5"/>
        <item x="2"/>
      </items>
    </pivotField>
    <pivotField axis="axisRow" compact="0" outline="0" subtotalTop="0" showAll="0" defaultSubtotal="0">
      <items count="1068">
        <item m="1" x="910"/>
        <item m="1" x="1051"/>
        <item m="1" x="495"/>
        <item m="1" x="740"/>
        <item m="1" x="312"/>
        <item m="1" x="506"/>
        <item m="1" x="621"/>
        <item x="119"/>
        <item x="179"/>
        <item x="180"/>
        <item x="154"/>
        <item x="155"/>
        <item x="95"/>
        <item m="1" x="479"/>
        <item m="1" x="363"/>
        <item m="1" x="609"/>
        <item m="1" x="278"/>
        <item m="1" x="736"/>
        <item m="1" x="319"/>
        <item m="1" x="583"/>
        <item m="1" x="701"/>
        <item m="1" x="716"/>
        <item m="1" x="899"/>
        <item m="1" x="846"/>
        <item m="1" x="491"/>
        <item m="1" x="773"/>
        <item m="1" x="321"/>
        <item m="1" x="975"/>
        <item m="1" x="879"/>
        <item m="1" x="333"/>
        <item m="1" x="763"/>
        <item m="1" x="545"/>
        <item m="1" x="917"/>
        <item m="1" x="858"/>
        <item m="1" x="940"/>
        <item m="1" x="887"/>
        <item m="1" x="827"/>
        <item m="1" x="714"/>
        <item m="1" x="430"/>
        <item m="1" x="962"/>
        <item m="1" x="401"/>
        <item m="1" x="838"/>
        <item m="1" x="467"/>
        <item m="1" x="977"/>
        <item m="1" x="436"/>
        <item m="1" x="453"/>
        <item m="1" x="826"/>
        <item m="1" x="435"/>
        <item m="1" x="808"/>
        <item m="1" x="560"/>
        <item m="1" x="1002"/>
        <item m="1" x="320"/>
        <item m="1" x="739"/>
        <item m="1" x="451"/>
        <item m="1" x="1052"/>
        <item m="1" x="359"/>
        <item m="1" x="878"/>
        <item m="1" x="1050"/>
        <item m="1" x="231"/>
        <item m="1" x="787"/>
        <item m="1" x="607"/>
        <item m="1" x="678"/>
        <item m="1" x="679"/>
        <item m="1" x="673"/>
        <item m="1" x="249"/>
        <item x="70"/>
        <item m="1" x="1013"/>
        <item m="1" x="1053"/>
        <item m="1" x="774"/>
        <item m="1" x="503"/>
        <item m="1" x="1046"/>
        <item m="1" x="690"/>
        <item m="1" x="1061"/>
        <item m="1" x="524"/>
        <item m="1" x="1024"/>
        <item m="1" x="388"/>
        <item m="1" x="252"/>
        <item m="1" x="242"/>
        <item m="1" x="711"/>
        <item m="1" x="968"/>
        <item m="1" x="421"/>
        <item x="156"/>
        <item m="1" x="343"/>
        <item m="1" x="437"/>
        <item m="1" x="915"/>
        <item m="1" x="868"/>
        <item m="1" x="708"/>
        <item m="1" x="932"/>
        <item m="1" x="267"/>
        <item m="1" x="374"/>
        <item m="1" x="596"/>
        <item m="1" x="229"/>
        <item m="1" x="831"/>
        <item m="1" x="658"/>
        <item m="1" x="981"/>
        <item m="1" x="832"/>
        <item m="1" x="924"/>
        <item m="1" x="592"/>
        <item m="1" x="638"/>
        <item m="1" x="746"/>
        <item m="1" x="567"/>
        <item m="1" x="549"/>
        <item m="1" x="476"/>
        <item m="1" x="431"/>
        <item x="63"/>
        <item m="1" x="1047"/>
        <item m="1" x="1003"/>
        <item m="1" x="771"/>
        <item m="1" x="517"/>
        <item m="1" x="828"/>
        <item x="192"/>
        <item m="1" x="649"/>
        <item m="1" x="969"/>
        <item m="1" x="462"/>
        <item m="1" x="371"/>
        <item m="1" x="761"/>
        <item m="1" x="734"/>
        <item m="1" x="792"/>
        <item m="1" x="240"/>
        <item m="1" x="263"/>
        <item x="157"/>
        <item m="1" x="942"/>
        <item m="1" x="472"/>
        <item m="1" x="386"/>
        <item m="1" x="468"/>
        <item x="152"/>
        <item m="1" x="659"/>
        <item m="1" x="635"/>
        <item m="1" x="423"/>
        <item m="1" x="235"/>
        <item m="1" x="783"/>
        <item m="1" x="821"/>
        <item m="1" x="221"/>
        <item m="1" x="767"/>
        <item m="1" x="1006"/>
        <item m="1" x="682"/>
        <item m="1" x="268"/>
        <item m="1" x="893"/>
        <item m="1" x="293"/>
        <item m="1" x="405"/>
        <item m="1" x="262"/>
        <item m="1" x="935"/>
        <item x="158"/>
        <item m="1" x="867"/>
        <item m="1" x="598"/>
        <item m="1" x="492"/>
        <item m="1" x="793"/>
        <item m="1" x="470"/>
        <item m="1" x="925"/>
        <item m="1" x="973"/>
        <item m="1" x="885"/>
        <item m="1" x="655"/>
        <item m="1" x="420"/>
        <item x="18"/>
        <item m="1" x="840"/>
        <item x="54"/>
        <item m="1" x="661"/>
        <item x="132"/>
        <item x="91"/>
        <item m="1" x="990"/>
        <item m="1" x="361"/>
        <item x="77"/>
        <item m="1" x="1011"/>
        <item m="1" x="338"/>
        <item m="1" x="731"/>
        <item m="1" x="606"/>
        <item m="1" x="948"/>
        <item m="1" x="636"/>
        <item m="1" x="895"/>
        <item m="1" x="270"/>
        <item m="1" x="796"/>
        <item m="1" x="724"/>
        <item m="1" x="988"/>
        <item m="1" x="929"/>
        <item m="1" x="834"/>
        <item m="1" x="709"/>
        <item m="1" x="569"/>
        <item m="1" x="788"/>
        <item m="1" x="640"/>
        <item m="1" x="805"/>
        <item m="1" x="889"/>
        <item m="1" x="211"/>
        <item m="1" x="303"/>
        <item m="1" x="674"/>
        <item m="1" x="238"/>
        <item x="140"/>
        <item x="191"/>
        <item x="172"/>
        <item x="38"/>
        <item m="1" x="329"/>
        <item m="1" x="228"/>
        <item m="1" x="631"/>
        <item x="4"/>
        <item m="1" x="232"/>
        <item m="1" x="534"/>
        <item m="1" x="601"/>
        <item m="1" x="811"/>
        <item m="1" x="493"/>
        <item m="1" x="256"/>
        <item m="1" x="758"/>
        <item m="1" x="949"/>
        <item x="101"/>
        <item m="1" x="754"/>
        <item x="159"/>
        <item m="1" x="332"/>
        <item m="1" x="494"/>
        <item m="1" x="759"/>
        <item m="1" x="984"/>
        <item x="3"/>
        <item m="1" x="251"/>
        <item m="1" x="971"/>
        <item m="1" x="820"/>
        <item x="96"/>
        <item m="1" x="358"/>
        <item m="1" x="697"/>
        <item m="1" x="670"/>
        <item m="1" x="442"/>
        <item x="182"/>
        <item x="71"/>
        <item x="79"/>
        <item x="111"/>
        <item m="1" x="769"/>
        <item m="1" x="809"/>
        <item m="1" x="461"/>
        <item m="1" x="291"/>
        <item m="1" x="385"/>
        <item m="1" x="778"/>
        <item m="1" x="738"/>
        <item m="1" x="403"/>
        <item x="19"/>
        <item x="55"/>
        <item x="20"/>
        <item x="15"/>
        <item m="1" x="695"/>
        <item x="56"/>
        <item m="1" x="1020"/>
        <item m="1" x="1063"/>
        <item m="1" x="578"/>
        <item m="1" x="930"/>
        <item m="1" x="958"/>
        <item m="1" x="438"/>
        <item m="1" x="555"/>
        <item m="1" x="526"/>
        <item x="97"/>
        <item m="1" x="456"/>
        <item m="1" x="703"/>
        <item m="1" x="664"/>
        <item m="1" x="540"/>
        <item m="1" x="656"/>
        <item m="1" x="870"/>
        <item m="1" x="416"/>
        <item m="1" x="812"/>
        <item m="1" x="364"/>
        <item m="1" x="410"/>
        <item m="1" x="748"/>
        <item m="1" x="412"/>
        <item m="1" x="483"/>
        <item m="1" x="642"/>
        <item m="1" x="800"/>
        <item m="1" x="980"/>
        <item m="1" x="541"/>
        <item m="1" x="755"/>
        <item m="1" x="286"/>
        <item m="1" x="901"/>
        <item m="1" x="665"/>
        <item m="1" x="933"/>
        <item m="1" x="348"/>
        <item x="48"/>
        <item m="1" x="290"/>
        <item m="1" x="672"/>
        <item m="1" x="452"/>
        <item m="1" x="511"/>
        <item m="1" x="600"/>
        <item m="1" x="1037"/>
        <item m="1" x="282"/>
        <item m="1" x="618"/>
        <item m="1" x="444"/>
        <item m="1" x="572"/>
        <item x="98"/>
        <item m="1" x="516"/>
        <item m="1" x="1055"/>
        <item m="1" x="365"/>
        <item m="1" x="574"/>
        <item m="1" x="757"/>
        <item m="1" x="693"/>
        <item m="1" x="387"/>
        <item m="1" x="478"/>
        <item m="1" x="794"/>
        <item m="1" x="764"/>
        <item m="1" x="519"/>
        <item m="1" x="810"/>
        <item m="1" x="514"/>
        <item m="1" x="305"/>
        <item m="1" x="389"/>
        <item m="1" x="318"/>
        <item m="1" x="770"/>
        <item m="1" x="1008"/>
        <item m="1" x="429"/>
        <item m="1" x="573"/>
        <item m="1" x="751"/>
        <item m="1" x="326"/>
        <item x="80"/>
        <item x="81"/>
        <item m="1" x="1027"/>
        <item m="1" x="613"/>
        <item m="1" x="310"/>
        <item m="1" x="530"/>
        <item m="1" x="1021"/>
        <item m="1" x="380"/>
        <item m="1" x="352"/>
        <item m="1" x="784"/>
        <item m="1" x="848"/>
        <item m="1" x="347"/>
        <item m="1" x="837"/>
        <item m="1" x="271"/>
        <item m="1" x="345"/>
        <item m="1" x="916"/>
        <item m="1" x="395"/>
        <item m="1" x="648"/>
        <item m="1" x="963"/>
        <item m="1" x="1041"/>
        <item m="1" x="1057"/>
        <item m="1" x="328"/>
        <item m="1" x="287"/>
        <item m="1" x="433"/>
        <item m="1" x="926"/>
        <item m="1" x="707"/>
        <item m="1" x="381"/>
        <item m="1" x="797"/>
        <item m="1" x="1001"/>
        <item m="1" x="662"/>
        <item m="1" x="382"/>
        <item m="1" x="415"/>
        <item m="1" x="487"/>
        <item m="1" x="266"/>
        <item m="1" x="863"/>
        <item m="1" x="336"/>
        <item m="1" x="819"/>
        <item m="1" x="284"/>
        <item m="1" x="941"/>
        <item m="1" x="979"/>
        <item m="1" x="331"/>
        <item m="1" x="599"/>
        <item m="1" x="944"/>
        <item m="1" x="402"/>
        <item m="1" x="982"/>
        <item m="1" x="276"/>
        <item x="106"/>
        <item m="1" x="559"/>
        <item m="1" x="625"/>
        <item m="1" x="719"/>
        <item m="1" x="224"/>
        <item m="1" x="1039"/>
        <item x="8"/>
        <item m="1" x="928"/>
        <item m="1" x="651"/>
        <item m="1" x="464"/>
        <item m="1" x="978"/>
        <item m="1" x="408"/>
        <item m="1" x="356"/>
        <item x="16"/>
        <item m="1" x="934"/>
        <item m="1" x="258"/>
        <item m="1" x="488"/>
        <item m="1" x="590"/>
        <item m="1" x="311"/>
        <item x="195"/>
        <item m="1" x="289"/>
        <item m="1" x="698"/>
        <item m="1" x="300"/>
        <item m="1" x="912"/>
        <item x="124"/>
        <item m="1" x="829"/>
        <item x="160"/>
        <item m="1" x="272"/>
        <item x="21"/>
        <item x="22"/>
        <item m="1" x="379"/>
        <item m="1" x="1065"/>
        <item m="1" x="591"/>
        <item m="1" x="269"/>
        <item m="1" x="212"/>
        <item m="1" x="886"/>
        <item m="1" x="536"/>
        <item m="1" x="264"/>
        <item m="1" x="741"/>
        <item m="1" x="498"/>
        <item m="1" x="324"/>
        <item x="153"/>
        <item x="196"/>
        <item m="1" x="849"/>
        <item m="1" x="525"/>
        <item m="1" x="637"/>
        <item x="161"/>
        <item x="162"/>
        <item x="72"/>
        <item x="107"/>
        <item x="183"/>
        <item x="184"/>
        <item x="185"/>
        <item x="49"/>
        <item m="1" x="339"/>
        <item m="1" x="280"/>
        <item m="1" x="325"/>
        <item x="32"/>
        <item m="1" x="972"/>
        <item x="135"/>
        <item m="1" x="896"/>
        <item x="9"/>
        <item m="1" x="890"/>
        <item m="1" x="375"/>
        <item m="1" x="547"/>
        <item x="39"/>
        <item x="40"/>
        <item x="82"/>
        <item m="1" x="425"/>
        <item x="173"/>
        <item x="64"/>
        <item x="41"/>
        <item x="42"/>
        <item x="7"/>
        <item x="130"/>
        <item m="1" x="918"/>
        <item x="23"/>
        <item x="99"/>
        <item x="186"/>
        <item x="24"/>
        <item x="128"/>
        <item m="1" x="400"/>
        <item x="83"/>
        <item m="1" x="1025"/>
        <item m="1" x="566"/>
        <item x="66"/>
        <item x="67"/>
        <item x="68"/>
        <item x="69"/>
        <item m="1" x="713"/>
        <item m="1" x="213"/>
        <item m="1" x="367"/>
        <item x="94"/>
        <item x="117"/>
        <item m="1" x="223"/>
        <item m="1" x="316"/>
        <item x="93"/>
        <item m="1" x="623"/>
        <item m="1" x="277"/>
        <item m="1" x="989"/>
        <item m="1" x="943"/>
        <item m="1" x="413"/>
        <item m="1" x="501"/>
        <item m="1" x="330"/>
        <item x="167"/>
        <item x="168"/>
        <item m="1" x="254"/>
        <item m="1" x="315"/>
        <item m="1" x="914"/>
        <item x="125"/>
        <item m="1" x="428"/>
        <item m="1" x="515"/>
        <item m="1" x="247"/>
        <item m="1" x="466"/>
        <item m="1" x="327"/>
        <item m="1" x="337"/>
        <item m="1" x="485"/>
        <item m="1" x="346"/>
        <item m="1" x="350"/>
        <item m="1" x="520"/>
        <item m="1" x="1029"/>
        <item m="1" x="404"/>
        <item m="1" x="705"/>
        <item m="1" x="956"/>
        <item m="1" x="1014"/>
        <item m="1" x="353"/>
        <item m="1" x="760"/>
        <item x="84"/>
        <item m="1" x="874"/>
        <item m="1" x="273"/>
        <item m="1" x="729"/>
        <item m="1" x="571"/>
        <item x="100"/>
        <item x="2"/>
        <item m="1" x="593"/>
        <item m="1" x="772"/>
        <item m="1" x="722"/>
        <item m="1" x="976"/>
        <item x="85"/>
        <item m="1" x="806"/>
        <item m="1" x="383"/>
        <item m="1" x="594"/>
        <item m="1" x="669"/>
        <item m="1" x="285"/>
        <item m="1" x="866"/>
        <item m="1" x="556"/>
        <item x="5"/>
        <item m="1" x="745"/>
        <item m="1" x="335"/>
        <item m="1" x="946"/>
        <item m="1" x="484"/>
        <item m="1" x="1056"/>
        <item m="1" x="671"/>
        <item m="1" x="994"/>
        <item m="1" x="504"/>
        <item m="1" x="951"/>
        <item m="1" x="847"/>
        <item m="1" x="955"/>
        <item m="1" x="397"/>
        <item m="1" x="775"/>
        <item m="1" x="533"/>
        <item m="1" x="510"/>
        <item m="1" x="561"/>
        <item m="1" x="584"/>
        <item x="115"/>
        <item x="103"/>
        <item x="104"/>
        <item x="116"/>
        <item m="1" x="692"/>
        <item x="86"/>
        <item m="1" x="406"/>
        <item x="87"/>
        <item x="163"/>
        <item m="1" x="512"/>
        <item x="74"/>
        <item x="108"/>
        <item m="1" x="1018"/>
        <item x="10"/>
        <item m="1" x="419"/>
        <item x="11"/>
        <item m="1" x="861"/>
        <item x="57"/>
        <item m="1" x="822"/>
        <item m="1" x="986"/>
        <item x="50"/>
        <item m="1" x="295"/>
        <item m="1" x="544"/>
        <item m="1" x="873"/>
        <item x="12"/>
        <item m="1" x="398"/>
        <item m="1" x="913"/>
        <item m="1" x="950"/>
        <item m="1" x="961"/>
        <item m="1" x="220"/>
        <item m="1" x="306"/>
        <item x="174"/>
        <item x="14"/>
        <item m="1" x="660"/>
        <item m="1" x="215"/>
        <item m="1" x="554"/>
        <item x="35"/>
        <item m="1" x="1059"/>
        <item x="88"/>
        <item m="1" x="463"/>
        <item m="1" x="702"/>
        <item m="1" x="576"/>
        <item m="1" x="795"/>
        <item m="1" x="850"/>
        <item m="1" x="687"/>
        <item m="1" x="605"/>
        <item m="1" x="535"/>
        <item m="1" x="354"/>
        <item m="1" x="564"/>
        <item m="1" x="616"/>
        <item m="1" x="939"/>
        <item m="1" x="384"/>
        <item m="1" x="652"/>
        <item m="1" x="219"/>
        <item m="1" x="507"/>
        <item m="1" x="992"/>
        <item m="1" x="376"/>
        <item m="1" x="432"/>
        <item m="1" x="872"/>
        <item m="1" x="502"/>
        <item m="1" x="629"/>
        <item m="1" x="362"/>
        <item m="1" x="422"/>
        <item m="1" x="750"/>
        <item m="1" x="966"/>
        <item m="1" x="835"/>
        <item x="193"/>
        <item m="1" x="355"/>
        <item m="1" x="304"/>
        <item x="25"/>
        <item m="1" x="372"/>
        <item m="1" x="604"/>
        <item m="1" x="1022"/>
        <item m="1" x="585"/>
        <item m="1" x="877"/>
        <item x="188"/>
        <item m="1" x="542"/>
        <item m="1" x="292"/>
        <item m="1" x="445"/>
        <item m="1" x="1044"/>
        <item m="1" x="632"/>
        <item m="1" x="518"/>
        <item m="1" x="288"/>
        <item m="1" x="881"/>
        <item m="1" x="543"/>
        <item m="1" x="747"/>
        <item m="1" x="391"/>
        <item m="1" x="473"/>
        <item m="1" x="987"/>
        <item m="1" x="647"/>
        <item m="1" x="909"/>
        <item m="1" x="974"/>
        <item m="1" x="390"/>
        <item m="1" x="782"/>
        <item m="1" x="457"/>
        <item m="1" x="1043"/>
        <item x="58"/>
        <item x="59"/>
        <item x="194"/>
        <item m="1" x="824"/>
        <item m="1" x="529"/>
        <item m="1" x="657"/>
        <item x="43"/>
        <item m="1" x="785"/>
        <item m="1" x="399"/>
        <item m="1" x="580"/>
        <item x="60"/>
        <item x="89"/>
        <item m="1" x="922"/>
        <item x="109"/>
        <item m="1" x="508"/>
        <item m="1" x="205"/>
        <item x="33"/>
        <item m="1" x="643"/>
        <item m="1" x="1023"/>
        <item m="1" x="817"/>
        <item m="1" x="891"/>
        <item m="1" x="720"/>
        <item m="1" x="505"/>
        <item m="1" x="1045"/>
        <item x="73"/>
        <item m="1" x="531"/>
        <item m="1" x="993"/>
        <item m="1" x="869"/>
        <item m="1" x="685"/>
        <item m="1" x="588"/>
        <item m="1" x="562"/>
        <item m="1" x="349"/>
        <item m="1" x="407"/>
        <item m="1" x="712"/>
        <item m="1" x="768"/>
        <item m="1" x="446"/>
        <item m="1" x="710"/>
        <item m="1" x="612"/>
        <item m="1" x="681"/>
        <item m="1" x="377"/>
        <item m="1" x="257"/>
        <item m="1" x="482"/>
        <item m="1" x="844"/>
        <item m="1" x="334"/>
        <item m="1" x="802"/>
        <item m="1" x="900"/>
        <item m="1" x="603"/>
        <item m="1" x="998"/>
        <item m="1" x="608"/>
        <item m="1" x="931"/>
        <item m="1" x="261"/>
        <item m="1" x="500"/>
        <item m="1" x="641"/>
        <item m="1" x="1007"/>
        <item m="1" x="527"/>
        <item m="1" x="843"/>
        <item m="1" x="742"/>
        <item m="1" x="680"/>
        <item m="1" x="233"/>
        <item m="1" x="368"/>
        <item x="175"/>
        <item x="44"/>
        <item m="1" x="675"/>
        <item m="1" x="298"/>
        <item m="1" x="528"/>
        <item m="1" x="550"/>
        <item m="1" x="737"/>
        <item m="1" x="715"/>
        <item m="1" x="997"/>
        <item m="1" x="357"/>
        <item m="1" x="454"/>
        <item m="1" x="208"/>
        <item m="1" x="342"/>
        <item m="1" x="322"/>
        <item x="164"/>
        <item m="1" x="780"/>
        <item m="1" x="798"/>
        <item x="181"/>
        <item x="122"/>
        <item m="1" x="537"/>
        <item m="1" x="743"/>
        <item m="1" x="595"/>
        <item m="1" x="959"/>
        <item m="1" x="644"/>
        <item m="1" x="217"/>
        <item m="1" x="366"/>
        <item x="148"/>
        <item m="1" x="589"/>
        <item x="36"/>
        <item m="1" x="628"/>
        <item m="1" x="999"/>
        <item m="1" x="964"/>
        <item m="1" x="991"/>
        <item m="1" x="499"/>
        <item m="1" x="477"/>
        <item x="13"/>
        <item m="1" x="1015"/>
        <item m="1" x="475"/>
        <item m="1" x="553"/>
        <item m="1" x="622"/>
        <item m="1" x="799"/>
        <item m="1" x="842"/>
        <item m="1" x="871"/>
        <item m="1" x="683"/>
        <item m="1" x="833"/>
        <item m="1" x="945"/>
        <item m="1" x="864"/>
        <item m="1" x="548"/>
        <item m="1" x="735"/>
        <item m="1" x="894"/>
        <item m="1" x="706"/>
        <item m="1" x="876"/>
        <item m="1" x="814"/>
        <item x="139"/>
        <item m="1" x="1048"/>
        <item m="1" x="880"/>
        <item x="189"/>
        <item m="1" x="209"/>
        <item m="1" x="297"/>
        <item m="1" x="546"/>
        <item m="1" x="804"/>
        <item m="1" x="908"/>
        <item x="45"/>
        <item m="1" x="1060"/>
        <item x="6"/>
        <item m="1" x="684"/>
        <item m="1" x="551"/>
        <item m="1" x="1036"/>
        <item x="26"/>
        <item x="170"/>
        <item m="1" x="302"/>
        <item m="1" x="563"/>
        <item x="46"/>
        <item m="1" x="815"/>
        <item m="1" x="360"/>
        <item m="1" x="1042"/>
        <item x="34"/>
        <item x="110"/>
        <item m="1" x="688"/>
        <item m="1" x="522"/>
        <item m="1" x="816"/>
        <item m="1" x="752"/>
        <item m="1" x="577"/>
        <item m="1" x="237"/>
        <item m="1" x="654"/>
        <item m="1" x="689"/>
        <item m="1" x="309"/>
        <item m="1" x="424"/>
        <item m="1" x="480"/>
        <item m="1" x="587"/>
        <item m="1" x="853"/>
        <item x="27"/>
        <item m="1" x="471"/>
        <item m="1" x="236"/>
        <item m="1" x="875"/>
        <item m="1" x="920"/>
        <item m="1" x="841"/>
        <item m="1" x="1035"/>
        <item m="1" x="960"/>
        <item m="1" x="243"/>
        <item m="1" x="239"/>
        <item m="1" x="663"/>
        <item m="1" x="226"/>
        <item m="1" x="676"/>
        <item m="1" x="927"/>
        <item m="1" x="839"/>
        <item m="1" x="489"/>
        <item m="1" x="455"/>
        <item m="1" x="418"/>
        <item m="1" x="789"/>
        <item m="1" x="568"/>
        <item m="1" x="852"/>
        <item m="1" x="218"/>
        <item m="1" x="855"/>
        <item m="1" x="677"/>
        <item m="1" x="906"/>
        <item x="61"/>
        <item x="53"/>
        <item m="1" x="854"/>
        <item m="1" x="299"/>
        <item m="1" x="904"/>
        <item m="1" x="823"/>
        <item m="1" x="378"/>
        <item m="1" x="1062"/>
        <item m="1" x="369"/>
        <item m="1" x="281"/>
        <item m="1" x="985"/>
        <item m="1" x="907"/>
        <item m="1" x="921"/>
        <item m="1" x="779"/>
        <item m="1" x="762"/>
        <item m="1" x="859"/>
        <item x="62"/>
        <item x="37"/>
        <item m="1" x="210"/>
        <item m="1" x="496"/>
        <item m="1" x="1038"/>
        <item m="1" x="923"/>
        <item x="28"/>
        <item x="171"/>
        <item m="1" x="513"/>
        <item x="29"/>
        <item x="30"/>
        <item m="1" x="340"/>
        <item m="1" x="898"/>
        <item m="1" x="753"/>
        <item m="1" x="686"/>
        <item m="1" x="749"/>
        <item m="1" x="765"/>
        <item m="1" x="575"/>
        <item m="1" x="234"/>
        <item m="1" x="615"/>
        <item m="1" x="1034"/>
        <item m="1" x="718"/>
        <item m="1" x="296"/>
        <item m="1" x="801"/>
        <item m="1" x="1040"/>
        <item m="1" x="283"/>
        <item m="1" x="1031"/>
        <item m="1" x="1032"/>
        <item m="1" x="862"/>
        <item m="1" x="1033"/>
        <item m="1" x="393"/>
        <item m="1" x="721"/>
        <item m="1" x="818"/>
        <item m="1" x="938"/>
        <item m="1" x="216"/>
        <item m="1" x="314"/>
        <item m="1" x="481"/>
        <item m="1" x="370"/>
        <item m="1" x="214"/>
        <item m="1" x="726"/>
        <item m="1" x="619"/>
        <item m="1" x="1010"/>
        <item m="1" x="1058"/>
        <item m="1" x="1017"/>
        <item m="1" x="967"/>
        <item m="1" x="301"/>
        <item m="1" x="717"/>
        <item m="1" x="565"/>
        <item m="1" x="486"/>
        <item m="1" x="396"/>
        <item m="1" x="459"/>
        <item m="1" x="248"/>
        <item m="1" x="996"/>
        <item m="1" x="552"/>
        <item m="1" x="570"/>
        <item m="1" x="539"/>
        <item m="1" x="777"/>
        <item m="1" x="1066"/>
        <item m="1" x="995"/>
        <item m="1" x="557"/>
        <item m="1" x="443"/>
        <item m="1" x="620"/>
        <item m="1" x="911"/>
        <item m="1" x="279"/>
        <item m="1" x="1000"/>
        <item m="1" x="450"/>
        <item x="177"/>
        <item m="1" x="696"/>
        <item m="1" x="1004"/>
        <item m="1" x="602"/>
        <item m="1" x="460"/>
        <item m="1" x="646"/>
        <item m="1" x="1028"/>
        <item m="1" x="1005"/>
        <item m="1" x="725"/>
        <item m="1" x="653"/>
        <item m="1" x="521"/>
        <item m="1" x="440"/>
        <item m="1" x="441"/>
        <item m="1" x="394"/>
        <item m="1" x="246"/>
        <item m="1" x="392"/>
        <item m="1" x="222"/>
        <item m="1" x="207"/>
        <item m="1" x="851"/>
        <item m="1" x="490"/>
        <item m="1" x="409"/>
        <item m="1" x="624"/>
        <item m="1" x="411"/>
        <item m="1" x="558"/>
        <item m="1" x="260"/>
        <item m="1" x="645"/>
        <item m="1" x="666"/>
        <item m="1" x="700"/>
        <item m="1" x="730"/>
        <item m="1" x="905"/>
        <item m="1" x="351"/>
        <item m="1" x="650"/>
        <item m="1" x="813"/>
        <item m="1" x="781"/>
        <item m="1" x="965"/>
        <item m="1" x="341"/>
        <item m="1" x="509"/>
        <item m="1" x="1054"/>
        <item m="1" x="523"/>
        <item m="1" x="733"/>
        <item m="1" x="776"/>
        <item m="1" x="449"/>
        <item m="1" x="860"/>
        <item m="1" x="791"/>
        <item m="1" x="903"/>
        <item m="1" x="581"/>
        <item m="1" x="414"/>
        <item m="1" x="756"/>
        <item x="31"/>
        <item m="1" x="307"/>
        <item x="75"/>
        <item m="1" x="639"/>
        <item m="1" x="857"/>
        <item m="1" x="308"/>
        <item m="1" x="845"/>
        <item m="1" x="1030"/>
        <item m="1" x="634"/>
        <item m="1" x="633"/>
        <item m="1" x="344"/>
        <item m="1" x="836"/>
        <item m="1" x="373"/>
        <item m="1" x="617"/>
        <item m="1" x="856"/>
        <item m="1" x="323"/>
        <item m="1" x="244"/>
        <item m="1" x="447"/>
        <item m="1" x="465"/>
        <item x="47"/>
        <item x="178"/>
        <item m="1" x="294"/>
        <item m="1" x="807"/>
        <item m="1" x="888"/>
        <item m="1" x="983"/>
        <item m="1" x="417"/>
        <item x="165"/>
        <item m="1" x="1019"/>
        <item m="1" x="458"/>
        <item m="1" x="1016"/>
        <item m="1" x="954"/>
        <item m="1" x="892"/>
        <item m="1" x="448"/>
        <item m="1" x="830"/>
        <item x="112"/>
        <item x="113"/>
        <item x="114"/>
        <item m="1" x="936"/>
        <item m="1" x="225"/>
        <item m="1" x="786"/>
        <item m="1" x="626"/>
        <item m="1" x="694"/>
        <item m="1" x="497"/>
        <item m="1" x="586"/>
        <item m="1" x="897"/>
        <item m="1" x="579"/>
        <item m="1" x="790"/>
        <item m="1" x="744"/>
        <item m="1" x="953"/>
        <item m="1" x="803"/>
        <item m="1" x="723"/>
        <item m="1" x="1009"/>
        <item m="1" x="582"/>
        <item m="1" x="253"/>
        <item m="1" x="1064"/>
        <item m="1" x="1049"/>
        <item m="1" x="313"/>
        <item m="1" x="1067"/>
        <item x="166"/>
        <item m="1" x="627"/>
        <item m="1" x="250"/>
        <item m="1" x="230"/>
        <item m="1" x="865"/>
        <item m="1" x="883"/>
        <item m="1" x="884"/>
        <item m="1" x="957"/>
        <item m="1" x="919"/>
        <item m="1" x="317"/>
        <item m="1" x="614"/>
        <item m="1" x="426"/>
        <item m="1" x="427"/>
        <item m="1" x="1026"/>
        <item m="1" x="970"/>
        <item m="1" x="532"/>
        <item m="1" x="265"/>
        <item m="1" x="630"/>
        <item m="1" x="952"/>
        <item m="1" x="241"/>
        <item m="1" x="610"/>
        <item m="1" x="1012"/>
        <item m="1" x="611"/>
        <item m="1" x="947"/>
        <item m="1" x="538"/>
        <item m="1" x="474"/>
        <item m="1" x="825"/>
        <item m="1" x="245"/>
        <item m="1" x="259"/>
        <item m="1" x="766"/>
        <item m="1" x="732"/>
        <item m="1" x="274"/>
        <item m="1" x="902"/>
        <item m="1" x="255"/>
        <item m="1" x="469"/>
        <item m="1" x="667"/>
        <item m="1" x="597"/>
        <item m="1" x="275"/>
        <item m="1" x="937"/>
        <item m="1" x="728"/>
        <item m="1" x="668"/>
        <item m="1" x="699"/>
        <item x="90"/>
        <item m="1" x="434"/>
        <item m="1" x="206"/>
        <item m="1" x="439"/>
        <item m="1" x="727"/>
        <item x="0"/>
        <item x="1"/>
        <item m="1" x="882"/>
        <item m="1" x="227"/>
        <item x="190"/>
        <item x="138"/>
        <item x="127"/>
        <item x="129"/>
        <item x="121"/>
        <item x="146"/>
        <item x="150"/>
        <item x="149"/>
        <item x="144"/>
        <item x="147"/>
        <item x="151"/>
        <item x="143"/>
        <item x="141"/>
        <item x="142"/>
        <item x="145"/>
        <item m="1" x="691"/>
        <item m="1" x="704"/>
        <item x="203"/>
        <item x="204"/>
        <item x="17"/>
        <item x="51"/>
        <item x="52"/>
        <item x="76"/>
        <item x="78"/>
        <item x="92"/>
        <item x="118"/>
        <item x="120"/>
        <item x="123"/>
        <item x="126"/>
        <item x="131"/>
        <item x="133"/>
        <item x="134"/>
        <item x="136"/>
        <item x="137"/>
        <item x="169"/>
        <item x="187"/>
        <item x="65"/>
        <item x="197"/>
        <item x="198"/>
        <item x="199"/>
        <item x="200"/>
        <item x="201"/>
        <item x="202"/>
        <item x="102"/>
        <item x="105"/>
        <item x="176"/>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33">
    <i>
      <x v="8"/>
    </i>
    <i>
      <x v="9"/>
    </i>
    <i>
      <x v="10"/>
    </i>
    <i>
      <x v="11"/>
    </i>
    <i>
      <x v="12"/>
    </i>
    <i>
      <x v="65"/>
    </i>
    <i>
      <x v="81"/>
    </i>
    <i>
      <x v="104"/>
    </i>
    <i>
      <x v="110"/>
    </i>
    <i>
      <x v="120"/>
    </i>
    <i>
      <x v="125"/>
    </i>
    <i>
      <x v="142"/>
    </i>
    <i>
      <x v="153"/>
    </i>
    <i>
      <x v="155"/>
    </i>
    <i>
      <x v="186"/>
    </i>
    <i>
      <x v="187"/>
    </i>
    <i>
      <x v="188"/>
    </i>
    <i>
      <x v="192"/>
    </i>
    <i>
      <x v="203"/>
    </i>
    <i>
      <x v="208"/>
    </i>
    <i>
      <x v="212"/>
    </i>
    <i>
      <x v="217"/>
    </i>
    <i>
      <x v="218"/>
    </i>
    <i>
      <x v="220"/>
    </i>
    <i>
      <x v="229"/>
    </i>
    <i>
      <x v="230"/>
    </i>
    <i>
      <x v="231"/>
    </i>
    <i>
      <x v="232"/>
    </i>
    <i>
      <x v="234"/>
    </i>
    <i>
      <x v="243"/>
    </i>
    <i>
      <x v="267"/>
    </i>
    <i>
      <x v="278"/>
    </i>
    <i>
      <x v="353"/>
    </i>
    <i>
      <x v="360"/>
    </i>
    <i>
      <x v="366"/>
    </i>
    <i>
      <x v="373"/>
    </i>
    <i>
      <x v="375"/>
    </i>
    <i>
      <x v="376"/>
    </i>
    <i>
      <x v="388"/>
    </i>
    <i>
      <x v="393"/>
    </i>
    <i>
      <x v="394"/>
    </i>
    <i>
      <x v="395"/>
    </i>
    <i>
      <x v="397"/>
    </i>
    <i>
      <x v="398"/>
    </i>
    <i>
      <x v="399"/>
    </i>
    <i>
      <x v="400"/>
    </i>
    <i>
      <x v="404"/>
    </i>
    <i>
      <x v="406"/>
    </i>
    <i>
      <x v="408"/>
    </i>
    <i>
      <x v="412"/>
    </i>
    <i>
      <x v="413"/>
    </i>
    <i>
      <x v="416"/>
    </i>
    <i>
      <x v="417"/>
    </i>
    <i>
      <x v="418"/>
    </i>
    <i>
      <x v="419"/>
    </i>
    <i>
      <x v="420"/>
    </i>
    <i>
      <x v="421"/>
    </i>
    <i>
      <x v="423"/>
    </i>
    <i>
      <x v="424"/>
    </i>
    <i>
      <x v="425"/>
    </i>
    <i>
      <x v="426"/>
    </i>
    <i>
      <x v="432"/>
    </i>
    <i>
      <x v="433"/>
    </i>
    <i>
      <x v="434"/>
    </i>
    <i>
      <x v="435"/>
    </i>
    <i>
      <x v="443"/>
    </i>
    <i>
      <x v="451"/>
    </i>
    <i>
      <x v="452"/>
    </i>
    <i>
      <x v="479"/>
    </i>
    <i>
      <x v="480"/>
    </i>
    <i>
      <x v="493"/>
    </i>
    <i>
      <x v="519"/>
    </i>
    <i>
      <x v="524"/>
    </i>
    <i>
      <x v="526"/>
    </i>
    <i>
      <x v="528"/>
    </i>
    <i>
      <x v="531"/>
    </i>
    <i>
      <x v="535"/>
    </i>
    <i>
      <x v="542"/>
    </i>
    <i>
      <x v="543"/>
    </i>
    <i>
      <x v="547"/>
    </i>
    <i>
      <x v="577"/>
    </i>
    <i>
      <x v="580"/>
    </i>
    <i>
      <x v="586"/>
    </i>
    <i>
      <x v="607"/>
    </i>
    <i>
      <x v="608"/>
    </i>
    <i>
      <x v="609"/>
    </i>
    <i>
      <x v="613"/>
    </i>
    <i>
      <x v="617"/>
    </i>
    <i>
      <x v="623"/>
    </i>
    <i>
      <x v="631"/>
    </i>
    <i>
      <x v="667"/>
    </i>
    <i>
      <x v="668"/>
    </i>
    <i>
      <x v="681"/>
    </i>
    <i>
      <x v="684"/>
    </i>
    <i>
      <x v="685"/>
    </i>
    <i>
      <x v="695"/>
    </i>
    <i>
      <x v="702"/>
    </i>
    <i>
      <x v="723"/>
    </i>
    <i>
      <x v="729"/>
    </i>
    <i>
      <x v="731"/>
    </i>
    <i>
      <x v="735"/>
    </i>
    <i>
      <x v="736"/>
    </i>
    <i>
      <x v="739"/>
    </i>
    <i>
      <x v="743"/>
    </i>
    <i>
      <x v="744"/>
    </i>
    <i>
      <x v="758"/>
    </i>
    <i>
      <x v="783"/>
    </i>
    <i>
      <x v="784"/>
    </i>
    <i>
      <x v="799"/>
    </i>
    <i>
      <x v="800"/>
    </i>
    <i>
      <x v="805"/>
    </i>
    <i>
      <x v="806"/>
    </i>
    <i>
      <x v="808"/>
    </i>
    <i>
      <x v="809"/>
    </i>
    <i>
      <x v="865"/>
    </i>
    <i>
      <x v="913"/>
    </i>
    <i>
      <x v="932"/>
    </i>
    <i>
      <x v="933"/>
    </i>
    <i>
      <x v="939"/>
    </i>
    <i>
      <x v="947"/>
    </i>
    <i>
      <x v="948"/>
    </i>
    <i>
      <x v="949"/>
    </i>
    <i>
      <x v="971"/>
    </i>
    <i>
      <x v="1022"/>
    </i>
    <i>
      <x v="1026"/>
    </i>
    <i>
      <x v="1041"/>
    </i>
    <i>
      <x v="1042"/>
    </i>
    <i>
      <x v="1043"/>
    </i>
    <i>
      <x v="1046"/>
    </i>
    <i>
      <x v="1056"/>
    </i>
    <i>
      <x v="1057"/>
    </i>
    <i>
      <x v="1058"/>
    </i>
    <i>
      <x v="1067"/>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0"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9"/>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09" subtotal="max" baseField="7" baseItem="7"/>
    <dataField name="Max of # People access to functioning latrines in THF_HRP6" fld="110" subtotal="max" baseField="7" baseItem="7"/>
  </dataFields>
  <formats count="58">
    <format dxfId="698">
      <pivotArea field="4" type="button" dataOnly="0" labelOnly="1" outline="0" axis="axisPage" fieldPosition="2"/>
    </format>
    <format dxfId="697">
      <pivotArea type="all" dataOnly="0" outline="0" fieldPosition="0"/>
    </format>
    <format dxfId="696">
      <pivotArea field="4" type="button" dataOnly="0" labelOnly="1" outline="0" axis="axisPage" fieldPosition="2"/>
    </format>
    <format dxfId="695">
      <pivotArea outline="0" fieldPosition="0">
        <references count="1">
          <reference field="4294967294" count="1">
            <x v="0"/>
          </reference>
        </references>
      </pivotArea>
    </format>
    <format dxfId="694">
      <pivotArea dataOnly="0" labelOnly="1" outline="0" fieldPosition="0">
        <references count="1">
          <reference field="4294967294" count="1">
            <x v="0"/>
          </reference>
        </references>
      </pivotArea>
    </format>
    <format dxfId="693">
      <pivotArea type="all" dataOnly="0" outline="0" fieldPosition="0"/>
    </format>
    <format dxfId="692">
      <pivotArea outline="0" collapsedLevelsAreSubtotals="1" fieldPosition="0"/>
    </format>
    <format dxfId="691">
      <pivotArea dataOnly="0" labelOnly="1" fieldPosition="0">
        <references count="1">
          <reference field="4" count="0"/>
        </references>
      </pivotArea>
    </format>
    <format dxfId="690">
      <pivotArea dataOnly="0" labelOnly="1" grandRow="1" outline="0" fieldPosition="0"/>
    </format>
    <format dxfId="689">
      <pivotArea dataOnly="0" labelOnly="1" outline="0" fieldPosition="0">
        <references count="1">
          <reference field="4294967294" count="1">
            <x v="0"/>
          </reference>
        </references>
      </pivotArea>
    </format>
    <format dxfId="688">
      <pivotArea type="all" dataOnly="0" outline="0" fieldPosition="0"/>
    </format>
    <format dxfId="687">
      <pivotArea outline="0" collapsedLevelsAreSubtotals="1" fieldPosition="0"/>
    </format>
    <format dxfId="686">
      <pivotArea dataOnly="0" labelOnly="1" fieldPosition="0">
        <references count="1">
          <reference field="4" count="0"/>
        </references>
      </pivotArea>
    </format>
    <format dxfId="685">
      <pivotArea dataOnly="0" labelOnly="1" grandRow="1" outline="0" fieldPosition="0"/>
    </format>
    <format dxfId="684">
      <pivotArea dataOnly="0" labelOnly="1" outline="0" fieldPosition="0">
        <references count="1">
          <reference field="4294967294" count="1">
            <x v="0"/>
          </reference>
        </references>
      </pivotArea>
    </format>
    <format dxfId="683">
      <pivotArea outline="0" collapsedLevelsAreSubtotals="1" fieldPosition="0"/>
    </format>
    <format dxfId="682">
      <pivotArea outline="0" collapsedLevelsAreSubtotals="1" fieldPosition="0">
        <references count="1">
          <reference field="4294967294" count="1" selected="0">
            <x v="1"/>
          </reference>
        </references>
      </pivotArea>
    </format>
    <format dxfId="681">
      <pivotArea dataOnly="0" labelOnly="1" outline="0" fieldPosition="0">
        <references count="1">
          <reference field="4294967294" count="1">
            <x v="1"/>
          </reference>
        </references>
      </pivotArea>
    </format>
    <format dxfId="680">
      <pivotArea outline="0" collapsedLevelsAreSubtotals="1" fieldPosition="0">
        <references count="1">
          <reference field="4294967294" count="1" selected="0">
            <x v="1"/>
          </reference>
        </references>
      </pivotArea>
    </format>
    <format dxfId="679">
      <pivotArea dataOnly="0" labelOnly="1" outline="0" fieldPosition="0">
        <references count="1">
          <reference field="4294967294" count="1">
            <x v="1"/>
          </reference>
        </references>
      </pivotArea>
    </format>
    <format dxfId="678">
      <pivotArea outline="0" collapsedLevelsAreSubtotals="1" fieldPosition="0">
        <references count="1">
          <reference field="4294967294" count="1" selected="0">
            <x v="2"/>
          </reference>
        </references>
      </pivotArea>
    </format>
    <format dxfId="677">
      <pivotArea dataOnly="0" labelOnly="1" outline="0" fieldPosition="0">
        <references count="1">
          <reference field="4294967294" count="1">
            <x v="2"/>
          </reference>
        </references>
      </pivotArea>
    </format>
    <format dxfId="676">
      <pivotArea outline="0" collapsedLevelsAreSubtotals="1" fieldPosition="0">
        <references count="1">
          <reference field="4294967294" count="1" selected="0">
            <x v="2"/>
          </reference>
        </references>
      </pivotArea>
    </format>
    <format dxfId="675">
      <pivotArea dataOnly="0" labelOnly="1" outline="0" fieldPosition="0">
        <references count="1">
          <reference field="4294967294" count="1">
            <x v="2"/>
          </reference>
        </references>
      </pivotArea>
    </format>
    <format dxfId="674">
      <pivotArea outline="0" collapsedLevelsAreSubtotals="1" fieldPosition="0">
        <references count="1">
          <reference field="4294967294" count="1" selected="0">
            <x v="3"/>
          </reference>
        </references>
      </pivotArea>
    </format>
    <format dxfId="673">
      <pivotArea dataOnly="0" labelOnly="1" outline="0" fieldPosition="0">
        <references count="1">
          <reference field="4294967294" count="1">
            <x v="3"/>
          </reference>
        </references>
      </pivotArea>
    </format>
    <format dxfId="672">
      <pivotArea outline="0" collapsedLevelsAreSubtotals="1" fieldPosition="0">
        <references count="1">
          <reference field="4294967294" count="1" selected="0">
            <x v="3"/>
          </reference>
        </references>
      </pivotArea>
    </format>
    <format dxfId="671">
      <pivotArea dataOnly="0" labelOnly="1" outline="0" fieldPosition="0">
        <references count="1">
          <reference field="4294967294" count="1">
            <x v="3"/>
          </reference>
        </references>
      </pivotArea>
    </format>
    <format dxfId="670">
      <pivotArea outline="0" collapsedLevelsAreSubtotals="1" fieldPosition="0">
        <references count="1">
          <reference field="4294967294" count="1" selected="0">
            <x v="0"/>
          </reference>
        </references>
      </pivotArea>
    </format>
    <format dxfId="669">
      <pivotArea dataOnly="0" labelOnly="1" outline="0" fieldPosition="0">
        <references count="1">
          <reference field="4294967294" count="1">
            <x v="0"/>
          </reference>
        </references>
      </pivotArea>
    </format>
    <format dxfId="668">
      <pivotArea outline="0" collapsedLevelsAreSubtotals="1" fieldPosition="0">
        <references count="1">
          <reference field="4294967294" count="1" selected="0">
            <x v="0"/>
          </reference>
        </references>
      </pivotArea>
    </format>
    <format dxfId="667">
      <pivotArea dataOnly="0" labelOnly="1" outline="0" fieldPosition="0">
        <references count="1">
          <reference field="4294967294" count="1">
            <x v="0"/>
          </reference>
        </references>
      </pivotArea>
    </format>
    <format dxfId="666">
      <pivotArea dataOnly="0" labelOnly="1" outline="0" fieldPosition="0">
        <references count="1">
          <reference field="4294967294" count="4">
            <x v="0"/>
            <x v="1"/>
            <x v="2"/>
            <x v="3"/>
          </reference>
        </references>
      </pivotArea>
    </format>
    <format dxfId="665">
      <pivotArea dataOnly="0" labelOnly="1" outline="0" fieldPosition="0">
        <references count="1">
          <reference field="4294967294" count="4">
            <x v="0"/>
            <x v="1"/>
            <x v="2"/>
            <x v="3"/>
          </reference>
        </references>
      </pivotArea>
    </format>
    <format dxfId="664">
      <pivotArea dataOnly="0" labelOnly="1" outline="0" fieldPosition="0">
        <references count="1">
          <reference field="4294967294" count="1">
            <x v="7"/>
          </reference>
        </references>
      </pivotArea>
    </format>
    <format dxfId="663">
      <pivotArea dataOnly="0" labelOnly="1" outline="0" fieldPosition="0">
        <references count="1">
          <reference field="4294967294" count="1">
            <x v="7"/>
          </reference>
        </references>
      </pivotArea>
    </format>
    <format dxfId="662">
      <pivotArea dataOnly="0" labelOnly="1" outline="0" fieldPosition="0">
        <references count="1">
          <reference field="4294967294" count="1">
            <x v="9"/>
          </reference>
        </references>
      </pivotArea>
    </format>
    <format dxfId="661">
      <pivotArea outline="0" collapsedLevelsAreSubtotals="1" fieldPosition="0">
        <references count="1">
          <reference field="4294967294" count="2" selected="0">
            <x v="7"/>
            <x v="9"/>
          </reference>
        </references>
      </pivotArea>
    </format>
    <format dxfId="660">
      <pivotArea dataOnly="0" labelOnly="1" outline="0" fieldPosition="0">
        <references count="1">
          <reference field="4294967294" count="1">
            <x v="8"/>
          </reference>
        </references>
      </pivotArea>
    </format>
    <format dxfId="659">
      <pivotArea collapsedLevelsAreSubtotals="1" fieldPosition="0">
        <references count="2">
          <reference field="4294967294" count="1" selected="0">
            <x v="8"/>
          </reference>
          <reference field="4" count="1">
            <x v="0"/>
          </reference>
        </references>
      </pivotArea>
    </format>
    <format dxfId="658">
      <pivotArea outline="0" collapsedLevelsAreSubtotals="1" fieldPosition="0">
        <references count="1">
          <reference field="4294967294" count="3" selected="0">
            <x v="7"/>
            <x v="8"/>
            <x v="9"/>
          </reference>
        </references>
      </pivotArea>
    </format>
    <format dxfId="657">
      <pivotArea dataOnly="0" labelOnly="1" outline="0" fieldPosition="0">
        <references count="1">
          <reference field="4294967294" count="3">
            <x v="7"/>
            <x v="8"/>
            <x v="9"/>
          </reference>
        </references>
      </pivotArea>
    </format>
    <format dxfId="656">
      <pivotArea outline="0" collapsedLevelsAreSubtotals="1" fieldPosition="0">
        <references count="1">
          <reference field="4294967294" count="3" selected="0">
            <x v="7"/>
            <x v="8"/>
            <x v="9"/>
          </reference>
        </references>
      </pivotArea>
    </format>
    <format dxfId="655">
      <pivotArea dataOnly="0" labelOnly="1" outline="0" fieldPosition="0">
        <references count="1">
          <reference field="4294967294" count="3">
            <x v="7"/>
            <x v="8"/>
            <x v="9"/>
          </reference>
        </references>
      </pivotArea>
    </format>
    <format dxfId="654">
      <pivotArea outline="0" collapsedLevelsAreSubtotals="1" fieldPosition="0">
        <references count="1">
          <reference field="4294967294" count="1" selected="0">
            <x v="4"/>
          </reference>
        </references>
      </pivotArea>
    </format>
    <format dxfId="653">
      <pivotArea dataOnly="0" labelOnly="1" outline="0" fieldPosition="0">
        <references count="1">
          <reference field="4294967294" count="1">
            <x v="4"/>
          </reference>
        </references>
      </pivotArea>
    </format>
    <format dxfId="652">
      <pivotArea outline="0" collapsedLevelsAreSubtotals="1" fieldPosition="0">
        <references count="1">
          <reference field="4294967294" count="1" selected="0">
            <x v="5"/>
          </reference>
        </references>
      </pivotArea>
    </format>
    <format dxfId="651">
      <pivotArea dataOnly="0" labelOnly="1" outline="0" fieldPosition="0">
        <references count="1">
          <reference field="4294967294" count="1">
            <x v="5"/>
          </reference>
        </references>
      </pivotArea>
    </format>
    <format dxfId="650">
      <pivotArea dataOnly="0" outline="0" fieldPosition="0">
        <references count="2">
          <reference field="4" count="0" defaultSubtotal="1"/>
          <reference field="142" count="1" selected="0">
            <x v="0"/>
          </reference>
        </references>
      </pivotArea>
    </format>
    <format dxfId="649">
      <pivotArea dataOnly="0" labelOnly="1" outline="0" fieldPosition="0">
        <references count="1">
          <reference field="4294967294" count="10">
            <x v="0"/>
            <x v="1"/>
            <x v="2"/>
            <x v="3"/>
            <x v="4"/>
            <x v="5"/>
            <x v="7"/>
            <x v="8"/>
            <x v="9"/>
            <x v="12"/>
          </reference>
        </references>
      </pivotArea>
    </format>
    <format dxfId="648">
      <pivotArea dataOnly="0" labelOnly="1" outline="0" fieldPosition="0">
        <references count="1">
          <reference field="4294967294" count="10">
            <x v="0"/>
            <x v="1"/>
            <x v="2"/>
            <x v="3"/>
            <x v="4"/>
            <x v="5"/>
            <x v="7"/>
            <x v="8"/>
            <x v="9"/>
            <x v="12"/>
          </reference>
        </references>
      </pivotArea>
    </format>
    <format dxfId="647">
      <pivotArea dataOnly="0" labelOnly="1" outline="0" fieldPosition="0">
        <references count="1">
          <reference field="4294967294" count="10">
            <x v="0"/>
            <x v="1"/>
            <x v="2"/>
            <x v="3"/>
            <x v="4"/>
            <x v="5"/>
            <x v="7"/>
            <x v="8"/>
            <x v="9"/>
            <x v="12"/>
          </reference>
        </references>
      </pivotArea>
    </format>
    <format dxfId="646">
      <pivotArea dataOnly="0" outline="0" fieldPosition="0">
        <references count="3">
          <reference field="4294967294" count="1">
            <x v="6"/>
          </reference>
          <reference field="4" count="1" selected="0">
            <x v="0"/>
          </reference>
          <reference field="142" count="1" selected="0">
            <x v="0"/>
          </reference>
        </references>
      </pivotArea>
    </format>
    <format dxfId="645">
      <pivotArea dataOnly="0" labelOnly="1" outline="0" fieldPosition="0">
        <references count="1">
          <reference field="4294967294" count="1">
            <x v="6"/>
          </reference>
        </references>
      </pivotArea>
    </format>
    <format dxfId="644">
      <pivotArea dataOnly="0" labelOnly="1" outline="0" fieldPosition="0">
        <references count="1">
          <reference field="4294967294" count="1">
            <x v="11"/>
          </reference>
        </references>
      </pivotArea>
    </format>
    <format dxfId="643">
      <pivotArea dataOnly="0" labelOnly="1" outline="0" fieldPosition="0">
        <references count="1">
          <reference field="4294967294" count="1">
            <x v="10"/>
          </reference>
        </references>
      </pivotArea>
    </format>
    <format dxfId="642">
      <pivotArea dataOnly="0" labelOnly="1" outline="0" fieldPosition="0">
        <references count="1">
          <reference field="4294967294" count="1">
            <x v="10"/>
          </reference>
        </references>
      </pivotArea>
    </format>
    <format dxfId="641">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6"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212:E214" firstHeaderRow="0" firstDataRow="1" firstDataCol="1" rowPageCount="3" colPageCount="1"/>
  <pivotFields count="155">
    <pivotField axis="axisPage" subtotalTop="0" multipleItemSelectionAllowed="1" showAll="0">
      <items count="25">
        <item h="1"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3">
    <pageField fld="0" hier="-1"/>
    <pageField fld="142" item="0" hier="-1"/>
    <pageField fld="6" hier="-1"/>
  </pageFields>
  <dataFields count="3">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s>
  <formats count="15">
    <format dxfId="564">
      <pivotArea type="all" dataOnly="0" outline="0" fieldPosition="0"/>
    </format>
    <format dxfId="563">
      <pivotArea type="all" dataOnly="0" outline="0" fieldPosition="0"/>
    </format>
    <format dxfId="562">
      <pivotArea outline="0" collapsedLevelsAreSubtotals="1" fieldPosition="0"/>
    </format>
    <format dxfId="561">
      <pivotArea field="4" type="button" dataOnly="0" labelOnly="1" outline="0" axis="axisRow" fieldPosition="0"/>
    </format>
    <format dxfId="560">
      <pivotArea dataOnly="0" labelOnly="1" fieldPosition="0">
        <references count="1">
          <reference field="4" count="0"/>
        </references>
      </pivotArea>
    </format>
    <format dxfId="559">
      <pivotArea dataOnly="0" labelOnly="1" grandRow="1" outline="0" fieldPosition="0"/>
    </format>
    <format dxfId="558">
      <pivotArea dataOnly="0" labelOnly="1" outline="0" fieldPosition="0">
        <references count="1">
          <reference field="4294967294" count="2">
            <x v="0"/>
            <x v="2"/>
          </reference>
        </references>
      </pivotArea>
    </format>
    <format dxfId="557">
      <pivotArea outline="0" fieldPosition="0">
        <references count="1">
          <reference field="4294967294" count="1">
            <x v="0"/>
          </reference>
        </references>
      </pivotArea>
    </format>
    <format dxfId="556">
      <pivotArea outline="0" fieldPosition="0">
        <references count="1">
          <reference field="4294967294" count="1">
            <x v="2"/>
          </reference>
        </references>
      </pivotArea>
    </format>
    <format dxfId="555">
      <pivotArea type="all" dataOnly="0" outline="0" fieldPosition="0"/>
    </format>
    <format dxfId="554">
      <pivotArea outline="0" collapsedLevelsAreSubtotals="1" fieldPosition="0"/>
    </format>
    <format dxfId="553">
      <pivotArea field="4" type="button" dataOnly="0" labelOnly="1" outline="0" axis="axisRow" fieldPosition="0"/>
    </format>
    <format dxfId="552">
      <pivotArea dataOnly="0" labelOnly="1" fieldPosition="0">
        <references count="1">
          <reference field="4" count="0"/>
        </references>
      </pivotArea>
    </format>
    <format dxfId="551">
      <pivotArea dataOnly="0" labelOnly="1" grandRow="1" outline="0" fieldPosition="0"/>
    </format>
    <format dxfId="550">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rowHeaderCaption="State">
  <location ref="B169:E172" firstHeaderRow="1" firstDataRow="2" firstDataCol="1" rowPageCount="3" colPageCount="1"/>
  <pivotFields count="155">
    <pivotField axis="axisPage" subtotalTop="0" multipleItemSelectionAllowed="1" showAll="0">
      <items count="25">
        <item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x="1"/>
        <item m="1" x="3"/>
        <item x="0"/>
        <item h="1" m="1" x="2"/>
        <item m="1" x="5"/>
        <item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2"/>
        <item x="0"/>
        <item x="1"/>
        <item m="1"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3">
    <i>
      <x/>
    </i>
    <i>
      <x v="1"/>
    </i>
    <i>
      <x v="2"/>
    </i>
  </colItems>
  <pageFields count="3">
    <pageField fld="0" hier="-1"/>
    <pageField fld="142" item="0" hier="-1"/>
    <pageField fld="6" hier="-1"/>
  </pageFields>
  <dataFields count="1">
    <dataField name="Count of Is there provision of solid waste management equipment?" fld="50" subtotal="count" baseField="0" baseItem="0"/>
  </dataFields>
  <formats count="11">
    <format dxfId="575">
      <pivotArea type="all" dataOnly="0" outline="0" fieldPosition="0"/>
    </format>
    <format dxfId="574">
      <pivotArea outline="0" collapsedLevelsAreSubtotals="1" fieldPosition="0"/>
    </format>
    <format dxfId="573">
      <pivotArea type="origin" dataOnly="0" labelOnly="1" outline="0" fieldPosition="0"/>
    </format>
    <format dxfId="572">
      <pivotArea type="topRight" dataOnly="0" labelOnly="1" outline="0" fieldPosition="0"/>
    </format>
    <format dxfId="571">
      <pivotArea field="4" type="button" dataOnly="0" labelOnly="1" outline="0" axis="axisRow" fieldPosition="0"/>
    </format>
    <format dxfId="570">
      <pivotArea dataOnly="0" labelOnly="1" fieldPosition="0">
        <references count="1">
          <reference field="4" count="0"/>
        </references>
      </pivotArea>
    </format>
    <format dxfId="569">
      <pivotArea dataOnly="0" labelOnly="1" grandRow="1" outline="0" fieldPosition="0"/>
    </format>
    <format dxfId="568">
      <pivotArea dataOnly="0" labelOnly="1" grandCol="1" outline="0" fieldPosition="0"/>
    </format>
    <format dxfId="567">
      <pivotArea type="all" dataOnly="0" outline="0" fieldPosition="0"/>
    </format>
    <format dxfId="566">
      <pivotArea outline="0" collapsedLevelsAreSubtotals="1" fieldPosition="0"/>
    </format>
    <format dxfId="565">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rowHeaderCaption="State">
  <location ref="B153:F156" firstHeaderRow="1" firstDataRow="2" firstDataCol="1" rowPageCount="3" colPageCount="1"/>
  <pivotFields count="155">
    <pivotField axis="axisPage" subtotalTop="0" multipleItemSelectionAllowed="1" showAll="0">
      <items count="25">
        <item m="1" x="22"/>
        <item m="1" x="8"/>
        <item m="1" x="23"/>
        <item h="1" m="1" x="15"/>
        <item m="1" x="4"/>
        <item h="1" m="1" x="2"/>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Row" subtotalTop="0" showAll="0">
      <items count="7">
        <item x="1"/>
        <item m="1" x="3"/>
        <item x="0"/>
        <item h="1" m="1" x="2"/>
        <item m="1" x="5"/>
        <item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2"/>
        <item x="0"/>
        <item x="3"/>
        <item m="1" x="4"/>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4">
    <i>
      <x/>
    </i>
    <i>
      <x v="1"/>
    </i>
    <i>
      <x v="2"/>
    </i>
    <i>
      <x v="3"/>
    </i>
  </colItems>
  <pageFields count="3">
    <pageField fld="0" hier="-1"/>
    <pageField fld="142" hier="-1"/>
    <pageField fld="6" hier="-1"/>
  </pageFields>
  <dataFields count="1">
    <dataField name="Count of Is there constructed surface water drainage system?_x000a_" fld="51" subtotal="count" baseField="0" baseItem="0"/>
  </dataFields>
  <formats count="9">
    <format dxfId="584">
      <pivotArea type="all" dataOnly="0" outline="0" fieldPosition="0"/>
    </format>
    <format dxfId="583">
      <pivotArea outline="0" collapsedLevelsAreSubtotals="1" fieldPosition="0"/>
    </format>
    <format dxfId="582">
      <pivotArea type="origin" dataOnly="0" labelOnly="1" outline="0" fieldPosition="0"/>
    </format>
    <format dxfId="581">
      <pivotArea type="topRight" dataOnly="0" labelOnly="1" outline="0" fieldPosition="0"/>
    </format>
    <format dxfId="580">
      <pivotArea field="4" type="button" dataOnly="0" labelOnly="1" outline="0" axis="axisRow" fieldPosition="0"/>
    </format>
    <format dxfId="579">
      <pivotArea dataOnly="0" labelOnly="1" fieldPosition="0">
        <references count="1">
          <reference field="4" count="0"/>
        </references>
      </pivotArea>
    </format>
    <format dxfId="578">
      <pivotArea type="all" dataOnly="0" outline="0" fieldPosition="0"/>
    </format>
    <format dxfId="577">
      <pivotArea outline="0" collapsedLevelsAreSubtotals="1" fieldPosition="0"/>
    </format>
    <format dxfId="57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9">
  <location ref="I38:K39" firstHeaderRow="0" firstDataRow="1" firstDataCol="1" rowPageCount="4" colPageCount="1"/>
  <pivotFields count="155">
    <pivotField axis="axisPage" subtotalTop="0" multipleItemSelectionAllowed="1" showAll="0">
      <items count="25">
        <item m="1" x="22"/>
        <item m="1" x="8"/>
        <item h="1" m="1" x="15"/>
        <item h="1" m="1" x="2"/>
        <item m="1" x="23"/>
        <item m="1" x="4"/>
        <item h="1"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subtotalTop="0" showAll="0"/>
    <pivotField axis="axisPage" multipleItemSelectionAllowed="1" showAll="0" defaultSubtotal="0">
      <items count="14">
        <item x="0"/>
        <item x="1"/>
        <item m="1" x="11"/>
        <item m="1" x="7"/>
        <item h="1" m="1" x="6"/>
        <item h="1" x="3"/>
        <item h="1" m="1" x="10"/>
        <item h="1" m="1" x="13"/>
        <item h="1" m="1" x="8"/>
        <item h="1" m="1" x="9"/>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GCA (500:1)" x="0"/>
        <item n="NGCA (500:1)" x="1"/>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hier="-1"/>
    <pageField fld="142" hier="-1"/>
    <pageField fld="6" hier="-1"/>
  </pageFields>
  <dataFields count="2">
    <dataField name="Coverage" fld="99" baseField="132" baseItem="339"/>
    <dataField name="Gap" fld="102" baseField="132" baseItem="339"/>
  </dataFields>
  <formats count="13">
    <format dxfId="597">
      <pivotArea type="all" dataOnly="0" outline="0" fieldPosition="0"/>
    </format>
    <format dxfId="596">
      <pivotArea outline="0" collapsedLevelsAreSubtotals="1" fieldPosition="0"/>
    </format>
    <format dxfId="595">
      <pivotArea field="138" type="button" dataOnly="0" labelOnly="1" outline="0" axis="axisRow" fieldPosition="0"/>
    </format>
    <format dxfId="594">
      <pivotArea type="all" dataOnly="0" outline="0" fieldPosition="0"/>
    </format>
    <format dxfId="593">
      <pivotArea field="138" type="button" dataOnly="0" labelOnly="1" outline="0" axis="axisRow" fieldPosition="0"/>
    </format>
    <format dxfId="592">
      <pivotArea field="138" type="button" dataOnly="0" labelOnly="1" outline="0" axis="axisRow" fieldPosition="0"/>
    </format>
    <format dxfId="591">
      <pivotArea type="all" dataOnly="0" outline="0" fieldPosition="0"/>
    </format>
    <format dxfId="590">
      <pivotArea outline="0" collapsedLevelsAreSubtotals="1" fieldPosition="0"/>
    </format>
    <format dxfId="589">
      <pivotArea field="138" type="button" dataOnly="0" labelOnly="1" outline="0" axis="axisRow" fieldPosition="0"/>
    </format>
    <format dxfId="588">
      <pivotArea dataOnly="0" labelOnly="1" fieldPosition="0">
        <references count="1">
          <reference field="138" count="2">
            <x v="339"/>
            <x v="340"/>
          </reference>
        </references>
      </pivotArea>
    </format>
    <format dxfId="587">
      <pivotArea field="4" type="button" dataOnly="0" labelOnly="1" outline="0" axis="axisPage" fieldPosition="1"/>
    </format>
    <format dxfId="586">
      <pivotArea dataOnly="0" labelOnly="1" outline="0" fieldPosition="0">
        <references count="1">
          <reference field="4" count="1">
            <x v="2"/>
          </reference>
        </references>
      </pivotArea>
    </format>
    <format dxfId="585">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61:W63" firstHeaderRow="1" firstDataRow="1" firstDataCol="1" rowPageCount="2" colPageCount="1"/>
  <pivotFields count="5">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2">
    <i>
      <x/>
    </i>
    <i t="grand">
      <x/>
    </i>
  </rowItems>
  <colItems count="1">
    <i/>
  </colItems>
  <pageFields count="2">
    <pageField fld="1" hier="142" name="[WWWW].[Covered].&amp;[Covered]" cap="Covered"/>
    <pageField fld="4" hier="36" name="[WWWW].[#_Household water samples tested for fecal coliform].&amp;[3]" cap="3"/>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12" level="1">
        <member name="[WWWW].[#_Household water samples tested for fecal coliform].&amp;[3]"/>
        <member name="[WWWW].[#_Household water samples tested for fecal coliform].&amp;[6]"/>
        <member name="[WWWW].[#_Household water samples tested for fecal coliform].&amp;[8]"/>
        <member name="[WWWW].[#_Household water samples tested for fecal coliform].&amp;[9]"/>
        <member name="[WWWW].[#_Household water samples tested for fecal coliform].&amp;[10]"/>
        <member name="[WWWW].[#_Household water samples tested for fecal coliform].&amp;[15]"/>
        <member name="[WWWW].[#_Household water samples tested for fecal coliform].&amp;[18]"/>
        <member name="[WWWW].[#_Household water samples tested for fecal coliform].&amp;[19]"/>
        <member name="[WWWW].[#_Household water samples tested for fecal coliform].&amp;[21]"/>
        <member name="[WWWW].[#_Household water samples tested for fecal coliform].&amp;[27]"/>
        <member name="[WWWW].[#_Household water samples tested for fecal coliform].&amp;[29]"/>
        <member name="[WWWW].[#_Household water samples tested for fecal coliform].&amp;[3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6" dataOnRows="1"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16" rowHeaderCaption="State">
  <location ref="C433:F442" firstHeaderRow="1" firstDataRow="2" firstDataCol="2" rowPageCount="2" colPageCount="1"/>
  <pivotFields count="155">
    <pivotField axis="axisCol" compact="0" outline="0" subtotalTop="0" showAll="0">
      <items count="25">
        <item m="1" x="22"/>
        <item m="1" x="8"/>
        <item m="1" x="23"/>
        <item m="1" x="15"/>
        <item m="1" x="4"/>
        <item m="1" x="2"/>
        <item m="1" x="21"/>
        <item m="1" x="17"/>
        <item m="1" x="19"/>
        <item m="1" x="20"/>
        <item m="1" x="11"/>
        <item m="1" x="13"/>
        <item m="1" x="16"/>
        <item m="1" x="18"/>
        <item m="1" x="6"/>
        <item m="1" x="9"/>
        <item m="1" x="12"/>
        <item m="1" x="14"/>
        <item m="1" x="3"/>
        <item m="1" x="5"/>
        <item m="1" x="7"/>
        <item m="1" x="10"/>
        <item x="0"/>
        <item x="1"/>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1"/>
        <item m="1" x="3"/>
        <item x="0"/>
        <item m="1" x="2"/>
        <item h="1" m="1" x="5"/>
        <item h="1" m="1" x="4"/>
        <item t="default"/>
      </items>
    </pivotField>
    <pivotField compact="0" outline="0" subtotalTop="0" showAll="0"/>
    <pivotField axis="axisPage" compact="0" outline="0" multipleItemSelectionAllowed="1" showAll="0" defaultSubtotal="0">
      <items count="14">
        <item x="0"/>
        <item x="1"/>
        <item m="1" x="11"/>
        <item h="1" m="1" x="9"/>
        <item m="1" x="7"/>
        <item m="1" x="6"/>
        <item h="1" x="3"/>
        <item m="1" x="10"/>
        <item h="1" m="1" x="13"/>
        <item h="1" m="1" x="8"/>
        <item h="1" m="1" x="12"/>
        <item h="1" m="1" x="4"/>
        <item h="1" m="1" x="5"/>
        <item x="2"/>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3"/>
        <item h="1" m="1" x="2"/>
        <item t="default"/>
      </items>
    </pivotField>
    <pivotField compact="0" outline="0" subtotalTop="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2">
    <i>
      <x v="22"/>
    </i>
    <i>
      <x v="23"/>
    </i>
  </colItems>
  <pageFields count="2">
    <pageField fld="142" hier="-1"/>
    <pageField fld="6"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0" subtotal="average" baseField="0" baseItem="3"/>
  </dataFields>
  <formats count="14">
    <format dxfId="611">
      <pivotArea type="all" dataOnly="0" outline="0" fieldPosition="0"/>
    </format>
    <format dxfId="610">
      <pivotArea outline="0" collapsedLevelsAreSubtotals="1" fieldPosition="0"/>
    </format>
    <format dxfId="609">
      <pivotArea field="4" type="button" dataOnly="0" labelOnly="1" outline="0" axis="axisRow" fieldPosition="0"/>
    </format>
    <format dxfId="608">
      <pivotArea dataOnly="0" labelOnly="1" grandRow="1" outline="0" fieldPosition="0"/>
    </format>
    <format dxfId="607">
      <pivotArea type="all" dataOnly="0" outline="0" fieldPosition="0"/>
    </format>
    <format dxfId="606">
      <pivotArea outline="0" collapsedLevelsAreSubtotals="1" fieldPosition="0"/>
    </format>
    <format dxfId="605">
      <pivotArea type="origin" dataOnly="0" labelOnly="1" outline="0" fieldPosition="0"/>
    </format>
    <format dxfId="604">
      <pivotArea field="142" type="button" dataOnly="0" labelOnly="1" outline="0" axis="axisPage" fieldPosition="0"/>
    </format>
    <format dxfId="603">
      <pivotArea type="topRight" dataOnly="0" labelOnly="1" outline="0" fieldPosition="0"/>
    </format>
    <format dxfId="602">
      <pivotArea dataOnly="0" labelOnly="1" fieldPosition="0">
        <references count="1">
          <reference field="142" count="0"/>
        </references>
      </pivotArea>
    </format>
    <format dxfId="601">
      <pivotArea type="all" dataOnly="0" outline="0" fieldPosition="0"/>
    </format>
    <format dxfId="600">
      <pivotArea outline="0" collapsedLevelsAreSubtotals="1" fieldPosition="0"/>
    </format>
    <format dxfId="599">
      <pivotArea field="4" type="button" dataOnly="0" labelOnly="1" outline="0" axis="axisRow" fieldPosition="0"/>
    </format>
    <format dxfId="598">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6" dataPosition="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4">
  <location ref="X120:Z121" firstHeaderRow="0" firstDataRow="1" firstDataCol="1" rowPageCount="4"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4">
        <item x="0"/>
        <item x="1"/>
        <item m="1" x="11"/>
        <item h="1" m="1" x="9"/>
        <item m="1" x="7"/>
        <item m="1" x="6"/>
        <item h="1" x="3"/>
        <item m="1" x="10"/>
        <item h="1" m="1" x="13"/>
        <item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n="# in NGCA (20:1)"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38"/>
  </rowFields>
  <rowItems count="1">
    <i>
      <x v="339"/>
    </i>
  </rowItems>
  <colFields count="1">
    <field x="-2"/>
  </colFields>
  <colItems count="2">
    <i>
      <x/>
    </i>
    <i i="1">
      <x v="1"/>
    </i>
  </colItems>
  <pageFields count="4">
    <pageField fld="0" hier="-1"/>
    <pageField fld="4" item="2" hier="-1"/>
    <pageField fld="142" item="0" hier="-1"/>
    <pageField fld="6" hier="-1"/>
  </pageFields>
  <dataFields count="2">
    <dataField name="Accessed" fld="107" baseField="0" baseItem="0"/>
    <dataField name="Not-accessed" fld="154" baseField="0" baseItem="0" numFmtId="1"/>
  </dataFields>
  <formats count="15">
    <format dxfId="626">
      <pivotArea field="4" type="button" dataOnly="0" labelOnly="1" outline="0" axis="axisPage" fieldPosition="1"/>
    </format>
    <format dxfId="625">
      <pivotArea type="all" dataOnly="0" outline="0" fieldPosition="0"/>
    </format>
    <format dxfId="624">
      <pivotArea type="origin" dataOnly="0" labelOnly="1" outline="0" fieldPosition="0"/>
    </format>
    <format dxfId="623">
      <pivotArea type="topRight" dataOnly="0" labelOnly="1" outline="0" fieldPosition="0"/>
    </format>
    <format dxfId="622">
      <pivotArea field="-2" type="button" dataOnly="0" labelOnly="1" outline="0" axis="axisCol" fieldPosition="0"/>
    </format>
    <format dxfId="621">
      <pivotArea type="all" dataOnly="0" outline="0" fieldPosition="0"/>
    </format>
    <format dxfId="620">
      <pivotArea outline="0" collapsedLevelsAreSubtotals="1" fieldPosition="0"/>
    </format>
    <format dxfId="619">
      <pivotArea type="origin" dataOnly="0" labelOnly="1" outline="0" fieldPosition="0"/>
    </format>
    <format dxfId="618">
      <pivotArea type="topRight" dataOnly="0" labelOnly="1" outline="0" fieldPosition="0"/>
    </format>
    <format dxfId="617">
      <pivotArea field="-2" type="button" dataOnly="0" labelOnly="1" outline="0" axis="axisCol" fieldPosition="0"/>
    </format>
    <format dxfId="616">
      <pivotArea dataOnly="0" labelOnly="1" outline="0" fieldPosition="0">
        <references count="3">
          <reference field="0" count="1" selected="0">
            <x v="7"/>
          </reference>
          <reference field="4" count="1">
            <x v="0"/>
          </reference>
          <reference field="142" count="1" selected="0">
            <x v="0"/>
          </reference>
        </references>
      </pivotArea>
    </format>
    <format dxfId="615">
      <pivotArea type="all" dataOnly="0" outline="0" fieldPosition="0"/>
    </format>
    <format dxfId="614">
      <pivotArea outline="0" collapsedLevelsAreSubtotals="1" fieldPosition="0"/>
    </format>
    <format dxfId="613">
      <pivotArea dataOnly="0" labelOnly="1" fieldPosition="0">
        <references count="1">
          <reference field="138" count="2">
            <x v="339"/>
            <x v="340"/>
          </reference>
        </references>
      </pivotArea>
    </format>
    <format dxfId="612">
      <pivotArea outline="0" collapsedLevelsAreSubtotals="1" fieldPosition="0"/>
    </format>
  </formats>
  <chartFormats count="10">
    <chartFormat chart="27" format="0" series="1">
      <pivotArea type="data" outline="0" fieldPosition="0">
        <references count="2">
          <reference field="4294967294" count="1" selected="0">
            <x v="0"/>
          </reference>
          <reference field="138" count="1" selected="0">
            <x v="339"/>
          </reference>
        </references>
      </pivotArea>
    </chartFormat>
    <chartFormat chart="27" format="1" series="1">
      <pivotArea type="data" outline="0" fieldPosition="0">
        <references count="2">
          <reference field="4294967294" count="1" selected="0">
            <x v="0"/>
          </reference>
          <reference field="138" count="1" selected="0">
            <x v="340"/>
          </reference>
        </references>
      </pivotArea>
    </chartFormat>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1" rowHeaderCaption="State">
  <location ref="C404:E409" firstHeaderRow="1" firstDataRow="2" firstDataCol="1" rowPageCount="3" colPageCount="1"/>
  <pivotFields count="155">
    <pivotField axis="axisCol" subtotalTop="0" multipleItemSelectionAllowed="1" showAll="0">
      <items count="25">
        <item m="1" x="22"/>
        <item m="1" x="8"/>
        <item m="1" x="23"/>
        <item m="1" x="15"/>
        <item m="1" x="4"/>
        <item m="1" x="2"/>
        <item m="1" x="21"/>
        <item m="1" x="17"/>
        <item m="1" x="19"/>
        <item m="1" x="20"/>
        <item m="1" x="11"/>
        <item m="1" x="13"/>
        <item m="1" x="16"/>
        <item m="1" x="18"/>
        <item m="1" x="6"/>
        <item m="1" x="9"/>
        <item m="1" x="12"/>
        <item m="1" x="14"/>
        <item m="1" x="3"/>
        <item m="1" x="5"/>
        <item m="1" x="7"/>
        <item m="1" x="10"/>
        <item x="0"/>
        <item x="1"/>
        <item t="default"/>
      </items>
    </pivotField>
    <pivotField showAll="0" defaultSubtotal="0"/>
    <pivotField showAll="0" defaultSubtotal="0"/>
    <pivotField subtotalTop="0" showAll="0"/>
    <pivotField axis="axisPage" subtotalTop="0" multipleItemSelectionAllowed="1" showAll="0">
      <items count="7">
        <item x="1"/>
        <item m="1" x="3"/>
        <item h="1" x="0"/>
        <item m="1" x="2"/>
        <item h="1" m="1" x="5"/>
        <item h="1" m="1" x="4"/>
        <item t="default"/>
      </items>
    </pivotField>
    <pivotField subtotalTop="0" showAll="0"/>
    <pivotField axis="axisPage" multipleItemSelectionAllowed="1" showAll="0" defaultSubtotal="0">
      <items count="14">
        <item x="0"/>
        <item x="1"/>
        <item m="1" x="11"/>
        <item h="1" m="1" x="9"/>
        <item m="1" x="7"/>
        <item m="1" x="6"/>
        <item h="1" x="3"/>
        <item m="1" x="10"/>
        <item h="1" m="1" x="13"/>
        <item h="1" m="1" x="8"/>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2"/>
    </i>
    <i>
      <x v="23"/>
    </i>
  </colItems>
  <pageFields count="3">
    <pageField fld="142"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640">
      <pivotArea type="all" dataOnly="0" outline="0" fieldPosition="0"/>
    </format>
    <format dxfId="639">
      <pivotArea outline="0" collapsedLevelsAreSubtotals="1" fieldPosition="0"/>
    </format>
    <format dxfId="638">
      <pivotArea field="4" type="button" dataOnly="0" labelOnly="1" outline="0" axis="axisPage" fieldPosition="2"/>
    </format>
    <format dxfId="637">
      <pivotArea dataOnly="0" labelOnly="1" grandRow="1" outline="0" fieldPosition="0"/>
    </format>
    <format dxfId="636">
      <pivotArea type="all" dataOnly="0" outline="0" fieldPosition="0"/>
    </format>
    <format dxfId="635">
      <pivotArea outline="0" collapsedLevelsAreSubtotals="1" fieldPosition="0"/>
    </format>
    <format dxfId="634">
      <pivotArea type="origin" dataOnly="0" labelOnly="1" outline="0" fieldPosition="0"/>
    </format>
    <format dxfId="633">
      <pivotArea field="142" type="button" dataOnly="0" labelOnly="1" outline="0" axis="axisPage" fieldPosition="0"/>
    </format>
    <format dxfId="632">
      <pivotArea type="topRight" dataOnly="0" labelOnly="1" outline="0" fieldPosition="0"/>
    </format>
    <format dxfId="631">
      <pivotArea dataOnly="0" labelOnly="1" fieldPosition="0">
        <references count="1">
          <reference field="142" count="0"/>
        </references>
      </pivotArea>
    </format>
    <format dxfId="630">
      <pivotArea type="all" dataOnly="0" outline="0" fieldPosition="0"/>
    </format>
    <format dxfId="629">
      <pivotArea outline="0" collapsedLevelsAreSubtotals="1" fieldPosition="0"/>
    </format>
    <format dxfId="628">
      <pivotArea field="4" type="button" dataOnly="0" labelOnly="1" outline="0" axis="axisPage" fieldPosition="2"/>
    </format>
    <format dxfId="627">
      <pivotArea outline="0" collapsedLevelsAreSubtotals="1" fieldPosition="0"/>
    </format>
  </formats>
  <chartFormats count="15">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6"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A6:C48" firstHeaderRow="1" firstDataRow="1" firstDataCol="3" rowPageCount="4" colPageCount="1"/>
  <pivotFields count="155">
    <pivotField axis="axisPage" compact="0" outline="0" multipleItemSelectionAllowed="1" showAll="0" defaultSubtotal="0">
      <items count="24">
        <item m="1" x="21"/>
        <item m="1" x="22"/>
        <item m="1" x="8"/>
        <item m="1" x="23"/>
        <item m="1" x="15"/>
        <item m="1" x="17"/>
        <item m="1" x="19"/>
        <item m="1" x="20"/>
        <item m="1" x="4"/>
        <item m="1" x="11"/>
        <item m="1" x="13"/>
        <item m="1" x="16"/>
        <item m="1" x="2"/>
        <item m="1" x="18"/>
        <item m="1" x="6"/>
        <item m="1" x="9"/>
        <item m="1" x="12"/>
        <item m="1" x="14"/>
        <item m="1" x="3"/>
        <item m="1" x="5"/>
        <item m="1" x="7"/>
        <item m="1" x="10"/>
        <item h="1" x="0"/>
        <item x="1"/>
      </items>
    </pivotField>
    <pivotField axis="axisRow" compact="0" outline="0" showAll="0" defaultSubtotal="0">
      <items count="64">
        <item m="1" x="53"/>
        <item m="1" x="40"/>
        <item m="1" x="27"/>
        <item m="1" x="22"/>
        <item m="1" x="24"/>
        <item m="1" x="51"/>
        <item m="1" x="39"/>
        <item x="0"/>
        <item x="17"/>
        <item x="18"/>
        <item x="1"/>
        <item m="1" x="60"/>
        <item x="2"/>
        <item m="1" x="62"/>
        <item x="4"/>
        <item x="5"/>
        <item m="1" x="29"/>
        <item m="1" x="61"/>
        <item x="6"/>
        <item m="1" x="44"/>
        <item m="1" x="30"/>
        <item x="7"/>
        <item m="1" x="34"/>
        <item x="8"/>
        <item x="9"/>
        <item m="1" x="43"/>
        <item m="1" x="54"/>
        <item m="1" x="47"/>
        <item m="1" x="32"/>
        <item m="1" x="49"/>
        <item m="1" x="52"/>
        <item m="1" x="38"/>
        <item m="1" x="48"/>
        <item m="1" x="63"/>
        <item m="1" x="23"/>
        <item m="1" x="41"/>
        <item x="10"/>
        <item m="1" x="56"/>
        <item m="1" x="50"/>
        <item m="1" x="46"/>
        <item m="1" x="58"/>
        <item m="1" x="45"/>
        <item m="1" x="42"/>
        <item m="1" x="57"/>
        <item m="1" x="59"/>
        <item x="3"/>
        <item x="16"/>
        <item sd="0" x="19"/>
        <item x="20"/>
        <item m="1" x="25"/>
        <item m="1" x="26"/>
        <item m="1" x="33"/>
        <item m="1" x="36"/>
        <item x="11"/>
        <item x="12"/>
        <item m="1" x="31"/>
        <item x="13"/>
        <item m="1" x="37"/>
        <item m="1" x="55"/>
        <item m="1" x="28"/>
        <item x="14"/>
        <item x="15"/>
        <item m="1" x="35"/>
        <item m="1" x="21"/>
      </items>
    </pivotField>
    <pivotField axis="axisRow" compact="0" outline="0" multipleItemSelectionAllowed="1" showAll="0" defaultSubtotal="0">
      <items count="58">
        <item m="1" x="47"/>
        <item m="1" x="34"/>
        <item m="1" x="22"/>
        <item m="1" x="16"/>
        <item m="1" x="18"/>
        <item m="1" x="45"/>
        <item m="1" x="33"/>
        <item x="0"/>
        <item x="1"/>
        <item m="1" x="55"/>
        <item x="2"/>
        <item m="1" x="56"/>
        <item x="3"/>
        <item m="1" x="39"/>
        <item m="1" x="25"/>
        <item x="4"/>
        <item x="5"/>
        <item m="1" x="35"/>
        <item m="1" x="41"/>
        <item m="1" x="15"/>
        <item m="1" x="27"/>
        <item m="1" x="42"/>
        <item m="1" x="46"/>
        <item m="1" x="36"/>
        <item m="1" x="32"/>
        <item m="1" x="43"/>
        <item m="1" x="17"/>
        <item x="7"/>
        <item m="1" x="51"/>
        <item m="1" x="44"/>
        <item m="1" x="40"/>
        <item m="1" x="53"/>
        <item m="1" x="37"/>
        <item m="1" x="54"/>
        <item m="1" x="20"/>
        <item m="1" x="21"/>
        <item m="1" x="28"/>
        <item m="1" x="30"/>
        <item x="8"/>
        <item x="9"/>
        <item m="1" x="31"/>
        <item m="1" x="50"/>
        <item m="1" x="52"/>
        <item m="1" x="48"/>
        <item x="11"/>
        <item x="14"/>
        <item m="1" x="57"/>
        <item x="12"/>
        <item m="1" x="49"/>
        <item m="1" x="24"/>
        <item m="1" x="26"/>
        <item m="1" x="23"/>
        <item m="1" x="19"/>
        <item m="1" x="29"/>
        <item m="1" x="38"/>
        <item x="10"/>
        <item x="6"/>
        <item x="13"/>
      </items>
      <extLst>
        <ext xmlns:x14="http://schemas.microsoft.com/office/spreadsheetml/2009/9/main" uri="{2946ED86-A175-432a-8AC1-64E0C546D7DE}">
          <x14:pivotField fillDownLabels="1"/>
        </ext>
      </extLst>
    </pivotField>
    <pivotField compact="0" outline="0" showAll="0" defaultSubtotal="0"/>
    <pivotField axis="axisPage" compact="0" outline="0" multipleItemSelectionAllowed="1" showAll="0" defaultSubtotal="0">
      <items count="6">
        <item m="1" x="5"/>
        <item x="1"/>
        <item m="1" x="4"/>
        <item m="1" x="3"/>
        <item h="1" x="0"/>
        <item m="1" x="2"/>
      </items>
      <extLst>
        <ext xmlns:x14="http://schemas.microsoft.com/office/spreadsheetml/2009/9/main" uri="{2946ED86-A175-432a-8AC1-64E0C546D7DE}">
          <x14:pivotField fillDownLabels="1"/>
        </ext>
      </extLst>
    </pivotField>
    <pivotField axis="axisRow" compact="0" outline="0" showAll="0" defaultSubtotal="0">
      <items count="46">
        <item m="1" x="31"/>
        <item x="1"/>
        <item m="1" x="43"/>
        <item m="1" x="35"/>
        <item x="2"/>
        <item x="3"/>
        <item x="14"/>
        <item x="21"/>
        <item x="23"/>
        <item x="15"/>
        <item x="22"/>
        <item m="1" x="38"/>
        <item m="1" x="26"/>
        <item x="16"/>
        <item m="1" x="45"/>
        <item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s>
      <extLst>
        <ext xmlns:x14="http://schemas.microsoft.com/office/spreadsheetml/2009/9/main" uri="{2946ED86-A175-432a-8AC1-64E0C546D7DE}">
          <x14:pivotField fillDownLabels="1"/>
        </ext>
      </extLst>
    </pivotField>
    <pivotField axis="axisPage" compact="0" outline="0" showAll="0" defaultSubtotal="0">
      <items count="14">
        <item x="0"/>
        <item x="1"/>
        <item m="1" x="11"/>
        <item m="1" x="9"/>
        <item m="1" x="7"/>
        <item m="1" x="6"/>
        <item x="3"/>
        <item m="1" x="10"/>
        <item m="1" x="13"/>
        <item m="1" x="8"/>
        <item m="1" x="12"/>
        <item m="1" x="4"/>
        <item m="1" x="5"/>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numFmtId="1" outline="0" subtotalTop="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outline="0" showAll="0" defaultSubtotal="0"/>
    <pivotField compact="0" outline="0" showAll="0" defaultSubtotal="0"/>
    <pivotField compact="0" numFmtId="9" outline="0" subtotalTop="0" showAll="0" defaultSubtotal="0"/>
    <pivotField compact="0" numFmtId="164" outline="0" subtotalTop="0" showAll="0" defaultSubtotal="0"/>
    <pivotField compact="0" outline="0" subtotalTop="0" showAll="0" defaultSubtotal="0"/>
    <pivotField compact="0" numFmtId="164"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showAll="0" defaultSubtotal="0">
      <items count="5">
        <item m="1" x="2"/>
        <item x="0"/>
        <item x="1"/>
        <item m="1" x="4"/>
        <item m="1" x="3"/>
      </items>
    </pivotField>
    <pivotField compact="0" outline="0" showAll="0" defaultSubtotal="0"/>
    <pivotField compact="0" outline="0" subtotalTop="0" showAll="0" defaultSubtotal="0"/>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3">
    <field x="5"/>
    <field x="1"/>
    <field x="2"/>
  </rowFields>
  <rowItems count="42">
    <i>
      <x v="1"/>
      <x v="10"/>
      <x v="8"/>
    </i>
    <i r="1">
      <x v="54"/>
      <x v="39"/>
    </i>
    <i>
      <x v="4"/>
      <x v="45"/>
      <x v="8"/>
    </i>
    <i r="1">
      <x v="53"/>
      <x v="38"/>
    </i>
    <i>
      <x v="5"/>
      <x v="15"/>
      <x v="10"/>
    </i>
    <i r="1">
      <x v="46"/>
      <x v="8"/>
    </i>
    <i r="1">
      <x v="53"/>
      <x v="38"/>
    </i>
    <i>
      <x v="8"/>
      <x v="56"/>
      <x v="55"/>
    </i>
    <i>
      <x v="17"/>
      <x v="12"/>
      <x v="8"/>
    </i>
    <i r="1">
      <x v="15"/>
      <x v="10"/>
    </i>
    <i r="1">
      <x v="18"/>
      <x v="12"/>
    </i>
    <i r="1">
      <x v="21"/>
      <x v="45"/>
    </i>
    <i r="1">
      <x v="54"/>
      <x v="39"/>
    </i>
    <i r="1">
      <x v="60"/>
      <x v="44"/>
    </i>
    <i>
      <x v="21"/>
      <x v="8"/>
      <x v="8"/>
    </i>
    <i r="1">
      <x v="9"/>
      <x v="8"/>
    </i>
    <i r="1">
      <x v="15"/>
      <x v="10"/>
    </i>
    <i>
      <x v="22"/>
      <x v="8"/>
      <x v="8"/>
    </i>
    <i r="1">
      <x v="15"/>
      <x v="10"/>
    </i>
    <i>
      <x v="24"/>
      <x v="10"/>
      <x v="8"/>
    </i>
    <i r="1">
      <x v="15"/>
      <x v="10"/>
    </i>
    <i r="1">
      <x v="21"/>
      <x v="15"/>
    </i>
    <i r="1">
      <x v="45"/>
      <x v="8"/>
    </i>
    <i r="1">
      <x v="54"/>
      <x v="39"/>
    </i>
    <i r="1">
      <x v="60"/>
      <x v="44"/>
    </i>
    <i>
      <x v="28"/>
      <x v="15"/>
      <x v="10"/>
    </i>
    <i r="1">
      <x v="46"/>
      <x v="8"/>
    </i>
    <i r="1">
      <x v="47"/>
    </i>
    <i r="1">
      <x v="53"/>
      <x v="38"/>
    </i>
    <i>
      <x v="40"/>
      <x v="14"/>
      <x v="8"/>
    </i>
    <i r="1">
      <x v="48"/>
      <x v="57"/>
    </i>
    <i r="1">
      <x v="54"/>
      <x v="39"/>
    </i>
    <i>
      <x v="42"/>
      <x v="45"/>
      <x v="8"/>
    </i>
    <i>
      <x v="43"/>
      <x v="15"/>
      <x v="10"/>
    </i>
    <i r="1">
      <x v="45"/>
      <x v="8"/>
    </i>
    <i>
      <x v="44"/>
      <x v="15"/>
      <x v="10"/>
    </i>
    <i r="1">
      <x v="21"/>
      <x v="15"/>
    </i>
    <i r="1">
      <x v="45"/>
      <x v="8"/>
    </i>
    <i r="1">
      <x v="46"/>
      <x v="8"/>
    </i>
    <i r="1">
      <x v="47"/>
    </i>
    <i r="1">
      <x v="53"/>
      <x v="38"/>
    </i>
    <i r="1">
      <x v="56"/>
      <x v="55"/>
    </i>
  </rowItems>
  <colItems count="1">
    <i/>
  </colItems>
  <pageFields count="4">
    <pageField fld="0" hier="-1"/>
    <pageField fld="142" item="1" hier="-1"/>
    <pageField fld="6" hier="-1"/>
    <pageField fld="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F1:G65" firstHeaderRow="1" firstDataRow="1" firstDataCol="2"/>
  <pivotFields count="3">
    <pivotField axis="axisRow" compact="0" outline="0" showAll="0" defaultSubtotal="0">
      <items count="11">
        <item x="4"/>
        <item x="5"/>
        <item x="3"/>
        <item x="0"/>
        <item x="6"/>
        <item x="7"/>
        <item x="9"/>
        <item x="2"/>
        <item x="10"/>
        <item x="1"/>
        <item x="8"/>
      </items>
      <extLst>
        <ext xmlns:x14="http://schemas.microsoft.com/office/spreadsheetml/2009/9/main" uri="{2946ED86-A175-432a-8AC1-64E0C546D7DE}">
          <x14:pivotField fillDownLabels="1"/>
        </ext>
      </extLst>
    </pivotField>
    <pivotField axis="axisRow" compact="0" outline="0" showAll="0" defaultSubtotal="0">
      <items count="39">
        <item x="25"/>
        <item x="15"/>
        <item x="35"/>
        <item x="36"/>
        <item x="32"/>
        <item x="9"/>
        <item x="6"/>
        <item x="27"/>
        <item x="37"/>
        <item x="10"/>
        <item x="0"/>
        <item x="1"/>
        <item x="38"/>
        <item x="11"/>
        <item x="33"/>
        <item x="14"/>
        <item x="28"/>
        <item x="2"/>
        <item x="29"/>
        <item x="26"/>
        <item x="16"/>
        <item x="12"/>
        <item x="8"/>
        <item x="17"/>
        <item x="13"/>
        <item x="30"/>
        <item x="3"/>
        <item x="4"/>
        <item x="7"/>
        <item x="34"/>
        <item x="31"/>
        <item x="24"/>
        <item x="21"/>
        <item x="20"/>
        <item x="19"/>
        <item x="18"/>
        <item x="22"/>
        <item x="2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64">
    <i>
      <x/>
      <x/>
    </i>
    <i r="1">
      <x v="19"/>
    </i>
    <i r="1">
      <x v="34"/>
    </i>
    <i r="1">
      <x v="35"/>
    </i>
    <i>
      <x v="1"/>
      <x v="34"/>
    </i>
    <i r="1">
      <x v="35"/>
    </i>
    <i>
      <x v="2"/>
      <x/>
    </i>
    <i r="1">
      <x v="4"/>
    </i>
    <i r="1">
      <x v="11"/>
    </i>
    <i r="1">
      <x v="14"/>
    </i>
    <i r="1">
      <x v="22"/>
    </i>
    <i r="1">
      <x v="29"/>
    </i>
    <i>
      <x v="3"/>
      <x v="6"/>
    </i>
    <i r="1">
      <x v="7"/>
    </i>
    <i r="1">
      <x v="10"/>
    </i>
    <i r="1">
      <x v="11"/>
    </i>
    <i r="1">
      <x v="17"/>
    </i>
    <i r="1">
      <x v="22"/>
    </i>
    <i r="1">
      <x v="26"/>
    </i>
    <i r="1">
      <x v="27"/>
    </i>
    <i r="1">
      <x v="28"/>
    </i>
    <i r="1">
      <x v="38"/>
    </i>
    <i>
      <x v="4"/>
      <x v="32"/>
    </i>
    <i r="1">
      <x v="33"/>
    </i>
    <i r="1">
      <x v="36"/>
    </i>
    <i>
      <x v="5"/>
      <x v="31"/>
    </i>
    <i r="1">
      <x v="32"/>
    </i>
    <i r="1">
      <x v="33"/>
    </i>
    <i r="1">
      <x v="34"/>
    </i>
    <i r="1">
      <x v="35"/>
    </i>
    <i r="1">
      <x v="37"/>
    </i>
    <i>
      <x v="6"/>
      <x v="11"/>
    </i>
    <i r="1">
      <x v="14"/>
    </i>
    <i>
      <x v="7"/>
      <x v="1"/>
    </i>
    <i r="1">
      <x v="2"/>
    </i>
    <i r="1">
      <x v="3"/>
    </i>
    <i r="1">
      <x v="5"/>
    </i>
    <i r="1">
      <x v="8"/>
    </i>
    <i r="1">
      <x v="9"/>
    </i>
    <i r="1">
      <x v="12"/>
    </i>
    <i r="1">
      <x v="13"/>
    </i>
    <i r="1">
      <x v="20"/>
    </i>
    <i r="1">
      <x v="21"/>
    </i>
    <i r="1">
      <x v="22"/>
    </i>
    <i r="1">
      <x v="23"/>
    </i>
    <i r="1">
      <x v="24"/>
    </i>
    <i r="1">
      <x v="27"/>
    </i>
    <i r="1">
      <x v="30"/>
    </i>
    <i>
      <x v="8"/>
      <x v="30"/>
    </i>
    <i>
      <x v="9"/>
      <x/>
    </i>
    <i r="1">
      <x v="6"/>
    </i>
    <i r="1">
      <x v="7"/>
    </i>
    <i r="1">
      <x v="11"/>
    </i>
    <i r="1">
      <x v="15"/>
    </i>
    <i r="1">
      <x v="16"/>
    </i>
    <i r="1">
      <x v="17"/>
    </i>
    <i r="1">
      <x v="18"/>
    </i>
    <i r="1">
      <x v="25"/>
    </i>
    <i r="1">
      <x v="30"/>
    </i>
    <i>
      <x v="10"/>
      <x/>
    </i>
    <i r="1">
      <x v="24"/>
    </i>
    <i r="1">
      <x v="33"/>
    </i>
    <i r="1">
      <x v="3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6" applyNumberFormats="0" applyBorderFormats="0" applyFontFormats="0" applyPatternFormats="0" applyAlignmentFormats="0" applyWidthHeightFormats="1" dataCaption="Values" updatedVersion="6" minRefreshableVersion="3" rowGrandTotals="0" colGrandTotals="0" itemPrintTitles="1" createdVersion="6" indent="0" showHeaders="0" compact="0" compactData="0" multipleFieldFilters="0">
  <location ref="Q5:AE45" firstHeaderRow="0" firstDataRow="1" firstDataCol="1" rowPageCount="3" colPageCount="1"/>
  <pivotFields count="155">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3"/>
        <item x="0"/>
        <item m="1" x="2"/>
        <item m="1" x="5"/>
        <item m="1" x="4"/>
      </items>
    </pivotField>
    <pivotField compact="0" outline="0" subtotalTop="0" showAll="0" defaultSubtotal="0"/>
    <pivotField axis="axisPage" compact="0" outline="0" multipleItemSelectionAllowed="1" showAll="0" defaultSubtotal="0">
      <items count="14">
        <item x="0"/>
        <item x="1"/>
        <item m="1" x="11"/>
        <item h="1" x="3"/>
        <item h="1" m="1" x="13"/>
        <item h="1" m="1" x="7"/>
        <item h="1" m="1" x="10"/>
        <item h="1" m="1" x="6"/>
        <item m="1" x="8"/>
        <item m="1" x="9"/>
        <item h="1" m="1" x="12"/>
        <item h="1" m="1" x="4"/>
        <item h="1" m="1" x="5"/>
        <item x="2"/>
      </items>
    </pivotField>
    <pivotField axis="axisRow" compact="0" outline="0" subtotalTop="0" showAll="0" defaultSubtotal="0">
      <items count="1068">
        <item m="1" x="910"/>
        <item m="1" x="1051"/>
        <item m="1" x="495"/>
        <item m="1" x="740"/>
        <item m="1" x="312"/>
        <item m="1" x="506"/>
        <item m="1" x="621"/>
        <item x="119"/>
        <item x="179"/>
        <item x="180"/>
        <item x="154"/>
        <item x="155"/>
        <item x="95"/>
        <item m="1" x="479"/>
        <item m="1" x="363"/>
        <item m="1" x="609"/>
        <item m="1" x="278"/>
        <item m="1" x="736"/>
        <item m="1" x="319"/>
        <item m="1" x="583"/>
        <item m="1" x="701"/>
        <item m="1" x="716"/>
        <item m="1" x="899"/>
        <item m="1" x="846"/>
        <item m="1" x="491"/>
        <item m="1" x="773"/>
        <item m="1" x="321"/>
        <item m="1" x="975"/>
        <item m="1" x="879"/>
        <item m="1" x="333"/>
        <item m="1" x="763"/>
        <item m="1" x="545"/>
        <item m="1" x="917"/>
        <item m="1" x="858"/>
        <item m="1" x="940"/>
        <item m="1" x="887"/>
        <item m="1" x="827"/>
        <item m="1" x="714"/>
        <item m="1" x="430"/>
        <item m="1" x="962"/>
        <item m="1" x="401"/>
        <item m="1" x="838"/>
        <item m="1" x="467"/>
        <item m="1" x="977"/>
        <item m="1" x="436"/>
        <item m="1" x="453"/>
        <item m="1" x="826"/>
        <item m="1" x="435"/>
        <item m="1" x="808"/>
        <item m="1" x="560"/>
        <item m="1" x="1002"/>
        <item m="1" x="320"/>
        <item m="1" x="739"/>
        <item m="1" x="451"/>
        <item m="1" x="1052"/>
        <item m="1" x="359"/>
        <item m="1" x="878"/>
        <item m="1" x="1050"/>
        <item m="1" x="231"/>
        <item m="1" x="787"/>
        <item m="1" x="607"/>
        <item m="1" x="678"/>
        <item m="1" x="679"/>
        <item m="1" x="673"/>
        <item m="1" x="249"/>
        <item x="70"/>
        <item m="1" x="1013"/>
        <item m="1" x="1053"/>
        <item m="1" x="774"/>
        <item m="1" x="503"/>
        <item m="1" x="1046"/>
        <item m="1" x="690"/>
        <item m="1" x="1061"/>
        <item m="1" x="524"/>
        <item m="1" x="1024"/>
        <item m="1" x="388"/>
        <item m="1" x="252"/>
        <item m="1" x="242"/>
        <item m="1" x="711"/>
        <item m="1" x="968"/>
        <item m="1" x="421"/>
        <item x="156"/>
        <item m="1" x="343"/>
        <item m="1" x="437"/>
        <item m="1" x="915"/>
        <item m="1" x="868"/>
        <item m="1" x="708"/>
        <item m="1" x="932"/>
        <item m="1" x="267"/>
        <item m="1" x="374"/>
        <item m="1" x="596"/>
        <item m="1" x="229"/>
        <item m="1" x="831"/>
        <item m="1" x="658"/>
        <item m="1" x="981"/>
        <item m="1" x="832"/>
        <item m="1" x="924"/>
        <item m="1" x="592"/>
        <item m="1" x="638"/>
        <item m="1" x="746"/>
        <item m="1" x="567"/>
        <item m="1" x="549"/>
        <item m="1" x="476"/>
        <item m="1" x="431"/>
        <item x="63"/>
        <item m="1" x="1047"/>
        <item m="1" x="1003"/>
        <item m="1" x="771"/>
        <item m="1" x="517"/>
        <item m="1" x="828"/>
        <item x="192"/>
        <item m="1" x="649"/>
        <item m="1" x="969"/>
        <item m="1" x="462"/>
        <item m="1" x="371"/>
        <item m="1" x="761"/>
        <item m="1" x="734"/>
        <item m="1" x="792"/>
        <item m="1" x="240"/>
        <item m="1" x="263"/>
        <item x="157"/>
        <item m="1" x="942"/>
        <item m="1" x="472"/>
        <item m="1" x="386"/>
        <item m="1" x="468"/>
        <item x="152"/>
        <item m="1" x="659"/>
        <item m="1" x="635"/>
        <item m="1" x="423"/>
        <item m="1" x="235"/>
        <item m="1" x="783"/>
        <item m="1" x="821"/>
        <item m="1" x="221"/>
        <item m="1" x="767"/>
        <item m="1" x="1006"/>
        <item m="1" x="682"/>
        <item m="1" x="268"/>
        <item m="1" x="893"/>
        <item m="1" x="293"/>
        <item m="1" x="405"/>
        <item m="1" x="262"/>
        <item m="1" x="935"/>
        <item x="158"/>
        <item m="1" x="867"/>
        <item m="1" x="598"/>
        <item m="1" x="492"/>
        <item m="1" x="793"/>
        <item m="1" x="470"/>
        <item m="1" x="925"/>
        <item m="1" x="973"/>
        <item m="1" x="885"/>
        <item m="1" x="655"/>
        <item m="1" x="420"/>
        <item x="18"/>
        <item m="1" x="840"/>
        <item x="54"/>
        <item m="1" x="661"/>
        <item x="132"/>
        <item x="91"/>
        <item m="1" x="990"/>
        <item m="1" x="361"/>
        <item x="77"/>
        <item m="1" x="1011"/>
        <item m="1" x="338"/>
        <item m="1" x="731"/>
        <item m="1" x="606"/>
        <item m="1" x="948"/>
        <item m="1" x="636"/>
        <item m="1" x="895"/>
        <item m="1" x="270"/>
        <item m="1" x="796"/>
        <item m="1" x="724"/>
        <item m="1" x="988"/>
        <item m="1" x="929"/>
        <item m="1" x="834"/>
        <item m="1" x="709"/>
        <item m="1" x="569"/>
        <item m="1" x="788"/>
        <item m="1" x="640"/>
        <item m="1" x="805"/>
        <item m="1" x="889"/>
        <item m="1" x="211"/>
        <item m="1" x="303"/>
        <item m="1" x="674"/>
        <item m="1" x="238"/>
        <item x="140"/>
        <item x="191"/>
        <item x="172"/>
        <item x="38"/>
        <item m="1" x="329"/>
        <item m="1" x="228"/>
        <item m="1" x="631"/>
        <item x="4"/>
        <item m="1" x="232"/>
        <item m="1" x="534"/>
        <item m="1" x="601"/>
        <item m="1" x="811"/>
        <item m="1" x="493"/>
        <item m="1" x="256"/>
        <item m="1" x="758"/>
        <item m="1" x="949"/>
        <item x="101"/>
        <item m="1" x="754"/>
        <item x="159"/>
        <item m="1" x="332"/>
        <item m="1" x="494"/>
        <item m="1" x="759"/>
        <item m="1" x="984"/>
        <item x="3"/>
        <item m="1" x="251"/>
        <item m="1" x="971"/>
        <item m="1" x="820"/>
        <item x="96"/>
        <item m="1" x="358"/>
        <item m="1" x="697"/>
        <item m="1" x="670"/>
        <item m="1" x="442"/>
        <item x="182"/>
        <item x="71"/>
        <item x="79"/>
        <item x="111"/>
        <item m="1" x="769"/>
        <item m="1" x="809"/>
        <item m="1" x="461"/>
        <item m="1" x="291"/>
        <item m="1" x="385"/>
        <item m="1" x="778"/>
        <item m="1" x="738"/>
        <item m="1" x="403"/>
        <item x="19"/>
        <item x="55"/>
        <item x="20"/>
        <item x="15"/>
        <item m="1" x="695"/>
        <item x="56"/>
        <item m="1" x="1020"/>
        <item m="1" x="1063"/>
        <item m="1" x="578"/>
        <item m="1" x="930"/>
        <item m="1" x="958"/>
        <item m="1" x="438"/>
        <item m="1" x="555"/>
        <item m="1" x="526"/>
        <item x="97"/>
        <item m="1" x="456"/>
        <item m="1" x="703"/>
        <item m="1" x="664"/>
        <item m="1" x="540"/>
        <item m="1" x="656"/>
        <item m="1" x="870"/>
        <item m="1" x="416"/>
        <item m="1" x="812"/>
        <item m="1" x="364"/>
        <item m="1" x="410"/>
        <item m="1" x="748"/>
        <item m="1" x="412"/>
        <item m="1" x="483"/>
        <item m="1" x="642"/>
        <item m="1" x="800"/>
        <item m="1" x="980"/>
        <item m="1" x="541"/>
        <item m="1" x="755"/>
        <item m="1" x="286"/>
        <item m="1" x="901"/>
        <item m="1" x="665"/>
        <item m="1" x="933"/>
        <item m="1" x="348"/>
        <item x="48"/>
        <item m="1" x="290"/>
        <item m="1" x="672"/>
        <item m="1" x="452"/>
        <item m="1" x="511"/>
        <item m="1" x="600"/>
        <item m="1" x="1037"/>
        <item m="1" x="282"/>
        <item m="1" x="618"/>
        <item m="1" x="444"/>
        <item m="1" x="572"/>
        <item x="98"/>
        <item m="1" x="516"/>
        <item m="1" x="1055"/>
        <item m="1" x="365"/>
        <item m="1" x="574"/>
        <item m="1" x="757"/>
        <item m="1" x="693"/>
        <item m="1" x="387"/>
        <item m="1" x="478"/>
        <item m="1" x="794"/>
        <item m="1" x="764"/>
        <item m="1" x="519"/>
        <item m="1" x="810"/>
        <item m="1" x="514"/>
        <item m="1" x="305"/>
        <item m="1" x="389"/>
        <item m="1" x="318"/>
        <item m="1" x="770"/>
        <item m="1" x="1008"/>
        <item m="1" x="429"/>
        <item m="1" x="573"/>
        <item m="1" x="751"/>
        <item m="1" x="326"/>
        <item x="80"/>
        <item x="81"/>
        <item m="1" x="1027"/>
        <item m="1" x="613"/>
        <item m="1" x="310"/>
        <item m="1" x="530"/>
        <item m="1" x="1021"/>
        <item m="1" x="380"/>
        <item m="1" x="352"/>
        <item m="1" x="784"/>
        <item m="1" x="848"/>
        <item m="1" x="347"/>
        <item m="1" x="837"/>
        <item m="1" x="271"/>
        <item m="1" x="345"/>
        <item m="1" x="916"/>
        <item m="1" x="395"/>
        <item m="1" x="648"/>
        <item m="1" x="963"/>
        <item m="1" x="1041"/>
        <item m="1" x="1057"/>
        <item m="1" x="328"/>
        <item m="1" x="287"/>
        <item m="1" x="433"/>
        <item m="1" x="926"/>
        <item m="1" x="707"/>
        <item m="1" x="381"/>
        <item m="1" x="797"/>
        <item m="1" x="1001"/>
        <item m="1" x="662"/>
        <item m="1" x="382"/>
        <item m="1" x="415"/>
        <item m="1" x="487"/>
        <item m="1" x="266"/>
        <item m="1" x="863"/>
        <item m="1" x="336"/>
        <item m="1" x="819"/>
        <item m="1" x="284"/>
        <item m="1" x="941"/>
        <item m="1" x="979"/>
        <item m="1" x="331"/>
        <item m="1" x="599"/>
        <item m="1" x="944"/>
        <item m="1" x="402"/>
        <item m="1" x="982"/>
        <item m="1" x="276"/>
        <item x="106"/>
        <item m="1" x="559"/>
        <item m="1" x="625"/>
        <item m="1" x="719"/>
        <item m="1" x="224"/>
        <item m="1" x="1039"/>
        <item x="8"/>
        <item m="1" x="928"/>
        <item m="1" x="651"/>
        <item m="1" x="464"/>
        <item m="1" x="978"/>
        <item m="1" x="408"/>
        <item m="1" x="356"/>
        <item x="16"/>
        <item m="1" x="934"/>
        <item m="1" x="258"/>
        <item m="1" x="488"/>
        <item m="1" x="590"/>
        <item m="1" x="311"/>
        <item x="195"/>
        <item m="1" x="289"/>
        <item m="1" x="698"/>
        <item m="1" x="300"/>
        <item m="1" x="912"/>
        <item x="124"/>
        <item m="1" x="829"/>
        <item x="160"/>
        <item m="1" x="272"/>
        <item x="21"/>
        <item x="22"/>
        <item m="1" x="379"/>
        <item m="1" x="1065"/>
        <item m="1" x="591"/>
        <item m="1" x="269"/>
        <item m="1" x="212"/>
        <item m="1" x="886"/>
        <item m="1" x="536"/>
        <item m="1" x="264"/>
        <item m="1" x="741"/>
        <item m="1" x="498"/>
        <item m="1" x="324"/>
        <item x="153"/>
        <item x="196"/>
        <item m="1" x="849"/>
        <item m="1" x="525"/>
        <item m="1" x="637"/>
        <item x="161"/>
        <item x="162"/>
        <item x="72"/>
        <item x="107"/>
        <item x="183"/>
        <item x="184"/>
        <item x="185"/>
        <item x="49"/>
        <item m="1" x="339"/>
        <item m="1" x="280"/>
        <item m="1" x="325"/>
        <item x="32"/>
        <item m="1" x="972"/>
        <item x="135"/>
        <item m="1" x="896"/>
        <item x="9"/>
        <item m="1" x="890"/>
        <item m="1" x="375"/>
        <item m="1" x="547"/>
        <item x="39"/>
        <item x="40"/>
        <item x="82"/>
        <item m="1" x="425"/>
        <item x="173"/>
        <item x="64"/>
        <item x="41"/>
        <item x="42"/>
        <item x="7"/>
        <item x="130"/>
        <item m="1" x="918"/>
        <item x="23"/>
        <item x="99"/>
        <item x="186"/>
        <item x="24"/>
        <item x="128"/>
        <item m="1" x="400"/>
        <item x="83"/>
        <item m="1" x="1025"/>
        <item m="1" x="566"/>
        <item x="66"/>
        <item x="67"/>
        <item x="68"/>
        <item x="69"/>
        <item m="1" x="713"/>
        <item m="1" x="213"/>
        <item m="1" x="367"/>
        <item x="94"/>
        <item x="117"/>
        <item m="1" x="223"/>
        <item m="1" x="316"/>
        <item x="93"/>
        <item m="1" x="623"/>
        <item m="1" x="277"/>
        <item m="1" x="989"/>
        <item m="1" x="943"/>
        <item m="1" x="413"/>
        <item m="1" x="501"/>
        <item m="1" x="330"/>
        <item x="167"/>
        <item x="168"/>
        <item m="1" x="254"/>
        <item m="1" x="315"/>
        <item m="1" x="914"/>
        <item x="125"/>
        <item m="1" x="428"/>
        <item m="1" x="515"/>
        <item m="1" x="247"/>
        <item m="1" x="466"/>
        <item m="1" x="327"/>
        <item m="1" x="337"/>
        <item m="1" x="485"/>
        <item m="1" x="346"/>
        <item m="1" x="350"/>
        <item m="1" x="520"/>
        <item m="1" x="1029"/>
        <item m="1" x="404"/>
        <item m="1" x="705"/>
        <item m="1" x="956"/>
        <item m="1" x="1014"/>
        <item m="1" x="353"/>
        <item m="1" x="760"/>
        <item x="84"/>
        <item m="1" x="874"/>
        <item m="1" x="273"/>
        <item m="1" x="729"/>
        <item m="1" x="571"/>
        <item x="100"/>
        <item x="2"/>
        <item m="1" x="593"/>
        <item m="1" x="772"/>
        <item m="1" x="722"/>
        <item m="1" x="976"/>
        <item x="85"/>
        <item m="1" x="806"/>
        <item m="1" x="383"/>
        <item m="1" x="594"/>
        <item m="1" x="669"/>
        <item m="1" x="285"/>
        <item m="1" x="866"/>
        <item m="1" x="556"/>
        <item x="5"/>
        <item m="1" x="745"/>
        <item m="1" x="335"/>
        <item m="1" x="946"/>
        <item m="1" x="484"/>
        <item m="1" x="1056"/>
        <item m="1" x="671"/>
        <item m="1" x="994"/>
        <item m="1" x="504"/>
        <item m="1" x="951"/>
        <item m="1" x="847"/>
        <item m="1" x="955"/>
        <item m="1" x="397"/>
        <item m="1" x="775"/>
        <item m="1" x="533"/>
        <item m="1" x="510"/>
        <item m="1" x="561"/>
        <item m="1" x="584"/>
        <item x="115"/>
        <item x="103"/>
        <item x="104"/>
        <item x="116"/>
        <item m="1" x="692"/>
        <item x="86"/>
        <item m="1" x="406"/>
        <item x="87"/>
        <item x="163"/>
        <item m="1" x="512"/>
        <item x="74"/>
        <item x="108"/>
        <item m="1" x="1018"/>
        <item x="10"/>
        <item m="1" x="419"/>
        <item x="11"/>
        <item m="1" x="861"/>
        <item x="57"/>
        <item m="1" x="822"/>
        <item m="1" x="986"/>
        <item x="50"/>
        <item m="1" x="295"/>
        <item m="1" x="544"/>
        <item m="1" x="873"/>
        <item x="12"/>
        <item m="1" x="398"/>
        <item m="1" x="913"/>
        <item m="1" x="950"/>
        <item m="1" x="961"/>
        <item m="1" x="220"/>
        <item m="1" x="306"/>
        <item x="174"/>
        <item x="14"/>
        <item m="1" x="660"/>
        <item m="1" x="215"/>
        <item m="1" x="554"/>
        <item x="35"/>
        <item m="1" x="1059"/>
        <item x="88"/>
        <item m="1" x="463"/>
        <item m="1" x="702"/>
        <item m="1" x="576"/>
        <item m="1" x="795"/>
        <item m="1" x="850"/>
        <item m="1" x="687"/>
        <item m="1" x="605"/>
        <item m="1" x="535"/>
        <item m="1" x="354"/>
        <item m="1" x="564"/>
        <item m="1" x="616"/>
        <item m="1" x="939"/>
        <item m="1" x="384"/>
        <item m="1" x="652"/>
        <item m="1" x="219"/>
        <item m="1" x="507"/>
        <item m="1" x="992"/>
        <item m="1" x="376"/>
        <item m="1" x="432"/>
        <item m="1" x="872"/>
        <item m="1" x="502"/>
        <item m="1" x="629"/>
        <item m="1" x="362"/>
        <item m="1" x="422"/>
        <item m="1" x="750"/>
        <item m="1" x="966"/>
        <item m="1" x="835"/>
        <item x="193"/>
        <item m="1" x="355"/>
        <item m="1" x="304"/>
        <item x="25"/>
        <item m="1" x="372"/>
        <item m="1" x="604"/>
        <item m="1" x="1022"/>
        <item m="1" x="585"/>
        <item m="1" x="877"/>
        <item x="188"/>
        <item m="1" x="542"/>
        <item m="1" x="292"/>
        <item m="1" x="445"/>
        <item m="1" x="1044"/>
        <item m="1" x="632"/>
        <item m="1" x="518"/>
        <item m="1" x="288"/>
        <item m="1" x="881"/>
        <item m="1" x="543"/>
        <item m="1" x="747"/>
        <item m="1" x="391"/>
        <item m="1" x="473"/>
        <item m="1" x="987"/>
        <item m="1" x="647"/>
        <item m="1" x="909"/>
        <item m="1" x="974"/>
        <item m="1" x="390"/>
        <item m="1" x="782"/>
        <item m="1" x="457"/>
        <item m="1" x="1043"/>
        <item x="58"/>
        <item x="59"/>
        <item x="194"/>
        <item m="1" x="824"/>
        <item m="1" x="529"/>
        <item m="1" x="657"/>
        <item x="43"/>
        <item m="1" x="785"/>
        <item m="1" x="399"/>
        <item m="1" x="580"/>
        <item x="60"/>
        <item x="89"/>
        <item m="1" x="922"/>
        <item x="109"/>
        <item m="1" x="508"/>
        <item m="1" x="205"/>
        <item x="33"/>
        <item m="1" x="643"/>
        <item m="1" x="1023"/>
        <item m="1" x="817"/>
        <item m="1" x="891"/>
        <item m="1" x="720"/>
        <item m="1" x="505"/>
        <item m="1" x="1045"/>
        <item x="73"/>
        <item m="1" x="531"/>
        <item m="1" x="993"/>
        <item m="1" x="869"/>
        <item m="1" x="685"/>
        <item m="1" x="588"/>
        <item m="1" x="562"/>
        <item m="1" x="349"/>
        <item m="1" x="407"/>
        <item m="1" x="712"/>
        <item m="1" x="768"/>
        <item m="1" x="446"/>
        <item m="1" x="710"/>
        <item m="1" x="612"/>
        <item m="1" x="681"/>
        <item m="1" x="377"/>
        <item m="1" x="257"/>
        <item m="1" x="482"/>
        <item m="1" x="844"/>
        <item m="1" x="334"/>
        <item m="1" x="802"/>
        <item m="1" x="900"/>
        <item m="1" x="603"/>
        <item m="1" x="998"/>
        <item m="1" x="608"/>
        <item m="1" x="931"/>
        <item m="1" x="261"/>
        <item m="1" x="500"/>
        <item m="1" x="641"/>
        <item m="1" x="1007"/>
        <item m="1" x="527"/>
        <item m="1" x="843"/>
        <item m="1" x="742"/>
        <item m="1" x="680"/>
        <item m="1" x="233"/>
        <item m="1" x="368"/>
        <item x="175"/>
        <item x="44"/>
        <item m="1" x="675"/>
        <item m="1" x="298"/>
        <item m="1" x="528"/>
        <item m="1" x="550"/>
        <item m="1" x="737"/>
        <item m="1" x="715"/>
        <item m="1" x="997"/>
        <item m="1" x="357"/>
        <item m="1" x="454"/>
        <item m="1" x="208"/>
        <item m="1" x="342"/>
        <item m="1" x="322"/>
        <item x="164"/>
        <item m="1" x="780"/>
        <item m="1" x="798"/>
        <item x="181"/>
        <item x="122"/>
        <item m="1" x="537"/>
        <item m="1" x="743"/>
        <item m="1" x="595"/>
        <item m="1" x="959"/>
        <item m="1" x="644"/>
        <item m="1" x="217"/>
        <item m="1" x="366"/>
        <item x="148"/>
        <item m="1" x="589"/>
        <item x="36"/>
        <item m="1" x="628"/>
        <item m="1" x="999"/>
        <item m="1" x="964"/>
        <item m="1" x="991"/>
        <item m="1" x="499"/>
        <item m="1" x="477"/>
        <item x="13"/>
        <item m="1" x="1015"/>
        <item m="1" x="475"/>
        <item m="1" x="553"/>
        <item m="1" x="622"/>
        <item m="1" x="799"/>
        <item m="1" x="842"/>
        <item m="1" x="871"/>
        <item m="1" x="683"/>
        <item m="1" x="833"/>
        <item m="1" x="945"/>
        <item m="1" x="864"/>
        <item m="1" x="548"/>
        <item m="1" x="735"/>
        <item m="1" x="894"/>
        <item m="1" x="706"/>
        <item m="1" x="876"/>
        <item m="1" x="814"/>
        <item x="139"/>
        <item m="1" x="1048"/>
        <item m="1" x="880"/>
        <item x="189"/>
        <item m="1" x="209"/>
        <item m="1" x="297"/>
        <item m="1" x="546"/>
        <item m="1" x="804"/>
        <item m="1" x="908"/>
        <item x="45"/>
        <item m="1" x="1060"/>
        <item x="6"/>
        <item m="1" x="684"/>
        <item m="1" x="551"/>
        <item m="1" x="1036"/>
        <item x="26"/>
        <item x="170"/>
        <item m="1" x="302"/>
        <item m="1" x="563"/>
        <item x="46"/>
        <item m="1" x="815"/>
        <item m="1" x="360"/>
        <item m="1" x="1042"/>
        <item x="34"/>
        <item x="110"/>
        <item m="1" x="688"/>
        <item m="1" x="522"/>
        <item m="1" x="816"/>
        <item m="1" x="752"/>
        <item m="1" x="577"/>
        <item m="1" x="237"/>
        <item m="1" x="654"/>
        <item m="1" x="689"/>
        <item m="1" x="309"/>
        <item m="1" x="424"/>
        <item m="1" x="480"/>
        <item m="1" x="587"/>
        <item m="1" x="853"/>
        <item x="27"/>
        <item m="1" x="471"/>
        <item m="1" x="236"/>
        <item m="1" x="875"/>
        <item m="1" x="920"/>
        <item m="1" x="841"/>
        <item m="1" x="1035"/>
        <item m="1" x="960"/>
        <item m="1" x="243"/>
        <item m="1" x="239"/>
        <item m="1" x="663"/>
        <item m="1" x="226"/>
        <item m="1" x="676"/>
        <item m="1" x="927"/>
        <item m="1" x="839"/>
        <item m="1" x="489"/>
        <item m="1" x="455"/>
        <item m="1" x="418"/>
        <item m="1" x="789"/>
        <item m="1" x="568"/>
        <item m="1" x="852"/>
        <item m="1" x="218"/>
        <item m="1" x="855"/>
        <item m="1" x="677"/>
        <item m="1" x="906"/>
        <item x="61"/>
        <item x="53"/>
        <item m="1" x="854"/>
        <item m="1" x="299"/>
        <item m="1" x="904"/>
        <item m="1" x="823"/>
        <item m="1" x="378"/>
        <item m="1" x="1062"/>
        <item m="1" x="369"/>
        <item m="1" x="281"/>
        <item m="1" x="985"/>
        <item m="1" x="907"/>
        <item m="1" x="921"/>
        <item m="1" x="779"/>
        <item m="1" x="762"/>
        <item m="1" x="859"/>
        <item x="62"/>
        <item x="37"/>
        <item m="1" x="210"/>
        <item m="1" x="496"/>
        <item m="1" x="1038"/>
        <item m="1" x="923"/>
        <item x="28"/>
        <item x="171"/>
        <item m="1" x="513"/>
        <item x="29"/>
        <item x="30"/>
        <item m="1" x="340"/>
        <item m="1" x="898"/>
        <item m="1" x="753"/>
        <item m="1" x="686"/>
        <item m="1" x="749"/>
        <item m="1" x="765"/>
        <item m="1" x="575"/>
        <item m="1" x="234"/>
        <item m="1" x="615"/>
        <item m="1" x="1034"/>
        <item m="1" x="718"/>
        <item m="1" x="296"/>
        <item m="1" x="801"/>
        <item m="1" x="1040"/>
        <item m="1" x="283"/>
        <item m="1" x="1031"/>
        <item m="1" x="1032"/>
        <item m="1" x="862"/>
        <item m="1" x="1033"/>
        <item m="1" x="393"/>
        <item m="1" x="721"/>
        <item m="1" x="818"/>
        <item m="1" x="938"/>
        <item m="1" x="216"/>
        <item m="1" x="314"/>
        <item m="1" x="481"/>
        <item m="1" x="370"/>
        <item m="1" x="214"/>
        <item m="1" x="726"/>
        <item m="1" x="619"/>
        <item m="1" x="1010"/>
        <item m="1" x="1058"/>
        <item m="1" x="1017"/>
        <item m="1" x="967"/>
        <item m="1" x="301"/>
        <item m="1" x="717"/>
        <item m="1" x="565"/>
        <item m="1" x="486"/>
        <item m="1" x="396"/>
        <item m="1" x="459"/>
        <item m="1" x="248"/>
        <item m="1" x="996"/>
        <item m="1" x="552"/>
        <item m="1" x="570"/>
        <item m="1" x="539"/>
        <item m="1" x="777"/>
        <item m="1" x="1066"/>
        <item m="1" x="995"/>
        <item m="1" x="557"/>
        <item m="1" x="443"/>
        <item m="1" x="620"/>
        <item m="1" x="911"/>
        <item m="1" x="279"/>
        <item m="1" x="1000"/>
        <item m="1" x="450"/>
        <item x="177"/>
        <item m="1" x="696"/>
        <item m="1" x="1004"/>
        <item m="1" x="602"/>
        <item m="1" x="460"/>
        <item m="1" x="646"/>
        <item m="1" x="1028"/>
        <item m="1" x="1005"/>
        <item m="1" x="725"/>
        <item m="1" x="653"/>
        <item m="1" x="521"/>
        <item m="1" x="440"/>
        <item m="1" x="441"/>
        <item m="1" x="394"/>
        <item m="1" x="246"/>
        <item m="1" x="392"/>
        <item m="1" x="222"/>
        <item m="1" x="207"/>
        <item m="1" x="851"/>
        <item m="1" x="490"/>
        <item m="1" x="409"/>
        <item m="1" x="624"/>
        <item m="1" x="411"/>
        <item m="1" x="558"/>
        <item m="1" x="260"/>
        <item m="1" x="645"/>
        <item m="1" x="666"/>
        <item m="1" x="700"/>
        <item m="1" x="730"/>
        <item m="1" x="905"/>
        <item m="1" x="351"/>
        <item m="1" x="650"/>
        <item m="1" x="813"/>
        <item m="1" x="781"/>
        <item m="1" x="965"/>
        <item m="1" x="341"/>
        <item m="1" x="509"/>
        <item m="1" x="1054"/>
        <item m="1" x="523"/>
        <item m="1" x="733"/>
        <item m="1" x="776"/>
        <item m="1" x="449"/>
        <item m="1" x="860"/>
        <item m="1" x="791"/>
        <item m="1" x="903"/>
        <item m="1" x="581"/>
        <item m="1" x="414"/>
        <item m="1" x="756"/>
        <item x="31"/>
        <item m="1" x="307"/>
        <item x="75"/>
        <item m="1" x="639"/>
        <item m="1" x="857"/>
        <item m="1" x="308"/>
        <item m="1" x="845"/>
        <item m="1" x="1030"/>
        <item m="1" x="634"/>
        <item m="1" x="633"/>
        <item m="1" x="344"/>
        <item m="1" x="836"/>
        <item m="1" x="373"/>
        <item m="1" x="617"/>
        <item m="1" x="856"/>
        <item m="1" x="323"/>
        <item m="1" x="244"/>
        <item m="1" x="447"/>
        <item m="1" x="465"/>
        <item x="47"/>
        <item x="178"/>
        <item m="1" x="294"/>
        <item m="1" x="807"/>
        <item m="1" x="888"/>
        <item m="1" x="983"/>
        <item m="1" x="417"/>
        <item x="165"/>
        <item m="1" x="1019"/>
        <item m="1" x="458"/>
        <item m="1" x="1016"/>
        <item m="1" x="954"/>
        <item m="1" x="892"/>
        <item m="1" x="448"/>
        <item m="1" x="830"/>
        <item x="112"/>
        <item x="113"/>
        <item x="114"/>
        <item m="1" x="936"/>
        <item m="1" x="225"/>
        <item m="1" x="786"/>
        <item m="1" x="626"/>
        <item m="1" x="694"/>
        <item m="1" x="497"/>
        <item m="1" x="586"/>
        <item m="1" x="897"/>
        <item m="1" x="579"/>
        <item m="1" x="790"/>
        <item m="1" x="744"/>
        <item m="1" x="953"/>
        <item m="1" x="803"/>
        <item m="1" x="723"/>
        <item m="1" x="1009"/>
        <item m="1" x="582"/>
        <item m="1" x="253"/>
        <item m="1" x="1064"/>
        <item m="1" x="1049"/>
        <item m="1" x="313"/>
        <item m="1" x="1067"/>
        <item x="166"/>
        <item m="1" x="627"/>
        <item m="1" x="250"/>
        <item m="1" x="230"/>
        <item m="1" x="865"/>
        <item m="1" x="883"/>
        <item m="1" x="884"/>
        <item m="1" x="957"/>
        <item m="1" x="919"/>
        <item m="1" x="317"/>
        <item m="1" x="614"/>
        <item m="1" x="426"/>
        <item m="1" x="427"/>
        <item m="1" x="1026"/>
        <item m="1" x="970"/>
        <item m="1" x="532"/>
        <item m="1" x="265"/>
        <item m="1" x="630"/>
        <item m="1" x="952"/>
        <item m="1" x="241"/>
        <item m="1" x="610"/>
        <item m="1" x="1012"/>
        <item m="1" x="611"/>
        <item m="1" x="947"/>
        <item m="1" x="538"/>
        <item m="1" x="474"/>
        <item m="1" x="825"/>
        <item m="1" x="245"/>
        <item m="1" x="259"/>
        <item m="1" x="766"/>
        <item m="1" x="732"/>
        <item m="1" x="274"/>
        <item m="1" x="902"/>
        <item m="1" x="255"/>
        <item m="1" x="469"/>
        <item m="1" x="667"/>
        <item m="1" x="597"/>
        <item m="1" x="275"/>
        <item m="1" x="937"/>
        <item m="1" x="728"/>
        <item m="1" x="668"/>
        <item m="1" x="699"/>
        <item x="90"/>
        <item m="1" x="434"/>
        <item m="1" x="206"/>
        <item m="1" x="439"/>
        <item m="1" x="727"/>
        <item x="0"/>
        <item x="1"/>
        <item m="1" x="882"/>
        <item m="1" x="227"/>
        <item x="190"/>
        <item x="138"/>
        <item x="127"/>
        <item x="129"/>
        <item x="121"/>
        <item x="146"/>
        <item x="150"/>
        <item x="149"/>
        <item x="144"/>
        <item x="147"/>
        <item x="151"/>
        <item x="143"/>
        <item x="141"/>
        <item x="142"/>
        <item x="145"/>
        <item m="1" x="691"/>
        <item m="1" x="704"/>
        <item x="203"/>
        <item x="204"/>
        <item x="17"/>
        <item x="51"/>
        <item x="52"/>
        <item x="76"/>
        <item x="78"/>
        <item x="92"/>
        <item x="118"/>
        <item x="120"/>
        <item x="123"/>
        <item x="126"/>
        <item x="131"/>
        <item x="133"/>
        <item x="134"/>
        <item x="136"/>
        <item x="137"/>
        <item x="169"/>
        <item x="187"/>
        <item x="65"/>
        <item x="197"/>
        <item x="198"/>
        <item x="199"/>
        <item x="200"/>
        <item x="201"/>
        <item x="202"/>
        <item x="102"/>
        <item x="105"/>
        <item x="176"/>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0">
    <i>
      <x v="158"/>
    </i>
    <i>
      <x v="161"/>
    </i>
    <i>
      <x v="201"/>
    </i>
    <i>
      <x v="219"/>
    </i>
    <i>
      <x v="301"/>
    </i>
    <i>
      <x v="302"/>
    </i>
    <i>
      <x v="347"/>
    </i>
    <i>
      <x v="396"/>
    </i>
    <i>
      <x v="414"/>
    </i>
    <i>
      <x v="429"/>
    </i>
    <i>
      <x v="439"/>
    </i>
    <i>
      <x v="440"/>
    </i>
    <i>
      <x v="474"/>
    </i>
    <i>
      <x v="485"/>
    </i>
    <i>
      <x v="511"/>
    </i>
    <i>
      <x v="512"/>
    </i>
    <i>
      <x v="513"/>
    </i>
    <i>
      <x v="514"/>
    </i>
    <i>
      <x v="516"/>
    </i>
    <i>
      <x v="518"/>
    </i>
    <i>
      <x v="521"/>
    </i>
    <i>
      <x v="522"/>
    </i>
    <i>
      <x v="549"/>
    </i>
    <i>
      <x v="618"/>
    </i>
    <i>
      <x v="620"/>
    </i>
    <i>
      <x v="915"/>
    </i>
    <i>
      <x v="1013"/>
    </i>
    <i>
      <x v="1018"/>
    </i>
    <i>
      <x v="1019"/>
    </i>
    <i>
      <x v="1023"/>
    </i>
    <i>
      <x v="1044"/>
    </i>
    <i>
      <x v="1045"/>
    </i>
    <i>
      <x v="1059"/>
    </i>
    <i>
      <x v="1060"/>
    </i>
    <i>
      <x v="1061"/>
    </i>
    <i>
      <x v="1062"/>
    </i>
    <i>
      <x v="1063"/>
    </i>
    <i>
      <x v="1064"/>
    </i>
    <i>
      <x v="1065"/>
    </i>
    <i>
      <x v="1066"/>
    </i>
  </rowItems>
  <colFields count="1">
    <field x="-2"/>
  </colFields>
  <colItems count="14">
    <i>
      <x/>
    </i>
    <i i="1">
      <x v="1"/>
    </i>
    <i i="2">
      <x v="2"/>
    </i>
    <i i="3">
      <x v="3"/>
    </i>
    <i i="4">
      <x v="4"/>
    </i>
    <i i="5">
      <x v="5"/>
    </i>
    <i i="6">
      <x v="6"/>
    </i>
    <i i="7">
      <x v="7"/>
    </i>
    <i i="8">
      <x v="8"/>
    </i>
    <i i="9">
      <x v="9"/>
    </i>
    <i i="10">
      <x v="10"/>
    </i>
    <i i="11">
      <x v="11"/>
    </i>
    <i i="12">
      <x v="12"/>
    </i>
    <i i="13">
      <x v="13"/>
    </i>
  </colItems>
  <pageFields count="3">
    <pageField fld="142" item="0" hier="-1"/>
    <pageField fld="6" hier="-1"/>
    <pageField fld="4" item="2"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1" subtotal="max" baseField="7" baseItem="7"/>
    <dataField name="Max of HRP5" fld="132" subtotal="max" baseField="7" baseItem="7"/>
    <dataField name="Max of HRP6" fld="133" subtotal="max" baseField="7" baseItem="158"/>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09" subtotal="max" baseField="7" baseItem="7"/>
    <dataField name="Max of # People access to functioning latrines in THF_HRP6" fld="110" subtotal="max" baseField="7" baseItem="158"/>
  </dataFields>
  <formats count="59">
    <format dxfId="757">
      <pivotArea field="4" type="button" dataOnly="0" labelOnly="1" outline="0" axis="axisPage" fieldPosition="2"/>
    </format>
    <format dxfId="756">
      <pivotArea type="all" dataOnly="0" outline="0" fieldPosition="0"/>
    </format>
    <format dxfId="755">
      <pivotArea field="4" type="button" dataOnly="0" labelOnly="1" outline="0" axis="axisPage" fieldPosition="2"/>
    </format>
    <format dxfId="754">
      <pivotArea outline="0" fieldPosition="0">
        <references count="1">
          <reference field="4294967294" count="1">
            <x v="0"/>
          </reference>
        </references>
      </pivotArea>
    </format>
    <format dxfId="753">
      <pivotArea dataOnly="0" labelOnly="1" outline="0" fieldPosition="0">
        <references count="1">
          <reference field="4294967294" count="1">
            <x v="0"/>
          </reference>
        </references>
      </pivotArea>
    </format>
    <format dxfId="752">
      <pivotArea type="all" dataOnly="0" outline="0" fieldPosition="0"/>
    </format>
    <format dxfId="751">
      <pivotArea outline="0" collapsedLevelsAreSubtotals="1" fieldPosition="0"/>
    </format>
    <format dxfId="750">
      <pivotArea dataOnly="0" labelOnly="1" fieldPosition="0">
        <references count="1">
          <reference field="4" count="0"/>
        </references>
      </pivotArea>
    </format>
    <format dxfId="749">
      <pivotArea dataOnly="0" labelOnly="1" grandRow="1" outline="0" fieldPosition="0"/>
    </format>
    <format dxfId="748">
      <pivotArea dataOnly="0" labelOnly="1" outline="0" fieldPosition="0">
        <references count="1">
          <reference field="4294967294" count="1">
            <x v="0"/>
          </reference>
        </references>
      </pivotArea>
    </format>
    <format dxfId="747">
      <pivotArea type="all" dataOnly="0" outline="0" fieldPosition="0"/>
    </format>
    <format dxfId="746">
      <pivotArea outline="0" collapsedLevelsAreSubtotals="1" fieldPosition="0"/>
    </format>
    <format dxfId="745">
      <pivotArea dataOnly="0" labelOnly="1" fieldPosition="0">
        <references count="1">
          <reference field="4" count="0"/>
        </references>
      </pivotArea>
    </format>
    <format dxfId="744">
      <pivotArea dataOnly="0" labelOnly="1" grandRow="1" outline="0" fieldPosition="0"/>
    </format>
    <format dxfId="743">
      <pivotArea dataOnly="0" labelOnly="1" outline="0" fieldPosition="0">
        <references count="1">
          <reference field="4294967294" count="1">
            <x v="0"/>
          </reference>
        </references>
      </pivotArea>
    </format>
    <format dxfId="742">
      <pivotArea outline="0" collapsedLevelsAreSubtotals="1" fieldPosition="0"/>
    </format>
    <format dxfId="741">
      <pivotArea outline="0" collapsedLevelsAreSubtotals="1" fieldPosition="0">
        <references count="1">
          <reference field="4294967294" count="1" selected="0">
            <x v="1"/>
          </reference>
        </references>
      </pivotArea>
    </format>
    <format dxfId="740">
      <pivotArea dataOnly="0" labelOnly="1" outline="0" fieldPosition="0">
        <references count="1">
          <reference field="4294967294" count="1">
            <x v="1"/>
          </reference>
        </references>
      </pivotArea>
    </format>
    <format dxfId="739">
      <pivotArea outline="0" collapsedLevelsAreSubtotals="1" fieldPosition="0">
        <references count="1">
          <reference field="4294967294" count="1" selected="0">
            <x v="1"/>
          </reference>
        </references>
      </pivotArea>
    </format>
    <format dxfId="738">
      <pivotArea dataOnly="0" labelOnly="1" outline="0" fieldPosition="0">
        <references count="1">
          <reference field="4294967294" count="1">
            <x v="1"/>
          </reference>
        </references>
      </pivotArea>
    </format>
    <format dxfId="737">
      <pivotArea outline="0" collapsedLevelsAreSubtotals="1" fieldPosition="0">
        <references count="1">
          <reference field="4294967294" count="1" selected="0">
            <x v="2"/>
          </reference>
        </references>
      </pivotArea>
    </format>
    <format dxfId="736">
      <pivotArea dataOnly="0" labelOnly="1" outline="0" fieldPosition="0">
        <references count="1">
          <reference field="4294967294" count="1">
            <x v="2"/>
          </reference>
        </references>
      </pivotArea>
    </format>
    <format dxfId="735">
      <pivotArea outline="0" collapsedLevelsAreSubtotals="1" fieldPosition="0">
        <references count="1">
          <reference field="4294967294" count="1" selected="0">
            <x v="2"/>
          </reference>
        </references>
      </pivotArea>
    </format>
    <format dxfId="734">
      <pivotArea dataOnly="0" labelOnly="1" outline="0" fieldPosition="0">
        <references count="1">
          <reference field="4294967294" count="1">
            <x v="2"/>
          </reference>
        </references>
      </pivotArea>
    </format>
    <format dxfId="733">
      <pivotArea outline="0" collapsedLevelsAreSubtotals="1" fieldPosition="0">
        <references count="1">
          <reference field="4294967294" count="1" selected="0">
            <x v="3"/>
          </reference>
        </references>
      </pivotArea>
    </format>
    <format dxfId="732">
      <pivotArea dataOnly="0" labelOnly="1" outline="0" fieldPosition="0">
        <references count="1">
          <reference field="4294967294" count="1">
            <x v="3"/>
          </reference>
        </references>
      </pivotArea>
    </format>
    <format dxfId="731">
      <pivotArea outline="0" collapsedLevelsAreSubtotals="1" fieldPosition="0">
        <references count="1">
          <reference field="4294967294" count="1" selected="0">
            <x v="3"/>
          </reference>
        </references>
      </pivotArea>
    </format>
    <format dxfId="730">
      <pivotArea dataOnly="0" labelOnly="1" outline="0" fieldPosition="0">
        <references count="1">
          <reference field="4294967294" count="1">
            <x v="3"/>
          </reference>
        </references>
      </pivotArea>
    </format>
    <format dxfId="729">
      <pivotArea outline="0" collapsedLevelsAreSubtotals="1" fieldPosition="0">
        <references count="1">
          <reference field="4294967294" count="1" selected="0">
            <x v="0"/>
          </reference>
        </references>
      </pivotArea>
    </format>
    <format dxfId="728">
      <pivotArea dataOnly="0" labelOnly="1" outline="0" fieldPosition="0">
        <references count="1">
          <reference field="4294967294" count="1">
            <x v="0"/>
          </reference>
        </references>
      </pivotArea>
    </format>
    <format dxfId="727">
      <pivotArea outline="0" collapsedLevelsAreSubtotals="1" fieldPosition="0">
        <references count="1">
          <reference field="4294967294" count="1" selected="0">
            <x v="0"/>
          </reference>
        </references>
      </pivotArea>
    </format>
    <format dxfId="726">
      <pivotArea dataOnly="0" labelOnly="1" outline="0" fieldPosition="0">
        <references count="1">
          <reference field="4294967294" count="1">
            <x v="0"/>
          </reference>
        </references>
      </pivotArea>
    </format>
    <format dxfId="725">
      <pivotArea dataOnly="0" labelOnly="1" outline="0" fieldPosition="0">
        <references count="1">
          <reference field="4294967294" count="4">
            <x v="0"/>
            <x v="1"/>
            <x v="2"/>
            <x v="3"/>
          </reference>
        </references>
      </pivotArea>
    </format>
    <format dxfId="724">
      <pivotArea dataOnly="0" labelOnly="1" outline="0" fieldPosition="0">
        <references count="1">
          <reference field="4294967294" count="4">
            <x v="0"/>
            <x v="1"/>
            <x v="2"/>
            <x v="3"/>
          </reference>
        </references>
      </pivotArea>
    </format>
    <format dxfId="723">
      <pivotArea dataOnly="0" labelOnly="1" outline="0" fieldPosition="0">
        <references count="1">
          <reference field="4294967294" count="1">
            <x v="7"/>
          </reference>
        </references>
      </pivotArea>
    </format>
    <format dxfId="722">
      <pivotArea dataOnly="0" labelOnly="1" outline="0" fieldPosition="0">
        <references count="1">
          <reference field="4294967294" count="1">
            <x v="7"/>
          </reference>
        </references>
      </pivotArea>
    </format>
    <format dxfId="721">
      <pivotArea dataOnly="0" labelOnly="1" outline="0" fieldPosition="0">
        <references count="1">
          <reference field="4294967294" count="1">
            <x v="9"/>
          </reference>
        </references>
      </pivotArea>
    </format>
    <format dxfId="720">
      <pivotArea outline="0" collapsedLevelsAreSubtotals="1" fieldPosition="0">
        <references count="1">
          <reference field="4294967294" count="2" selected="0">
            <x v="7"/>
            <x v="9"/>
          </reference>
        </references>
      </pivotArea>
    </format>
    <format dxfId="719">
      <pivotArea dataOnly="0" labelOnly="1" outline="0" fieldPosition="0">
        <references count="1">
          <reference field="4294967294" count="1">
            <x v="8"/>
          </reference>
        </references>
      </pivotArea>
    </format>
    <format dxfId="718">
      <pivotArea collapsedLevelsAreSubtotals="1" fieldPosition="0">
        <references count="2">
          <reference field="4294967294" count="1" selected="0">
            <x v="8"/>
          </reference>
          <reference field="4" count="1">
            <x v="0"/>
          </reference>
        </references>
      </pivotArea>
    </format>
    <format dxfId="717">
      <pivotArea outline="0" collapsedLevelsAreSubtotals="1" fieldPosition="0">
        <references count="1">
          <reference field="4294967294" count="3" selected="0">
            <x v="7"/>
            <x v="8"/>
            <x v="9"/>
          </reference>
        </references>
      </pivotArea>
    </format>
    <format dxfId="716">
      <pivotArea dataOnly="0" labelOnly="1" outline="0" fieldPosition="0">
        <references count="1">
          <reference field="4294967294" count="3">
            <x v="7"/>
            <x v="8"/>
            <x v="9"/>
          </reference>
        </references>
      </pivotArea>
    </format>
    <format dxfId="715">
      <pivotArea outline="0" collapsedLevelsAreSubtotals="1" fieldPosition="0">
        <references count="1">
          <reference field="4294967294" count="3" selected="0">
            <x v="7"/>
            <x v="8"/>
            <x v="9"/>
          </reference>
        </references>
      </pivotArea>
    </format>
    <format dxfId="714">
      <pivotArea dataOnly="0" labelOnly="1" outline="0" fieldPosition="0">
        <references count="1">
          <reference field="4294967294" count="3">
            <x v="7"/>
            <x v="8"/>
            <x v="9"/>
          </reference>
        </references>
      </pivotArea>
    </format>
    <format dxfId="713">
      <pivotArea outline="0" collapsedLevelsAreSubtotals="1" fieldPosition="0">
        <references count="1">
          <reference field="4294967294" count="1" selected="0">
            <x v="4"/>
          </reference>
        </references>
      </pivotArea>
    </format>
    <format dxfId="712">
      <pivotArea dataOnly="0" labelOnly="1" outline="0" fieldPosition="0">
        <references count="1">
          <reference field="4294967294" count="1">
            <x v="4"/>
          </reference>
        </references>
      </pivotArea>
    </format>
    <format dxfId="711">
      <pivotArea outline="0" collapsedLevelsAreSubtotals="1" fieldPosition="0">
        <references count="1">
          <reference field="4294967294" count="1" selected="0">
            <x v="5"/>
          </reference>
        </references>
      </pivotArea>
    </format>
    <format dxfId="710">
      <pivotArea dataOnly="0" labelOnly="1" outline="0" fieldPosition="0">
        <references count="1">
          <reference field="4294967294" count="1">
            <x v="5"/>
          </reference>
        </references>
      </pivotArea>
    </format>
    <format dxfId="709">
      <pivotArea dataOnly="0" outline="0" fieldPosition="0">
        <references count="2">
          <reference field="4" count="0" defaultSubtotal="1"/>
          <reference field="142" count="1" selected="0">
            <x v="0"/>
          </reference>
        </references>
      </pivotArea>
    </format>
    <format dxfId="708">
      <pivotArea dataOnly="0" labelOnly="1" outline="0" fieldPosition="0">
        <references count="1">
          <reference field="4294967294" count="10">
            <x v="0"/>
            <x v="1"/>
            <x v="2"/>
            <x v="3"/>
            <x v="4"/>
            <x v="5"/>
            <x v="7"/>
            <x v="8"/>
            <x v="9"/>
            <x v="12"/>
          </reference>
        </references>
      </pivotArea>
    </format>
    <format dxfId="707">
      <pivotArea dataOnly="0" labelOnly="1" outline="0" fieldPosition="0">
        <references count="1">
          <reference field="4294967294" count="10">
            <x v="0"/>
            <x v="1"/>
            <x v="2"/>
            <x v="3"/>
            <x v="4"/>
            <x v="5"/>
            <x v="7"/>
            <x v="8"/>
            <x v="9"/>
            <x v="12"/>
          </reference>
        </references>
      </pivotArea>
    </format>
    <format dxfId="706">
      <pivotArea dataOnly="0" labelOnly="1" outline="0" fieldPosition="0">
        <references count="1">
          <reference field="4294967294" count="10">
            <x v="0"/>
            <x v="1"/>
            <x v="2"/>
            <x v="3"/>
            <x v="4"/>
            <x v="5"/>
            <x v="7"/>
            <x v="8"/>
            <x v="9"/>
            <x v="12"/>
          </reference>
        </references>
      </pivotArea>
    </format>
    <format dxfId="705">
      <pivotArea outline="0" fieldPosition="0">
        <references count="1">
          <reference field="4294967294" count="3" selected="0">
            <x v="8"/>
            <x v="9"/>
            <x v="12"/>
          </reference>
        </references>
      </pivotArea>
    </format>
    <format dxfId="704">
      <pivotArea dataOnly="0" labelOnly="1" outline="0" fieldPosition="0">
        <references count="1">
          <reference field="4294967294" count="3">
            <x v="8"/>
            <x v="9"/>
            <x v="12"/>
          </reference>
        </references>
      </pivotArea>
    </format>
    <format dxfId="703">
      <pivotArea dataOnly="0" outline="0" fieldPosition="0">
        <references count="3">
          <reference field="4294967294" count="1">
            <x v="6"/>
          </reference>
          <reference field="4" count="1" selected="0">
            <x v="2"/>
          </reference>
          <reference field="142" count="1" selected="0">
            <x v="0"/>
          </reference>
        </references>
      </pivotArea>
    </format>
    <format dxfId="702">
      <pivotArea dataOnly="0" labelOnly="1" outline="0" fieldPosition="0">
        <references count="1">
          <reference field="4294967294" count="1">
            <x v="6"/>
          </reference>
        </references>
      </pivotArea>
    </format>
    <format dxfId="701">
      <pivotArea dataOnly="0" labelOnly="1" outline="0" fieldPosition="0">
        <references count="1">
          <reference field="4294967294" count="1">
            <x v="10"/>
          </reference>
        </references>
      </pivotArea>
    </format>
    <format dxfId="700">
      <pivotArea dataOnly="0" labelOnly="1" outline="0" fieldPosition="0">
        <references count="1">
          <reference field="4294967294" count="1">
            <x v="11"/>
          </reference>
        </references>
      </pivotArea>
    </format>
    <format dxfId="699">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4D89FE15-68EA-4187-BC82-5DC80218768D}" name="PivotTable10"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N3:O9" firstHeaderRow="1" firstDataRow="1" firstDataCol="1"/>
  <pivotFields count="2">
    <pivotField dataField="1" showAll="0"/>
    <pivotField axis="axisRow" showAll="0">
      <items count="6">
        <item x="0"/>
        <item x="1"/>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8BC84425-C540-4B5D-A0AC-9D2A9D435E96}" name="PivotTable8" cacheId="2"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location ref="F2:G81" firstHeaderRow="1" firstDataRow="1" firstDataCol="2"/>
  <pivotFields count="3">
    <pivotField axis="axisRow" compact="0" outline="0" showAll="0" sortType="ascending" defaultSubtotal="0">
      <items count="12">
        <item m="1" x="11"/>
        <item x="0"/>
        <item x="1"/>
        <item x="2"/>
        <item x="3"/>
        <item x="4"/>
        <item x="5"/>
        <item x="6"/>
        <item x="7"/>
        <item x="8"/>
        <item x="9"/>
        <item x="10"/>
      </items>
      <extLst>
        <ext xmlns:x14="http://schemas.microsoft.com/office/spreadsheetml/2009/9/main" uri="{2946ED86-A175-432a-8AC1-64E0C546D7DE}">
          <x14:pivotField fillDownLabels="1"/>
        </ext>
      </extLst>
    </pivotField>
    <pivotField axis="axisRow" compact="0" outline="0" showAll="0" defaultSubtotal="0">
      <items count="47">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79">
    <i>
      <x v="1"/>
      <x v="30"/>
    </i>
    <i r="1">
      <x v="41"/>
    </i>
    <i>
      <x v="2"/>
      <x v="3"/>
    </i>
    <i r="1">
      <x v="7"/>
    </i>
    <i r="1">
      <x v="16"/>
    </i>
    <i r="1">
      <x v="21"/>
    </i>
    <i r="1">
      <x v="28"/>
    </i>
    <i r="1">
      <x v="38"/>
    </i>
    <i r="1">
      <x v="41"/>
    </i>
    <i>
      <x v="3"/>
      <x v="11"/>
    </i>
    <i r="1">
      <x v="12"/>
    </i>
    <i r="1">
      <x v="13"/>
    </i>
    <i r="1">
      <x v="15"/>
    </i>
    <i r="1">
      <x v="16"/>
    </i>
    <i r="1">
      <x v="24"/>
    </i>
    <i r="1">
      <x v="28"/>
    </i>
    <i r="1">
      <x v="34"/>
    </i>
    <i r="1">
      <x v="35"/>
    </i>
    <i r="1">
      <x v="36"/>
    </i>
    <i r="1">
      <x v="41"/>
    </i>
    <i r="1">
      <x v="42"/>
    </i>
    <i r="1">
      <x v="45"/>
    </i>
    <i r="1">
      <x v="46"/>
    </i>
    <i>
      <x v="4"/>
      <x v="3"/>
    </i>
    <i r="1">
      <x v="16"/>
    </i>
    <i r="1">
      <x v="17"/>
    </i>
    <i r="1">
      <x v="22"/>
    </i>
    <i r="1">
      <x v="41"/>
    </i>
    <i r="1">
      <x v="43"/>
    </i>
    <i>
      <x v="5"/>
      <x v="1"/>
    </i>
    <i r="1">
      <x v="8"/>
    </i>
    <i r="1">
      <x v="16"/>
    </i>
    <i r="1">
      <x v="22"/>
    </i>
    <i r="1">
      <x v="30"/>
    </i>
    <i r="1">
      <x v="40"/>
    </i>
    <i r="1">
      <x v="41"/>
    </i>
    <i>
      <x v="6"/>
      <x v="16"/>
    </i>
    <i r="1">
      <x v="21"/>
    </i>
    <i>
      <x v="7"/>
      <x v="3"/>
    </i>
    <i r="1">
      <x v="26"/>
    </i>
    <i r="1">
      <x v="30"/>
    </i>
    <i r="1">
      <x v="41"/>
    </i>
    <i>
      <x v="8"/>
      <x v="4"/>
    </i>
    <i r="1">
      <x v="5"/>
    </i>
    <i r="1">
      <x v="6"/>
    </i>
    <i r="1">
      <x v="9"/>
    </i>
    <i r="1">
      <x v="13"/>
    </i>
    <i r="1">
      <x v="14"/>
    </i>
    <i r="1">
      <x v="18"/>
    </i>
    <i r="1">
      <x v="20"/>
    </i>
    <i r="1">
      <x v="21"/>
    </i>
    <i r="1">
      <x v="27"/>
    </i>
    <i r="1">
      <x v="28"/>
    </i>
    <i r="1">
      <x v="29"/>
    </i>
    <i r="1">
      <x v="31"/>
    </i>
    <i r="1">
      <x v="32"/>
    </i>
    <i r="1">
      <x v="33"/>
    </i>
    <i r="1">
      <x v="35"/>
    </i>
    <i r="1">
      <x v="37"/>
    </i>
    <i r="1">
      <x v="39"/>
    </i>
    <i r="1">
      <x v="41"/>
    </i>
    <i r="1">
      <x v="44"/>
    </i>
    <i>
      <x v="9"/>
      <x/>
    </i>
    <i r="1">
      <x v="2"/>
    </i>
    <i r="1">
      <x v="16"/>
    </i>
    <i r="1">
      <x v="41"/>
    </i>
    <i>
      <x v="10"/>
      <x v="3"/>
    </i>
    <i r="1">
      <x v="10"/>
    </i>
    <i r="1">
      <x v="11"/>
    </i>
    <i r="1">
      <x v="12"/>
    </i>
    <i r="1">
      <x v="16"/>
    </i>
    <i r="1">
      <x v="24"/>
    </i>
    <i r="1">
      <x v="25"/>
    </i>
    <i r="1">
      <x v="32"/>
    </i>
    <i r="1">
      <x v="41"/>
    </i>
    <i>
      <x v="11"/>
      <x v="3"/>
    </i>
    <i r="1">
      <x v="17"/>
    </i>
    <i r="1">
      <x v="22"/>
    </i>
    <i r="1">
      <x v="3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9479D285-1C4B-44B6-9E34-2D5207B1F4D2}" name="PivotTable9"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2:I48" firstHeaderRow="1" firstDataRow="1" firstDataCol="1"/>
  <pivotFields count="3">
    <pivotField showAll="0"/>
    <pivotField axis="axisRow" showAll="0">
      <items count="48">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 t="default"/>
      </items>
    </pivotField>
    <pivotField showAll="0"/>
  </pivotFields>
  <rowFields count="1">
    <field x="1"/>
  </rowFields>
  <rowItems count="46">
    <i>
      <x/>
    </i>
    <i>
      <x v="1"/>
    </i>
    <i>
      <x v="2"/>
    </i>
    <i>
      <x v="3"/>
    </i>
    <i>
      <x v="4"/>
    </i>
    <i>
      <x v="5"/>
    </i>
    <i>
      <x v="6"/>
    </i>
    <i>
      <x v="7"/>
    </i>
    <i>
      <x v="8"/>
    </i>
    <i>
      <x v="9"/>
    </i>
    <i>
      <x v="10"/>
    </i>
    <i>
      <x v="11"/>
    </i>
    <i>
      <x v="12"/>
    </i>
    <i>
      <x v="13"/>
    </i>
    <i>
      <x v="14"/>
    </i>
    <i>
      <x v="15"/>
    </i>
    <i>
      <x v="16"/>
    </i>
    <i>
      <x v="17"/>
    </i>
    <i>
      <x v="18"/>
    </i>
    <i>
      <x v="20"/>
    </i>
    <i>
      <x v="21"/>
    </i>
    <i>
      <x v="22"/>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6"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56" firstHeaderRow="0" firstDataRow="1" firstDataCol="2" rowPageCount="1" colPageCount="1"/>
  <pivotFields count="155">
    <pivotField axis="axisPage" compact="0" outline="0" multipleItemSelectionAllowed="1" showAll="0">
      <items count="25">
        <item m="1" x="21"/>
        <item m="1" x="22"/>
        <item m="1" x="8"/>
        <item m="1" x="23"/>
        <item m="1" x="15"/>
        <item m="1" x="4"/>
        <item m="1" x="2"/>
        <item m="1" x="17"/>
        <item m="1" x="19"/>
        <item m="1" x="20"/>
        <item m="1" x="11"/>
        <item m="1" x="13"/>
        <item m="1" x="16"/>
        <item m="1" x="18"/>
        <item m="1" x="6"/>
        <item m="1" x="9"/>
        <item m="1" x="12"/>
        <item m="1" x="14"/>
        <item m="1" x="3"/>
        <item m="1" x="5"/>
        <item m="1" x="7"/>
        <item m="1" x="10"/>
        <item x="0"/>
        <item x="1"/>
        <item t="default"/>
      </items>
    </pivotField>
    <pivotField compact="0" outline="0" showAll="0" defaultSubtotal="0">
      <items count="64">
        <item m="1" x="53"/>
        <item m="1" x="40"/>
        <item m="1" x="27"/>
        <item m="1" x="22"/>
        <item m="1" x="24"/>
        <item m="1" x="51"/>
        <item m="1" x="39"/>
        <item x="0"/>
        <item x="17"/>
        <item x="18"/>
        <item x="1"/>
        <item m="1" x="60"/>
        <item x="2"/>
        <item m="1" x="62"/>
        <item x="4"/>
        <item x="5"/>
        <item m="1" x="29"/>
        <item m="1" x="61"/>
        <item x="6"/>
        <item m="1" x="44"/>
        <item m="1" x="30"/>
        <item x="7"/>
        <item m="1" x="34"/>
        <item x="8"/>
        <item x="9"/>
        <item m="1" x="43"/>
        <item m="1" x="54"/>
        <item m="1" x="47"/>
        <item m="1" x="32"/>
        <item m="1" x="49"/>
        <item m="1" x="52"/>
        <item m="1" x="38"/>
        <item m="1" x="48"/>
        <item m="1" x="63"/>
        <item m="1" x="23"/>
        <item m="1" x="41"/>
        <item x="10"/>
        <item m="1" x="56"/>
        <item m="1" x="50"/>
        <item m="1" x="46"/>
        <item m="1" x="58"/>
        <item m="1" x="45"/>
        <item m="1" x="42"/>
        <item m="1" x="57"/>
        <item m="1" x="59"/>
        <item x="3"/>
        <item x="16"/>
        <item x="19"/>
        <item x="20"/>
        <item m="1" x="25"/>
        <item m="1" x="26"/>
        <item m="1" x="33"/>
        <item m="1" x="36"/>
        <item x="11"/>
        <item x="12"/>
        <item m="1" x="31"/>
        <item x="13"/>
        <item m="1" x="37"/>
        <item m="1" x="55"/>
        <item m="1" x="28"/>
        <item x="14"/>
        <item x="15"/>
        <item m="1" x="35"/>
        <item m="1" x="21"/>
      </items>
    </pivotField>
    <pivotField compact="0" outline="0" showAll="0" defaultSubtotal="0"/>
    <pivotField compact="0" outline="0" showAll="0"/>
    <pivotField axis="axisRow" compact="0" outline="0" showAll="0">
      <items count="7">
        <item x="1"/>
        <item m="1" x="3"/>
        <item x="0"/>
        <item m="1" x="2"/>
        <item m="1" x="5"/>
        <item m="1" x="4"/>
        <item t="default"/>
      </items>
    </pivotField>
    <pivotField axis="axisRow" compact="0" outline="0" showAll="0">
      <items count="47">
        <item m="1" x="31"/>
        <item x="1"/>
        <item m="1" x="43"/>
        <item x="2"/>
        <item x="3"/>
        <item x="14"/>
        <item x="21"/>
        <item x="15"/>
        <item m="1" x="38"/>
        <item m="1" x="26"/>
        <item x="16"/>
        <item m="1" x="41"/>
        <item x="4"/>
        <item x="17"/>
        <item m="1" x="36"/>
        <item m="1" x="30"/>
        <item x="5"/>
        <item x="6"/>
        <item x="7"/>
        <item m="1" x="42"/>
        <item x="18"/>
        <item m="1" x="34"/>
        <item x="8"/>
        <item x="19"/>
        <item x="20"/>
        <item m="1" x="28"/>
        <item m="1" x="32"/>
        <item m="1" x="37"/>
        <item x="9"/>
        <item m="1" x="44"/>
        <item m="1" x="40"/>
        <item x="10"/>
        <item m="1" x="39"/>
        <item x="11"/>
        <item x="12"/>
        <item x="13"/>
        <item m="1" x="33"/>
        <item m="1" x="25"/>
        <item m="1" x="27"/>
        <item m="1" x="24"/>
        <item m="1" x="35"/>
        <item x="0"/>
        <item m="1" x="29"/>
        <item x="22"/>
        <item x="23"/>
        <item m="1" x="45"/>
        <item t="default"/>
      </items>
    </pivotField>
    <pivotField compact="0" outline="0" showAll="0" defaultSubtotal="0">
      <items count="14">
        <item x="0"/>
        <item m="1" x="12"/>
        <item x="1"/>
        <item m="1" x="11"/>
        <item m="1" x="9"/>
        <item x="2"/>
        <item m="1" x="4"/>
        <item m="1" x="5"/>
        <item m="1" x="7"/>
        <item m="1" x="6"/>
        <item x="3"/>
        <item m="1" x="10"/>
        <item m="1" x="13"/>
        <item m="1" x="8"/>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7">
    <i>
      <x/>
      <x v="1"/>
    </i>
    <i r="1">
      <x v="3"/>
    </i>
    <i r="1">
      <x v="4"/>
    </i>
    <i r="1">
      <x v="12"/>
    </i>
    <i r="1">
      <x v="16"/>
    </i>
    <i r="1">
      <x v="17"/>
    </i>
    <i r="1">
      <x v="18"/>
    </i>
    <i r="1">
      <x v="22"/>
    </i>
    <i r="1">
      <x v="28"/>
    </i>
    <i r="1">
      <x v="31"/>
    </i>
    <i r="1">
      <x v="33"/>
    </i>
    <i r="1">
      <x v="34"/>
    </i>
    <i r="1">
      <x v="35"/>
    </i>
    <i r="1">
      <x v="44"/>
    </i>
    <i t="default">
      <x/>
    </i>
    <i>
      <x v="2"/>
      <x v="5"/>
    </i>
    <i r="1">
      <x v="6"/>
    </i>
    <i r="1">
      <x v="7"/>
    </i>
    <i r="1">
      <x v="10"/>
    </i>
    <i r="1">
      <x v="13"/>
    </i>
    <i r="1">
      <x v="20"/>
    </i>
    <i r="1">
      <x v="23"/>
    </i>
    <i r="1">
      <x v="24"/>
    </i>
    <i r="1">
      <x v="41"/>
    </i>
    <i r="1">
      <x v="43"/>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9" baseField="0" baseItem="0"/>
    <dataField name="Number of people with equitable and continuous access to safe sanitation facilities" fld="107" baseField="0" baseItem="0"/>
    <dataField name="Number of people with equitable and continuous access to sufficient quantity of domestic water" fld="99"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6"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235" firstHeaderRow="0" firstDataRow="1" firstDataCol="1" rowPageCount="3" colPageCount="1"/>
  <pivotFields count="155">
    <pivotField axis="axisPage" compact="0" outline="0" showAll="0">
      <items count="25">
        <item m="1" x="21"/>
        <item m="1" x="22"/>
        <item m="1" x="8"/>
        <item m="1" x="23"/>
        <item m="1" x="15"/>
        <item m="1" x="4"/>
        <item m="1" x="2"/>
        <item m="1" x="17"/>
        <item m="1" x="19"/>
        <item m="1" x="20"/>
        <item m="1" x="11"/>
        <item m="1" x="13"/>
        <item m="1" x="16"/>
        <item m="1" x="18"/>
        <item m="1" x="6"/>
        <item m="1" x="9"/>
        <item m="1" x="12"/>
        <item m="1" x="14"/>
        <item m="1" x="3"/>
        <item m="1" x="5"/>
        <item m="1" x="7"/>
        <item m="1" x="10"/>
        <item x="0"/>
        <item x="1"/>
        <item t="default"/>
      </items>
    </pivotField>
    <pivotField compact="0" outline="0" showAll="0" defaultSubtotal="0"/>
    <pivotField compact="0" outline="0" showAll="0" defaultSubtotal="0">
      <items count="58">
        <item m="1" x="47"/>
        <item m="1" x="34"/>
        <item m="1" x="22"/>
        <item m="1" x="16"/>
        <item m="1" x="18"/>
        <item m="1" x="19"/>
        <item m="1" x="45"/>
        <item m="1" x="33"/>
        <item x="0"/>
        <item x="1"/>
        <item m="1" x="55"/>
        <item x="13"/>
        <item m="1" x="57"/>
        <item x="2"/>
        <item m="1" x="24"/>
        <item m="1" x="56"/>
        <item x="3"/>
        <item m="1" x="39"/>
        <item m="1" x="25"/>
        <item x="4"/>
        <item m="1" x="29"/>
        <item x="5"/>
        <item x="6"/>
        <item m="1" x="38"/>
        <item m="1" x="49"/>
        <item m="1" x="35"/>
        <item m="1" x="41"/>
        <item m="1" x="15"/>
        <item m="1" x="27"/>
        <item m="1" x="42"/>
        <item m="1" x="46"/>
        <item m="1" x="36"/>
        <item m="1" x="32"/>
        <item m="1" x="43"/>
        <item m="1" x="17"/>
        <item x="7"/>
        <item m="1" x="51"/>
        <item m="1" x="44"/>
        <item m="1" x="40"/>
        <item m="1" x="53"/>
        <item m="1" x="37"/>
        <item m="1" x="54"/>
        <item m="1" x="20"/>
        <item m="1" x="21"/>
        <item m="1" x="28"/>
        <item m="1" x="30"/>
        <item x="8"/>
        <item x="9"/>
        <item m="1" x="26"/>
        <item x="10"/>
        <item m="1" x="31"/>
        <item m="1" x="50"/>
        <item m="1" x="52"/>
        <item m="1" x="23"/>
        <item m="1" x="48"/>
        <item x="11"/>
        <item x="12"/>
        <item x="14"/>
      </items>
    </pivotField>
    <pivotField compact="0" outline="0" showAll="0"/>
    <pivotField axis="axisPage" compact="0" outline="0" showAll="0">
      <items count="7">
        <item x="1"/>
        <item m="1" x="3"/>
        <item x="0"/>
        <item m="1" x="2"/>
        <item m="1" x="5"/>
        <item m="1" x="4"/>
        <item t="default"/>
      </items>
    </pivotField>
    <pivotField axis="axisPage" compact="0" outline="0" showAll="0">
      <items count="47">
        <item m="1" x="31"/>
        <item x="1"/>
        <item m="1" x="43"/>
        <item x="2"/>
        <item x="3"/>
        <item x="14"/>
        <item x="21"/>
        <item x="15"/>
        <item m="1" x="38"/>
        <item m="1" x="26"/>
        <item x="16"/>
        <item m="1" x="41"/>
        <item x="4"/>
        <item x="17"/>
        <item m="1" x="36"/>
        <item m="1" x="30"/>
        <item x="5"/>
        <item x="6"/>
        <item x="7"/>
        <item m="1" x="42"/>
        <item x="18"/>
        <item m="1" x="34"/>
        <item x="8"/>
        <item x="19"/>
        <item x="20"/>
        <item m="1" x="28"/>
        <item m="1" x="32"/>
        <item m="1" x="37"/>
        <item x="9"/>
        <item m="1" x="44"/>
        <item m="1" x="40"/>
        <item x="10"/>
        <item m="1" x="39"/>
        <item x="11"/>
        <item x="12"/>
        <item x="13"/>
        <item m="1" x="33"/>
        <item m="1" x="25"/>
        <item m="1" x="27"/>
        <item m="1" x="24"/>
        <item m="1" x="35"/>
        <item x="0"/>
        <item m="1" x="29"/>
        <item x="22"/>
        <item x="23"/>
        <item m="1" x="45"/>
        <item t="default"/>
      </items>
    </pivotField>
    <pivotField compact="0" outline="0" showAll="0" defaultSubtotal="0">
      <items count="14">
        <item x="0"/>
        <item m="1" x="12"/>
        <item x="1"/>
        <item m="1" x="11"/>
        <item m="1" x="9"/>
        <item x="2"/>
        <item m="1" x="4"/>
        <item m="1" x="5"/>
        <item m="1" x="7"/>
        <item m="1" x="6"/>
        <item x="3"/>
        <item m="1" x="10"/>
        <item m="1" x="13"/>
        <item m="1" x="8"/>
      </items>
    </pivotField>
    <pivotField axis="axisRow" compact="0" outline="0" showAll="0">
      <items count="1069">
        <item m="1" x="740"/>
        <item x="179"/>
        <item x="180"/>
        <item x="154"/>
        <item x="155"/>
        <item x="95"/>
        <item m="1" x="363"/>
        <item m="1" x="609"/>
        <item m="1" x="278"/>
        <item m="1" x="319"/>
        <item m="1" x="583"/>
        <item m="1" x="701"/>
        <item m="1" x="716"/>
        <item m="1" x="491"/>
        <item m="1" x="321"/>
        <item m="1" x="975"/>
        <item m="1" x="879"/>
        <item m="1" x="333"/>
        <item m="1" x="763"/>
        <item m="1" x="545"/>
        <item m="1" x="917"/>
        <item m="1" x="858"/>
        <item m="1" x="940"/>
        <item m="1" x="962"/>
        <item m="1" x="401"/>
        <item m="1" x="838"/>
        <item m="1" x="436"/>
        <item m="1" x="453"/>
        <item m="1" x="451"/>
        <item m="1" x="359"/>
        <item x="70"/>
        <item m="1" x="1013"/>
        <item m="1" x="1053"/>
        <item m="1" x="774"/>
        <item m="1" x="503"/>
        <item m="1" x="388"/>
        <item x="156"/>
        <item m="1" x="437"/>
        <item m="1" x="915"/>
        <item m="1" x="868"/>
        <item m="1" x="932"/>
        <item m="1" x="267"/>
        <item m="1" x="374"/>
        <item m="1" x="596"/>
        <item m="1" x="831"/>
        <item m="1" x="832"/>
        <item m="1" x="592"/>
        <item m="1" x="567"/>
        <item m="1" x="431"/>
        <item x="63"/>
        <item m="1" x="1047"/>
        <item m="1" x="1003"/>
        <item m="1" x="771"/>
        <item x="192"/>
        <item m="1" x="969"/>
        <item m="1" x="761"/>
        <item m="1" x="792"/>
        <item m="1" x="240"/>
        <item m="1" x="263"/>
        <item x="157"/>
        <item m="1" x="942"/>
        <item m="1" x="472"/>
        <item m="1" x="386"/>
        <item m="1" x="468"/>
        <item x="152"/>
        <item m="1" x="659"/>
        <item m="1" x="821"/>
        <item m="1" x="221"/>
        <item m="1" x="767"/>
        <item m="1" x="1006"/>
        <item m="1" x="682"/>
        <item m="1" x="268"/>
        <item m="1" x="405"/>
        <item m="1" x="935"/>
        <item x="158"/>
        <item m="1" x="867"/>
        <item m="1" x="598"/>
        <item m="1" x="492"/>
        <item m="1" x="973"/>
        <item m="1" x="655"/>
        <item m="1" x="420"/>
        <item x="18"/>
        <item m="1" x="840"/>
        <item x="54"/>
        <item m="1" x="990"/>
        <item m="1" x="361"/>
        <item m="1" x="1011"/>
        <item m="1" x="731"/>
        <item m="1" x="606"/>
        <item m="1" x="636"/>
        <item m="1" x="895"/>
        <item m="1" x="270"/>
        <item m="1" x="796"/>
        <item m="1" x="724"/>
        <item m="1" x="988"/>
        <item m="1" x="929"/>
        <item m="1" x="788"/>
        <item m="1" x="640"/>
        <item m="1" x="674"/>
        <item m="1" x="238"/>
        <item x="191"/>
        <item x="172"/>
        <item x="38"/>
        <item m="1" x="329"/>
        <item m="1" x="228"/>
        <item m="1" x="631"/>
        <item x="4"/>
        <item m="1" x="534"/>
        <item m="1" x="601"/>
        <item m="1" x="493"/>
        <item m="1" x="256"/>
        <item x="101"/>
        <item m="1" x="754"/>
        <item x="159"/>
        <item m="1" x="494"/>
        <item m="1" x="759"/>
        <item x="3"/>
        <item m="1" x="251"/>
        <item x="96"/>
        <item x="71"/>
        <item x="111"/>
        <item m="1" x="769"/>
        <item m="1" x="461"/>
        <item m="1" x="291"/>
        <item m="1" x="738"/>
        <item m="1" x="403"/>
        <item x="19"/>
        <item x="55"/>
        <item x="15"/>
        <item m="1" x="695"/>
        <item m="1" x="1020"/>
        <item m="1" x="1063"/>
        <item m="1" x="958"/>
        <item x="97"/>
        <item m="1" x="664"/>
        <item m="1" x="656"/>
        <item m="1" x="870"/>
        <item m="1" x="416"/>
        <item m="1" x="364"/>
        <item m="1" x="410"/>
        <item m="1" x="642"/>
        <item m="1" x="800"/>
        <item m="1" x="980"/>
        <item m="1" x="755"/>
        <item m="1" x="286"/>
        <item m="1" x="901"/>
        <item m="1" x="511"/>
        <item m="1" x="618"/>
        <item m="1" x="444"/>
        <item m="1" x="572"/>
        <item x="98"/>
        <item m="1" x="516"/>
        <item m="1" x="1055"/>
        <item m="1" x="757"/>
        <item m="1" x="387"/>
        <item m="1" x="478"/>
        <item m="1" x="764"/>
        <item m="1" x="519"/>
        <item m="1" x="305"/>
        <item m="1" x="389"/>
        <item m="1" x="318"/>
        <item m="1" x="770"/>
        <item m="1" x="1008"/>
        <item x="80"/>
        <item x="81"/>
        <item m="1" x="1027"/>
        <item m="1" x="613"/>
        <item m="1" x="310"/>
        <item m="1" x="784"/>
        <item m="1" x="347"/>
        <item m="1" x="837"/>
        <item m="1" x="345"/>
        <item m="1" x="395"/>
        <item m="1" x="648"/>
        <item m="1" x="1041"/>
        <item m="1" x="1057"/>
        <item m="1" x="328"/>
        <item m="1" x="287"/>
        <item m="1" x="381"/>
        <item m="1" x="797"/>
        <item m="1" x="415"/>
        <item m="1" x="487"/>
        <item m="1" x="863"/>
        <item m="1" x="336"/>
        <item m="1" x="941"/>
        <item m="1" x="979"/>
        <item m="1" x="331"/>
        <item m="1" x="599"/>
        <item m="1" x="944"/>
        <item m="1" x="402"/>
        <item m="1" x="276"/>
        <item x="106"/>
        <item m="1" x="719"/>
        <item m="1" x="224"/>
        <item x="8"/>
        <item m="1" x="928"/>
        <item m="1" x="651"/>
        <item m="1" x="464"/>
        <item m="1" x="408"/>
        <item x="16"/>
        <item m="1" x="934"/>
        <item x="195"/>
        <item m="1" x="289"/>
        <item m="1" x="698"/>
        <item m="1" x="912"/>
        <item m="1" x="829"/>
        <item x="160"/>
        <item x="21"/>
        <item x="22"/>
        <item m="1" x="1065"/>
        <item m="1" x="269"/>
        <item m="1" x="212"/>
        <item m="1" x="886"/>
        <item m="1" x="536"/>
        <item m="1" x="264"/>
        <item m="1" x="741"/>
        <item m="1" x="498"/>
        <item x="153"/>
        <item m="1" x="525"/>
        <item m="1" x="637"/>
        <item x="161"/>
        <item x="162"/>
        <item x="72"/>
        <item x="107"/>
        <item x="183"/>
        <item x="184"/>
        <item x="185"/>
        <item m="1" x="339"/>
        <item m="1" x="280"/>
        <item m="1" x="325"/>
        <item x="32"/>
        <item x="135"/>
        <item m="1" x="896"/>
        <item m="1" x="890"/>
        <item x="39"/>
        <item x="40"/>
        <item m="1" x="425"/>
        <item x="173"/>
        <item x="64"/>
        <item x="41"/>
        <item x="42"/>
        <item x="7"/>
        <item x="130"/>
        <item m="1" x="918"/>
        <item x="23"/>
        <item x="99"/>
        <item x="186"/>
        <item x="24"/>
        <item x="128"/>
        <item x="83"/>
        <item m="1" x="566"/>
        <item x="66"/>
        <item x="67"/>
        <item x="68"/>
        <item x="69"/>
        <item m="1" x="713"/>
        <item m="1" x="213"/>
        <item m="1" x="367"/>
        <item x="94"/>
        <item x="117"/>
        <item m="1" x="223"/>
        <item x="93"/>
        <item m="1" x="623"/>
        <item m="1" x="277"/>
        <item m="1" x="943"/>
        <item m="1" x="330"/>
        <item x="167"/>
        <item x="168"/>
        <item m="1" x="254"/>
        <item m="1" x="315"/>
        <item m="1" x="914"/>
        <item x="125"/>
        <item m="1" x="428"/>
        <item m="1" x="515"/>
        <item m="1" x="327"/>
        <item m="1" x="337"/>
        <item m="1" x="485"/>
        <item m="1" x="346"/>
        <item m="1" x="1029"/>
        <item m="1" x="1014"/>
        <item m="1" x="760"/>
        <item m="1" x="273"/>
        <item m="1" x="571"/>
        <item x="100"/>
        <item m="1" x="772"/>
        <item m="1" x="722"/>
        <item x="85"/>
        <item m="1" x="806"/>
        <item m="1" x="383"/>
        <item m="1" x="594"/>
        <item m="1" x="669"/>
        <item m="1" x="285"/>
        <item m="1" x="866"/>
        <item m="1" x="556"/>
        <item x="5"/>
        <item m="1" x="484"/>
        <item m="1" x="671"/>
        <item m="1" x="994"/>
        <item m="1" x="504"/>
        <item m="1" x="397"/>
        <item m="1" x="510"/>
        <item x="115"/>
        <item x="103"/>
        <item x="104"/>
        <item x="116"/>
        <item m="1" x="692"/>
        <item x="86"/>
        <item m="1" x="406"/>
        <item x="163"/>
        <item x="74"/>
        <item x="108"/>
        <item m="1" x="419"/>
        <item m="1" x="861"/>
        <item x="57"/>
        <item m="1" x="822"/>
        <item m="1" x="986"/>
        <item x="50"/>
        <item m="1" x="295"/>
        <item m="1" x="544"/>
        <item m="1" x="873"/>
        <item x="12"/>
        <item m="1" x="398"/>
        <item m="1" x="950"/>
        <item m="1" x="306"/>
        <item x="174"/>
        <item x="14"/>
        <item m="1" x="215"/>
        <item x="35"/>
        <item x="88"/>
        <item m="1" x="576"/>
        <item m="1" x="850"/>
        <item m="1" x="687"/>
        <item m="1" x="354"/>
        <item m="1" x="616"/>
        <item m="1" x="939"/>
        <item m="1" x="384"/>
        <item m="1" x="507"/>
        <item m="1" x="376"/>
        <item m="1" x="502"/>
        <item m="1" x="362"/>
        <item m="1" x="422"/>
        <item m="1" x="966"/>
        <item x="193"/>
        <item m="1" x="355"/>
        <item m="1" x="304"/>
        <item x="25"/>
        <item m="1" x="372"/>
        <item m="1" x="604"/>
        <item m="1" x="585"/>
        <item m="1" x="877"/>
        <item x="188"/>
        <item m="1" x="542"/>
        <item m="1" x="292"/>
        <item m="1" x="445"/>
        <item m="1" x="632"/>
        <item m="1" x="518"/>
        <item m="1" x="288"/>
        <item m="1" x="881"/>
        <item m="1" x="543"/>
        <item m="1" x="747"/>
        <item m="1" x="391"/>
        <item m="1" x="473"/>
        <item m="1" x="909"/>
        <item m="1" x="974"/>
        <item m="1" x="390"/>
        <item x="58"/>
        <item x="194"/>
        <item m="1" x="824"/>
        <item x="43"/>
        <item m="1" x="785"/>
        <item m="1" x="399"/>
        <item m="1" x="580"/>
        <item x="89"/>
        <item x="109"/>
        <item m="1" x="205"/>
        <item m="1" x="1023"/>
        <item m="1" x="817"/>
        <item m="1" x="891"/>
        <item m="1" x="505"/>
        <item m="1" x="1045"/>
        <item x="73"/>
        <item m="1" x="531"/>
        <item m="1" x="685"/>
        <item m="1" x="588"/>
        <item m="1" x="562"/>
        <item m="1" x="407"/>
        <item m="1" x="446"/>
        <item m="1" x="710"/>
        <item m="1" x="377"/>
        <item m="1" x="257"/>
        <item m="1" x="482"/>
        <item m="1" x="844"/>
        <item m="1" x="603"/>
        <item m="1" x="998"/>
        <item m="1" x="608"/>
        <item m="1" x="500"/>
        <item m="1" x="641"/>
        <item m="1" x="1007"/>
        <item m="1" x="233"/>
        <item x="175"/>
        <item x="44"/>
        <item m="1" x="675"/>
        <item m="1" x="298"/>
        <item m="1" x="715"/>
        <item m="1" x="997"/>
        <item m="1" x="357"/>
        <item m="1" x="454"/>
        <item m="1" x="208"/>
        <item m="1" x="342"/>
        <item x="164"/>
        <item m="1" x="798"/>
        <item x="181"/>
        <item m="1" x="537"/>
        <item m="1" x="595"/>
        <item m="1" x="217"/>
        <item m="1" x="589"/>
        <item x="36"/>
        <item m="1" x="628"/>
        <item m="1" x="999"/>
        <item m="1" x="991"/>
        <item m="1" x="477"/>
        <item x="13"/>
        <item m="1" x="799"/>
        <item m="1" x="842"/>
        <item m="1" x="683"/>
        <item m="1" x="833"/>
        <item m="1" x="864"/>
        <item m="1" x="548"/>
        <item m="1" x="894"/>
        <item m="1" x="706"/>
        <item m="1" x="876"/>
        <item m="1" x="880"/>
        <item x="189"/>
        <item m="1" x="209"/>
        <item m="1" x="297"/>
        <item m="1" x="546"/>
        <item x="45"/>
        <item m="1" x="1060"/>
        <item x="6"/>
        <item m="1" x="684"/>
        <item m="1" x="551"/>
        <item m="1" x="1036"/>
        <item x="26"/>
        <item x="170"/>
        <item m="1" x="302"/>
        <item x="46"/>
        <item x="34"/>
        <item x="110"/>
        <item m="1" x="688"/>
        <item m="1" x="522"/>
        <item m="1" x="816"/>
        <item m="1" x="654"/>
        <item x="27"/>
        <item m="1" x="236"/>
        <item m="1" x="920"/>
        <item m="1" x="841"/>
        <item m="1" x="243"/>
        <item m="1" x="927"/>
        <item m="1" x="839"/>
        <item m="1" x="489"/>
        <item m="1" x="418"/>
        <item m="1" x="789"/>
        <item m="1" x="568"/>
        <item m="1" x="852"/>
        <item m="1" x="677"/>
        <item x="53"/>
        <item m="1" x="854"/>
        <item m="1" x="904"/>
        <item m="1" x="823"/>
        <item m="1" x="281"/>
        <item m="1" x="985"/>
        <item m="1" x="907"/>
        <item m="1" x="779"/>
        <item m="1" x="859"/>
        <item x="62"/>
        <item m="1" x="210"/>
        <item m="1" x="496"/>
        <item x="28"/>
        <item x="171"/>
        <item m="1" x="513"/>
        <item x="29"/>
        <item x="30"/>
        <item m="1" x="340"/>
        <item m="1" x="753"/>
        <item m="1" x="686"/>
        <item m="1" x="749"/>
        <item m="1" x="765"/>
        <item m="1" x="575"/>
        <item m="1" x="234"/>
        <item m="1" x="1034"/>
        <item m="1" x="801"/>
        <item m="1" x="1040"/>
        <item m="1" x="818"/>
        <item m="1" x="938"/>
        <item m="1" x="726"/>
        <item m="1" x="1058"/>
        <item m="1" x="1017"/>
        <item m="1" x="717"/>
        <item m="1" x="486"/>
        <item m="1" x="396"/>
        <item m="1" x="248"/>
        <item m="1" x="996"/>
        <item m="1" x="552"/>
        <item m="1" x="570"/>
        <item m="1" x="777"/>
        <item m="1" x="1066"/>
        <item m="1" x="620"/>
        <item m="1" x="911"/>
        <item m="1" x="279"/>
        <item x="177"/>
        <item m="1" x="696"/>
        <item m="1" x="1004"/>
        <item m="1" x="1028"/>
        <item m="1" x="1005"/>
        <item m="1" x="521"/>
        <item m="1" x="441"/>
        <item m="1" x="394"/>
        <item m="1" x="246"/>
        <item m="1" x="392"/>
        <item m="1" x="222"/>
        <item m="1" x="207"/>
        <item m="1" x="851"/>
        <item m="1" x="409"/>
        <item m="1" x="351"/>
        <item m="1" x="781"/>
        <item m="1" x="965"/>
        <item m="1" x="341"/>
        <item m="1" x="1054"/>
        <item m="1" x="523"/>
        <item m="1" x="756"/>
        <item x="75"/>
        <item m="1" x="308"/>
        <item m="1" x="845"/>
        <item m="1" x="344"/>
        <item m="1" x="836"/>
        <item m="1" x="617"/>
        <item m="1" x="856"/>
        <item m="1" x="447"/>
        <item x="178"/>
        <item m="1" x="807"/>
        <item x="165"/>
        <item m="1" x="1019"/>
        <item m="1" x="954"/>
        <item m="1" x="892"/>
        <item x="112"/>
        <item x="113"/>
        <item x="114"/>
        <item m="1" x="786"/>
        <item m="1" x="497"/>
        <item m="1" x="586"/>
        <item m="1" x="897"/>
        <item m="1" x="723"/>
        <item m="1" x="582"/>
        <item m="1" x="1064"/>
        <item m="1" x="1049"/>
        <item x="166"/>
        <item m="1" x="627"/>
        <item m="1" x="250"/>
        <item m="1" x="865"/>
        <item m="1" x="883"/>
        <item m="1" x="884"/>
        <item m="1" x="957"/>
        <item m="1" x="317"/>
        <item m="1" x="614"/>
        <item m="1" x="426"/>
        <item m="1" x="427"/>
        <item m="1" x="1026"/>
        <item m="1" x="970"/>
        <item m="1" x="952"/>
        <item m="1" x="610"/>
        <item m="1" x="1012"/>
        <item m="1" x="538"/>
        <item m="1" x="732"/>
        <item m="1" x="902"/>
        <item m="1" x="255"/>
        <item m="1" x="469"/>
        <item m="1" x="275"/>
        <item m="1" x="728"/>
        <item m="1" x="668"/>
        <item m="1" x="699"/>
        <item x="90"/>
        <item m="1" x="762"/>
        <item m="1" x="955"/>
        <item m="1" x="311"/>
        <item m="1" x="590"/>
        <item x="132"/>
        <item m="1" x="307"/>
        <item m="1" x="1038"/>
        <item m="1" x="660"/>
        <item m="1" x="791"/>
        <item m="1" x="746"/>
        <item x="148"/>
        <item x="124"/>
        <item x="48"/>
        <item x="56"/>
        <item m="1" x="652"/>
        <item m="1" x="488"/>
        <item m="1" x="258"/>
        <item m="1" x="1043"/>
        <item m="1" x="809"/>
        <item m="1" x="375"/>
        <item m="1" x="712"/>
        <item m="1" x="615"/>
        <item m="1" x="1062"/>
        <item m="1" x="982"/>
        <item m="1" x="558"/>
        <item m="1" x="448"/>
        <item m="1" x="535"/>
        <item m="1" x="294"/>
        <item m="1" x="936"/>
        <item m="1" x="742"/>
        <item m="1" x="1021"/>
        <item m="1" x="216"/>
        <item m="1" x="790"/>
        <item x="33"/>
        <item x="49"/>
        <item m="1" x="434"/>
        <item m="1" x="272"/>
        <item m="1" x="421"/>
        <item m="1" x="299"/>
        <item m="1" x="423"/>
        <item m="1" x="697"/>
        <item m="1" x="1018"/>
        <item m="1" x="593"/>
        <item m="1" x="739"/>
        <item m="1" x="578"/>
        <item m="1" x="853"/>
        <item m="1" x="825"/>
        <item m="1" x="480"/>
        <item m="1" x="948"/>
        <item m="1" x="587"/>
        <item m="1" x="703"/>
        <item m="1" x="812"/>
        <item m="1" x="424"/>
        <item m="1" x="309"/>
        <item m="1" x="1061"/>
        <item m="1" x="284"/>
        <item m="1" x="819"/>
        <item m="1" x="1052"/>
        <item m="1" x="984"/>
        <item m="1" x="1050"/>
        <item m="1" x="1016"/>
        <item m="1" x="457"/>
        <item m="1" x="404"/>
        <item m="1" x="621"/>
        <item m="1" x="506"/>
        <item m="1" x="1056"/>
        <item m="1" x="846"/>
        <item m="1" x="978"/>
        <item m="1" x="262"/>
        <item m="1" x="527"/>
        <item m="1" x="450"/>
        <item m="1" x="271"/>
        <item m="1" x="725"/>
        <item m="1" x="653"/>
        <item m="1" x="930"/>
        <item m="1" x="413"/>
        <item m="1" x="508"/>
        <item m="1" x="689"/>
        <item m="1" x="611"/>
        <item m="1" x="947"/>
        <item m="1" x="639"/>
        <item m="1" x="466"/>
        <item m="1" x="1033"/>
        <item m="1" x="862"/>
        <item m="1" x="1032"/>
        <item m="1" x="1031"/>
        <item m="1" x="326"/>
        <item m="1" x="694"/>
        <item m="1" x="369"/>
        <item m="1" x="874"/>
        <item m="1" x="956"/>
        <item m="1" x="509"/>
        <item m="1" x="300"/>
        <item m="1" x="211"/>
        <item m="1" x="432"/>
        <item m="1" x="992"/>
        <item m="1" x="411"/>
        <item m="1" x="533"/>
        <item m="1" x="1015"/>
        <item m="1" x="702"/>
        <item m="1" x="795"/>
        <item m="1" x="462"/>
        <item m="1" x="743"/>
        <item m="1" x="290"/>
        <item m="1" x="630"/>
        <item m="1" x="479"/>
        <item m="1" x="783"/>
        <item m="1" x="520"/>
        <item m="1" x="565"/>
        <item m="1" x="449"/>
        <item m="1" x="385"/>
        <item m="1" x="778"/>
        <item m="1" x="916"/>
        <item x="9"/>
        <item x="37"/>
        <item x="87"/>
        <item x="82"/>
        <item x="84"/>
        <item x="11"/>
        <item x="31"/>
        <item x="20"/>
        <item x="47"/>
        <item x="59"/>
        <item m="1" x="665"/>
        <item m="1" x="334"/>
        <item m="1" x="933"/>
        <item m="1" x="872"/>
        <item m="1" x="366"/>
        <item m="1" x="499"/>
        <item m="1" x="260"/>
        <item m="1" x="612"/>
        <item m="1" x="247"/>
        <item x="61"/>
        <item m="1" x="252"/>
        <item m="1" x="995"/>
        <item m="1" x="452"/>
        <item m="1" x="681"/>
        <item m="1" x="690"/>
        <item m="1" x="261"/>
        <item m="1" x="843"/>
        <item x="77"/>
        <item x="79"/>
        <item m="1" x="624"/>
        <item m="1" x="574"/>
        <item m="1" x="365"/>
        <item m="1" x="349"/>
        <item m="1" x="906"/>
        <item m="1" x="442"/>
        <item m="1" x="430"/>
        <item m="1" x="900"/>
        <item m="1" x="417"/>
        <item m="1" x="908"/>
        <item m="1" x="459"/>
        <item m="1" x="214"/>
        <item m="1" x="981"/>
        <item m="1" x="658"/>
        <item m="1" x="834"/>
        <item m="1" x="709"/>
        <item m="1" x="602"/>
        <item m="1" x="460"/>
        <item m="1" x="584"/>
        <item m="1" x="662"/>
        <item m="1" x="539"/>
        <item m="1" x="382"/>
        <item m="1" x="1024"/>
        <item m="1" x="360"/>
        <item m="1" x="465"/>
        <item m="1" x="977"/>
        <item m="1" x="555"/>
        <item m="1" x="526"/>
        <item m="1" x="889"/>
        <item m="1" x="633"/>
        <item m="1" x="373"/>
        <item m="1" x="813"/>
        <item m="1" x="561"/>
        <item m="1" x="579"/>
        <item m="1" x="573"/>
        <item m="1" x="225"/>
        <item m="1" x="625"/>
        <item m="1" x="429"/>
        <item m="1" x="320"/>
        <item m="1" x="1051"/>
        <item m="1" x="619"/>
        <item m="1" x="323"/>
        <item m="1" x="910"/>
        <item m="1" x="577"/>
        <item m="1" x="605"/>
        <item m="1" x="244"/>
        <item m="1" x="348"/>
        <item m="1" x="857"/>
        <item m="1" x="547"/>
        <item m="1" x="661"/>
        <item m="1" x="253"/>
        <item m="1" x="647"/>
        <item m="1" x="776"/>
        <item m="1" x="350"/>
        <item m="1" x="456"/>
        <item m="1" x="368"/>
        <item m="1" x="475"/>
        <item m="1" x="463"/>
        <item m="1" x="301"/>
        <item m="1" x="967"/>
        <item m="1" x="835"/>
        <item m="1" x="629"/>
        <item m="1" x="232"/>
        <item m="1" x="729"/>
        <item m="1" x="931"/>
        <item m="1" x="815"/>
        <item m="1" x="563"/>
        <item m="1" x="597"/>
        <item m="1" x="745"/>
        <item m="1" x="379"/>
        <item m="1" x="869"/>
        <item m="1" x="667"/>
        <item m="1" x="581"/>
        <item m="1" x="814"/>
        <item m="1" x="782"/>
        <item m="1" x="752"/>
        <item m="1" x="720"/>
        <item m="1" x="946"/>
        <item m="1" x="734"/>
        <item m="1" x="239"/>
        <item m="1" x="226"/>
        <item m="1" x="371"/>
        <item m="1" x="748"/>
        <item m="1" x="412"/>
        <item m="1" x="733"/>
        <item m="1" x="926"/>
        <item m="1" x="433"/>
        <item m="1" x="380"/>
        <item m="1" x="735"/>
        <item m="1" x="708"/>
        <item m="1" x="474"/>
        <item m="1" x="470"/>
        <item m="1" x="925"/>
        <item m="1" x="501"/>
        <item m="1" x="802"/>
        <item m="1" x="730"/>
        <item m="1" x="953"/>
        <item m="1" x="987"/>
        <item m="1" x="282"/>
        <item m="1" x="1037"/>
        <item m="1" x="680"/>
        <item m="1" x="517"/>
        <item m="1" x="893"/>
        <item m="1" x="293"/>
        <item m="1" x="959"/>
        <item m="1" x="810"/>
        <item m="1" x="514"/>
        <item m="1" x="490"/>
        <item m="1" x="471"/>
        <item m="1" x="530"/>
        <item m="1" x="871"/>
        <item m="1" x="467"/>
        <item m="1" x="220"/>
        <item m="1" x="961"/>
        <item m="1" x="887"/>
        <item m="1" x="645"/>
        <item m="1" x="557"/>
        <item m="1" x="921"/>
        <item m="1" x="622"/>
        <item m="1" x="591"/>
        <item m="1" x="303"/>
        <item m="1" x="540"/>
        <item m="1" x="666"/>
        <item m="1" x="638"/>
        <item m="1" x="644"/>
        <item m="1" x="231"/>
        <item m="1" x="314"/>
        <item m="1" x="455"/>
        <item m="1" x="378"/>
        <item m="1" x="885"/>
        <item m="1" x="888"/>
        <item m="1" x="826"/>
        <item m="1" x="847"/>
        <item m="1" x="443"/>
        <item m="1" x="1048"/>
        <item m="1" x="569"/>
        <item m="1" x="283"/>
        <item m="1" x="875"/>
        <item m="1" x="553"/>
        <item m="1" x="476"/>
        <item m="1" x="400"/>
        <item m="1" x="229"/>
        <item m="1" x="206"/>
        <item x="140"/>
        <item m="1" x="440"/>
        <item m="1" x="773"/>
        <item m="1" x="245"/>
        <item m="1" x="820"/>
        <item m="1" x="794"/>
        <item m="1" x="249"/>
        <item m="1" x="626"/>
        <item m="1" x="905"/>
        <item m="1" x="600"/>
        <item m="1" x="1000"/>
        <item m="1" x="848"/>
        <item m="1" x="945"/>
        <item m="1" x="646"/>
        <item m="1" x="259"/>
        <item m="1" x="922"/>
        <item m="1" x="805"/>
        <item m="1" x="830"/>
        <item m="1" x="414"/>
        <item m="1" x="560"/>
        <item m="1" x="860"/>
        <item m="1" x="532"/>
        <item m="1" x="903"/>
        <item m="1" x="358"/>
        <item m="1" x="700"/>
        <item m="1" x="458"/>
        <item m="1" x="296"/>
        <item m="1" x="768"/>
        <item m="1" x="787"/>
        <item m="1" x="607"/>
        <item m="1" x="678"/>
        <item m="1" x="679"/>
        <item m="1" x="673"/>
        <item m="1" x="951"/>
        <item m="1" x="370"/>
        <item m="1" x="963"/>
        <item m="1" x="1022"/>
        <item m="1" x="335"/>
        <item m="1" x="265"/>
        <item m="1" x="332"/>
        <item m="1" x="751"/>
        <item m="1" x="721"/>
        <item m="1" x="393"/>
        <item m="1" x="968"/>
        <item m="1" x="808"/>
        <item m="1" x="219"/>
        <item m="1" x="324"/>
        <item m="1" x="924"/>
        <item m="1" x="564"/>
        <item m="1" x="811"/>
        <item m="1" x="793"/>
        <item m="1" x="775"/>
        <item m="1" x="657"/>
        <item m="1" x="549"/>
        <item m="1" x="524"/>
        <item m="1" x="242"/>
        <item m="1" x="352"/>
        <item m="1" x="937"/>
        <item m="1" x="1001"/>
        <item m="1" x="705"/>
        <item m="1" x="1044"/>
        <item m="1" x="274"/>
        <item m="1" x="744"/>
        <item m="1" x="803"/>
        <item m="1" x="993"/>
        <item m="1" x="878"/>
        <item m="1" x="827"/>
        <item m="1" x="1010"/>
        <item m="1" x="780"/>
        <item m="1" x="676"/>
        <item m="1" x="338"/>
        <item m="1" x="711"/>
        <item m="1" x="899"/>
        <item m="1" x="1067"/>
        <item m="1" x="855"/>
        <item m="1" x="483"/>
        <item m="1" x="718"/>
        <item m="1" x="1039"/>
        <item m="1" x="663"/>
        <item m="1" x="529"/>
        <item m="1" x="650"/>
        <item m="1" x="559"/>
        <item m="1" x="1002"/>
        <item m="1" x="670"/>
        <item m="1" x="976"/>
        <item m="1" x="736"/>
        <item m="1" x="435"/>
        <item m="1" x="313"/>
        <item m="1" x="218"/>
        <item m="1" x="983"/>
        <item m="1" x="237"/>
        <item m="1" x="649"/>
        <item m="1" x="322"/>
        <item m="1" x="971"/>
        <item m="1" x="1046"/>
        <item m="1" x="714"/>
        <item m="1" x="960"/>
        <item m="1" x="1035"/>
        <item m="1" x="672"/>
        <item m="1" x="949"/>
        <item m="1" x="343"/>
        <item m="1" x="919"/>
        <item m="1" x="230"/>
        <item m="1" x="766"/>
        <item m="1" x="481"/>
        <item m="1" x="541"/>
        <item m="1" x="1042"/>
        <item m="1" x="898"/>
        <item x="182"/>
        <item x="91"/>
        <item m="1" x="312"/>
        <item x="196"/>
        <item m="1" x="849"/>
        <item m="1" x="635"/>
        <item m="1" x="1059"/>
        <item m="1" x="758"/>
        <item m="1" x="972"/>
        <item x="119"/>
        <item x="122"/>
        <item x="60"/>
        <item m="1" x="1009"/>
        <item m="1" x="316"/>
        <item m="1" x="913"/>
        <item m="1" x="737"/>
        <item m="1" x="353"/>
        <item m="1" x="989"/>
        <item m="1" x="512"/>
        <item m="1" x="804"/>
        <item m="1" x="241"/>
        <item m="1" x="438"/>
        <item m="1" x="495"/>
        <item m="1" x="693"/>
        <item m="1" x="923"/>
        <item m="1" x="528"/>
        <item m="1" x="550"/>
        <item x="2"/>
        <item x="139"/>
        <item m="1" x="707"/>
        <item m="1" x="643"/>
        <item m="1" x="266"/>
        <item m="1" x="634"/>
        <item m="1" x="356"/>
        <item m="1" x="750"/>
        <item m="1" x="235"/>
        <item m="1" x="1030"/>
        <item m="1" x="828"/>
        <item m="1" x="554"/>
        <item m="1" x="1025"/>
        <item m="1" x="964"/>
        <item x="10"/>
        <item m="1" x="439"/>
        <item m="1" x="727"/>
        <item x="0"/>
        <item x="1"/>
        <item m="1" x="882"/>
        <item m="1" x="227"/>
        <item x="190"/>
        <item x="138"/>
        <item x="127"/>
        <item x="129"/>
        <item x="121"/>
        <item x="146"/>
        <item x="150"/>
        <item x="149"/>
        <item x="144"/>
        <item x="147"/>
        <item x="151"/>
        <item x="143"/>
        <item x="141"/>
        <item x="142"/>
        <item x="145"/>
        <item m="1" x="691"/>
        <item m="1" x="704"/>
        <item x="203"/>
        <item x="204"/>
        <item x="17"/>
        <item x="51"/>
        <item x="52"/>
        <item x="76"/>
        <item x="78"/>
        <item x="92"/>
        <item x="118"/>
        <item x="120"/>
        <item x="123"/>
        <item x="126"/>
        <item x="131"/>
        <item x="133"/>
        <item x="134"/>
        <item x="136"/>
        <item x="137"/>
        <item x="169"/>
        <item x="187"/>
        <item x="65"/>
        <item x="197"/>
        <item x="198"/>
        <item x="199"/>
        <item x="200"/>
        <item x="201"/>
        <item x="202"/>
        <item x="102"/>
        <item x="105"/>
        <item x="176"/>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97">
    <i>
      <x v="1"/>
    </i>
    <i>
      <x v="2"/>
    </i>
    <i>
      <x v="3"/>
    </i>
    <i>
      <x v="4"/>
    </i>
    <i>
      <x v="5"/>
    </i>
    <i>
      <x v="30"/>
    </i>
    <i>
      <x v="36"/>
    </i>
    <i>
      <x v="49"/>
    </i>
    <i>
      <x v="53"/>
    </i>
    <i>
      <x v="59"/>
    </i>
    <i>
      <x v="64"/>
    </i>
    <i>
      <x v="74"/>
    </i>
    <i>
      <x v="81"/>
    </i>
    <i>
      <x v="83"/>
    </i>
    <i>
      <x v="100"/>
    </i>
    <i>
      <x v="101"/>
    </i>
    <i>
      <x v="102"/>
    </i>
    <i>
      <x v="106"/>
    </i>
    <i>
      <x v="111"/>
    </i>
    <i>
      <x v="113"/>
    </i>
    <i>
      <x v="116"/>
    </i>
    <i>
      <x v="118"/>
    </i>
    <i>
      <x v="119"/>
    </i>
    <i>
      <x v="120"/>
    </i>
    <i>
      <x v="126"/>
    </i>
    <i>
      <x v="127"/>
    </i>
    <i>
      <x v="128"/>
    </i>
    <i>
      <x v="133"/>
    </i>
    <i>
      <x v="150"/>
    </i>
    <i>
      <x v="163"/>
    </i>
    <i>
      <x v="164"/>
    </i>
    <i>
      <x v="191"/>
    </i>
    <i>
      <x v="194"/>
    </i>
    <i>
      <x v="199"/>
    </i>
    <i>
      <x v="201"/>
    </i>
    <i>
      <x v="206"/>
    </i>
    <i>
      <x v="207"/>
    </i>
    <i>
      <x v="208"/>
    </i>
    <i>
      <x v="217"/>
    </i>
    <i>
      <x v="220"/>
    </i>
    <i>
      <x v="221"/>
    </i>
    <i>
      <x v="222"/>
    </i>
    <i>
      <x v="223"/>
    </i>
    <i>
      <x v="224"/>
    </i>
    <i>
      <x v="225"/>
    </i>
    <i>
      <x v="226"/>
    </i>
    <i>
      <x v="230"/>
    </i>
    <i>
      <x v="231"/>
    </i>
    <i>
      <x v="234"/>
    </i>
    <i>
      <x v="235"/>
    </i>
    <i>
      <x v="237"/>
    </i>
    <i>
      <x v="238"/>
    </i>
    <i>
      <x v="239"/>
    </i>
    <i>
      <x v="240"/>
    </i>
    <i>
      <x v="241"/>
    </i>
    <i>
      <x v="242"/>
    </i>
    <i>
      <x v="244"/>
    </i>
    <i>
      <x v="245"/>
    </i>
    <i>
      <x v="246"/>
    </i>
    <i>
      <x v="247"/>
    </i>
    <i>
      <x v="248"/>
    </i>
    <i>
      <x v="249"/>
    </i>
    <i>
      <x v="251"/>
    </i>
    <i>
      <x v="252"/>
    </i>
    <i>
      <x v="253"/>
    </i>
    <i>
      <x v="254"/>
    </i>
    <i>
      <x v="258"/>
    </i>
    <i>
      <x v="259"/>
    </i>
    <i>
      <x v="261"/>
    </i>
    <i>
      <x v="266"/>
    </i>
    <i>
      <x v="267"/>
    </i>
    <i>
      <x v="271"/>
    </i>
    <i>
      <x v="283"/>
    </i>
    <i>
      <x v="286"/>
    </i>
    <i>
      <x v="294"/>
    </i>
    <i>
      <x v="301"/>
    </i>
    <i>
      <x v="302"/>
    </i>
    <i>
      <x v="303"/>
    </i>
    <i>
      <x v="304"/>
    </i>
    <i>
      <x v="306"/>
    </i>
    <i>
      <x v="308"/>
    </i>
    <i>
      <x v="309"/>
    </i>
    <i>
      <x v="310"/>
    </i>
    <i>
      <x v="313"/>
    </i>
    <i>
      <x v="316"/>
    </i>
    <i>
      <x v="320"/>
    </i>
    <i>
      <x v="324"/>
    </i>
    <i>
      <x v="325"/>
    </i>
    <i>
      <x v="327"/>
    </i>
    <i>
      <x v="328"/>
    </i>
    <i>
      <x v="342"/>
    </i>
    <i>
      <x v="345"/>
    </i>
    <i>
      <x v="350"/>
    </i>
    <i>
      <x v="365"/>
    </i>
    <i>
      <x v="366"/>
    </i>
    <i>
      <x v="368"/>
    </i>
    <i>
      <x v="372"/>
    </i>
    <i>
      <x v="373"/>
    </i>
    <i>
      <x v="380"/>
    </i>
    <i>
      <x v="399"/>
    </i>
    <i>
      <x v="400"/>
    </i>
    <i>
      <x v="409"/>
    </i>
    <i>
      <x v="411"/>
    </i>
    <i>
      <x v="416"/>
    </i>
    <i>
      <x v="421"/>
    </i>
    <i>
      <x v="432"/>
    </i>
    <i>
      <x v="436"/>
    </i>
    <i>
      <x v="438"/>
    </i>
    <i>
      <x v="442"/>
    </i>
    <i>
      <x v="443"/>
    </i>
    <i>
      <x v="445"/>
    </i>
    <i>
      <x v="446"/>
    </i>
    <i>
      <x v="447"/>
    </i>
    <i>
      <x v="452"/>
    </i>
    <i>
      <x v="465"/>
    </i>
    <i>
      <x v="474"/>
    </i>
    <i>
      <x v="477"/>
    </i>
    <i>
      <x v="478"/>
    </i>
    <i>
      <x v="480"/>
    </i>
    <i>
      <x v="481"/>
    </i>
    <i>
      <x v="509"/>
    </i>
    <i>
      <x v="530"/>
    </i>
    <i>
      <x v="538"/>
    </i>
    <i>
      <x v="540"/>
    </i>
    <i>
      <x v="544"/>
    </i>
    <i>
      <x v="545"/>
    </i>
    <i>
      <x v="546"/>
    </i>
    <i>
      <x v="555"/>
    </i>
    <i>
      <x v="580"/>
    </i>
    <i>
      <x v="585"/>
    </i>
    <i>
      <x v="591"/>
    </i>
    <i>
      <x v="592"/>
    </i>
    <i>
      <x v="593"/>
    </i>
    <i>
      <x v="594"/>
    </i>
    <i>
      <x v="614"/>
    </i>
    <i>
      <x v="615"/>
    </i>
    <i>
      <x v="694"/>
    </i>
    <i>
      <x v="695"/>
    </i>
    <i>
      <x v="696"/>
    </i>
    <i>
      <x v="697"/>
    </i>
    <i>
      <x v="698"/>
    </i>
    <i>
      <x v="699"/>
    </i>
    <i>
      <x v="700"/>
    </i>
    <i>
      <x v="701"/>
    </i>
    <i>
      <x v="702"/>
    </i>
    <i>
      <x v="703"/>
    </i>
    <i>
      <x v="713"/>
    </i>
    <i>
      <x v="721"/>
    </i>
    <i>
      <x v="722"/>
    </i>
    <i>
      <x v="866"/>
    </i>
    <i>
      <x v="974"/>
    </i>
    <i>
      <x v="975"/>
    </i>
    <i>
      <x v="983"/>
    </i>
    <i>
      <x v="984"/>
    </i>
    <i>
      <x v="985"/>
    </i>
    <i>
      <x v="1001"/>
    </i>
    <i>
      <x v="1002"/>
    </i>
    <i>
      <x v="1015"/>
    </i>
    <i>
      <x v="1018"/>
    </i>
    <i>
      <x v="1019"/>
    </i>
    <i>
      <x v="1022"/>
    </i>
    <i>
      <x v="1023"/>
    </i>
    <i>
      <x v="1024"/>
    </i>
    <i>
      <x v="1025"/>
    </i>
    <i>
      <x v="1026"/>
    </i>
    <i>
      <x v="1027"/>
    </i>
    <i>
      <x v="1028"/>
    </i>
    <i>
      <x v="1029"/>
    </i>
    <i>
      <x v="1030"/>
    </i>
    <i>
      <x v="1031"/>
    </i>
    <i>
      <x v="1032"/>
    </i>
    <i>
      <x v="1033"/>
    </i>
    <i>
      <x v="1034"/>
    </i>
    <i>
      <x v="1035"/>
    </i>
    <i>
      <x v="1036"/>
    </i>
    <i>
      <x v="1041"/>
    </i>
    <i>
      <x v="1042"/>
    </i>
    <i>
      <x v="1043"/>
    </i>
    <i>
      <x v="1044"/>
    </i>
    <i>
      <x v="1045"/>
    </i>
    <i>
      <x v="1046"/>
    </i>
    <i>
      <x v="1047"/>
    </i>
    <i>
      <x v="1048"/>
    </i>
    <i>
      <x v="1049"/>
    </i>
    <i>
      <x v="1050"/>
    </i>
    <i>
      <x v="1051"/>
    </i>
    <i>
      <x v="1052"/>
    </i>
    <i>
      <x v="1053"/>
    </i>
    <i>
      <x v="1054"/>
    </i>
    <i>
      <x v="1055"/>
    </i>
    <i>
      <x v="1056"/>
    </i>
    <i>
      <x v="1057"/>
    </i>
    <i>
      <x v="1058"/>
    </i>
    <i>
      <x v="1065"/>
    </i>
    <i>
      <x v="1066"/>
    </i>
    <i>
      <x v="1067"/>
    </i>
    <i t="grand">
      <x/>
    </i>
  </rowItems>
  <colFields count="1">
    <field x="-2"/>
  </colFields>
  <colItems count="4">
    <i>
      <x/>
    </i>
    <i i="1">
      <x v="1"/>
    </i>
    <i i="2">
      <x v="2"/>
    </i>
    <i i="3">
      <x v="3"/>
    </i>
  </colItems>
  <pageFields count="3">
    <pageField fld="0" item="22" hier="-1"/>
    <pageField fld="5" hier="-1"/>
    <pageField fld="4" hier="-1"/>
  </pageFields>
  <dataFields count="4">
    <dataField name="Total Population" fld="9" baseField="0" baseItem="0"/>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6"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601" firstHeaderRow="0" firstDataRow="1" firstDataCol="2" rowPageCount="1" colPageCount="1"/>
  <pivotFields count="155">
    <pivotField axis="axisRow" compact="0" outline="0" showAll="0">
      <items count="25">
        <item m="1" x="21"/>
        <item m="1" x="22"/>
        <item m="1" x="8"/>
        <item m="1" x="23"/>
        <item m="1" x="15"/>
        <item m="1" x="17"/>
        <item m="1" x="19"/>
        <item m="1" x="20"/>
        <item m="1" x="4"/>
        <item m="1" x="2"/>
        <item m="1" x="11"/>
        <item m="1" x="13"/>
        <item m="1" x="16"/>
        <item m="1" x="18"/>
        <item m="1" x="6"/>
        <item m="1" x="9"/>
        <item m="1" x="12"/>
        <item m="1" x="14"/>
        <item m="1" x="3"/>
        <item m="1" x="5"/>
        <item m="1" x="7"/>
        <item m="1" x="10"/>
        <item x="0"/>
        <item x="1"/>
        <item t="default"/>
      </items>
    </pivotField>
    <pivotField compact="0" outline="0" showAll="0" defaultSubtotal="0"/>
    <pivotField compact="0" outline="0" showAll="0" defaultSubtotal="0">
      <items count="58">
        <item m="1" x="47"/>
        <item m="1" x="34"/>
        <item m="1" x="22"/>
        <item m="1" x="16"/>
        <item m="1" x="18"/>
        <item m="1" x="19"/>
        <item m="1" x="45"/>
        <item m="1" x="33"/>
        <item x="0"/>
        <item x="1"/>
        <item m="1" x="55"/>
        <item x="13"/>
        <item m="1" x="57"/>
        <item x="2"/>
        <item m="1" x="24"/>
        <item m="1" x="56"/>
        <item x="3"/>
        <item m="1" x="39"/>
        <item m="1" x="25"/>
        <item x="4"/>
        <item m="1" x="29"/>
        <item x="5"/>
        <item x="6"/>
        <item m="1" x="38"/>
        <item m="1" x="49"/>
        <item m="1" x="35"/>
        <item m="1" x="41"/>
        <item m="1" x="15"/>
        <item m="1" x="27"/>
        <item m="1" x="42"/>
        <item m="1" x="46"/>
        <item m="1" x="36"/>
        <item m="1" x="32"/>
        <item m="1" x="43"/>
        <item m="1" x="17"/>
        <item x="7"/>
        <item m="1" x="51"/>
        <item m="1" x="44"/>
        <item m="1" x="40"/>
        <item m="1" x="53"/>
        <item m="1" x="37"/>
        <item m="1" x="54"/>
        <item m="1" x="20"/>
        <item m="1" x="21"/>
        <item m="1" x="28"/>
        <item m="1" x="30"/>
        <item x="8"/>
        <item x="9"/>
        <item m="1" x="26"/>
        <item x="10"/>
        <item m="1" x="31"/>
        <item m="1" x="50"/>
        <item m="1" x="52"/>
        <item m="1" x="23"/>
        <item m="1" x="48"/>
        <item x="11"/>
        <item x="12"/>
        <item x="14"/>
      </items>
    </pivotField>
    <pivotField compact="0" outline="0" showAll="0"/>
    <pivotField compact="0" outline="0" showAll="0">
      <items count="7">
        <item m="1" x="5"/>
        <item x="1"/>
        <item m="1" x="4"/>
        <item m="1" x="3"/>
        <item x="0"/>
        <item m="1" x="2"/>
        <item t="default"/>
      </items>
    </pivotField>
    <pivotField compact="0" outline="0" showAll="0">
      <items count="47">
        <item m="1" x="31"/>
        <item x="1"/>
        <item m="1" x="43"/>
        <item m="1" x="35"/>
        <item x="2"/>
        <item x="3"/>
        <item x="14"/>
        <item x="21"/>
        <item x="23"/>
        <item x="15"/>
        <item x="22"/>
        <item m="1" x="38"/>
        <item m="1" x="26"/>
        <item x="16"/>
        <item m="1" x="45"/>
        <item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 t="default"/>
      </items>
    </pivotField>
    <pivotField compact="0" outline="0" showAll="0" defaultSubtotal="0">
      <items count="14">
        <item x="0"/>
        <item m="1" x="12"/>
        <item x="1"/>
        <item m="1" x="11"/>
        <item m="1" x="9"/>
        <item x="2"/>
        <item m="1" x="4"/>
        <item m="1" x="5"/>
        <item m="1" x="7"/>
        <item m="1" x="6"/>
        <item x="3"/>
        <item m="1" x="10"/>
        <item m="1" x="13"/>
        <item m="1" x="8"/>
      </items>
    </pivotField>
    <pivotField axis="axisRow" compact="0" outline="0" showAll="0">
      <items count="1069">
        <item m="1" x="740"/>
        <item m="1" x="506"/>
        <item m="1" x="621"/>
        <item x="179"/>
        <item x="180"/>
        <item x="154"/>
        <item x="155"/>
        <item x="95"/>
        <item m="1" x="479"/>
        <item m="1" x="363"/>
        <item m="1" x="609"/>
        <item m="1" x="278"/>
        <item m="1" x="319"/>
        <item m="1" x="583"/>
        <item m="1" x="701"/>
        <item m="1" x="716"/>
        <item m="1" x="846"/>
        <item m="1" x="491"/>
        <item m="1" x="321"/>
        <item m="1" x="975"/>
        <item m="1" x="879"/>
        <item m="1" x="333"/>
        <item m="1" x="763"/>
        <item m="1" x="545"/>
        <item m="1" x="917"/>
        <item m="1" x="858"/>
        <item m="1" x="940"/>
        <item m="1" x="962"/>
        <item m="1" x="401"/>
        <item m="1" x="838"/>
        <item m="1" x="436"/>
        <item m="1" x="453"/>
        <item m="1" x="739"/>
        <item m="1" x="451"/>
        <item m="1" x="1052"/>
        <item m="1" x="359"/>
        <item m="1" x="1050"/>
        <item x="70"/>
        <item m="1" x="1013"/>
        <item m="1" x="1053"/>
        <item m="1" x="774"/>
        <item m="1" x="503"/>
        <item m="1" x="690"/>
        <item m="1" x="1061"/>
        <item m="1" x="388"/>
        <item m="1" x="252"/>
        <item m="1" x="421"/>
        <item x="156"/>
        <item m="1" x="437"/>
        <item m="1" x="915"/>
        <item m="1" x="868"/>
        <item m="1" x="932"/>
        <item m="1" x="267"/>
        <item m="1" x="374"/>
        <item m="1" x="596"/>
        <item m="1" x="831"/>
        <item m="1" x="832"/>
        <item m="1" x="592"/>
        <item m="1" x="746"/>
        <item m="1" x="567"/>
        <item m="1" x="431"/>
        <item x="63"/>
        <item m="1" x="1047"/>
        <item m="1" x="1003"/>
        <item m="1" x="771"/>
        <item x="192"/>
        <item m="1" x="969"/>
        <item m="1" x="462"/>
        <item m="1" x="761"/>
        <item m="1" x="792"/>
        <item m="1" x="240"/>
        <item m="1" x="263"/>
        <item x="157"/>
        <item m="1" x="942"/>
        <item m="1" x="472"/>
        <item m="1" x="386"/>
        <item m="1" x="468"/>
        <item x="152"/>
        <item m="1" x="659"/>
        <item m="1" x="423"/>
        <item m="1" x="783"/>
        <item m="1" x="821"/>
        <item m="1" x="221"/>
        <item m="1" x="767"/>
        <item m="1" x="1006"/>
        <item m="1" x="682"/>
        <item m="1" x="268"/>
        <item m="1" x="405"/>
        <item m="1" x="262"/>
        <item m="1" x="935"/>
        <item x="158"/>
        <item m="1" x="867"/>
        <item m="1" x="598"/>
        <item m="1" x="492"/>
        <item m="1" x="973"/>
        <item m="1" x="655"/>
        <item m="1" x="420"/>
        <item x="18"/>
        <item m="1" x="840"/>
        <item x="54"/>
        <item x="132"/>
        <item m="1" x="990"/>
        <item m="1" x="361"/>
        <item x="77"/>
        <item m="1" x="1011"/>
        <item m="1" x="731"/>
        <item m="1" x="606"/>
        <item m="1" x="948"/>
        <item m="1" x="636"/>
        <item m="1" x="895"/>
        <item m="1" x="270"/>
        <item m="1" x="796"/>
        <item m="1" x="724"/>
        <item m="1" x="988"/>
        <item m="1" x="929"/>
        <item m="1" x="788"/>
        <item m="1" x="640"/>
        <item m="1" x="211"/>
        <item m="1" x="674"/>
        <item m="1" x="238"/>
        <item x="191"/>
        <item x="172"/>
        <item x="38"/>
        <item m="1" x="329"/>
        <item m="1" x="228"/>
        <item m="1" x="631"/>
        <item x="4"/>
        <item m="1" x="534"/>
        <item m="1" x="601"/>
        <item m="1" x="493"/>
        <item m="1" x="256"/>
        <item x="101"/>
        <item m="1" x="754"/>
        <item x="159"/>
        <item m="1" x="494"/>
        <item m="1" x="759"/>
        <item m="1" x="984"/>
        <item x="3"/>
        <item m="1" x="251"/>
        <item x="96"/>
        <item m="1" x="697"/>
        <item x="71"/>
        <item x="79"/>
        <item x="111"/>
        <item m="1" x="769"/>
        <item m="1" x="809"/>
        <item m="1" x="461"/>
        <item m="1" x="291"/>
        <item m="1" x="385"/>
        <item m="1" x="778"/>
        <item m="1" x="738"/>
        <item m="1" x="403"/>
        <item x="19"/>
        <item x="55"/>
        <item x="20"/>
        <item x="15"/>
        <item m="1" x="695"/>
        <item x="56"/>
        <item m="1" x="1020"/>
        <item m="1" x="1063"/>
        <item m="1" x="578"/>
        <item m="1" x="930"/>
        <item m="1" x="958"/>
        <item x="97"/>
        <item m="1" x="703"/>
        <item m="1" x="664"/>
        <item m="1" x="656"/>
        <item m="1" x="870"/>
        <item m="1" x="416"/>
        <item m="1" x="812"/>
        <item m="1" x="364"/>
        <item m="1" x="410"/>
        <item m="1" x="642"/>
        <item m="1" x="800"/>
        <item m="1" x="980"/>
        <item m="1" x="755"/>
        <item m="1" x="286"/>
        <item m="1" x="901"/>
        <item m="1" x="665"/>
        <item m="1" x="933"/>
        <item x="48"/>
        <item m="1" x="290"/>
        <item m="1" x="452"/>
        <item m="1" x="511"/>
        <item m="1" x="618"/>
        <item m="1" x="444"/>
        <item m="1" x="572"/>
        <item x="98"/>
        <item m="1" x="516"/>
        <item m="1" x="1055"/>
        <item m="1" x="757"/>
        <item m="1" x="387"/>
        <item m="1" x="478"/>
        <item m="1" x="764"/>
        <item m="1" x="519"/>
        <item m="1" x="305"/>
        <item m="1" x="389"/>
        <item m="1" x="318"/>
        <item m="1" x="770"/>
        <item m="1" x="1008"/>
        <item m="1" x="326"/>
        <item x="80"/>
        <item x="81"/>
        <item m="1" x="1027"/>
        <item m="1" x="613"/>
        <item m="1" x="310"/>
        <item m="1" x="1021"/>
        <item m="1" x="784"/>
        <item m="1" x="347"/>
        <item m="1" x="837"/>
        <item m="1" x="271"/>
        <item m="1" x="345"/>
        <item m="1" x="916"/>
        <item m="1" x="395"/>
        <item m="1" x="648"/>
        <item m="1" x="1041"/>
        <item m="1" x="1057"/>
        <item m="1" x="328"/>
        <item m="1" x="287"/>
        <item m="1" x="381"/>
        <item m="1" x="797"/>
        <item m="1" x="415"/>
        <item m="1" x="487"/>
        <item m="1" x="863"/>
        <item m="1" x="336"/>
        <item m="1" x="819"/>
        <item m="1" x="284"/>
        <item m="1" x="941"/>
        <item m="1" x="979"/>
        <item m="1" x="331"/>
        <item m="1" x="599"/>
        <item m="1" x="944"/>
        <item m="1" x="402"/>
        <item m="1" x="982"/>
        <item m="1" x="276"/>
        <item x="106"/>
        <item m="1" x="719"/>
        <item m="1" x="224"/>
        <item x="8"/>
        <item m="1" x="928"/>
        <item m="1" x="651"/>
        <item m="1" x="464"/>
        <item m="1" x="978"/>
        <item m="1" x="408"/>
        <item x="16"/>
        <item m="1" x="934"/>
        <item m="1" x="258"/>
        <item m="1" x="488"/>
        <item m="1" x="590"/>
        <item m="1" x="311"/>
        <item x="195"/>
        <item m="1" x="289"/>
        <item m="1" x="698"/>
        <item m="1" x="300"/>
        <item m="1" x="912"/>
        <item x="124"/>
        <item m="1" x="829"/>
        <item x="160"/>
        <item m="1" x="272"/>
        <item x="21"/>
        <item x="22"/>
        <item m="1" x="1065"/>
        <item m="1" x="269"/>
        <item m="1" x="212"/>
        <item m="1" x="886"/>
        <item m="1" x="536"/>
        <item m="1" x="264"/>
        <item m="1" x="741"/>
        <item m="1" x="498"/>
        <item x="153"/>
        <item m="1" x="525"/>
        <item m="1" x="637"/>
        <item x="161"/>
        <item x="162"/>
        <item x="72"/>
        <item x="107"/>
        <item x="183"/>
        <item x="184"/>
        <item x="185"/>
        <item x="49"/>
        <item m="1" x="339"/>
        <item m="1" x="280"/>
        <item m="1" x="325"/>
        <item x="32"/>
        <item x="135"/>
        <item m="1" x="896"/>
        <item x="9"/>
        <item m="1" x="890"/>
        <item m="1" x="375"/>
        <item x="39"/>
        <item x="40"/>
        <item x="82"/>
        <item m="1" x="425"/>
        <item x="173"/>
        <item x="64"/>
        <item x="41"/>
        <item x="42"/>
        <item x="7"/>
        <item x="130"/>
        <item m="1" x="918"/>
        <item x="23"/>
        <item x="99"/>
        <item x="186"/>
        <item x="24"/>
        <item x="128"/>
        <item x="83"/>
        <item m="1" x="566"/>
        <item x="66"/>
        <item x="67"/>
        <item x="68"/>
        <item x="69"/>
        <item m="1" x="713"/>
        <item m="1" x="213"/>
        <item m="1" x="367"/>
        <item x="94"/>
        <item x="117"/>
        <item m="1" x="223"/>
        <item x="93"/>
        <item m="1" x="623"/>
        <item m="1" x="277"/>
        <item m="1" x="943"/>
        <item m="1" x="413"/>
        <item m="1" x="330"/>
        <item x="167"/>
        <item x="168"/>
        <item m="1" x="254"/>
        <item m="1" x="315"/>
        <item m="1" x="914"/>
        <item x="125"/>
        <item m="1" x="428"/>
        <item m="1" x="515"/>
        <item m="1" x="247"/>
        <item m="1" x="466"/>
        <item m="1" x="327"/>
        <item m="1" x="337"/>
        <item m="1" x="485"/>
        <item m="1" x="346"/>
        <item m="1" x="520"/>
        <item m="1" x="1029"/>
        <item m="1" x="404"/>
        <item m="1" x="956"/>
        <item m="1" x="1014"/>
        <item m="1" x="760"/>
        <item x="84"/>
        <item m="1" x="874"/>
        <item m="1" x="273"/>
        <item m="1" x="571"/>
        <item x="100"/>
        <item m="1" x="593"/>
        <item m="1" x="772"/>
        <item m="1" x="722"/>
        <item x="85"/>
        <item m="1" x="806"/>
        <item m="1" x="383"/>
        <item m="1" x="594"/>
        <item m="1" x="669"/>
        <item m="1" x="285"/>
        <item m="1" x="866"/>
        <item m="1" x="556"/>
        <item x="5"/>
        <item m="1" x="484"/>
        <item m="1" x="1056"/>
        <item m="1" x="671"/>
        <item m="1" x="994"/>
        <item m="1" x="504"/>
        <item m="1" x="955"/>
        <item m="1" x="397"/>
        <item m="1" x="533"/>
        <item m="1" x="510"/>
        <item x="115"/>
        <item x="103"/>
        <item x="104"/>
        <item x="116"/>
        <item m="1" x="692"/>
        <item x="86"/>
        <item m="1" x="406"/>
        <item x="87"/>
        <item x="163"/>
        <item x="74"/>
        <item x="108"/>
        <item m="1" x="1018"/>
        <item m="1" x="419"/>
        <item x="11"/>
        <item m="1" x="861"/>
        <item x="57"/>
        <item m="1" x="822"/>
        <item m="1" x="986"/>
        <item x="50"/>
        <item m="1" x="295"/>
        <item m="1" x="544"/>
        <item m="1" x="873"/>
        <item x="12"/>
        <item m="1" x="398"/>
        <item m="1" x="950"/>
        <item m="1" x="306"/>
        <item x="174"/>
        <item x="14"/>
        <item m="1" x="660"/>
        <item m="1" x="215"/>
        <item x="35"/>
        <item x="88"/>
        <item m="1" x="702"/>
        <item m="1" x="576"/>
        <item m="1" x="795"/>
        <item m="1" x="850"/>
        <item m="1" x="687"/>
        <item m="1" x="535"/>
        <item m="1" x="354"/>
        <item m="1" x="616"/>
        <item m="1" x="939"/>
        <item m="1" x="384"/>
        <item m="1" x="652"/>
        <item m="1" x="507"/>
        <item m="1" x="992"/>
        <item m="1" x="376"/>
        <item m="1" x="432"/>
        <item m="1" x="872"/>
        <item m="1" x="502"/>
        <item m="1" x="362"/>
        <item m="1" x="422"/>
        <item m="1" x="966"/>
        <item x="193"/>
        <item m="1" x="355"/>
        <item m="1" x="304"/>
        <item x="25"/>
        <item m="1" x="372"/>
        <item m="1" x="604"/>
        <item m="1" x="585"/>
        <item m="1" x="877"/>
        <item x="188"/>
        <item m="1" x="542"/>
        <item m="1" x="292"/>
        <item m="1" x="445"/>
        <item m="1" x="632"/>
        <item m="1" x="518"/>
        <item m="1" x="288"/>
        <item m="1" x="881"/>
        <item m="1" x="543"/>
        <item m="1" x="747"/>
        <item m="1" x="391"/>
        <item m="1" x="473"/>
        <item m="1" x="909"/>
        <item m="1" x="974"/>
        <item m="1" x="390"/>
        <item m="1" x="457"/>
        <item m="1" x="1043"/>
        <item x="58"/>
        <item x="59"/>
        <item x="194"/>
        <item m="1" x="824"/>
        <item x="43"/>
        <item m="1" x="785"/>
        <item m="1" x="399"/>
        <item m="1" x="580"/>
        <item x="89"/>
        <item x="109"/>
        <item m="1" x="508"/>
        <item m="1" x="205"/>
        <item x="33"/>
        <item m="1" x="1023"/>
        <item m="1" x="817"/>
        <item m="1" x="891"/>
        <item m="1" x="505"/>
        <item m="1" x="1045"/>
        <item x="73"/>
        <item m="1" x="531"/>
        <item m="1" x="685"/>
        <item m="1" x="588"/>
        <item m="1" x="562"/>
        <item m="1" x="407"/>
        <item m="1" x="712"/>
        <item m="1" x="446"/>
        <item m="1" x="710"/>
        <item m="1" x="612"/>
        <item m="1" x="681"/>
        <item m="1" x="377"/>
        <item m="1" x="257"/>
        <item m="1" x="482"/>
        <item m="1" x="844"/>
        <item m="1" x="334"/>
        <item m="1" x="603"/>
        <item m="1" x="998"/>
        <item m="1" x="608"/>
        <item m="1" x="261"/>
        <item m="1" x="500"/>
        <item m="1" x="641"/>
        <item m="1" x="1007"/>
        <item m="1" x="527"/>
        <item m="1" x="843"/>
        <item m="1" x="742"/>
        <item m="1" x="233"/>
        <item x="175"/>
        <item x="44"/>
        <item m="1" x="675"/>
        <item m="1" x="298"/>
        <item m="1" x="715"/>
        <item m="1" x="997"/>
        <item m="1" x="357"/>
        <item m="1" x="454"/>
        <item m="1" x="208"/>
        <item m="1" x="342"/>
        <item x="164"/>
        <item m="1" x="798"/>
        <item x="181"/>
        <item m="1" x="537"/>
        <item m="1" x="743"/>
        <item m="1" x="595"/>
        <item m="1" x="217"/>
        <item m="1" x="366"/>
        <item x="148"/>
        <item m="1" x="589"/>
        <item x="36"/>
        <item m="1" x="628"/>
        <item m="1" x="999"/>
        <item m="1" x="991"/>
        <item m="1" x="499"/>
        <item m="1" x="477"/>
        <item x="13"/>
        <item m="1" x="1015"/>
        <item m="1" x="799"/>
        <item m="1" x="842"/>
        <item m="1" x="683"/>
        <item m="1" x="833"/>
        <item m="1" x="864"/>
        <item m="1" x="548"/>
        <item m="1" x="894"/>
        <item m="1" x="706"/>
        <item m="1" x="876"/>
        <item m="1" x="880"/>
        <item x="189"/>
        <item m="1" x="209"/>
        <item m="1" x="297"/>
        <item m="1" x="546"/>
        <item x="45"/>
        <item m="1" x="1060"/>
        <item x="6"/>
        <item m="1" x="684"/>
        <item m="1" x="551"/>
        <item m="1" x="1036"/>
        <item x="26"/>
        <item x="170"/>
        <item m="1" x="302"/>
        <item x="46"/>
        <item x="34"/>
        <item x="110"/>
        <item m="1" x="688"/>
        <item m="1" x="522"/>
        <item m="1" x="816"/>
        <item m="1" x="654"/>
        <item m="1" x="689"/>
        <item m="1" x="309"/>
        <item m="1" x="424"/>
        <item m="1" x="480"/>
        <item m="1" x="587"/>
        <item m="1" x="853"/>
        <item x="27"/>
        <item m="1" x="236"/>
        <item m="1" x="920"/>
        <item m="1" x="841"/>
        <item m="1" x="243"/>
        <item m="1" x="927"/>
        <item m="1" x="839"/>
        <item m="1" x="489"/>
        <item m="1" x="418"/>
        <item m="1" x="789"/>
        <item m="1" x="568"/>
        <item m="1" x="852"/>
        <item m="1" x="677"/>
        <item x="61"/>
        <item x="53"/>
        <item m="1" x="854"/>
        <item m="1" x="299"/>
        <item m="1" x="904"/>
        <item m="1" x="823"/>
        <item m="1" x="1062"/>
        <item m="1" x="369"/>
        <item m="1" x="281"/>
        <item m="1" x="985"/>
        <item m="1" x="907"/>
        <item m="1" x="779"/>
        <item m="1" x="762"/>
        <item m="1" x="859"/>
        <item x="62"/>
        <item x="37"/>
        <item m="1" x="210"/>
        <item m="1" x="496"/>
        <item m="1" x="1038"/>
        <item x="28"/>
        <item x="171"/>
        <item m="1" x="513"/>
        <item x="29"/>
        <item x="30"/>
        <item m="1" x="340"/>
        <item m="1" x="753"/>
        <item m="1" x="686"/>
        <item m="1" x="749"/>
        <item m="1" x="765"/>
        <item m="1" x="575"/>
        <item m="1" x="234"/>
        <item m="1" x="615"/>
        <item m="1" x="1034"/>
        <item m="1" x="801"/>
        <item m="1" x="1040"/>
        <item m="1" x="1031"/>
        <item m="1" x="1032"/>
        <item m="1" x="862"/>
        <item m="1" x="1033"/>
        <item m="1" x="818"/>
        <item m="1" x="938"/>
        <item m="1" x="216"/>
        <item m="1" x="726"/>
        <item m="1" x="1058"/>
        <item m="1" x="1017"/>
        <item m="1" x="717"/>
        <item m="1" x="565"/>
        <item m="1" x="486"/>
        <item m="1" x="396"/>
        <item m="1" x="248"/>
        <item m="1" x="996"/>
        <item m="1" x="552"/>
        <item m="1" x="570"/>
        <item m="1" x="777"/>
        <item m="1" x="1066"/>
        <item m="1" x="995"/>
        <item m="1" x="620"/>
        <item m="1" x="911"/>
        <item m="1" x="279"/>
        <item m="1" x="450"/>
        <item x="177"/>
        <item m="1" x="696"/>
        <item m="1" x="1004"/>
        <item m="1" x="1028"/>
        <item m="1" x="1005"/>
        <item m="1" x="725"/>
        <item m="1" x="653"/>
        <item m="1" x="521"/>
        <item m="1" x="441"/>
        <item m="1" x="394"/>
        <item m="1" x="246"/>
        <item m="1" x="392"/>
        <item m="1" x="222"/>
        <item m="1" x="207"/>
        <item m="1" x="851"/>
        <item m="1" x="409"/>
        <item m="1" x="624"/>
        <item m="1" x="411"/>
        <item m="1" x="558"/>
        <item m="1" x="260"/>
        <item m="1" x="351"/>
        <item m="1" x="781"/>
        <item m="1" x="965"/>
        <item m="1" x="341"/>
        <item m="1" x="509"/>
        <item m="1" x="1054"/>
        <item m="1" x="523"/>
        <item m="1" x="449"/>
        <item m="1" x="791"/>
        <item m="1" x="756"/>
        <item x="31"/>
        <item m="1" x="307"/>
        <item x="75"/>
        <item m="1" x="639"/>
        <item m="1" x="308"/>
        <item m="1" x="845"/>
        <item m="1" x="344"/>
        <item m="1" x="836"/>
        <item m="1" x="617"/>
        <item m="1" x="856"/>
        <item m="1" x="447"/>
        <item x="47"/>
        <item x="178"/>
        <item m="1" x="294"/>
        <item m="1" x="807"/>
        <item x="165"/>
        <item m="1" x="1019"/>
        <item m="1" x="1016"/>
        <item m="1" x="954"/>
        <item m="1" x="892"/>
        <item m="1" x="448"/>
        <item x="112"/>
        <item x="113"/>
        <item x="114"/>
        <item m="1" x="936"/>
        <item m="1" x="786"/>
        <item m="1" x="694"/>
        <item m="1" x="497"/>
        <item m="1" x="586"/>
        <item m="1" x="897"/>
        <item m="1" x="790"/>
        <item m="1" x="723"/>
        <item m="1" x="582"/>
        <item m="1" x="1064"/>
        <item m="1" x="1049"/>
        <item x="166"/>
        <item m="1" x="627"/>
        <item m="1" x="250"/>
        <item m="1" x="865"/>
        <item m="1" x="883"/>
        <item m="1" x="884"/>
        <item m="1" x="957"/>
        <item m="1" x="317"/>
        <item m="1" x="614"/>
        <item m="1" x="426"/>
        <item m="1" x="427"/>
        <item m="1" x="1026"/>
        <item m="1" x="970"/>
        <item m="1" x="630"/>
        <item m="1" x="952"/>
        <item m="1" x="610"/>
        <item m="1" x="1012"/>
        <item m="1" x="611"/>
        <item m="1" x="947"/>
        <item m="1" x="538"/>
        <item m="1" x="825"/>
        <item m="1" x="732"/>
        <item m="1" x="902"/>
        <item m="1" x="255"/>
        <item m="1" x="469"/>
        <item m="1" x="275"/>
        <item m="1" x="728"/>
        <item m="1" x="668"/>
        <item m="1" x="699"/>
        <item x="90"/>
        <item m="1" x="434"/>
        <item m="1" x="574"/>
        <item m="1" x="365"/>
        <item m="1" x="349"/>
        <item m="1" x="906"/>
        <item m="1" x="442"/>
        <item m="1" x="430"/>
        <item m="1" x="900"/>
        <item m="1" x="417"/>
        <item m="1" x="908"/>
        <item m="1" x="459"/>
        <item m="1" x="214"/>
        <item m="1" x="981"/>
        <item m="1" x="658"/>
        <item m="1" x="834"/>
        <item m="1" x="709"/>
        <item m="1" x="602"/>
        <item m="1" x="460"/>
        <item m="1" x="584"/>
        <item m="1" x="662"/>
        <item m="1" x="539"/>
        <item m="1" x="382"/>
        <item m="1" x="1024"/>
        <item m="1" x="360"/>
        <item m="1" x="465"/>
        <item m="1" x="977"/>
        <item m="1" x="555"/>
        <item m="1" x="526"/>
        <item m="1" x="889"/>
        <item m="1" x="633"/>
        <item m="1" x="373"/>
        <item m="1" x="813"/>
        <item m="1" x="561"/>
        <item m="1" x="579"/>
        <item m="1" x="573"/>
        <item m="1" x="225"/>
        <item m="1" x="625"/>
        <item m="1" x="429"/>
        <item m="1" x="320"/>
        <item m="1" x="1051"/>
        <item m="1" x="619"/>
        <item m="1" x="323"/>
        <item m="1" x="910"/>
        <item m="1" x="577"/>
        <item m="1" x="605"/>
        <item m="1" x="244"/>
        <item m="1" x="348"/>
        <item m="1" x="857"/>
        <item m="1" x="547"/>
        <item m="1" x="661"/>
        <item m="1" x="253"/>
        <item m="1" x="647"/>
        <item m="1" x="776"/>
        <item m="1" x="350"/>
        <item m="1" x="456"/>
        <item m="1" x="368"/>
        <item m="1" x="475"/>
        <item m="1" x="463"/>
        <item m="1" x="301"/>
        <item m="1" x="967"/>
        <item m="1" x="835"/>
        <item m="1" x="629"/>
        <item m="1" x="232"/>
        <item m="1" x="729"/>
        <item m="1" x="931"/>
        <item m="1" x="815"/>
        <item m="1" x="563"/>
        <item m="1" x="597"/>
        <item m="1" x="745"/>
        <item m="1" x="379"/>
        <item m="1" x="869"/>
        <item m="1" x="667"/>
        <item m="1" x="581"/>
        <item m="1" x="814"/>
        <item m="1" x="782"/>
        <item m="1" x="752"/>
        <item m="1" x="720"/>
        <item m="1" x="946"/>
        <item m="1" x="734"/>
        <item m="1" x="239"/>
        <item m="1" x="226"/>
        <item m="1" x="371"/>
        <item m="1" x="748"/>
        <item m="1" x="412"/>
        <item m="1" x="733"/>
        <item m="1" x="926"/>
        <item m="1" x="433"/>
        <item m="1" x="380"/>
        <item m="1" x="735"/>
        <item m="1" x="708"/>
        <item m="1" x="474"/>
        <item m="1" x="470"/>
        <item m="1" x="925"/>
        <item m="1" x="501"/>
        <item m="1" x="802"/>
        <item m="1" x="730"/>
        <item m="1" x="953"/>
        <item m="1" x="987"/>
        <item m="1" x="282"/>
        <item m="1" x="1037"/>
        <item m="1" x="680"/>
        <item m="1" x="517"/>
        <item m="1" x="893"/>
        <item m="1" x="293"/>
        <item m="1" x="959"/>
        <item m="1" x="810"/>
        <item m="1" x="514"/>
        <item m="1" x="490"/>
        <item m="1" x="471"/>
        <item m="1" x="530"/>
        <item m="1" x="871"/>
        <item m="1" x="467"/>
        <item m="1" x="220"/>
        <item m="1" x="961"/>
        <item m="1" x="887"/>
        <item m="1" x="645"/>
        <item m="1" x="557"/>
        <item m="1" x="921"/>
        <item m="1" x="622"/>
        <item m="1" x="591"/>
        <item m="1" x="303"/>
        <item m="1" x="540"/>
        <item m="1" x="666"/>
        <item m="1" x="638"/>
        <item m="1" x="644"/>
        <item m="1" x="231"/>
        <item m="1" x="314"/>
        <item m="1" x="455"/>
        <item m="1" x="378"/>
        <item m="1" x="885"/>
        <item m="1" x="888"/>
        <item m="1" x="826"/>
        <item m="1" x="847"/>
        <item m="1" x="443"/>
        <item m="1" x="1048"/>
        <item m="1" x="569"/>
        <item m="1" x="283"/>
        <item m="1" x="875"/>
        <item m="1" x="553"/>
        <item m="1" x="476"/>
        <item m="1" x="400"/>
        <item m="1" x="229"/>
        <item m="1" x="206"/>
        <item x="140"/>
        <item m="1" x="440"/>
        <item m="1" x="773"/>
        <item m="1" x="245"/>
        <item m="1" x="820"/>
        <item m="1" x="794"/>
        <item m="1" x="249"/>
        <item m="1" x="626"/>
        <item m="1" x="905"/>
        <item m="1" x="600"/>
        <item m="1" x="1000"/>
        <item m="1" x="848"/>
        <item m="1" x="945"/>
        <item m="1" x="646"/>
        <item m="1" x="259"/>
        <item m="1" x="922"/>
        <item m="1" x="805"/>
        <item m="1" x="830"/>
        <item m="1" x="414"/>
        <item m="1" x="560"/>
        <item m="1" x="860"/>
        <item m="1" x="532"/>
        <item m="1" x="903"/>
        <item m="1" x="358"/>
        <item m="1" x="700"/>
        <item m="1" x="458"/>
        <item m="1" x="296"/>
        <item m="1" x="768"/>
        <item m="1" x="787"/>
        <item m="1" x="607"/>
        <item m="1" x="678"/>
        <item m="1" x="679"/>
        <item m="1" x="673"/>
        <item m="1" x="951"/>
        <item m="1" x="370"/>
        <item m="1" x="963"/>
        <item m="1" x="1022"/>
        <item m="1" x="335"/>
        <item m="1" x="265"/>
        <item m="1" x="332"/>
        <item m="1" x="751"/>
        <item m="1" x="721"/>
        <item m="1" x="393"/>
        <item m="1" x="968"/>
        <item m="1" x="808"/>
        <item m="1" x="219"/>
        <item m="1" x="324"/>
        <item m="1" x="924"/>
        <item m="1" x="564"/>
        <item m="1" x="811"/>
        <item m="1" x="793"/>
        <item m="1" x="775"/>
        <item m="1" x="657"/>
        <item m="1" x="549"/>
        <item m="1" x="524"/>
        <item m="1" x="242"/>
        <item m="1" x="352"/>
        <item m="1" x="937"/>
        <item m="1" x="1001"/>
        <item m="1" x="705"/>
        <item m="1" x="1044"/>
        <item m="1" x="274"/>
        <item m="1" x="744"/>
        <item m="1" x="803"/>
        <item m="1" x="993"/>
        <item m="1" x="878"/>
        <item m="1" x="827"/>
        <item m="1" x="1010"/>
        <item m="1" x="780"/>
        <item m="1" x="676"/>
        <item m="1" x="338"/>
        <item m="1" x="711"/>
        <item m="1" x="899"/>
        <item m="1" x="1067"/>
        <item m="1" x="855"/>
        <item m="1" x="483"/>
        <item m="1" x="718"/>
        <item m="1" x="1039"/>
        <item m="1" x="663"/>
        <item m="1" x="529"/>
        <item m="1" x="650"/>
        <item m="1" x="559"/>
        <item m="1" x="1002"/>
        <item m="1" x="670"/>
        <item m="1" x="976"/>
        <item m="1" x="736"/>
        <item m="1" x="435"/>
        <item m="1" x="313"/>
        <item m="1" x="218"/>
        <item m="1" x="983"/>
        <item m="1" x="237"/>
        <item m="1" x="649"/>
        <item m="1" x="322"/>
        <item m="1" x="971"/>
        <item m="1" x="1046"/>
        <item m="1" x="714"/>
        <item m="1" x="960"/>
        <item m="1" x="1035"/>
        <item m="1" x="672"/>
        <item m="1" x="949"/>
        <item m="1" x="343"/>
        <item m="1" x="919"/>
        <item m="1" x="230"/>
        <item m="1" x="766"/>
        <item m="1" x="481"/>
        <item m="1" x="541"/>
        <item m="1" x="1042"/>
        <item m="1" x="898"/>
        <item x="182"/>
        <item x="91"/>
        <item m="1" x="312"/>
        <item x="196"/>
        <item m="1" x="849"/>
        <item m="1" x="635"/>
        <item m="1" x="1059"/>
        <item m="1" x="758"/>
        <item m="1" x="972"/>
        <item x="119"/>
        <item x="122"/>
        <item x="60"/>
        <item m="1" x="1009"/>
        <item m="1" x="316"/>
        <item m="1" x="913"/>
        <item m="1" x="737"/>
        <item m="1" x="353"/>
        <item m="1" x="989"/>
        <item m="1" x="512"/>
        <item m="1" x="804"/>
        <item m="1" x="241"/>
        <item m="1" x="438"/>
        <item m="1" x="495"/>
        <item m="1" x="693"/>
        <item m="1" x="923"/>
        <item m="1" x="528"/>
        <item m="1" x="550"/>
        <item x="2"/>
        <item x="139"/>
        <item m="1" x="707"/>
        <item m="1" x="643"/>
        <item m="1" x="266"/>
        <item m="1" x="634"/>
        <item m="1" x="356"/>
        <item m="1" x="750"/>
        <item m="1" x="235"/>
        <item m="1" x="1030"/>
        <item m="1" x="828"/>
        <item m="1" x="554"/>
        <item m="1" x="1025"/>
        <item m="1" x="964"/>
        <item x="10"/>
        <item m="1" x="439"/>
        <item m="1" x="727"/>
        <item x="0"/>
        <item x="1"/>
        <item m="1" x="882"/>
        <item m="1" x="227"/>
        <item x="190"/>
        <item x="138"/>
        <item x="127"/>
        <item x="129"/>
        <item x="121"/>
        <item x="146"/>
        <item x="150"/>
        <item x="149"/>
        <item x="144"/>
        <item x="147"/>
        <item x="151"/>
        <item x="143"/>
        <item x="141"/>
        <item x="142"/>
        <item x="145"/>
        <item m="1" x="691"/>
        <item m="1" x="704"/>
        <item x="203"/>
        <item x="204"/>
        <item x="17"/>
        <item x="51"/>
        <item x="52"/>
        <item x="76"/>
        <item x="78"/>
        <item x="92"/>
        <item x="118"/>
        <item x="120"/>
        <item x="123"/>
        <item x="126"/>
        <item x="131"/>
        <item x="133"/>
        <item x="134"/>
        <item x="136"/>
        <item x="137"/>
        <item x="169"/>
        <item x="187"/>
        <item x="65"/>
        <item x="197"/>
        <item x="198"/>
        <item x="199"/>
        <item x="200"/>
        <item x="201"/>
        <item x="202"/>
        <item x="102"/>
        <item x="105"/>
        <item x="176"/>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3"/>
        <item m="1" x="2"/>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597">
    <i>
      <x v="3"/>
      <x v="22"/>
    </i>
    <i t="default">
      <x v="3"/>
    </i>
    <i>
      <x v="4"/>
      <x v="22"/>
    </i>
    <i r="1">
      <x v="23"/>
    </i>
    <i t="default">
      <x v="4"/>
    </i>
    <i>
      <x v="5"/>
      <x v="22"/>
    </i>
    <i r="1">
      <x v="23"/>
    </i>
    <i t="default">
      <x v="5"/>
    </i>
    <i>
      <x v="6"/>
      <x v="22"/>
    </i>
    <i r="1">
      <x v="23"/>
    </i>
    <i t="default">
      <x v="6"/>
    </i>
    <i>
      <x v="7"/>
      <x v="22"/>
    </i>
    <i r="1">
      <x v="23"/>
    </i>
    <i t="default">
      <x v="7"/>
    </i>
    <i>
      <x v="37"/>
      <x v="22"/>
    </i>
    <i r="1">
      <x v="23"/>
    </i>
    <i t="default">
      <x v="37"/>
    </i>
    <i>
      <x v="47"/>
      <x v="22"/>
    </i>
    <i r="1">
      <x v="23"/>
    </i>
    <i t="default">
      <x v="47"/>
    </i>
    <i>
      <x v="61"/>
      <x v="22"/>
    </i>
    <i r="1">
      <x v="23"/>
    </i>
    <i t="default">
      <x v="61"/>
    </i>
    <i>
      <x v="65"/>
      <x v="22"/>
    </i>
    <i r="1">
      <x v="23"/>
    </i>
    <i t="default">
      <x v="65"/>
    </i>
    <i>
      <x v="72"/>
      <x v="22"/>
    </i>
    <i r="1">
      <x v="23"/>
    </i>
    <i t="default">
      <x v="72"/>
    </i>
    <i>
      <x v="77"/>
      <x v="22"/>
    </i>
    <i r="1">
      <x v="23"/>
    </i>
    <i t="default">
      <x v="77"/>
    </i>
    <i>
      <x v="90"/>
      <x v="22"/>
    </i>
    <i r="1">
      <x v="23"/>
    </i>
    <i t="default">
      <x v="90"/>
    </i>
    <i>
      <x v="97"/>
      <x v="22"/>
    </i>
    <i r="1">
      <x v="23"/>
    </i>
    <i t="default">
      <x v="97"/>
    </i>
    <i>
      <x v="99"/>
      <x v="22"/>
    </i>
    <i r="1">
      <x v="23"/>
    </i>
    <i t="default">
      <x v="99"/>
    </i>
    <i>
      <x v="100"/>
      <x v="22"/>
    </i>
    <i r="1">
      <x v="23"/>
    </i>
    <i t="default">
      <x v="100"/>
    </i>
    <i>
      <x v="103"/>
      <x v="22"/>
    </i>
    <i r="1">
      <x v="23"/>
    </i>
    <i t="default">
      <x v="103"/>
    </i>
    <i>
      <x v="120"/>
      <x v="22"/>
    </i>
    <i r="1">
      <x v="23"/>
    </i>
    <i t="default">
      <x v="120"/>
    </i>
    <i>
      <x v="121"/>
      <x v="22"/>
    </i>
    <i r="1">
      <x v="23"/>
    </i>
    <i t="default">
      <x v="121"/>
    </i>
    <i>
      <x v="122"/>
      <x v="22"/>
    </i>
    <i r="1">
      <x v="23"/>
    </i>
    <i t="default">
      <x v="122"/>
    </i>
    <i>
      <x v="126"/>
      <x v="22"/>
    </i>
    <i r="1">
      <x v="23"/>
    </i>
    <i t="default">
      <x v="126"/>
    </i>
    <i>
      <x v="131"/>
      <x v="22"/>
    </i>
    <i r="1">
      <x v="23"/>
    </i>
    <i t="default">
      <x v="131"/>
    </i>
    <i>
      <x v="133"/>
      <x v="22"/>
    </i>
    <i r="1">
      <x v="23"/>
    </i>
    <i t="default">
      <x v="133"/>
    </i>
    <i>
      <x v="137"/>
      <x v="22"/>
    </i>
    <i r="1">
      <x v="23"/>
    </i>
    <i t="default">
      <x v="137"/>
    </i>
    <i>
      <x v="139"/>
      <x v="22"/>
    </i>
    <i r="1">
      <x v="23"/>
    </i>
    <i t="default">
      <x v="139"/>
    </i>
    <i>
      <x v="141"/>
      <x v="22"/>
    </i>
    <i r="1">
      <x v="23"/>
    </i>
    <i t="default">
      <x v="141"/>
    </i>
    <i>
      <x v="142"/>
      <x v="22"/>
    </i>
    <i r="1">
      <x v="23"/>
    </i>
    <i t="default">
      <x v="142"/>
    </i>
    <i>
      <x v="143"/>
      <x v="22"/>
    </i>
    <i r="1">
      <x v="23"/>
    </i>
    <i t="default">
      <x v="143"/>
    </i>
    <i>
      <x v="152"/>
      <x v="22"/>
    </i>
    <i r="1">
      <x v="23"/>
    </i>
    <i t="default">
      <x v="152"/>
    </i>
    <i>
      <x v="153"/>
      <x v="22"/>
    </i>
    <i r="1">
      <x v="23"/>
    </i>
    <i t="default">
      <x v="153"/>
    </i>
    <i>
      <x v="154"/>
      <x v="22"/>
    </i>
    <i r="1">
      <x v="23"/>
    </i>
    <i t="default">
      <x v="154"/>
    </i>
    <i>
      <x v="155"/>
      <x v="22"/>
    </i>
    <i r="1">
      <x v="23"/>
    </i>
    <i t="default">
      <x v="155"/>
    </i>
    <i>
      <x v="157"/>
      <x v="22"/>
    </i>
    <i r="1">
      <x v="23"/>
    </i>
    <i t="default">
      <x v="157"/>
    </i>
    <i>
      <x v="163"/>
      <x v="22"/>
    </i>
    <i r="1">
      <x v="23"/>
    </i>
    <i t="default">
      <x v="163"/>
    </i>
    <i>
      <x v="180"/>
      <x v="22"/>
    </i>
    <i r="1">
      <x v="23"/>
    </i>
    <i t="default">
      <x v="180"/>
    </i>
    <i>
      <x v="187"/>
      <x v="22"/>
    </i>
    <i r="1">
      <x v="23"/>
    </i>
    <i t="default">
      <x v="187"/>
    </i>
    <i>
      <x v="201"/>
      <x v="22"/>
    </i>
    <i r="1">
      <x v="23"/>
    </i>
    <i t="default">
      <x v="201"/>
    </i>
    <i>
      <x v="202"/>
      <x v="22"/>
    </i>
    <i r="1">
      <x v="23"/>
    </i>
    <i t="default">
      <x v="202"/>
    </i>
    <i>
      <x v="235"/>
      <x v="22"/>
    </i>
    <i r="1">
      <x v="23"/>
    </i>
    <i t="default">
      <x v="235"/>
    </i>
    <i>
      <x v="238"/>
      <x v="22"/>
    </i>
    <i r="1">
      <x v="23"/>
    </i>
    <i t="default">
      <x v="238"/>
    </i>
    <i>
      <x v="244"/>
      <x v="22"/>
    </i>
    <i r="1">
      <x v="23"/>
    </i>
    <i t="default">
      <x v="244"/>
    </i>
    <i>
      <x v="250"/>
      <x v="22"/>
    </i>
    <i r="1">
      <x v="23"/>
    </i>
    <i t="default">
      <x v="250"/>
    </i>
    <i>
      <x v="255"/>
      <x v="22"/>
    </i>
    <i t="default">
      <x v="255"/>
    </i>
    <i>
      <x v="257"/>
      <x v="22"/>
    </i>
    <i r="1">
      <x v="23"/>
    </i>
    <i t="default">
      <x v="257"/>
    </i>
    <i>
      <x v="259"/>
      <x v="22"/>
    </i>
    <i r="1">
      <x v="23"/>
    </i>
    <i t="default">
      <x v="259"/>
    </i>
    <i>
      <x v="260"/>
      <x v="22"/>
    </i>
    <i r="1">
      <x v="23"/>
    </i>
    <i t="default">
      <x v="260"/>
    </i>
    <i>
      <x v="269"/>
      <x v="22"/>
    </i>
    <i r="1">
      <x v="23"/>
    </i>
    <i t="default">
      <x v="269"/>
    </i>
    <i>
      <x v="272"/>
      <x v="22"/>
    </i>
    <i r="1">
      <x v="23"/>
    </i>
    <i t="default">
      <x v="272"/>
    </i>
    <i>
      <x v="273"/>
      <x v="22"/>
    </i>
    <i r="1">
      <x v="23"/>
    </i>
    <i t="default">
      <x v="273"/>
    </i>
    <i>
      <x v="274"/>
      <x v="22"/>
    </i>
    <i r="1">
      <x v="23"/>
    </i>
    <i t="default">
      <x v="274"/>
    </i>
    <i>
      <x v="275"/>
      <x v="22"/>
    </i>
    <i r="1">
      <x v="23"/>
    </i>
    <i t="default">
      <x v="275"/>
    </i>
    <i>
      <x v="276"/>
      <x v="22"/>
    </i>
    <i r="1">
      <x v="23"/>
    </i>
    <i t="default">
      <x v="276"/>
    </i>
    <i>
      <x v="277"/>
      <x v="22"/>
    </i>
    <i r="1">
      <x v="23"/>
    </i>
    <i t="default">
      <x v="277"/>
    </i>
    <i>
      <x v="278"/>
      <x v="22"/>
    </i>
    <i r="1">
      <x v="23"/>
    </i>
    <i t="default">
      <x v="278"/>
    </i>
    <i>
      <x v="279"/>
      <x v="22"/>
    </i>
    <i r="1">
      <x v="23"/>
    </i>
    <i t="default">
      <x v="279"/>
    </i>
    <i>
      <x v="283"/>
      <x v="22"/>
    </i>
    <i t="default">
      <x v="283"/>
    </i>
    <i>
      <x v="284"/>
      <x v="22"/>
    </i>
    <i r="1">
      <x v="23"/>
    </i>
    <i t="default">
      <x v="284"/>
    </i>
    <i>
      <x v="286"/>
      <x v="22"/>
    </i>
    <i r="1">
      <x v="23"/>
    </i>
    <i t="default">
      <x v="286"/>
    </i>
    <i>
      <x v="289"/>
      <x v="22"/>
    </i>
    <i r="1">
      <x v="23"/>
    </i>
    <i t="default">
      <x v="289"/>
    </i>
    <i>
      <x v="290"/>
      <x v="22"/>
    </i>
    <i r="1">
      <x v="23"/>
    </i>
    <i t="default">
      <x v="290"/>
    </i>
    <i>
      <x v="291"/>
      <x v="22"/>
    </i>
    <i r="1">
      <x v="23"/>
    </i>
    <i t="default">
      <x v="291"/>
    </i>
    <i>
      <x v="293"/>
      <x v="22"/>
    </i>
    <i r="1">
      <x v="23"/>
    </i>
    <i t="default">
      <x v="293"/>
    </i>
    <i>
      <x v="294"/>
      <x v="22"/>
    </i>
    <i r="1">
      <x v="23"/>
    </i>
    <i t="default">
      <x v="294"/>
    </i>
    <i>
      <x v="295"/>
      <x v="22"/>
    </i>
    <i r="1">
      <x v="23"/>
    </i>
    <i t="default">
      <x v="295"/>
    </i>
    <i>
      <x v="296"/>
      <x v="22"/>
    </i>
    <i r="1">
      <x v="23"/>
    </i>
    <i t="default">
      <x v="296"/>
    </i>
    <i>
      <x v="297"/>
      <x v="22"/>
    </i>
    <i r="1">
      <x v="23"/>
    </i>
    <i t="default">
      <x v="297"/>
    </i>
    <i>
      <x v="298"/>
      <x v="22"/>
    </i>
    <i r="1">
      <x v="23"/>
    </i>
    <i t="default">
      <x v="298"/>
    </i>
    <i>
      <x v="300"/>
      <x v="22"/>
    </i>
    <i r="1">
      <x v="23"/>
    </i>
    <i t="default">
      <x v="300"/>
    </i>
    <i>
      <x v="301"/>
      <x v="22"/>
    </i>
    <i r="1">
      <x v="23"/>
    </i>
    <i t="default">
      <x v="301"/>
    </i>
    <i>
      <x v="302"/>
      <x v="22"/>
    </i>
    <i r="1">
      <x v="23"/>
    </i>
    <i t="default">
      <x v="302"/>
    </i>
    <i>
      <x v="303"/>
      <x v="22"/>
    </i>
    <i r="1">
      <x v="23"/>
    </i>
    <i t="default">
      <x v="303"/>
    </i>
    <i>
      <x v="304"/>
      <x v="22"/>
    </i>
    <i r="1">
      <x v="23"/>
    </i>
    <i t="default">
      <x v="304"/>
    </i>
    <i>
      <x v="305"/>
      <x v="22"/>
    </i>
    <i r="1">
      <x v="23"/>
    </i>
    <i t="default">
      <x v="305"/>
    </i>
    <i>
      <x v="307"/>
      <x v="22"/>
    </i>
    <i r="1">
      <x v="23"/>
    </i>
    <i t="default">
      <x v="307"/>
    </i>
    <i>
      <x v="308"/>
      <x v="22"/>
    </i>
    <i r="1">
      <x v="23"/>
    </i>
    <i t="default">
      <x v="308"/>
    </i>
    <i>
      <x v="309"/>
      <x v="22"/>
    </i>
    <i r="1">
      <x v="23"/>
    </i>
    <i t="default">
      <x v="309"/>
    </i>
    <i>
      <x v="310"/>
      <x v="22"/>
    </i>
    <i r="1">
      <x v="23"/>
    </i>
    <i t="default">
      <x v="310"/>
    </i>
    <i>
      <x v="314"/>
      <x v="22"/>
    </i>
    <i r="1">
      <x v="23"/>
    </i>
    <i t="default">
      <x v="314"/>
    </i>
    <i>
      <x v="315"/>
      <x v="22"/>
    </i>
    <i r="1">
      <x v="23"/>
    </i>
    <i t="default">
      <x v="315"/>
    </i>
    <i>
      <x v="317"/>
      <x v="22"/>
    </i>
    <i r="1">
      <x v="23"/>
    </i>
    <i t="default">
      <x v="317"/>
    </i>
    <i>
      <x v="323"/>
      <x v="22"/>
    </i>
    <i r="1">
      <x v="23"/>
    </i>
    <i t="default">
      <x v="323"/>
    </i>
    <i>
      <x v="324"/>
      <x v="22"/>
    </i>
    <i r="1">
      <x v="23"/>
    </i>
    <i t="default">
      <x v="324"/>
    </i>
    <i>
      <x v="328"/>
      <x v="22"/>
    </i>
    <i r="1">
      <x v="23"/>
    </i>
    <i t="default">
      <x v="328"/>
    </i>
    <i>
      <x v="343"/>
      <x v="22"/>
    </i>
    <i r="1">
      <x v="23"/>
    </i>
    <i t="default">
      <x v="343"/>
    </i>
    <i>
      <x v="347"/>
      <x v="22"/>
    </i>
    <i r="1">
      <x v="23"/>
    </i>
    <i t="default">
      <x v="347"/>
    </i>
    <i>
      <x v="351"/>
      <x v="22"/>
    </i>
    <i r="1">
      <x v="23"/>
    </i>
    <i t="default">
      <x v="351"/>
    </i>
    <i>
      <x v="359"/>
      <x v="22"/>
    </i>
    <i r="1">
      <x v="23"/>
    </i>
    <i t="default">
      <x v="359"/>
    </i>
    <i>
      <x v="369"/>
      <x v="22"/>
    </i>
    <i r="1">
      <x v="23"/>
    </i>
    <i t="default">
      <x v="369"/>
    </i>
    <i>
      <x v="370"/>
      <x v="22"/>
    </i>
    <i r="1">
      <x v="23"/>
    </i>
    <i t="default">
      <x v="370"/>
    </i>
    <i>
      <x v="371"/>
      <x v="22"/>
    </i>
    <i r="1">
      <x v="23"/>
    </i>
    <i t="default">
      <x v="371"/>
    </i>
    <i>
      <x v="372"/>
      <x v="22"/>
    </i>
    <i r="1">
      <x v="23"/>
    </i>
    <i t="default">
      <x v="372"/>
    </i>
    <i>
      <x v="374"/>
      <x v="22"/>
    </i>
    <i r="1">
      <x v="23"/>
    </i>
    <i t="default">
      <x v="374"/>
    </i>
    <i>
      <x v="376"/>
      <x v="22"/>
    </i>
    <i r="1">
      <x v="23"/>
    </i>
    <i t="default">
      <x v="376"/>
    </i>
    <i>
      <x v="377"/>
      <x v="22"/>
    </i>
    <i r="1">
      <x v="23"/>
    </i>
    <i t="default">
      <x v="377"/>
    </i>
    <i>
      <x v="378"/>
      <x v="22"/>
    </i>
    <i r="1">
      <x v="23"/>
    </i>
    <i t="default">
      <x v="378"/>
    </i>
    <i>
      <x v="379"/>
      <x v="22"/>
    </i>
    <i r="1">
      <x v="23"/>
    </i>
    <i t="default">
      <x v="379"/>
    </i>
    <i>
      <x v="382"/>
      <x v="22"/>
    </i>
    <i r="1">
      <x v="23"/>
    </i>
    <i t="default">
      <x v="382"/>
    </i>
    <i>
      <x v="384"/>
      <x v="22"/>
    </i>
    <i r="1">
      <x v="23"/>
    </i>
    <i t="default">
      <x v="384"/>
    </i>
    <i>
      <x v="387"/>
      <x v="22"/>
    </i>
    <i r="1">
      <x v="23"/>
    </i>
    <i t="default">
      <x v="387"/>
    </i>
    <i>
      <x v="391"/>
      <x v="22"/>
    </i>
    <i r="1">
      <x v="23"/>
    </i>
    <i t="default">
      <x v="391"/>
    </i>
    <i>
      <x v="395"/>
      <x v="22"/>
    </i>
    <i r="1">
      <x v="23"/>
    </i>
    <i t="default">
      <x v="395"/>
    </i>
    <i>
      <x v="396"/>
      <x v="22"/>
    </i>
    <i r="1">
      <x v="23"/>
    </i>
    <i t="default">
      <x v="396"/>
    </i>
    <i>
      <x v="399"/>
      <x v="22"/>
    </i>
    <i r="1">
      <x v="23"/>
    </i>
    <i t="default">
      <x v="399"/>
    </i>
    <i>
      <x v="400"/>
      <x v="22"/>
    </i>
    <i r="1">
      <x v="23"/>
    </i>
    <i t="default">
      <x v="400"/>
    </i>
    <i>
      <x v="421"/>
      <x v="22"/>
    </i>
    <i r="1">
      <x v="23"/>
    </i>
    <i t="default">
      <x v="421"/>
    </i>
    <i>
      <x v="424"/>
      <x v="22"/>
    </i>
    <i r="1">
      <x v="23"/>
    </i>
    <i t="default">
      <x v="424"/>
    </i>
    <i>
      <x v="429"/>
      <x v="22"/>
    </i>
    <i r="1">
      <x v="23"/>
    </i>
    <i t="default">
      <x v="429"/>
    </i>
    <i>
      <x v="446"/>
      <x v="22"/>
    </i>
    <i r="1">
      <x v="23"/>
    </i>
    <i t="default">
      <x v="446"/>
    </i>
    <i>
      <x v="447"/>
      <x v="22"/>
    </i>
    <i r="1">
      <x v="23"/>
    </i>
    <i t="default">
      <x v="447"/>
    </i>
    <i>
      <x v="448"/>
      <x v="22"/>
    </i>
    <i r="1">
      <x v="23"/>
    </i>
    <i t="default">
      <x v="448"/>
    </i>
    <i>
      <x v="450"/>
      <x v="22"/>
    </i>
    <i r="1">
      <x v="23"/>
    </i>
    <i t="default">
      <x v="450"/>
    </i>
    <i>
      <x v="454"/>
      <x v="22"/>
    </i>
    <i r="1">
      <x v="23"/>
    </i>
    <i t="default">
      <x v="454"/>
    </i>
    <i>
      <x v="455"/>
      <x v="22"/>
    </i>
    <i t="default">
      <x v="455"/>
    </i>
    <i>
      <x v="458"/>
      <x v="22"/>
    </i>
    <i r="1">
      <x v="23"/>
    </i>
    <i t="default">
      <x v="458"/>
    </i>
    <i>
      <x v="464"/>
      <x v="22"/>
    </i>
    <i r="1">
      <x v="23"/>
    </i>
    <i t="default">
      <x v="464"/>
    </i>
    <i>
      <x v="491"/>
      <x v="22"/>
    </i>
    <i r="1">
      <x v="23"/>
    </i>
    <i t="default">
      <x v="491"/>
    </i>
    <i>
      <x v="492"/>
      <x v="22"/>
    </i>
    <i r="1">
      <x v="23"/>
    </i>
    <i t="default">
      <x v="492"/>
    </i>
    <i>
      <x v="501"/>
      <x v="22"/>
    </i>
    <i r="1">
      <x v="23"/>
    </i>
    <i t="default">
      <x v="501"/>
    </i>
    <i>
      <x v="503"/>
      <x v="22"/>
    </i>
    <i r="1">
      <x v="23"/>
    </i>
    <i t="default">
      <x v="503"/>
    </i>
    <i>
      <x v="509"/>
      <x v="22"/>
    </i>
    <i r="1">
      <x v="23"/>
    </i>
    <i t="default">
      <x v="509"/>
    </i>
    <i>
      <x v="511"/>
      <x v="22"/>
    </i>
    <i r="1">
      <x v="23"/>
    </i>
    <i t="default">
      <x v="511"/>
    </i>
    <i>
      <x v="517"/>
      <x v="22"/>
    </i>
    <i r="1">
      <x v="23"/>
    </i>
    <i t="default">
      <x v="517"/>
    </i>
    <i>
      <x v="529"/>
      <x v="22"/>
    </i>
    <i r="1">
      <x v="23"/>
    </i>
    <i t="default">
      <x v="529"/>
    </i>
    <i>
      <x v="533"/>
      <x v="22"/>
    </i>
    <i r="1">
      <x v="23"/>
    </i>
    <i t="default">
      <x v="533"/>
    </i>
    <i>
      <x v="535"/>
      <x v="22"/>
    </i>
    <i r="1">
      <x v="23"/>
    </i>
    <i t="default">
      <x v="535"/>
    </i>
    <i>
      <x v="539"/>
      <x v="22"/>
    </i>
    <i r="1">
      <x v="23"/>
    </i>
    <i t="default">
      <x v="539"/>
    </i>
    <i>
      <x v="540"/>
      <x v="22"/>
    </i>
    <i r="1">
      <x v="23"/>
    </i>
    <i t="default">
      <x v="540"/>
    </i>
    <i>
      <x v="542"/>
      <x v="22"/>
    </i>
    <i r="1">
      <x v="23"/>
    </i>
    <i t="default">
      <x v="542"/>
    </i>
    <i>
      <x v="543"/>
      <x v="22"/>
    </i>
    <i r="1">
      <x v="23"/>
    </i>
    <i t="default">
      <x v="543"/>
    </i>
    <i>
      <x v="544"/>
      <x v="22"/>
    </i>
    <i r="1">
      <x v="23"/>
    </i>
    <i t="default">
      <x v="544"/>
    </i>
    <i>
      <x v="555"/>
      <x v="22"/>
    </i>
    <i r="1">
      <x v="23"/>
    </i>
    <i t="default">
      <x v="555"/>
    </i>
    <i>
      <x v="568"/>
      <x v="22"/>
    </i>
    <i r="1">
      <x v="23"/>
    </i>
    <i t="default">
      <x v="568"/>
    </i>
    <i>
      <x v="569"/>
      <x v="22"/>
    </i>
    <i r="1">
      <x v="23"/>
    </i>
    <i t="default">
      <x v="569"/>
    </i>
    <i>
      <x v="582"/>
      <x v="22"/>
    </i>
    <i r="1">
      <x v="23"/>
    </i>
    <i t="default">
      <x v="582"/>
    </i>
    <i>
      <x v="583"/>
      <x v="22"/>
    </i>
    <i r="1">
      <x v="23"/>
    </i>
    <i t="default">
      <x v="583"/>
    </i>
    <i>
      <x v="587"/>
      <x v="22"/>
    </i>
    <i r="1">
      <x v="23"/>
    </i>
    <i t="default">
      <x v="587"/>
    </i>
    <i>
      <x v="588"/>
      <x v="22"/>
    </i>
    <i r="1">
      <x v="23"/>
    </i>
    <i t="default">
      <x v="588"/>
    </i>
    <i>
      <x v="590"/>
      <x v="22"/>
    </i>
    <i r="1">
      <x v="23"/>
    </i>
    <i t="default">
      <x v="590"/>
    </i>
    <i>
      <x v="591"/>
      <x v="22"/>
    </i>
    <i r="1">
      <x v="23"/>
    </i>
    <i t="default">
      <x v="591"/>
    </i>
    <i>
      <x v="628"/>
      <x v="22"/>
    </i>
    <i r="1">
      <x v="23"/>
    </i>
    <i t="default">
      <x v="628"/>
    </i>
    <i>
      <x v="658"/>
      <x v="22"/>
    </i>
    <i r="1">
      <x v="23"/>
    </i>
    <i t="default">
      <x v="658"/>
    </i>
    <i>
      <x v="660"/>
      <x v="22"/>
    </i>
    <i r="1">
      <x v="23"/>
    </i>
    <i t="default">
      <x v="660"/>
    </i>
    <i>
      <x v="669"/>
      <x v="22"/>
    </i>
    <i r="1">
      <x v="23"/>
    </i>
    <i t="default">
      <x v="669"/>
    </i>
    <i>
      <x v="670"/>
      <x v="22"/>
    </i>
    <i r="1">
      <x v="23"/>
    </i>
    <i t="default">
      <x v="670"/>
    </i>
    <i>
      <x v="673"/>
      <x v="22"/>
    </i>
    <i r="1">
      <x v="23"/>
    </i>
    <i t="default">
      <x v="673"/>
    </i>
    <i>
      <x v="679"/>
      <x v="22"/>
    </i>
    <i r="1">
      <x v="23"/>
    </i>
    <i t="default">
      <x v="679"/>
    </i>
    <i>
      <x v="680"/>
      <x v="22"/>
    </i>
    <i r="1">
      <x v="23"/>
    </i>
    <i t="default">
      <x v="680"/>
    </i>
    <i>
      <x v="681"/>
      <x v="22"/>
    </i>
    <i r="1">
      <x v="23"/>
    </i>
    <i t="default">
      <x v="681"/>
    </i>
    <i>
      <x v="693"/>
      <x v="22"/>
    </i>
    <i r="1">
      <x v="23"/>
    </i>
    <i t="default">
      <x v="693"/>
    </i>
    <i>
      <x v="722"/>
      <x v="22"/>
    </i>
    <i r="1">
      <x v="23"/>
    </i>
    <i t="default">
      <x v="722"/>
    </i>
    <i>
      <x v="866"/>
      <x v="22"/>
    </i>
    <i r="1">
      <x v="23"/>
    </i>
    <i t="default">
      <x v="866"/>
    </i>
    <i>
      <x v="974"/>
      <x v="22"/>
    </i>
    <i r="1">
      <x v="23"/>
    </i>
    <i t="default">
      <x v="974"/>
    </i>
    <i>
      <x v="975"/>
      <x v="22"/>
    </i>
    <i r="1">
      <x v="23"/>
    </i>
    <i t="default">
      <x v="975"/>
    </i>
    <i>
      <x v="977"/>
      <x v="23"/>
    </i>
    <i t="default">
      <x v="977"/>
    </i>
    <i>
      <x v="983"/>
      <x v="22"/>
    </i>
    <i t="default">
      <x v="983"/>
    </i>
    <i>
      <x v="984"/>
      <x v="22"/>
    </i>
    <i r="1">
      <x v="23"/>
    </i>
    <i t="default">
      <x v="984"/>
    </i>
    <i>
      <x v="985"/>
      <x v="22"/>
    </i>
    <i r="1">
      <x v="23"/>
    </i>
    <i t="default">
      <x v="985"/>
    </i>
    <i>
      <x v="1001"/>
      <x v="22"/>
    </i>
    <i r="1">
      <x v="23"/>
    </i>
    <i t="default">
      <x v="1001"/>
    </i>
    <i>
      <x v="1002"/>
      <x v="22"/>
    </i>
    <i r="1">
      <x v="23"/>
    </i>
    <i t="default">
      <x v="1002"/>
    </i>
    <i>
      <x v="1015"/>
      <x v="22"/>
    </i>
    <i r="1">
      <x v="23"/>
    </i>
    <i t="default">
      <x v="1015"/>
    </i>
    <i>
      <x v="1018"/>
      <x v="22"/>
    </i>
    <i r="1">
      <x v="23"/>
    </i>
    <i t="default">
      <x v="1018"/>
    </i>
    <i>
      <x v="1019"/>
      <x v="22"/>
    </i>
    <i r="1">
      <x v="23"/>
    </i>
    <i t="default">
      <x v="1019"/>
    </i>
    <i>
      <x v="1022"/>
      <x v="22"/>
    </i>
    <i r="1">
      <x v="23"/>
    </i>
    <i t="default">
      <x v="1022"/>
    </i>
    <i>
      <x v="1023"/>
      <x v="22"/>
    </i>
    <i r="1">
      <x v="23"/>
    </i>
    <i t="default">
      <x v="1023"/>
    </i>
    <i>
      <x v="1024"/>
      <x v="22"/>
    </i>
    <i t="default">
      <x v="1024"/>
    </i>
    <i>
      <x v="1025"/>
      <x v="22"/>
    </i>
    <i r="1">
      <x v="23"/>
    </i>
    <i t="default">
      <x v="1025"/>
    </i>
    <i>
      <x v="1026"/>
      <x v="22"/>
    </i>
    <i r="1">
      <x v="23"/>
    </i>
    <i t="default">
      <x v="1026"/>
    </i>
    <i>
      <x v="1027"/>
      <x v="22"/>
    </i>
    <i r="1">
      <x v="23"/>
    </i>
    <i t="default">
      <x v="1027"/>
    </i>
    <i>
      <x v="1028"/>
      <x v="22"/>
    </i>
    <i r="1">
      <x v="23"/>
    </i>
    <i t="default">
      <x v="1028"/>
    </i>
    <i>
      <x v="1029"/>
      <x v="22"/>
    </i>
    <i t="default">
      <x v="1029"/>
    </i>
    <i>
      <x v="1030"/>
      <x v="22"/>
    </i>
    <i r="1">
      <x v="23"/>
    </i>
    <i t="default">
      <x v="1030"/>
    </i>
    <i>
      <x v="1031"/>
      <x v="22"/>
    </i>
    <i t="default">
      <x v="1031"/>
    </i>
    <i>
      <x v="1032"/>
      <x v="22"/>
    </i>
    <i t="default">
      <x v="1032"/>
    </i>
    <i>
      <x v="1033"/>
      <x v="22"/>
    </i>
    <i r="1">
      <x v="23"/>
    </i>
    <i t="default">
      <x v="1033"/>
    </i>
    <i>
      <x v="1034"/>
      <x v="22"/>
    </i>
    <i r="1">
      <x v="23"/>
    </i>
    <i t="default">
      <x v="1034"/>
    </i>
    <i>
      <x v="1035"/>
      <x v="22"/>
    </i>
    <i r="1">
      <x v="23"/>
    </i>
    <i t="default">
      <x v="1035"/>
    </i>
    <i>
      <x v="1036"/>
      <x v="22"/>
    </i>
    <i r="1">
      <x v="23"/>
    </i>
    <i t="default">
      <x v="1036"/>
    </i>
    <i>
      <x v="1039"/>
      <x v="23"/>
    </i>
    <i t="default">
      <x v="1039"/>
    </i>
    <i>
      <x v="1040"/>
      <x v="23"/>
    </i>
    <i t="default">
      <x v="1040"/>
    </i>
    <i>
      <x v="1041"/>
      <x v="22"/>
    </i>
    <i r="1">
      <x v="23"/>
    </i>
    <i t="default">
      <x v="1041"/>
    </i>
    <i>
      <x v="1042"/>
      <x v="22"/>
    </i>
    <i r="1">
      <x v="23"/>
    </i>
    <i t="default">
      <x v="1042"/>
    </i>
    <i>
      <x v="1043"/>
      <x v="22"/>
    </i>
    <i r="1">
      <x v="23"/>
    </i>
    <i t="default">
      <x v="1043"/>
    </i>
    <i>
      <x v="1044"/>
      <x v="22"/>
    </i>
    <i r="1">
      <x v="23"/>
    </i>
    <i t="default">
      <x v="1044"/>
    </i>
    <i>
      <x v="1045"/>
      <x v="22"/>
    </i>
    <i r="1">
      <x v="23"/>
    </i>
    <i t="default">
      <x v="1045"/>
    </i>
    <i>
      <x v="1046"/>
      <x v="22"/>
    </i>
    <i r="1">
      <x v="23"/>
    </i>
    <i t="default">
      <x v="1046"/>
    </i>
    <i>
      <x v="1047"/>
      <x v="22"/>
    </i>
    <i r="1">
      <x v="23"/>
    </i>
    <i t="default">
      <x v="1047"/>
    </i>
    <i>
      <x v="1048"/>
      <x v="22"/>
    </i>
    <i r="1">
      <x v="23"/>
    </i>
    <i t="default">
      <x v="1048"/>
    </i>
    <i>
      <x v="1049"/>
      <x v="22"/>
    </i>
    <i r="1">
      <x v="23"/>
    </i>
    <i t="default">
      <x v="1049"/>
    </i>
    <i>
      <x v="1050"/>
      <x v="22"/>
    </i>
    <i r="1">
      <x v="23"/>
    </i>
    <i t="default">
      <x v="1050"/>
    </i>
    <i>
      <x v="1051"/>
      <x v="22"/>
    </i>
    <i r="1">
      <x v="23"/>
    </i>
    <i t="default">
      <x v="1051"/>
    </i>
    <i>
      <x v="1052"/>
      <x v="22"/>
    </i>
    <i r="1">
      <x v="23"/>
    </i>
    <i t="default">
      <x v="1052"/>
    </i>
    <i>
      <x v="1053"/>
      <x v="22"/>
    </i>
    <i r="1">
      <x v="23"/>
    </i>
    <i t="default">
      <x v="1053"/>
    </i>
    <i>
      <x v="1054"/>
      <x v="22"/>
    </i>
    <i r="1">
      <x v="23"/>
    </i>
    <i t="default">
      <x v="1054"/>
    </i>
    <i>
      <x v="1055"/>
      <x v="22"/>
    </i>
    <i r="1">
      <x v="23"/>
    </i>
    <i t="default">
      <x v="1055"/>
    </i>
    <i>
      <x v="1056"/>
      <x v="22"/>
    </i>
    <i r="1">
      <x v="23"/>
    </i>
    <i t="default">
      <x v="1056"/>
    </i>
    <i>
      <x v="1057"/>
      <x v="22"/>
    </i>
    <i t="default">
      <x v="1057"/>
    </i>
    <i>
      <x v="1058"/>
      <x v="22"/>
    </i>
    <i r="1">
      <x v="23"/>
    </i>
    <i t="default">
      <x v="1058"/>
    </i>
    <i>
      <x v="1059"/>
      <x v="23"/>
    </i>
    <i t="default">
      <x v="1059"/>
    </i>
    <i>
      <x v="1060"/>
      <x v="23"/>
    </i>
    <i t="default">
      <x v="1060"/>
    </i>
    <i>
      <x v="1061"/>
      <x v="23"/>
    </i>
    <i t="default">
      <x v="1061"/>
    </i>
    <i>
      <x v="1062"/>
      <x v="23"/>
    </i>
    <i t="default">
      <x v="1062"/>
    </i>
    <i>
      <x v="1063"/>
      <x v="23"/>
    </i>
    <i t="default">
      <x v="1063"/>
    </i>
    <i>
      <x v="1064"/>
      <x v="23"/>
    </i>
    <i t="default">
      <x v="1064"/>
    </i>
    <i>
      <x v="1065"/>
      <x v="22"/>
    </i>
    <i r="1">
      <x v="23"/>
    </i>
    <i t="default">
      <x v="1065"/>
    </i>
    <i>
      <x v="1066"/>
      <x v="22"/>
    </i>
    <i r="1">
      <x v="23"/>
    </i>
    <i t="default">
      <x v="1066"/>
    </i>
    <i>
      <x v="1067"/>
      <x v="22"/>
    </i>
    <i r="1">
      <x v="23"/>
    </i>
    <i t="default">
      <x v="1067"/>
    </i>
    <i t="grand">
      <x/>
    </i>
  </rowItems>
  <colFields count="1">
    <field x="-2"/>
  </colFields>
  <colItems count="3">
    <i>
      <x/>
    </i>
    <i i="1">
      <x v="1"/>
    </i>
    <i i="2">
      <x v="2"/>
    </i>
  </colItems>
  <pageFields count="1">
    <pageField fld="142" hier="-1"/>
  </pageFields>
  <dataFields count="3">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6"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AI140:AK148" firstHeaderRow="0" firstDataRow="1" firstDataCol="1" rowPageCount="4" colPageCount="1"/>
  <pivotFields count="155">
    <pivotField axis="axisPage" subtotalTop="0" multipleItemSelectionAllowed="1" showAll="0">
      <items count="25">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x="0"/>
        <item h="1"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7">
        <item m="1" x="31"/>
        <item x="1"/>
        <item m="1" x="43"/>
        <item m="1" x="35"/>
        <item x="2"/>
        <item x="3"/>
        <item x="14"/>
        <item x="21"/>
        <item x="23"/>
        <item x="15"/>
        <item x="22"/>
        <item m="1" x="38"/>
        <item m="1" x="26"/>
        <item x="16"/>
        <item n="Laukkaing"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 n="Laukkaing2" m="1" x="45"/>
        <item t="default"/>
      </items>
    </pivotField>
    <pivotField axis="axisPage" multipleItemSelectionAllowed="1" showAll="0" defaultSubtotal="0">
      <items count="14">
        <item x="0"/>
        <item x="1"/>
        <item m="1" x="11"/>
        <item h="1" m="1" x="9"/>
        <item m="1" x="7"/>
        <item m="1" x="6"/>
        <item h="1" x="3"/>
        <item m="1" x="10"/>
        <item h="1" m="1" x="13"/>
        <item m="1" x="8"/>
        <item h="1" m="1" x="12"/>
        <item h="1" m="1" x="4"/>
        <item h="1" m="1" x="5"/>
        <item h="1"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6"/>
    </i>
    <i>
      <x v="9"/>
    </i>
    <i>
      <x v="13"/>
    </i>
    <i>
      <x v="14"/>
    </i>
    <i>
      <x v="17"/>
    </i>
    <i>
      <x v="25"/>
    </i>
    <i>
      <x v="29"/>
    </i>
    <i>
      <x v="31"/>
    </i>
  </rowItems>
  <colFields count="1">
    <field x="-2"/>
  </colFields>
  <colItems count="2">
    <i>
      <x/>
    </i>
    <i i="1">
      <x v="1"/>
    </i>
  </colItems>
  <pageFields count="4">
    <pageField fld="0" hier="-1"/>
    <pageField fld="4" item="2" hier="-1"/>
    <pageField fld="142" item="0" hier="-1"/>
    <pageField fld="6" hier="-1"/>
  </pageFields>
  <dataFields count="2">
    <dataField name="Reached" fld="105" baseField="0" baseItem="0"/>
    <dataField name="Target (20:1)" fld="111" baseField="0" baseItem="0"/>
  </dataFields>
  <formats count="14">
    <format dxfId="142">
      <pivotArea field="4" type="button" dataOnly="0" labelOnly="1" outline="0" axis="axisPage" fieldPosition="1"/>
    </format>
    <format dxfId="141">
      <pivotArea type="all" dataOnly="0" outline="0" fieldPosition="0"/>
    </format>
    <format dxfId="140">
      <pivotArea type="origin" dataOnly="0" labelOnly="1" outline="0" fieldPosition="0"/>
    </format>
    <format dxfId="139">
      <pivotArea type="topRight" dataOnly="0" labelOnly="1" outline="0" fieldPosition="0"/>
    </format>
    <format dxfId="138">
      <pivotArea field="-2" type="button" dataOnly="0" labelOnly="1" outline="0" axis="axisCol" fieldPosition="0"/>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type="topRight" dataOnly="0" labelOnly="1" outline="0" fieldPosition="0"/>
    </format>
    <format dxfId="133">
      <pivotArea field="-2" type="button" dataOnly="0" labelOnly="1" outline="0" axis="axisCol" fieldPosition="0"/>
    </format>
    <format dxfId="132">
      <pivotArea dataOnly="0" labelOnly="1" outline="0" fieldPosition="0">
        <references count="3">
          <reference field="0" count="1" selected="0">
            <x v="7"/>
          </reference>
          <reference field="4" count="1">
            <x v="0"/>
          </reference>
          <reference field="142" count="1" selected="0">
            <x v="0"/>
          </reference>
        </references>
      </pivotArea>
    </format>
    <format dxfId="131">
      <pivotArea type="all" dataOnly="0" outline="0" fieldPosition="0"/>
    </format>
    <format dxfId="130">
      <pivotArea outline="0" collapsedLevelsAreSubtotals="1" fieldPosition="0"/>
    </format>
    <format dxfId="129">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6"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36">
  <location ref="H295:J300" firstHeaderRow="1" firstDataRow="2" firstDataCol="1" rowPageCount="2" colPageCount="1"/>
  <pivotFields count="155">
    <pivotField axis="axisPage" subtotalTop="0" multipleItemSelectionAllowed="1" showAll="0">
      <items count="25">
        <item m="1" x="22"/>
        <item m="1" x="8"/>
        <item m="1" x="23"/>
        <item h="1" m="1" x="15"/>
        <item m="1" x="4"/>
        <item m="1" x="2"/>
        <item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multipleItemSelectionAllowed="1" showAll="0">
      <items count="7">
        <item h="1" x="1"/>
        <item h="1" m="1" x="3"/>
        <item x="0"/>
        <item m="1" x="2"/>
        <item h="1" m="1" x="5"/>
        <item h="1" m="1" x="4"/>
        <item t="default"/>
      </items>
    </pivotField>
    <pivotField subtotalTop="0" showAll="0"/>
    <pivotField axis="axisRow" showAll="0" defaultSubtotal="0">
      <items count="14">
        <item x="0"/>
        <item x="1"/>
        <item m="1" x="11"/>
        <item m="1" x="9"/>
        <item m="1" x="7"/>
        <item m="1" x="6"/>
        <item x="3"/>
        <item m="1" x="10"/>
        <item m="1" x="13"/>
        <item m="1" x="8"/>
        <item m="1" x="12"/>
        <item m="1" x="4"/>
        <item m="1" x="5"/>
        <item x="2"/>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6"/>
    </i>
    <i>
      <x v="13"/>
    </i>
  </rowItems>
  <colFields count="1">
    <field x="142"/>
  </colFields>
  <colItems count="2">
    <i>
      <x/>
    </i>
    <i>
      <x v="1"/>
    </i>
  </colItems>
  <pageFields count="2">
    <pageField fld="0" hier="-1"/>
    <pageField fld="4" hier="-1"/>
  </pageFields>
  <dataFields count="1">
    <dataField name="Count of Site Name" fld="7" subtotal="count" baseField="0" baseItem="0"/>
  </dataFields>
  <formats count="17">
    <format dxfId="159">
      <pivotArea type="all" dataOnly="0" outline="0" fieldPosition="0"/>
    </format>
    <format dxfId="158">
      <pivotArea outline="0" collapsedLevelsAreSubtotals="1" fieldPosition="0"/>
    </format>
    <format dxfId="157">
      <pivotArea field="4" type="button" dataOnly="0" labelOnly="1" outline="0" axis="axisPage" fieldPosition="1"/>
    </format>
    <format dxfId="156">
      <pivotArea dataOnly="0" labelOnly="1" fieldPosition="0">
        <references count="1">
          <reference field="4" count="0"/>
        </references>
      </pivotArea>
    </format>
    <format dxfId="155">
      <pivotArea dataOnly="0" labelOnly="1" grandRow="1" outline="0" fieldPosition="0"/>
    </format>
    <format dxfId="154">
      <pivotArea dataOnly="0" labelOnly="1" outline="0" fieldPosition="0">
        <references count="1">
          <reference field="4294967294" count="1">
            <x v="0"/>
          </reference>
        </references>
      </pivotArea>
    </format>
    <format dxfId="153">
      <pivotArea type="all" dataOnly="0" outline="0" fieldPosition="0"/>
    </format>
    <format dxfId="152">
      <pivotArea outline="0" collapsedLevelsAreSubtotals="1" fieldPosition="0"/>
    </format>
    <format dxfId="151">
      <pivotArea type="origin" dataOnly="0" labelOnly="1" outline="0" fieldPosition="0"/>
    </format>
    <format dxfId="150">
      <pivotArea field="142" type="button" dataOnly="0" labelOnly="1" outline="0" axis="axisCol" fieldPosition="0"/>
    </format>
    <format dxfId="149">
      <pivotArea type="topRight" dataOnly="0" labelOnly="1" outline="0" fieldPosition="0"/>
    </format>
    <format dxfId="148">
      <pivotArea dataOnly="0" labelOnly="1" fieldPosition="0">
        <references count="1">
          <reference field="142" count="0"/>
        </references>
      </pivotArea>
    </format>
    <format dxfId="147">
      <pivotArea type="all" dataOnly="0" outline="0" fieldPosition="0"/>
    </format>
    <format dxfId="146">
      <pivotArea outline="0" collapsedLevelsAreSubtotals="1" fieldPosition="0"/>
    </format>
    <format dxfId="145">
      <pivotArea dataOnly="0" labelOnly="1" fieldPosition="0">
        <references count="1">
          <reference field="142" count="0"/>
        </references>
      </pivotArea>
    </format>
    <format dxfId="144">
      <pivotArea field="4" type="button" dataOnly="0" labelOnly="1" outline="0" axis="axisPage" fieldPosition="1"/>
    </format>
    <format dxfId="143">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2" count="1" selected="0">
            <x v="0"/>
          </reference>
        </references>
      </pivotArea>
    </chartFormat>
    <chartFormat chart="1" format="1" series="1">
      <pivotArea type="data" outline="0" fieldPosition="0">
        <references count="2">
          <reference field="4294967294" count="1" selected="0">
            <x v="0"/>
          </reference>
          <reference field="142" count="1" selected="0">
            <x v="1"/>
          </reference>
        </references>
      </pivotArea>
    </chartFormat>
    <chartFormat chart="6" format="4" series="1">
      <pivotArea type="data" outline="0" fieldPosition="0">
        <references count="2">
          <reference field="4294967294" count="1" selected="0">
            <x v="0"/>
          </reference>
          <reference field="142" count="1" selected="0">
            <x v="0"/>
          </reference>
        </references>
      </pivotArea>
    </chartFormat>
    <chartFormat chart="6" format="5" series="1">
      <pivotArea type="data" outline="0" fieldPosition="0">
        <references count="2">
          <reference field="4294967294" count="1" selected="0">
            <x v="0"/>
          </reference>
          <reference field="142" count="1" selected="0">
            <x v="1"/>
          </reference>
        </references>
      </pivotArea>
    </chartFormat>
    <chartFormat chart="16" format="8" series="1">
      <pivotArea type="data" outline="0" fieldPosition="0">
        <references count="2">
          <reference field="4294967294" count="1" selected="0">
            <x v="0"/>
          </reference>
          <reference field="142" count="1" selected="0">
            <x v="0"/>
          </reference>
        </references>
      </pivotArea>
    </chartFormat>
    <chartFormat chart="16" format="9" series="1">
      <pivotArea type="data" outline="0" fieldPosition="0">
        <references count="2">
          <reference field="4294967294" count="1" selected="0">
            <x v="0"/>
          </reference>
          <reference field="142" count="1" selected="0">
            <x v="1"/>
          </reference>
        </references>
      </pivotArea>
    </chartFormat>
    <chartFormat chart="19" format="8" series="1">
      <pivotArea type="data" outline="0" fieldPosition="0">
        <references count="2">
          <reference field="4294967294" count="1" selected="0">
            <x v="0"/>
          </reference>
          <reference field="142" count="1" selected="0">
            <x v="0"/>
          </reference>
        </references>
      </pivotArea>
    </chartFormat>
    <chartFormat chart="19" format="9" series="1">
      <pivotArea type="data" outline="0" fieldPosition="0">
        <references count="2">
          <reference field="4294967294" count="1" selected="0">
            <x v="0"/>
          </reference>
          <reference field="142" count="1" selected="0">
            <x v="1"/>
          </reference>
        </references>
      </pivotArea>
    </chartFormat>
    <chartFormat chart="16" format="10" series="1">
      <pivotArea type="data" outline="0" fieldPosition="0">
        <references count="2">
          <reference field="4294967294" count="1" selected="0">
            <x v="0"/>
          </reference>
          <reference field="142" count="1" selected="0">
            <x v="3"/>
          </reference>
        </references>
      </pivotArea>
    </chartFormat>
    <chartFormat chart="19" format="10" series="1">
      <pivotArea type="data" outline="0" fieldPosition="0">
        <references count="2">
          <reference field="4294967294" count="1" selected="0">
            <x v="0"/>
          </reference>
          <reference field="142"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6"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318:L346" firstHeaderRow="0" firstDataRow="1" firstDataCol="4" rowPageCount="2" colPageCount="1"/>
  <pivotFields count="155">
    <pivotField axis="axisPage" compact="0" outline="0" subtotalTop="0" multipleItemSelectionAllowed="1" showAll="0" defaultSubtotal="0">
      <items count="24">
        <item m="1" x="22"/>
        <item m="1" x="8"/>
        <item m="1" x="23"/>
        <item m="1" x="15"/>
        <item m="1" x="4"/>
        <item m="1" x="2"/>
        <item m="1" x="21"/>
        <item m="1" x="17"/>
        <item m="1" x="19"/>
        <item m="1" x="20"/>
        <item m="1" x="11"/>
        <item m="1" x="13"/>
        <item m="1" x="16"/>
        <item m="1" x="18"/>
        <item h="1" m="1" x="6"/>
        <item h="1" m="1" x="9"/>
        <item h="1" m="1" x="12"/>
        <item m="1" x="14"/>
        <item h="1" m="1" x="3"/>
        <item h="1" m="1" x="5"/>
        <item h="1" m="1" x="7"/>
        <item m="1" x="10"/>
        <item h="1"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1"/>
        <item m="1" x="3"/>
        <item x="0"/>
        <item m="1" x="2"/>
        <item m="1" x="5"/>
        <item m="1" x="4"/>
        <item t="default"/>
      </items>
    </pivotField>
    <pivotField axis="axisRow" compact="0" outline="0" subtotalTop="0" showAll="0" defaultSubtotal="0">
      <items count="46">
        <item m="1" x="31"/>
        <item x="1"/>
        <item m="1" x="43"/>
        <item x="2"/>
        <item x="3"/>
        <item x="14"/>
        <item x="21"/>
        <item x="15"/>
        <item m="1" x="38"/>
        <item m="1" x="26"/>
        <item x="16"/>
        <item m="1" x="41"/>
        <item x="4"/>
        <item x="17"/>
        <item m="1" x="36"/>
        <item m="1" x="30"/>
        <item x="5"/>
        <item x="6"/>
        <item x="7"/>
        <item m="1" x="42"/>
        <item x="18"/>
        <item m="1" x="34"/>
        <item x="8"/>
        <item x="19"/>
        <item x="20"/>
        <item m="1" x="28"/>
        <item m="1" x="32"/>
        <item m="1" x="37"/>
        <item x="9"/>
        <item m="1" x="44"/>
        <item m="1" x="40"/>
        <item x="10"/>
        <item m="1" x="39"/>
        <item x="11"/>
        <item x="12"/>
        <item x="13"/>
        <item m="1" x="33"/>
        <item m="1" x="25"/>
        <item m="1" x="27"/>
        <item m="1" x="24"/>
        <item m="1" x="35"/>
        <item x="0"/>
        <item m="1" x="29"/>
        <item x="22"/>
        <item x="23"/>
        <item m="1" x="45"/>
      </items>
    </pivotField>
    <pivotField compact="0" outline="0" showAll="0" defaultSubtotal="0"/>
    <pivotField axis="axisRow" dataField="1" compact="0" outline="0" subtotalTop="0" showAll="0" defaultSubtotal="0">
      <items count="1068">
        <item m="1" x="740"/>
        <item x="179"/>
        <item x="180"/>
        <item x="154"/>
        <item x="155"/>
        <item x="95"/>
        <item m="1" x="363"/>
        <item m="1" x="609"/>
        <item m="1" x="278"/>
        <item m="1" x="319"/>
        <item m="1" x="583"/>
        <item m="1" x="701"/>
        <item m="1" x="716"/>
        <item m="1" x="491"/>
        <item m="1" x="321"/>
        <item m="1" x="975"/>
        <item m="1" x="879"/>
        <item m="1" x="333"/>
        <item m="1" x="763"/>
        <item m="1" x="545"/>
        <item m="1" x="917"/>
        <item m="1" x="858"/>
        <item m="1" x="940"/>
        <item m="1" x="962"/>
        <item m="1" x="401"/>
        <item m="1" x="838"/>
        <item m="1" x="436"/>
        <item m="1" x="453"/>
        <item m="1" x="451"/>
        <item m="1" x="359"/>
        <item x="70"/>
        <item m="1" x="1013"/>
        <item m="1" x="1053"/>
        <item m="1" x="774"/>
        <item m="1" x="503"/>
        <item m="1" x="388"/>
        <item x="156"/>
        <item m="1" x="437"/>
        <item m="1" x="915"/>
        <item m="1" x="868"/>
        <item m="1" x="932"/>
        <item m="1" x="267"/>
        <item m="1" x="374"/>
        <item m="1" x="596"/>
        <item m="1" x="831"/>
        <item m="1" x="832"/>
        <item m="1" x="592"/>
        <item m="1" x="567"/>
        <item m="1" x="431"/>
        <item x="63"/>
        <item m="1" x="1047"/>
        <item m="1" x="1003"/>
        <item m="1" x="771"/>
        <item x="192"/>
        <item m="1" x="969"/>
        <item m="1" x="761"/>
        <item m="1" x="792"/>
        <item m="1" x="240"/>
        <item m="1" x="263"/>
        <item x="157"/>
        <item m="1" x="942"/>
        <item m="1" x="472"/>
        <item m="1" x="386"/>
        <item m="1" x="468"/>
        <item x="152"/>
        <item m="1" x="659"/>
        <item m="1" x="821"/>
        <item m="1" x="221"/>
        <item m="1" x="767"/>
        <item m="1" x="1006"/>
        <item m="1" x="682"/>
        <item m="1" x="268"/>
        <item m="1" x="405"/>
        <item m="1" x="935"/>
        <item x="158"/>
        <item m="1" x="867"/>
        <item m="1" x="598"/>
        <item m="1" x="492"/>
        <item m="1" x="973"/>
        <item m="1" x="655"/>
        <item m="1" x="420"/>
        <item x="18"/>
        <item m="1" x="840"/>
        <item x="54"/>
        <item m="1" x="990"/>
        <item m="1" x="361"/>
        <item m="1" x="1011"/>
        <item m="1" x="731"/>
        <item m="1" x="606"/>
        <item m="1" x="636"/>
        <item m="1" x="895"/>
        <item m="1" x="270"/>
        <item m="1" x="796"/>
        <item m="1" x="724"/>
        <item m="1" x="988"/>
        <item m="1" x="929"/>
        <item m="1" x="788"/>
        <item m="1" x="640"/>
        <item m="1" x="674"/>
        <item m="1" x="238"/>
        <item x="191"/>
        <item x="172"/>
        <item x="38"/>
        <item m="1" x="329"/>
        <item m="1" x="228"/>
        <item m="1" x="631"/>
        <item x="4"/>
        <item m="1" x="534"/>
        <item m="1" x="601"/>
        <item m="1" x="493"/>
        <item m="1" x="256"/>
        <item x="101"/>
        <item m="1" x="754"/>
        <item x="159"/>
        <item m="1" x="494"/>
        <item m="1" x="759"/>
        <item x="3"/>
        <item m="1" x="251"/>
        <item x="96"/>
        <item x="71"/>
        <item x="111"/>
        <item m="1" x="769"/>
        <item m="1" x="461"/>
        <item m="1" x="291"/>
        <item m="1" x="738"/>
        <item m="1" x="403"/>
        <item x="19"/>
        <item x="55"/>
        <item x="15"/>
        <item m="1" x="695"/>
        <item m="1" x="1020"/>
        <item m="1" x="1063"/>
        <item m="1" x="958"/>
        <item x="97"/>
        <item m="1" x="664"/>
        <item m="1" x="656"/>
        <item m="1" x="870"/>
        <item m="1" x="416"/>
        <item m="1" x="364"/>
        <item m="1" x="410"/>
        <item m="1" x="642"/>
        <item m="1" x="800"/>
        <item m="1" x="980"/>
        <item m="1" x="755"/>
        <item m="1" x="286"/>
        <item m="1" x="901"/>
        <item m="1" x="511"/>
        <item m="1" x="618"/>
        <item m="1" x="444"/>
        <item m="1" x="572"/>
        <item x="98"/>
        <item m="1" x="516"/>
        <item m="1" x="1055"/>
        <item m="1" x="757"/>
        <item m="1" x="387"/>
        <item m="1" x="478"/>
        <item m="1" x="764"/>
        <item m="1" x="519"/>
        <item m="1" x="305"/>
        <item m="1" x="389"/>
        <item m="1" x="318"/>
        <item m="1" x="770"/>
        <item m="1" x="1008"/>
        <item x="80"/>
        <item x="81"/>
        <item m="1" x="1027"/>
        <item m="1" x="613"/>
        <item m="1" x="310"/>
        <item m="1" x="784"/>
        <item m="1" x="347"/>
        <item m="1" x="837"/>
        <item m="1" x="345"/>
        <item m="1" x="395"/>
        <item m="1" x="648"/>
        <item m="1" x="1041"/>
        <item m="1" x="1057"/>
        <item m="1" x="328"/>
        <item m="1" x="287"/>
        <item m="1" x="381"/>
        <item m="1" x="797"/>
        <item m="1" x="415"/>
        <item m="1" x="487"/>
        <item m="1" x="863"/>
        <item m="1" x="336"/>
        <item m="1" x="941"/>
        <item m="1" x="979"/>
        <item m="1" x="331"/>
        <item m="1" x="599"/>
        <item m="1" x="944"/>
        <item m="1" x="402"/>
        <item m="1" x="276"/>
        <item x="106"/>
        <item m="1" x="719"/>
        <item m="1" x="224"/>
        <item x="8"/>
        <item m="1" x="928"/>
        <item m="1" x="651"/>
        <item m="1" x="464"/>
        <item m="1" x="408"/>
        <item x="16"/>
        <item m="1" x="934"/>
        <item x="195"/>
        <item m="1" x="289"/>
        <item m="1" x="698"/>
        <item m="1" x="912"/>
        <item m="1" x="829"/>
        <item x="160"/>
        <item x="21"/>
        <item x="22"/>
        <item m="1" x="1065"/>
        <item m="1" x="269"/>
        <item m="1" x="212"/>
        <item m="1" x="886"/>
        <item m="1" x="536"/>
        <item m="1" x="264"/>
        <item m="1" x="741"/>
        <item m="1" x="498"/>
        <item x="153"/>
        <item m="1" x="525"/>
        <item m="1" x="637"/>
        <item x="161"/>
        <item x="162"/>
        <item x="72"/>
        <item x="107"/>
        <item x="183"/>
        <item x="184"/>
        <item x="185"/>
        <item m="1" x="339"/>
        <item m="1" x="280"/>
        <item m="1" x="325"/>
        <item x="32"/>
        <item x="135"/>
        <item m="1" x="896"/>
        <item m="1" x="890"/>
        <item x="39"/>
        <item x="40"/>
        <item m="1" x="425"/>
        <item x="173"/>
        <item x="64"/>
        <item x="41"/>
        <item x="42"/>
        <item x="7"/>
        <item x="130"/>
        <item m="1" x="918"/>
        <item x="23"/>
        <item x="99"/>
        <item x="186"/>
        <item x="24"/>
        <item x="128"/>
        <item x="83"/>
        <item m="1" x="566"/>
        <item x="66"/>
        <item x="67"/>
        <item x="68"/>
        <item x="69"/>
        <item m="1" x="713"/>
        <item m="1" x="213"/>
        <item m="1" x="367"/>
        <item x="94"/>
        <item x="117"/>
        <item m="1" x="223"/>
        <item x="93"/>
        <item m="1" x="623"/>
        <item m="1" x="277"/>
        <item m="1" x="943"/>
        <item m="1" x="330"/>
        <item x="167"/>
        <item x="168"/>
        <item m="1" x="254"/>
        <item m="1" x="315"/>
        <item m="1" x="914"/>
        <item x="125"/>
        <item m="1" x="428"/>
        <item m="1" x="515"/>
        <item m="1" x="327"/>
        <item m="1" x="337"/>
        <item m="1" x="485"/>
        <item m="1" x="346"/>
        <item m="1" x="1029"/>
        <item m="1" x="1014"/>
        <item m="1" x="760"/>
        <item m="1" x="273"/>
        <item m="1" x="571"/>
        <item x="100"/>
        <item m="1" x="772"/>
        <item m="1" x="722"/>
        <item x="85"/>
        <item m="1" x="806"/>
        <item m="1" x="383"/>
        <item m="1" x="594"/>
        <item m="1" x="669"/>
        <item m="1" x="285"/>
        <item m="1" x="866"/>
        <item m="1" x="556"/>
        <item x="5"/>
        <item m="1" x="484"/>
        <item m="1" x="671"/>
        <item m="1" x="994"/>
        <item m="1" x="504"/>
        <item m="1" x="397"/>
        <item m="1" x="510"/>
        <item x="115"/>
        <item x="103"/>
        <item x="104"/>
        <item x="116"/>
        <item m="1" x="692"/>
        <item x="86"/>
        <item m="1" x="406"/>
        <item x="163"/>
        <item x="74"/>
        <item x="108"/>
        <item m="1" x="419"/>
        <item m="1" x="861"/>
        <item x="57"/>
        <item m="1" x="822"/>
        <item m="1" x="986"/>
        <item x="50"/>
        <item m="1" x="295"/>
        <item m="1" x="544"/>
        <item m="1" x="873"/>
        <item x="12"/>
        <item m="1" x="398"/>
        <item m="1" x="950"/>
        <item m="1" x="306"/>
        <item x="174"/>
        <item x="14"/>
        <item m="1" x="215"/>
        <item x="35"/>
        <item x="88"/>
        <item m="1" x="576"/>
        <item m="1" x="850"/>
        <item m="1" x="687"/>
        <item m="1" x="354"/>
        <item m="1" x="616"/>
        <item m="1" x="939"/>
        <item m="1" x="384"/>
        <item m="1" x="507"/>
        <item m="1" x="376"/>
        <item m="1" x="502"/>
        <item m="1" x="362"/>
        <item m="1" x="422"/>
        <item m="1" x="966"/>
        <item x="193"/>
        <item m="1" x="355"/>
        <item m="1" x="304"/>
        <item x="25"/>
        <item m="1" x="372"/>
        <item m="1" x="604"/>
        <item m="1" x="585"/>
        <item m="1" x="877"/>
        <item x="188"/>
        <item m="1" x="542"/>
        <item m="1" x="292"/>
        <item m="1" x="445"/>
        <item m="1" x="632"/>
        <item m="1" x="518"/>
        <item m="1" x="288"/>
        <item m="1" x="881"/>
        <item m="1" x="543"/>
        <item m="1" x="747"/>
        <item m="1" x="391"/>
        <item m="1" x="473"/>
        <item m="1" x="909"/>
        <item m="1" x="974"/>
        <item m="1" x="390"/>
        <item x="58"/>
        <item x="194"/>
        <item m="1" x="824"/>
        <item x="43"/>
        <item m="1" x="785"/>
        <item m="1" x="399"/>
        <item m="1" x="580"/>
        <item x="89"/>
        <item x="109"/>
        <item m="1" x="205"/>
        <item m="1" x="1023"/>
        <item m="1" x="817"/>
        <item m="1" x="891"/>
        <item m="1" x="505"/>
        <item m="1" x="1045"/>
        <item x="73"/>
        <item m="1" x="531"/>
        <item m="1" x="685"/>
        <item m="1" x="588"/>
        <item m="1" x="562"/>
        <item m="1" x="407"/>
        <item m="1" x="446"/>
        <item m="1" x="710"/>
        <item m="1" x="377"/>
        <item m="1" x="257"/>
        <item m="1" x="482"/>
        <item m="1" x="844"/>
        <item m="1" x="603"/>
        <item m="1" x="998"/>
        <item m="1" x="608"/>
        <item m="1" x="500"/>
        <item m="1" x="641"/>
        <item m="1" x="1007"/>
        <item m="1" x="233"/>
        <item x="175"/>
        <item x="44"/>
        <item m="1" x="675"/>
        <item m="1" x="298"/>
        <item m="1" x="715"/>
        <item m="1" x="997"/>
        <item m="1" x="357"/>
        <item m="1" x="454"/>
        <item m="1" x="208"/>
        <item m="1" x="342"/>
        <item x="164"/>
        <item m="1" x="798"/>
        <item x="181"/>
        <item m="1" x="537"/>
        <item m="1" x="595"/>
        <item m="1" x="217"/>
        <item m="1" x="589"/>
        <item x="36"/>
        <item m="1" x="628"/>
        <item m="1" x="999"/>
        <item m="1" x="991"/>
        <item m="1" x="477"/>
        <item x="13"/>
        <item m="1" x="799"/>
        <item m="1" x="842"/>
        <item m="1" x="683"/>
        <item m="1" x="833"/>
        <item m="1" x="864"/>
        <item m="1" x="548"/>
        <item m="1" x="894"/>
        <item m="1" x="706"/>
        <item m="1" x="876"/>
        <item m="1" x="880"/>
        <item x="189"/>
        <item m="1" x="209"/>
        <item m="1" x="297"/>
        <item m="1" x="546"/>
        <item x="45"/>
        <item m="1" x="1060"/>
        <item x="6"/>
        <item m="1" x="684"/>
        <item m="1" x="551"/>
        <item m="1" x="1036"/>
        <item x="26"/>
        <item x="170"/>
        <item m="1" x="302"/>
        <item x="46"/>
        <item x="34"/>
        <item x="110"/>
        <item m="1" x="688"/>
        <item m="1" x="522"/>
        <item m="1" x="816"/>
        <item m="1" x="654"/>
        <item x="27"/>
        <item m="1" x="236"/>
        <item m="1" x="920"/>
        <item m="1" x="841"/>
        <item m="1" x="243"/>
        <item m="1" x="927"/>
        <item m="1" x="839"/>
        <item m="1" x="489"/>
        <item m="1" x="418"/>
        <item m="1" x="789"/>
        <item m="1" x="568"/>
        <item m="1" x="852"/>
        <item m="1" x="677"/>
        <item x="53"/>
        <item m="1" x="854"/>
        <item m="1" x="904"/>
        <item m="1" x="823"/>
        <item m="1" x="281"/>
        <item m="1" x="985"/>
        <item m="1" x="907"/>
        <item m="1" x="779"/>
        <item m="1" x="859"/>
        <item x="62"/>
        <item m="1" x="210"/>
        <item m="1" x="496"/>
        <item x="28"/>
        <item x="171"/>
        <item m="1" x="513"/>
        <item x="29"/>
        <item x="30"/>
        <item m="1" x="340"/>
        <item m="1" x="753"/>
        <item m="1" x="686"/>
        <item m="1" x="749"/>
        <item m="1" x="765"/>
        <item m="1" x="575"/>
        <item m="1" x="234"/>
        <item m="1" x="1034"/>
        <item m="1" x="801"/>
        <item m="1" x="1040"/>
        <item m="1" x="818"/>
        <item m="1" x="938"/>
        <item m="1" x="726"/>
        <item m="1" x="1058"/>
        <item m="1" x="1017"/>
        <item m="1" x="717"/>
        <item m="1" x="486"/>
        <item m="1" x="396"/>
        <item m="1" x="248"/>
        <item m="1" x="996"/>
        <item m="1" x="552"/>
        <item m="1" x="570"/>
        <item m="1" x="777"/>
        <item m="1" x="1066"/>
        <item m="1" x="620"/>
        <item m="1" x="911"/>
        <item m="1" x="279"/>
        <item x="177"/>
        <item m="1" x="696"/>
        <item m="1" x="1004"/>
        <item m="1" x="1028"/>
        <item m="1" x="1005"/>
        <item m="1" x="521"/>
        <item m="1" x="441"/>
        <item m="1" x="394"/>
        <item m="1" x="246"/>
        <item m="1" x="392"/>
        <item m="1" x="222"/>
        <item m="1" x="207"/>
        <item m="1" x="851"/>
        <item m="1" x="409"/>
        <item m="1" x="351"/>
        <item m="1" x="781"/>
        <item m="1" x="965"/>
        <item m="1" x="341"/>
        <item m="1" x="1054"/>
        <item m="1" x="523"/>
        <item m="1" x="756"/>
        <item x="75"/>
        <item m="1" x="308"/>
        <item m="1" x="845"/>
        <item m="1" x="344"/>
        <item m="1" x="836"/>
        <item m="1" x="617"/>
        <item m="1" x="856"/>
        <item m="1" x="447"/>
        <item x="178"/>
        <item m="1" x="807"/>
        <item x="165"/>
        <item m="1" x="1019"/>
        <item m="1" x="954"/>
        <item m="1" x="892"/>
        <item x="112"/>
        <item x="113"/>
        <item x="114"/>
        <item m="1" x="786"/>
        <item m="1" x="497"/>
        <item m="1" x="586"/>
        <item m="1" x="897"/>
        <item m="1" x="723"/>
        <item m="1" x="582"/>
        <item m="1" x="1064"/>
        <item m="1" x="1049"/>
        <item x="166"/>
        <item m="1" x="627"/>
        <item m="1" x="250"/>
        <item m="1" x="865"/>
        <item m="1" x="883"/>
        <item m="1" x="884"/>
        <item m="1" x="957"/>
        <item m="1" x="317"/>
        <item m="1" x="614"/>
        <item m="1" x="426"/>
        <item m="1" x="427"/>
        <item m="1" x="1026"/>
        <item m="1" x="970"/>
        <item m="1" x="952"/>
        <item m="1" x="610"/>
        <item m="1" x="1012"/>
        <item m="1" x="538"/>
        <item m="1" x="732"/>
        <item m="1" x="902"/>
        <item m="1" x="255"/>
        <item m="1" x="469"/>
        <item m="1" x="275"/>
        <item m="1" x="728"/>
        <item m="1" x="668"/>
        <item m="1" x="699"/>
        <item x="90"/>
        <item m="1" x="762"/>
        <item m="1" x="955"/>
        <item m="1" x="311"/>
        <item m="1" x="590"/>
        <item x="132"/>
        <item m="1" x="307"/>
        <item m="1" x="1038"/>
        <item m="1" x="660"/>
        <item m="1" x="791"/>
        <item m="1" x="746"/>
        <item x="148"/>
        <item x="124"/>
        <item x="48"/>
        <item x="56"/>
        <item m="1" x="652"/>
        <item m="1" x="488"/>
        <item m="1" x="258"/>
        <item m="1" x="1043"/>
        <item m="1" x="809"/>
        <item m="1" x="375"/>
        <item m="1" x="712"/>
        <item m="1" x="615"/>
        <item m="1" x="1062"/>
        <item m="1" x="982"/>
        <item m="1" x="558"/>
        <item m="1" x="448"/>
        <item m="1" x="535"/>
        <item m="1" x="294"/>
        <item m="1" x="936"/>
        <item m="1" x="742"/>
        <item m="1" x="1021"/>
        <item m="1" x="216"/>
        <item m="1" x="790"/>
        <item x="33"/>
        <item x="49"/>
        <item m="1" x="434"/>
        <item m="1" x="272"/>
        <item m="1" x="421"/>
        <item m="1" x="299"/>
        <item m="1" x="423"/>
        <item m="1" x="697"/>
        <item m="1" x="1018"/>
        <item m="1" x="593"/>
        <item m="1" x="739"/>
        <item m="1" x="578"/>
        <item m="1" x="853"/>
        <item m="1" x="825"/>
        <item m="1" x="480"/>
        <item m="1" x="948"/>
        <item m="1" x="587"/>
        <item m="1" x="703"/>
        <item m="1" x="812"/>
        <item m="1" x="424"/>
        <item m="1" x="309"/>
        <item m="1" x="1061"/>
        <item m="1" x="284"/>
        <item m="1" x="819"/>
        <item m="1" x="1052"/>
        <item m="1" x="984"/>
        <item m="1" x="1050"/>
        <item m="1" x="1016"/>
        <item m="1" x="457"/>
        <item m="1" x="404"/>
        <item m="1" x="621"/>
        <item m="1" x="506"/>
        <item m="1" x="1056"/>
        <item m="1" x="846"/>
        <item m="1" x="978"/>
        <item m="1" x="262"/>
        <item m="1" x="527"/>
        <item m="1" x="450"/>
        <item m="1" x="271"/>
        <item m="1" x="725"/>
        <item m="1" x="653"/>
        <item m="1" x="930"/>
        <item m="1" x="413"/>
        <item m="1" x="508"/>
        <item m="1" x="689"/>
        <item m="1" x="611"/>
        <item m="1" x="947"/>
        <item m="1" x="639"/>
        <item m="1" x="466"/>
        <item m="1" x="1033"/>
        <item m="1" x="862"/>
        <item m="1" x="1032"/>
        <item m="1" x="1031"/>
        <item m="1" x="326"/>
        <item m="1" x="694"/>
        <item m="1" x="369"/>
        <item m="1" x="874"/>
        <item m="1" x="956"/>
        <item m="1" x="509"/>
        <item m="1" x="300"/>
        <item m="1" x="211"/>
        <item m="1" x="432"/>
        <item m="1" x="992"/>
        <item m="1" x="411"/>
        <item m="1" x="533"/>
        <item m="1" x="1015"/>
        <item m="1" x="702"/>
        <item m="1" x="795"/>
        <item m="1" x="462"/>
        <item m="1" x="743"/>
        <item m="1" x="290"/>
        <item m="1" x="630"/>
        <item m="1" x="479"/>
        <item m="1" x="783"/>
        <item m="1" x="520"/>
        <item m="1" x="565"/>
        <item m="1" x="449"/>
        <item m="1" x="385"/>
        <item m="1" x="778"/>
        <item m="1" x="916"/>
        <item x="9"/>
        <item x="37"/>
        <item x="87"/>
        <item x="82"/>
        <item x="84"/>
        <item x="11"/>
        <item x="31"/>
        <item x="20"/>
        <item x="47"/>
        <item x="59"/>
        <item m="1" x="665"/>
        <item m="1" x="334"/>
        <item m="1" x="933"/>
        <item m="1" x="872"/>
        <item m="1" x="366"/>
        <item m="1" x="499"/>
        <item m="1" x="260"/>
        <item m="1" x="612"/>
        <item m="1" x="247"/>
        <item x="61"/>
        <item m="1" x="252"/>
        <item m="1" x="995"/>
        <item m="1" x="452"/>
        <item m="1" x="681"/>
        <item m="1" x="690"/>
        <item m="1" x="261"/>
        <item m="1" x="843"/>
        <item x="77"/>
        <item x="79"/>
        <item m="1" x="624"/>
        <item m="1" x="574"/>
        <item m="1" x="365"/>
        <item m="1" x="349"/>
        <item m="1" x="906"/>
        <item m="1" x="442"/>
        <item m="1" x="430"/>
        <item m="1" x="900"/>
        <item m="1" x="417"/>
        <item m="1" x="908"/>
        <item m="1" x="459"/>
        <item m="1" x="214"/>
        <item m="1" x="981"/>
        <item m="1" x="658"/>
        <item m="1" x="834"/>
        <item m="1" x="709"/>
        <item m="1" x="602"/>
        <item m="1" x="460"/>
        <item m="1" x="584"/>
        <item m="1" x="662"/>
        <item m="1" x="539"/>
        <item m="1" x="382"/>
        <item m="1" x="1024"/>
        <item m="1" x="360"/>
        <item m="1" x="465"/>
        <item m="1" x="977"/>
        <item m="1" x="555"/>
        <item m="1" x="526"/>
        <item m="1" x="889"/>
        <item m="1" x="633"/>
        <item m="1" x="373"/>
        <item m="1" x="813"/>
        <item m="1" x="561"/>
        <item m="1" x="579"/>
        <item m="1" x="573"/>
        <item m="1" x="225"/>
        <item m="1" x="625"/>
        <item m="1" x="429"/>
        <item m="1" x="320"/>
        <item m="1" x="1051"/>
        <item m="1" x="619"/>
        <item m="1" x="323"/>
        <item m="1" x="910"/>
        <item m="1" x="577"/>
        <item m="1" x="605"/>
        <item m="1" x="244"/>
        <item m="1" x="348"/>
        <item m="1" x="857"/>
        <item m="1" x="547"/>
        <item m="1" x="661"/>
        <item m="1" x="253"/>
        <item m="1" x="647"/>
        <item m="1" x="776"/>
        <item m="1" x="350"/>
        <item m="1" x="456"/>
        <item m="1" x="368"/>
        <item m="1" x="475"/>
        <item m="1" x="463"/>
        <item m="1" x="301"/>
        <item m="1" x="967"/>
        <item m="1" x="835"/>
        <item m="1" x="629"/>
        <item m="1" x="232"/>
        <item m="1" x="729"/>
        <item m="1" x="931"/>
        <item m="1" x="815"/>
        <item m="1" x="563"/>
        <item m="1" x="597"/>
        <item m="1" x="745"/>
        <item m="1" x="379"/>
        <item m="1" x="869"/>
        <item m="1" x="667"/>
        <item m="1" x="581"/>
        <item m="1" x="814"/>
        <item m="1" x="782"/>
        <item m="1" x="752"/>
        <item m="1" x="720"/>
        <item m="1" x="946"/>
        <item m="1" x="734"/>
        <item m="1" x="239"/>
        <item m="1" x="226"/>
        <item m="1" x="371"/>
        <item m="1" x="748"/>
        <item m="1" x="412"/>
        <item m="1" x="733"/>
        <item m="1" x="926"/>
        <item m="1" x="433"/>
        <item m="1" x="380"/>
        <item m="1" x="735"/>
        <item m="1" x="708"/>
        <item m="1" x="474"/>
        <item m="1" x="470"/>
        <item m="1" x="925"/>
        <item m="1" x="501"/>
        <item m="1" x="802"/>
        <item m="1" x="730"/>
        <item m="1" x="953"/>
        <item m="1" x="987"/>
        <item m="1" x="282"/>
        <item m="1" x="1037"/>
        <item m="1" x="680"/>
        <item m="1" x="517"/>
        <item m="1" x="893"/>
        <item m="1" x="293"/>
        <item m="1" x="959"/>
        <item m="1" x="810"/>
        <item m="1" x="514"/>
        <item m="1" x="490"/>
        <item m="1" x="471"/>
        <item m="1" x="530"/>
        <item m="1" x="871"/>
        <item m="1" x="467"/>
        <item m="1" x="220"/>
        <item m="1" x="961"/>
        <item m="1" x="887"/>
        <item m="1" x="645"/>
        <item m="1" x="557"/>
        <item m="1" x="921"/>
        <item m="1" x="622"/>
        <item m="1" x="591"/>
        <item m="1" x="303"/>
        <item m="1" x="540"/>
        <item m="1" x="666"/>
        <item m="1" x="638"/>
        <item m="1" x="644"/>
        <item m="1" x="231"/>
        <item m="1" x="314"/>
        <item m="1" x="455"/>
        <item m="1" x="378"/>
        <item m="1" x="885"/>
        <item m="1" x="888"/>
        <item m="1" x="826"/>
        <item m="1" x="847"/>
        <item m="1" x="443"/>
        <item m="1" x="1048"/>
        <item m="1" x="569"/>
        <item m="1" x="283"/>
        <item m="1" x="875"/>
        <item m="1" x="553"/>
        <item m="1" x="476"/>
        <item m="1" x="400"/>
        <item m="1" x="229"/>
        <item m="1" x="206"/>
        <item x="140"/>
        <item m="1" x="440"/>
        <item m="1" x="773"/>
        <item m="1" x="245"/>
        <item m="1" x="820"/>
        <item m="1" x="794"/>
        <item m="1" x="249"/>
        <item m="1" x="626"/>
        <item m="1" x="905"/>
        <item m="1" x="600"/>
        <item m="1" x="1000"/>
        <item m="1" x="848"/>
        <item m="1" x="945"/>
        <item m="1" x="646"/>
        <item m="1" x="259"/>
        <item m="1" x="922"/>
        <item m="1" x="805"/>
        <item m="1" x="830"/>
        <item m="1" x="414"/>
        <item m="1" x="560"/>
        <item m="1" x="860"/>
        <item m="1" x="532"/>
        <item m="1" x="903"/>
        <item m="1" x="358"/>
        <item m="1" x="700"/>
        <item m="1" x="458"/>
        <item m="1" x="296"/>
        <item m="1" x="768"/>
        <item m="1" x="787"/>
        <item m="1" x="607"/>
        <item m="1" x="678"/>
        <item m="1" x="679"/>
        <item m="1" x="673"/>
        <item m="1" x="951"/>
        <item m="1" x="370"/>
        <item m="1" x="963"/>
        <item m="1" x="1022"/>
        <item m="1" x="335"/>
        <item m="1" x="265"/>
        <item m="1" x="332"/>
        <item m="1" x="751"/>
        <item m="1" x="721"/>
        <item m="1" x="393"/>
        <item m="1" x="968"/>
        <item m="1" x="808"/>
        <item m="1" x="219"/>
        <item m="1" x="324"/>
        <item m="1" x="924"/>
        <item m="1" x="564"/>
        <item m="1" x="811"/>
        <item m="1" x="793"/>
        <item m="1" x="775"/>
        <item m="1" x="657"/>
        <item m="1" x="549"/>
        <item m="1" x="524"/>
        <item m="1" x="242"/>
        <item m="1" x="352"/>
        <item m="1" x="937"/>
        <item m="1" x="1001"/>
        <item m="1" x="705"/>
        <item m="1" x="1044"/>
        <item m="1" x="274"/>
        <item m="1" x="744"/>
        <item m="1" x="803"/>
        <item m="1" x="993"/>
        <item m="1" x="878"/>
        <item m="1" x="827"/>
        <item m="1" x="1010"/>
        <item m="1" x="780"/>
        <item m="1" x="676"/>
        <item m="1" x="338"/>
        <item m="1" x="711"/>
        <item m="1" x="899"/>
        <item m="1" x="1067"/>
        <item m="1" x="855"/>
        <item m="1" x="483"/>
        <item m="1" x="718"/>
        <item m="1" x="1039"/>
        <item m="1" x="663"/>
        <item m="1" x="529"/>
        <item m="1" x="650"/>
        <item m="1" x="559"/>
        <item m="1" x="1002"/>
        <item m="1" x="670"/>
        <item m="1" x="976"/>
        <item m="1" x="736"/>
        <item m="1" x="435"/>
        <item m="1" x="313"/>
        <item m="1" x="218"/>
        <item m="1" x="983"/>
        <item m="1" x="237"/>
        <item m="1" x="649"/>
        <item m="1" x="322"/>
        <item m="1" x="971"/>
        <item m="1" x="1046"/>
        <item m="1" x="714"/>
        <item m="1" x="960"/>
        <item m="1" x="1035"/>
        <item m="1" x="672"/>
        <item m="1" x="949"/>
        <item m="1" x="343"/>
        <item m="1" x="919"/>
        <item m="1" x="230"/>
        <item m="1" x="766"/>
        <item m="1" x="481"/>
        <item m="1" x="541"/>
        <item m="1" x="1042"/>
        <item m="1" x="898"/>
        <item x="182"/>
        <item x="91"/>
        <item m="1" x="312"/>
        <item x="196"/>
        <item m="1" x="849"/>
        <item m="1" x="635"/>
        <item m="1" x="1059"/>
        <item m="1" x="758"/>
        <item m="1" x="972"/>
        <item x="119"/>
        <item x="122"/>
        <item x="60"/>
        <item m="1" x="1009"/>
        <item m="1" x="316"/>
        <item m="1" x="913"/>
        <item m="1" x="737"/>
        <item m="1" x="353"/>
        <item m="1" x="989"/>
        <item m="1" x="512"/>
        <item m="1" x="804"/>
        <item m="1" x="241"/>
        <item m="1" x="438"/>
        <item m="1" x="495"/>
        <item m="1" x="693"/>
        <item m="1" x="923"/>
        <item m="1" x="528"/>
        <item m="1" x="550"/>
        <item x="2"/>
        <item x="139"/>
        <item m="1" x="707"/>
        <item m="1" x="643"/>
        <item m="1" x="266"/>
        <item m="1" x="634"/>
        <item m="1" x="356"/>
        <item m="1" x="750"/>
        <item m="1" x="235"/>
        <item m="1" x="1030"/>
        <item m="1" x="828"/>
        <item m="1" x="554"/>
        <item m="1" x="1025"/>
        <item m="1" x="964"/>
        <item x="10"/>
        <item m="1" x="439"/>
        <item m="1" x="727"/>
        <item x="0"/>
        <item x="1"/>
        <item m="1" x="882"/>
        <item m="1" x="227"/>
        <item x="190"/>
        <item x="138"/>
        <item x="127"/>
        <item x="129"/>
        <item x="121"/>
        <item x="146"/>
        <item x="150"/>
        <item x="149"/>
        <item x="144"/>
        <item x="147"/>
        <item x="151"/>
        <item x="143"/>
        <item x="141"/>
        <item x="142"/>
        <item x="145"/>
        <item m="1" x="691"/>
        <item m="1" x="704"/>
        <item x="203"/>
        <item x="204"/>
        <item x="17"/>
        <item x="51"/>
        <item x="52"/>
        <item x="76"/>
        <item x="78"/>
        <item x="92"/>
        <item x="118"/>
        <item x="120"/>
        <item x="123"/>
        <item x="126"/>
        <item x="131"/>
        <item x="133"/>
        <item x="134"/>
        <item x="136"/>
        <item x="137"/>
        <item x="169"/>
        <item x="187"/>
        <item x="65"/>
        <item x="197"/>
        <item x="198"/>
        <item x="199"/>
        <item x="200"/>
        <item x="201"/>
        <item x="202"/>
        <item x="102"/>
        <item x="105"/>
        <item x="176"/>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5"/>
        <item x="2"/>
        <item m="1" x="8"/>
        <item m="1" x="7"/>
        <item x="3"/>
        <item x="1"/>
        <item m="1" x="6"/>
        <item m="1" x="4"/>
      </items>
    </pivotField>
    <pivotField axis="axisRow" compact="0" outline="0" subtotalTop="0" showAll="0" defaultSubtotal="0">
      <items count="12">
        <item m="1" x="11"/>
        <item x="1"/>
        <item x="6"/>
        <item x="0"/>
        <item x="7"/>
        <item x="3"/>
        <item x="2"/>
        <item x="4"/>
        <item x="8"/>
        <item x="9"/>
        <item x="5"/>
        <item x="10"/>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3"/>
        <item h="1" m="1" x="2"/>
      </items>
    </pivotField>
    <pivotField compact="0" outline="0" subtotalTop="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37"/>
  </rowFields>
  <rowItems count="28">
    <i>
      <x/>
      <x v="1"/>
      <x v="1047"/>
      <x v="1"/>
    </i>
    <i r="2">
      <x v="1048"/>
      <x v="7"/>
    </i>
    <i r="1">
      <x v="3"/>
      <x v="1049"/>
      <x v="7"/>
    </i>
    <i r="1">
      <x v="4"/>
      <x v="271"/>
      <x v="3"/>
    </i>
    <i r="2">
      <x v="1050"/>
      <x v="1"/>
    </i>
    <i r="1">
      <x v="12"/>
      <x v="1051"/>
      <x v="7"/>
    </i>
    <i r="1">
      <x v="16"/>
      <x v="585"/>
      <x v="3"/>
    </i>
    <i r="1">
      <x v="17"/>
      <x v="1052"/>
      <x v="7"/>
    </i>
    <i r="2">
      <x v="1053"/>
      <x v="7"/>
    </i>
    <i r="1">
      <x v="18"/>
      <x v="1054"/>
      <x v="7"/>
    </i>
    <i r="2">
      <x v="1055"/>
      <x v="7"/>
    </i>
    <i r="1">
      <x v="22"/>
      <x v="1002"/>
      <x v="1"/>
    </i>
    <i r="1">
      <x v="33"/>
      <x v="866"/>
      <x v="3"/>
    </i>
    <i r="1">
      <x v="35"/>
      <x v="591"/>
      <x v="3"/>
    </i>
    <i r="2">
      <x v="1027"/>
      <x v="3"/>
    </i>
    <i r="2">
      <x v="1028"/>
      <x v="3"/>
    </i>
    <i r="2">
      <x v="1030"/>
      <x v="3"/>
    </i>
    <i r="2">
      <x v="1033"/>
      <x v="3"/>
    </i>
    <i r="2">
      <x v="1034"/>
      <x v="3"/>
    </i>
    <i r="2">
      <x v="1035"/>
      <x v="3"/>
    </i>
    <i r="2">
      <x v="1036"/>
      <x v="3"/>
    </i>
    <i t="default">
      <x/>
    </i>
    <i>
      <x v="2"/>
      <x v="6"/>
      <x v="248"/>
      <x v="3"/>
    </i>
    <i r="1">
      <x v="41"/>
      <x v="1019"/>
      <x v="3"/>
    </i>
    <i r="2">
      <x v="1039"/>
      <x v="11"/>
    </i>
    <i r="2">
      <x v="1040"/>
      <x v="11"/>
    </i>
    <i r="1">
      <x v="43"/>
      <x v="1025"/>
      <x v="7"/>
    </i>
    <i t="default">
      <x v="2"/>
    </i>
  </rowItems>
  <colFields count="1">
    <field x="-2"/>
  </colFields>
  <colItems count="6">
    <i>
      <x/>
    </i>
    <i i="1">
      <x v="1"/>
    </i>
    <i i="2">
      <x v="2"/>
    </i>
    <i i="3">
      <x v="3"/>
    </i>
    <i i="4">
      <x v="4"/>
    </i>
    <i i="5">
      <x v="5"/>
    </i>
  </colItems>
  <pageFields count="2">
    <pageField fld="0" hier="-1"/>
    <pageField fld="142" item="1" hier="-1"/>
  </pageFields>
  <dataFields count="6">
    <dataField name="Count of Site Name" fld="7" subtotal="count" baseField="0" baseItem="0"/>
    <dataField name="HHs" fld="8" baseField="0" baseItem="0" numFmtId="164"/>
    <dataField name="Pops" fld="9" baseField="0" baseItem="0" numFmtId="164"/>
    <dataField name="% WATER GAP" fld="101" subtotal="average" baseField="85" baseItem="1" numFmtId="9"/>
    <dataField name="% LATRINE GAP" fld="113" subtotal="average" baseField="85" baseItem="1" numFmtId="9"/>
    <dataField name="% HYGIENE GAP" fld="121" subtotal="average" baseField="85" baseItem="1" numFmtId="9"/>
  </dataFields>
  <formats count="66">
    <format dxfId="225">
      <pivotArea type="all" dataOnly="0" outline="0" fieldPosition="0"/>
    </format>
    <format dxfId="224">
      <pivotArea outline="0" collapsedLevelsAreSubtotals="1" fieldPosition="0"/>
    </format>
    <format dxfId="223">
      <pivotArea field="4" type="button" dataOnly="0" labelOnly="1" outline="0" axis="axisRow" fieldPosition="0"/>
    </format>
    <format dxfId="222">
      <pivotArea dataOnly="0" labelOnly="1" grandRow="1" outline="0" fieldPosition="0"/>
    </format>
    <format dxfId="221">
      <pivotArea type="all" dataOnly="0" outline="0" fieldPosition="0"/>
    </format>
    <format dxfId="220">
      <pivotArea dataOnly="0" labelOnly="1" grandRow="1" outline="0" fieldPosition="0"/>
    </format>
    <format dxfId="219">
      <pivotArea type="all" dataOnly="0" outline="0" fieldPosition="0"/>
    </format>
    <format dxfId="218">
      <pivotArea type="origin" dataOnly="0" labelOnly="1" outline="0" fieldPosition="0"/>
    </format>
    <format dxfId="217">
      <pivotArea field="142" type="button" dataOnly="0" labelOnly="1" outline="0" axis="axisPage" fieldPosition="1"/>
    </format>
    <format dxfId="216">
      <pivotArea type="topRight" dataOnly="0" labelOnly="1" outline="0" fieldPosition="0"/>
    </format>
    <format dxfId="215">
      <pivotArea type="all" dataOnly="0" outline="0" fieldPosition="0"/>
    </format>
    <format dxfId="214">
      <pivotArea outline="0" collapsedLevelsAreSubtotals="1" fieldPosition="0"/>
    </format>
    <format dxfId="213">
      <pivotArea type="origin" dataOnly="0" labelOnly="1" outline="0" fieldPosition="0"/>
    </format>
    <format dxfId="212">
      <pivotArea field="142" type="button" dataOnly="0" labelOnly="1" outline="0" axis="axisPage" fieldPosition="1"/>
    </format>
    <format dxfId="211">
      <pivotArea type="topRight" dataOnly="0" labelOnly="1" outline="0" fieldPosition="0"/>
    </format>
    <format dxfId="210">
      <pivotArea outline="0" fieldPosition="0">
        <references count="1">
          <reference field="4294967294" count="3" selected="0">
            <x v="3"/>
            <x v="4"/>
            <x v="5"/>
          </reference>
        </references>
      </pivotArea>
    </format>
    <format dxfId="209">
      <pivotArea outline="0" fieldPosition="0">
        <references count="1">
          <reference field="4294967294" count="2" selected="0">
            <x v="1"/>
            <x v="2"/>
          </reference>
        </references>
      </pivotArea>
    </format>
    <format dxfId="208">
      <pivotArea type="all" dataOnly="0" outline="0" fieldPosition="0"/>
    </format>
    <format dxfId="207">
      <pivotArea outline="0" collapsedLevelsAreSubtotals="1" fieldPosition="0"/>
    </format>
    <format dxfId="206">
      <pivotArea field="4" type="button" dataOnly="0" labelOnly="1" outline="0" axis="axisRow" fieldPosition="0"/>
    </format>
    <format dxfId="205">
      <pivotArea field="5" type="button" dataOnly="0" labelOnly="1" outline="0" axis="axisRow" fieldPosition="1"/>
    </format>
    <format dxfId="204">
      <pivotArea field="7" type="button" dataOnly="0" labelOnly="1" outline="0" axis="axisRow" fieldPosition="2"/>
    </format>
    <format dxfId="203">
      <pivotArea field="137" type="button" dataOnly="0" labelOnly="1" outline="0" axis="axisRow" fieldPosition="3"/>
    </format>
    <format dxfId="202">
      <pivotArea dataOnly="0" labelOnly="1" outline="0" fieldPosition="0">
        <references count="1">
          <reference field="4" count="0"/>
        </references>
      </pivotArea>
    </format>
    <format dxfId="201">
      <pivotArea dataOnly="0" labelOnly="1" outline="0" fieldPosition="0">
        <references count="1">
          <reference field="4" count="0" defaultSubtotal="1"/>
        </references>
      </pivotArea>
    </format>
    <format dxfId="200">
      <pivotArea dataOnly="0" labelOnly="1" outline="0" fieldPosition="0">
        <references count="2">
          <reference field="4" count="1" selected="0">
            <x v="0"/>
          </reference>
          <reference field="5" count="8">
            <x v="1"/>
            <x v="12"/>
            <x v="17"/>
            <x v="18"/>
            <x v="28"/>
            <x v="31"/>
            <x v="33"/>
            <x v="35"/>
          </reference>
        </references>
      </pivotArea>
    </format>
    <format dxfId="199">
      <pivotArea dataOnly="0" labelOnly="1" outline="0" fieldPosition="0">
        <references count="2">
          <reference field="4" count="1" selected="0">
            <x v="1"/>
          </reference>
          <reference field="5" count="7">
            <x v="8"/>
            <x v="9"/>
            <x v="15"/>
            <x v="19"/>
            <x v="27"/>
            <x v="30"/>
            <x v="32"/>
          </reference>
        </references>
      </pivotArea>
    </format>
    <format dxfId="198">
      <pivotArea dataOnly="0" labelOnly="1" outline="0" fieldPosition="0">
        <references count="2">
          <reference field="4" count="1" selected="0">
            <x v="2"/>
          </reference>
          <reference field="5" count="4">
            <x v="6"/>
            <x v="7"/>
            <x v="13"/>
            <x v="20"/>
          </reference>
        </references>
      </pivotArea>
    </format>
    <format dxfId="197">
      <pivotArea dataOnly="0" labelOnly="1" outline="0" fieldPosition="0">
        <references count="3">
          <reference field="4" count="1" selected="0">
            <x v="0"/>
          </reference>
          <reference field="5" count="1" selected="0">
            <x v="1"/>
          </reference>
          <reference field="7" count="1">
            <x v="47"/>
          </reference>
        </references>
      </pivotArea>
    </format>
    <format dxfId="196">
      <pivotArea dataOnly="0" labelOnly="1" outline="0" fieldPosition="0">
        <references count="3">
          <reference field="4" count="1" selected="0">
            <x v="0"/>
          </reference>
          <reference field="5" count="1" selected="0">
            <x v="12"/>
          </reference>
          <reference field="7" count="2">
            <x v="256"/>
            <x v="262"/>
          </reference>
        </references>
      </pivotArea>
    </format>
    <format dxfId="195">
      <pivotArea dataOnly="0" labelOnly="1" outline="0" fieldPosition="0">
        <references count="3">
          <reference field="4" count="1" selected="0">
            <x v="0"/>
          </reference>
          <reference field="5" count="1" selected="0">
            <x v="17"/>
          </reference>
          <reference field="7" count="2">
            <x v="110"/>
            <x v="282"/>
          </reference>
        </references>
      </pivotArea>
    </format>
    <format dxfId="194">
      <pivotArea dataOnly="0" labelOnly="1" outline="0" fieldPosition="0">
        <references count="3">
          <reference field="4" count="1" selected="0">
            <x v="0"/>
          </reference>
          <reference field="5" count="1" selected="0">
            <x v="18"/>
          </reference>
          <reference field="7" count="3">
            <x v="154"/>
            <x v="284"/>
            <x v="299"/>
          </reference>
        </references>
      </pivotArea>
    </format>
    <format dxfId="193">
      <pivotArea dataOnly="0" labelOnly="1" outline="0" fieldPosition="0">
        <references count="3">
          <reference field="4" count="1" selected="0">
            <x v="0"/>
          </reference>
          <reference field="5" count="1" selected="0">
            <x v="28"/>
          </reference>
          <reference field="7" count="2">
            <x v="125"/>
            <x v="529"/>
          </reference>
        </references>
      </pivotArea>
    </format>
    <format dxfId="192">
      <pivotArea dataOnly="0" labelOnly="1" outline="0" fieldPosition="0">
        <references count="3">
          <reference field="4" count="1" selected="0">
            <x v="0"/>
          </reference>
          <reference field="5" count="1" selected="0">
            <x v="31"/>
          </reference>
          <reference field="7" count="1">
            <x v="205"/>
          </reference>
        </references>
      </pivotArea>
    </format>
    <format dxfId="191">
      <pivotArea dataOnly="0" labelOnly="1" outline="0" fieldPosition="0">
        <references count="3">
          <reference field="4" count="1" selected="0">
            <x v="0"/>
          </reference>
          <reference field="5" count="1" selected="0">
            <x v="33"/>
          </reference>
          <reference field="7" count="1">
            <x v="466"/>
          </reference>
        </references>
      </pivotArea>
    </format>
    <format dxfId="190">
      <pivotArea dataOnly="0" labelOnly="1" outline="0" fieldPosition="0">
        <references count="3">
          <reference field="4" count="1" selected="0">
            <x v="0"/>
          </reference>
          <reference field="5" count="1" selected="0">
            <x v="35"/>
          </reference>
          <reference field="7" count="1">
            <x v="100"/>
          </reference>
        </references>
      </pivotArea>
    </format>
    <format dxfId="189">
      <pivotArea dataOnly="0" labelOnly="1" outline="0" fieldPosition="0">
        <references count="3">
          <reference field="4" count="1" selected="0">
            <x v="1"/>
          </reference>
          <reference field="5" count="1" selected="0">
            <x v="8"/>
          </reference>
          <reference field="7" count="1">
            <x v="132"/>
          </reference>
        </references>
      </pivotArea>
    </format>
    <format dxfId="188">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187">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186">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185">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184">
      <pivotArea dataOnly="0" labelOnly="1" outline="0" fieldPosition="0">
        <references count="3">
          <reference field="4" count="1" selected="0">
            <x v="1"/>
          </reference>
          <reference field="5" count="1" selected="0">
            <x v="30"/>
          </reference>
          <reference field="7" count="3">
            <x v="19"/>
            <x v="351"/>
            <x v="352"/>
          </reference>
        </references>
      </pivotArea>
    </format>
    <format dxfId="183">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182">
      <pivotArea dataOnly="0" labelOnly="1" outline="0" fieldPosition="0">
        <references count="3">
          <reference field="4" count="1" selected="0">
            <x v="2"/>
          </reference>
          <reference field="5" count="1" selected="0">
            <x v="6"/>
          </reference>
          <reference field="7" count="1">
            <x v="248"/>
          </reference>
        </references>
      </pivotArea>
    </format>
    <format dxfId="181">
      <pivotArea dataOnly="0" labelOnly="1" outline="0" fieldPosition="0">
        <references count="3">
          <reference field="4" count="1" selected="0">
            <x v="2"/>
          </reference>
          <reference field="5" count="1" selected="0">
            <x v="7"/>
          </reference>
          <reference field="7" count="1">
            <x v="372"/>
          </reference>
        </references>
      </pivotArea>
    </format>
    <format dxfId="180">
      <pivotArea dataOnly="0" labelOnly="1" outline="0" fieldPosition="0">
        <references count="3">
          <reference field="4" count="1" selected="0">
            <x v="2"/>
          </reference>
          <reference field="5" count="1" selected="0">
            <x v="13"/>
          </reference>
          <reference field="7" count="1">
            <x v="250"/>
          </reference>
        </references>
      </pivotArea>
    </format>
    <format dxfId="179">
      <pivotArea dataOnly="0" labelOnly="1" outline="0" fieldPosition="0">
        <references count="3">
          <reference field="4" count="1" selected="0">
            <x v="2"/>
          </reference>
          <reference field="5" count="1" selected="0">
            <x v="20"/>
          </reference>
          <reference field="7" count="1">
            <x v="111"/>
          </reference>
        </references>
      </pivotArea>
    </format>
    <format dxfId="178">
      <pivotArea dataOnly="0" labelOnly="1" outline="0" fieldPosition="0">
        <references count="4">
          <reference field="4" count="1" selected="0">
            <x v="0"/>
          </reference>
          <reference field="5" count="1" selected="0">
            <x v="1"/>
          </reference>
          <reference field="7" count="1" selected="0">
            <x v="47"/>
          </reference>
          <reference field="137" count="1">
            <x v="4"/>
          </reference>
        </references>
      </pivotArea>
    </format>
    <format dxfId="177">
      <pivotArea dataOnly="0" labelOnly="1" outline="0" fieldPosition="0">
        <references count="4">
          <reference field="4" count="1" selected="0">
            <x v="0"/>
          </reference>
          <reference field="5" count="1" selected="0">
            <x v="12"/>
          </reference>
          <reference field="7" count="1" selected="0">
            <x v="256"/>
          </reference>
          <reference field="137" count="1">
            <x v="4"/>
          </reference>
        </references>
      </pivotArea>
    </format>
    <format dxfId="176">
      <pivotArea dataOnly="0" labelOnly="1" outline="0" fieldPosition="0">
        <references count="4">
          <reference field="4" count="1" selected="0">
            <x v="0"/>
          </reference>
          <reference field="5" count="1" selected="0">
            <x v="12"/>
          </reference>
          <reference field="7" count="1" selected="0">
            <x v="262"/>
          </reference>
          <reference field="137" count="1">
            <x v="4"/>
          </reference>
        </references>
      </pivotArea>
    </format>
    <format dxfId="175">
      <pivotArea dataOnly="0" labelOnly="1" outline="0" fieldPosition="0">
        <references count="4">
          <reference field="4" count="1" selected="0">
            <x v="0"/>
          </reference>
          <reference field="5" count="1" selected="0">
            <x v="17"/>
          </reference>
          <reference field="7" count="1" selected="0">
            <x v="110"/>
          </reference>
          <reference field="137" count="1">
            <x v="4"/>
          </reference>
        </references>
      </pivotArea>
    </format>
    <format dxfId="174">
      <pivotArea dataOnly="0" labelOnly="1" outline="0" fieldPosition="0">
        <references count="4">
          <reference field="4" count="1" selected="0">
            <x v="0"/>
          </reference>
          <reference field="5" count="1" selected="0">
            <x v="17"/>
          </reference>
          <reference field="7" count="1" selected="0">
            <x v="282"/>
          </reference>
          <reference field="137" count="1">
            <x v="4"/>
          </reference>
        </references>
      </pivotArea>
    </format>
    <format dxfId="173">
      <pivotArea dataOnly="0" labelOnly="1" outline="0" fieldPosition="0">
        <references count="4">
          <reference field="4" count="1" selected="0">
            <x v="0"/>
          </reference>
          <reference field="5" count="1" selected="0">
            <x v="18"/>
          </reference>
          <reference field="7" count="1" selected="0">
            <x v="154"/>
          </reference>
          <reference field="137" count="1">
            <x v="4"/>
          </reference>
        </references>
      </pivotArea>
    </format>
    <format dxfId="172">
      <pivotArea dataOnly="0" labelOnly="1" outline="0" fieldPosition="0">
        <references count="4">
          <reference field="4" count="1" selected="0">
            <x v="0"/>
          </reference>
          <reference field="5" count="1" selected="0">
            <x v="18"/>
          </reference>
          <reference field="7" count="1" selected="0">
            <x v="284"/>
          </reference>
          <reference field="137" count="1">
            <x v="4"/>
          </reference>
        </references>
      </pivotArea>
    </format>
    <format dxfId="171">
      <pivotArea dataOnly="0" labelOnly="1" outline="0" fieldPosition="0">
        <references count="4">
          <reference field="4" count="1" selected="0">
            <x v="0"/>
          </reference>
          <reference field="5" count="1" selected="0">
            <x v="18"/>
          </reference>
          <reference field="7" count="1" selected="0">
            <x v="299"/>
          </reference>
          <reference field="137" count="1">
            <x v="4"/>
          </reference>
        </references>
      </pivotArea>
    </format>
    <format dxfId="170">
      <pivotArea dataOnly="0" labelOnly="1" outline="0" fieldPosition="0">
        <references count="4">
          <reference field="4" count="1" selected="0">
            <x v="0"/>
          </reference>
          <reference field="5" count="1" selected="0">
            <x v="28"/>
          </reference>
          <reference field="7" count="1" selected="0">
            <x v="125"/>
          </reference>
          <reference field="137" count="1">
            <x v="4"/>
          </reference>
        </references>
      </pivotArea>
    </format>
    <format dxfId="169">
      <pivotArea dataOnly="0" labelOnly="1" outline="0" fieldPosition="0">
        <references count="4">
          <reference field="4" count="1" selected="0">
            <x v="0"/>
          </reference>
          <reference field="5" count="1" selected="0">
            <x v="28"/>
          </reference>
          <reference field="7" count="1" selected="0">
            <x v="529"/>
          </reference>
          <reference field="137" count="1">
            <x v="4"/>
          </reference>
        </references>
      </pivotArea>
    </format>
    <format dxfId="168">
      <pivotArea dataOnly="0" labelOnly="1" outline="0" fieldPosition="0">
        <references count="4">
          <reference field="4" count="1" selected="0">
            <x v="0"/>
          </reference>
          <reference field="5" count="1" selected="0">
            <x v="31"/>
          </reference>
          <reference field="7" count="1" selected="0">
            <x v="205"/>
          </reference>
          <reference field="137" count="1">
            <x v="4"/>
          </reference>
        </references>
      </pivotArea>
    </format>
    <format dxfId="167">
      <pivotArea dataOnly="0" labelOnly="1" outline="0" fieldPosition="0">
        <references count="4">
          <reference field="4" count="1" selected="0">
            <x v="0"/>
          </reference>
          <reference field="5" count="1" selected="0">
            <x v="33"/>
          </reference>
          <reference field="7" count="1" selected="0">
            <x v="466"/>
          </reference>
          <reference field="137" count="1">
            <x v="3"/>
          </reference>
        </references>
      </pivotArea>
    </format>
    <format dxfId="166">
      <pivotArea dataOnly="0" labelOnly="1" outline="0" fieldPosition="0">
        <references count="4">
          <reference field="4" count="1" selected="0">
            <x v="0"/>
          </reference>
          <reference field="5" count="1" selected="0">
            <x v="35"/>
          </reference>
          <reference field="7" count="1" selected="0">
            <x v="100"/>
          </reference>
          <reference field="137" count="1">
            <x v="3"/>
          </reference>
        </references>
      </pivotArea>
    </format>
    <format dxfId="165">
      <pivotArea dataOnly="0" labelOnly="1" outline="0" fieldPosition="0">
        <references count="4">
          <reference field="4" count="1" selected="0">
            <x v="1"/>
          </reference>
          <reference field="5" count="1" selected="0">
            <x v="32"/>
          </reference>
          <reference field="7" count="1" selected="0">
            <x v="40"/>
          </reference>
          <reference field="137" count="1">
            <x v="4"/>
          </reference>
        </references>
      </pivotArea>
    </format>
    <format dxfId="164">
      <pivotArea dataOnly="0" labelOnly="1" outline="0" fieldPosition="0">
        <references count="4">
          <reference field="4" count="1" selected="0">
            <x v="2"/>
          </reference>
          <reference field="5" count="1" selected="0">
            <x v="6"/>
          </reference>
          <reference field="7" count="1" selected="0">
            <x v="248"/>
          </reference>
          <reference field="137" count="1">
            <x v="3"/>
          </reference>
        </references>
      </pivotArea>
    </format>
    <format dxfId="163">
      <pivotArea dataOnly="0" labelOnly="1" outline="0" fieldPosition="0">
        <references count="4">
          <reference field="4" count="1" selected="0">
            <x v="2"/>
          </reference>
          <reference field="5" count="1" selected="0">
            <x v="7"/>
          </reference>
          <reference field="7" count="1" selected="0">
            <x v="372"/>
          </reference>
          <reference field="137" count="1">
            <x v="3"/>
          </reference>
        </references>
      </pivotArea>
    </format>
    <format dxfId="162">
      <pivotArea dataOnly="0" labelOnly="1" outline="0" fieldPosition="0">
        <references count="4">
          <reference field="4" count="1" selected="0">
            <x v="2"/>
          </reference>
          <reference field="5" count="1" selected="0">
            <x v="13"/>
          </reference>
          <reference field="7" count="1" selected="0">
            <x v="250"/>
          </reference>
          <reference field="137" count="1">
            <x v="3"/>
          </reference>
        </references>
      </pivotArea>
    </format>
    <format dxfId="161">
      <pivotArea dataOnly="0" labelOnly="1" outline="0" fieldPosition="0">
        <references count="4">
          <reference field="4" count="1" selected="0">
            <x v="2"/>
          </reference>
          <reference field="5" count="1" selected="0">
            <x v="20"/>
          </reference>
          <reference field="7" count="1" selected="0">
            <x v="111"/>
          </reference>
          <reference field="137" count="1">
            <x v="3"/>
          </reference>
        </references>
      </pivotArea>
    </format>
    <format dxfId="160">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6"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10:G24" firstHeaderRow="0" firstDataRow="1" firstDataCol="1" rowPageCount="4" colPageCount="1"/>
  <pivotFields count="155">
    <pivotField axis="axisPage" subtotalTop="0" multipleItemSelectionAllowed="1" showAll="0">
      <items count="25">
        <item m="1" x="22"/>
        <item m="1" x="8"/>
        <item h="1" m="1" x="15"/>
        <item m="1" x="2"/>
        <item m="1" x="23"/>
        <item m="1" x="4"/>
        <item m="1" x="21"/>
        <item h="1" m="1" x="17"/>
        <item h="1" m="1" x="19"/>
        <item m="1" x="20"/>
        <item h="1" m="1" x="11"/>
        <item h="1" m="1" x="13"/>
        <item h="1" m="1" x="16"/>
        <item m="1" x="18"/>
        <item h="1" m="1" x="6"/>
        <item h="1" m="1" x="9"/>
        <item h="1" m="1" x="12"/>
        <item m="1" x="14"/>
        <item h="1" m="1" x="3"/>
        <item h="1" m="1" x="5"/>
        <item h="1" m="1" x="7"/>
        <item m="1" x="10"/>
        <item h="1" x="0"/>
        <item x="1"/>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7">
        <item m="1" x="31"/>
        <item x="1"/>
        <item m="1" x="43"/>
        <item m="1" x="35"/>
        <item x="2"/>
        <item x="3"/>
        <item x="14"/>
        <item x="21"/>
        <item x="23"/>
        <item x="15"/>
        <item x="22"/>
        <item m="1" x="38"/>
        <item m="1" x="26"/>
        <item x="16"/>
        <item m="1" x="45"/>
        <item x="0"/>
        <item m="1" x="41"/>
        <item x="4"/>
        <item x="17"/>
        <item m="1" x="36"/>
        <item m="1" x="30"/>
        <item x="5"/>
        <item x="6"/>
        <item m="1" x="25"/>
        <item x="7"/>
        <item m="1" x="42"/>
        <item x="18"/>
        <item m="1" x="34"/>
        <item x="8"/>
        <item m="1" x="33"/>
        <item x="19"/>
        <item m="1" x="29"/>
        <item x="20"/>
        <item m="1" x="27"/>
        <item m="1" x="28"/>
        <item m="1" x="32"/>
        <item m="1" x="37"/>
        <item x="9"/>
        <item m="1" x="44"/>
        <item m="1" x="40"/>
        <item x="10"/>
        <item m="1" x="39"/>
        <item x="11"/>
        <item x="12"/>
        <item x="13"/>
        <item m="1" x="24"/>
        <item t="default"/>
      </items>
    </pivotField>
    <pivotField axis="axisPage" multipleItemSelectionAllowed="1" showAll="0" defaultSubtotal="0">
      <items count="14">
        <item x="0"/>
        <item x="1"/>
        <item m="1" x="11"/>
        <item m="1" x="7"/>
        <item h="1" m="1" x="6"/>
        <item h="1" x="3"/>
        <item h="1" m="1" x="10"/>
        <item h="1" m="1" x="13"/>
        <item h="1" m="1" x="8"/>
        <item m="1" x="9"/>
        <item h="1" m="1" x="12"/>
        <item h="1" m="1" x="4"/>
        <item h="1" m="1" x="5"/>
        <item x="2"/>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m="1" x="2"/>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8"/>
    </i>
    <i>
      <x v="17"/>
    </i>
    <i>
      <x v="21"/>
    </i>
    <i>
      <x v="22"/>
    </i>
    <i>
      <x v="24"/>
    </i>
    <i>
      <x v="28"/>
    </i>
    <i>
      <x v="40"/>
    </i>
    <i>
      <x v="42"/>
    </i>
    <i>
      <x v="43"/>
    </i>
    <i>
      <x v="44"/>
    </i>
    <i t="grand">
      <x/>
    </i>
  </rowItems>
  <colFields count="1">
    <field x="-2"/>
  </colFields>
  <colItems count="5">
    <i>
      <x/>
    </i>
    <i i="1">
      <x v="1"/>
    </i>
    <i i="2">
      <x v="2"/>
    </i>
    <i i="3">
      <x v="3"/>
    </i>
    <i i="4">
      <x v="4"/>
    </i>
  </colItems>
  <pageFields count="4">
    <pageField fld="0" hier="-1"/>
    <pageField fld="142" hier="-1"/>
    <pageField fld="4" item="0" hier="-1"/>
    <pageField fld="6" hier="-1"/>
  </pageFields>
  <dataFields count="5">
    <dataField name="# of sites" fld="7" subtotal="count" baseField="0" baseItem="0"/>
    <dataField name="PoP " fld="9" baseField="0" baseItem="0" numFmtId="164"/>
    <dataField name=" % Water GAP" fld="151" baseField="0" baseItem="0" numFmtId="9"/>
    <dataField name=" % Sanitation GAP" fld="153" baseField="0" baseItem="0" numFmtId="9"/>
    <dataField name=" % Hygiene Gap" fld="148" baseField="0" baseItem="0" numFmtId="9"/>
  </dataFields>
  <formats count="35">
    <format dxfId="260">
      <pivotArea type="all" dataOnly="0" outline="0" fieldPosition="0"/>
    </format>
    <format dxfId="259">
      <pivotArea outline="0" collapsedLevelsAreSubtotals="1" fieldPosition="0"/>
    </format>
    <format dxfId="258">
      <pivotArea field="5" type="button" dataOnly="0" labelOnly="1" outline="0" axis="axisRow" fieldPosition="0"/>
    </format>
    <format dxfId="257">
      <pivotArea dataOnly="0" labelOnly="1" outline="0" axis="axisValues" fieldPosition="0"/>
    </format>
    <format dxfId="256">
      <pivotArea dataOnly="0" labelOnly="1" fieldPosition="0">
        <references count="1">
          <reference field="5" count="0"/>
        </references>
      </pivotArea>
    </format>
    <format dxfId="255">
      <pivotArea dataOnly="0" labelOnly="1" grandRow="1" outline="0" fieldPosition="0"/>
    </format>
    <format dxfId="254">
      <pivotArea dataOnly="0" labelOnly="1" outline="0" axis="axisValues" fieldPosition="0"/>
    </format>
    <format dxfId="253">
      <pivotArea type="all" dataOnly="0" outline="0" fieldPosition="0"/>
    </format>
    <format dxfId="252">
      <pivotArea field="5" type="button" dataOnly="0" labelOnly="1" outline="0" axis="axisRow" fieldPosition="0"/>
    </format>
    <format dxfId="251">
      <pivotArea dataOnly="0" labelOnly="1" outline="0" axis="axisValues" fieldPosition="0"/>
    </format>
    <format dxfId="250">
      <pivotArea dataOnly="0" labelOnly="1" fieldPosition="0">
        <references count="1">
          <reference field="5" count="0"/>
        </references>
      </pivotArea>
    </format>
    <format dxfId="249">
      <pivotArea dataOnly="0" labelOnly="1" outline="0" axis="axisValues" fieldPosition="0"/>
    </format>
    <format dxfId="248">
      <pivotArea field="5" type="button" dataOnly="0" labelOnly="1" outline="0" axis="axisRow" fieldPosition="0"/>
    </format>
    <format dxfId="247">
      <pivotArea type="all" dataOnly="0" outline="0" fieldPosition="0"/>
    </format>
    <format dxfId="246">
      <pivotArea field="5" type="button" dataOnly="0" labelOnly="1" outline="0" axis="axisRow" fieldPosition="0"/>
    </format>
    <format dxfId="245">
      <pivotArea dataOnly="0" labelOnly="1" fieldPosition="0">
        <references count="1">
          <reference field="5" count="0"/>
        </references>
      </pivotArea>
    </format>
    <format dxfId="244">
      <pivotArea dataOnly="0" labelOnly="1" outline="0" fieldPosition="0">
        <references count="1">
          <reference field="4294967294" count="1">
            <x v="1"/>
          </reference>
        </references>
      </pivotArea>
    </format>
    <format dxfId="243">
      <pivotArea type="all" dataOnly="0" outline="0" fieldPosition="0"/>
    </format>
    <format dxfId="242">
      <pivotArea outline="0" collapsedLevelsAreSubtotals="1" fieldPosition="0"/>
    </format>
    <format dxfId="241">
      <pivotArea field="5" type="button" dataOnly="0" labelOnly="1" outline="0" axis="axisRow" fieldPosition="0"/>
    </format>
    <format dxfId="240">
      <pivotArea dataOnly="0" labelOnly="1" fieldPosition="0">
        <references count="1">
          <reference field="5" count="0"/>
        </references>
      </pivotArea>
    </format>
    <format dxfId="239">
      <pivotArea dataOnly="0" labelOnly="1" outline="0" fieldPosition="0">
        <references count="1">
          <reference field="4294967294" count="1">
            <x v="1"/>
          </reference>
        </references>
      </pivotArea>
    </format>
    <format dxfId="238">
      <pivotArea field="5" type="button" dataOnly="0" labelOnly="1" outline="0" axis="axisRow" fieldPosition="0"/>
    </format>
    <format dxfId="237">
      <pivotArea dataOnly="0" labelOnly="1" outline="0" fieldPosition="0">
        <references count="1">
          <reference field="4294967294" count="1">
            <x v="1"/>
          </reference>
        </references>
      </pivotArea>
    </format>
    <format dxfId="236">
      <pivotArea outline="0" collapsedLevelsAreSubtotals="1" fieldPosition="0">
        <references count="1">
          <reference field="4294967294" count="1" selected="0">
            <x v="1"/>
          </reference>
        </references>
      </pivotArea>
    </format>
    <format dxfId="235">
      <pivotArea type="all" dataOnly="0" outline="0" fieldPosition="0"/>
    </format>
    <format dxfId="234">
      <pivotArea outline="0" collapsedLevelsAreSubtotals="1" fieldPosition="0"/>
    </format>
    <format dxfId="233">
      <pivotArea field="5" type="button" dataOnly="0" labelOnly="1" outline="0" axis="axisRow" fieldPosition="0"/>
    </format>
    <format dxfId="232">
      <pivotArea dataOnly="0" labelOnly="1" fieldPosition="0">
        <references count="1">
          <reference field="5" count="13">
            <x v="1"/>
            <x v="4"/>
            <x v="5"/>
            <x v="17"/>
            <x v="21"/>
            <x v="22"/>
            <x v="24"/>
            <x v="28"/>
            <x v="37"/>
            <x v="40"/>
            <x v="42"/>
            <x v="43"/>
            <x v="44"/>
          </reference>
        </references>
      </pivotArea>
    </format>
    <format dxfId="231">
      <pivotArea dataOnly="0" labelOnly="1" grandRow="1" outline="0" fieldPosition="0"/>
    </format>
    <format dxfId="230">
      <pivotArea dataOnly="0" labelOnly="1" outline="0" fieldPosition="0">
        <references count="1">
          <reference field="4294967294" count="1">
            <x v="1"/>
          </reference>
        </references>
      </pivotArea>
    </format>
    <format dxfId="229">
      <pivotArea field="4" type="button" dataOnly="0" labelOnly="1" outline="0" axis="axisPage" fieldPosition="2"/>
    </format>
    <format dxfId="228">
      <pivotArea dataOnly="0" labelOnly="1" outline="0" fieldPosition="0">
        <references count="2">
          <reference field="4" count="1">
            <x v="0"/>
          </reference>
          <reference field="142" count="1" selected="0">
            <x v="0"/>
          </reference>
        </references>
      </pivotArea>
    </format>
    <format dxfId="227">
      <pivotArea outline="0" collapsedLevelsAreSubtotals="1" fieldPosition="0">
        <references count="1">
          <reference field="4294967294" count="1" selected="0">
            <x v="3"/>
          </reference>
        </references>
      </pivotArea>
    </format>
    <format dxfId="226">
      <pivotArea outline="0" collapsedLevelsAreSubtotals="1" fieldPosition="0">
        <references count="1">
          <reference field="4294967294" count="1" selected="0">
            <x v="4"/>
          </reference>
        </references>
      </pivotArea>
    </format>
  </formats>
  <conditionalFormats count="1">
    <conditionalFormat priority="17">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6"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21" rowHeaderCaption="State">
  <location ref="P52:R61" firstHeaderRow="0" firstDataRow="1" firstDataCol="1" rowPageCount="2" colPageCount="1"/>
  <pivotFields count="155">
    <pivotField axis="axisRow" subtotalTop="0" multipleItemSelectionAllowed="1" showAll="0">
      <items count="25">
        <item m="1" x="22"/>
        <item m="1" x="8"/>
        <item m="1" x="15"/>
        <item m="1" x="2"/>
        <item m="1" x="23"/>
        <item m="1" x="4"/>
        <item m="1" x="21"/>
        <item m="1" x="17"/>
        <item m="1" x="19"/>
        <item m="1" x="20"/>
        <item m="1" x="11"/>
        <item m="1" x="13"/>
        <item m="1" x="16"/>
        <item m="1" x="18"/>
        <item m="1" x="6"/>
        <item m="1" x="9"/>
        <item m="1" x="12"/>
        <item m="1" x="14"/>
        <item m="1" x="3"/>
        <item m="1" x="5"/>
        <item m="1" x="7"/>
        <item m="1" x="10"/>
        <item x="0"/>
        <item x="1"/>
        <item t="default"/>
      </items>
    </pivotField>
    <pivotField showAll="0" defaultSubtotal="0"/>
    <pivotField showAll="0" defaultSubtotal="0"/>
    <pivotField subtotalTop="0" showAll="0"/>
    <pivotField axis="axisRow" subtotalTop="0" showAll="0">
      <items count="7">
        <item x="1"/>
        <item m="1" x="3"/>
        <item x="0"/>
        <item m="1" x="2"/>
        <item m="1" x="5"/>
        <item m="1" x="4"/>
        <item t="default"/>
      </items>
    </pivotField>
    <pivotField subtotalTop="0" showAll="0"/>
    <pivotField axis="axisPage" multipleItemSelectionAllowed="1" showAll="0" defaultSubtotal="0">
      <items count="14">
        <item x="0"/>
        <item x="1"/>
        <item m="1" x="11"/>
        <item m="1" x="7"/>
        <item m="1" x="6"/>
        <item h="1" x="3"/>
        <item m="1" x="10"/>
        <item h="1" m="1" x="13"/>
        <item m="1" x="8"/>
        <item h="1" m="1" x="9"/>
        <item h="1" m="1" x="12"/>
        <item h="1" m="1" x="4"/>
        <item h="1" m="1" x="5"/>
        <item x="2"/>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9">
    <i>
      <x/>
    </i>
    <i r="1">
      <x v="22"/>
    </i>
    <i r="1">
      <x v="23"/>
    </i>
    <i t="default">
      <x/>
    </i>
    <i>
      <x v="2"/>
    </i>
    <i r="1">
      <x v="22"/>
    </i>
    <i r="1">
      <x v="23"/>
    </i>
    <i t="default">
      <x v="2"/>
    </i>
    <i t="grand">
      <x/>
    </i>
  </rowItems>
  <colFields count="1">
    <field x="-2"/>
  </colFields>
  <colItems count="2">
    <i>
      <x/>
    </i>
    <i i="1">
      <x v="1"/>
    </i>
  </colItems>
  <pageFields count="2">
    <pageField fld="142" hier="-1"/>
    <pageField fld="6" hier="-1"/>
  </pageFields>
  <dataFields count="2">
    <dataField name="Sum of #_Household water samples tested for fecal coliform" fld="36" baseField="0" baseItem="0"/>
    <dataField name="Sum of #_Household passed" fld="37" baseField="0" baseItem="0"/>
  </dataFields>
  <formats count="10">
    <format dxfId="270">
      <pivotArea field="4" type="button" dataOnly="0" labelOnly="1" outline="0" axis="axisRow" fieldPosition="0"/>
    </format>
    <format dxfId="269">
      <pivotArea type="all" dataOnly="0" outline="0" fieldPosition="0"/>
    </format>
    <format dxfId="268">
      <pivotArea outline="0" collapsedLevelsAreSubtotals="1" fieldPosition="0"/>
    </format>
    <format dxfId="267">
      <pivotArea field="4" type="button" dataOnly="0" labelOnly="1" outline="0" axis="axisRow" fieldPosition="0"/>
    </format>
    <format dxfId="266">
      <pivotArea dataOnly="0" labelOnly="1" fieldPosition="0">
        <references count="1">
          <reference field="4" count="0"/>
        </references>
      </pivotArea>
    </format>
    <format dxfId="265">
      <pivotArea type="all" dataOnly="0" outline="0" fieldPosition="0"/>
    </format>
    <format dxfId="264">
      <pivotArea type="all" dataOnly="0" outline="0" fieldPosition="0"/>
    </format>
    <format dxfId="263">
      <pivotArea outline="0" collapsedLevelsAreSubtotals="1" fieldPosition="0"/>
    </format>
    <format dxfId="262">
      <pivotArea field="4" type="button" dataOnly="0" labelOnly="1" outline="0" axis="axisRow" fieldPosition="0"/>
    </format>
    <format dxfId="261">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6">
        <i x="1" s="1"/>
        <i x="2" s="1"/>
        <i x="3" s="1"/>
        <i x="14" s="1"/>
        <i x="21" s="1"/>
        <i x="23" s="1"/>
        <i x="15" s="1"/>
        <i x="22" s="1"/>
        <i x="16" s="1"/>
        <i x="0" s="1"/>
        <i x="4" s="1"/>
        <i x="17" s="1"/>
        <i x="5" s="1"/>
        <i x="6" s="1"/>
        <i x="7" s="1"/>
        <i x="18" s="1"/>
        <i x="8" s="1"/>
        <i x="19" s="1"/>
        <i x="20" s="1"/>
        <i x="9" s="1"/>
        <i x="10" s="1"/>
        <i x="11" s="1"/>
        <i x="12" s="1"/>
        <i x="1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64">
        <i x="0" s="1"/>
        <i x="17" s="1"/>
        <i x="18" s="1"/>
        <i x="1" s="1"/>
        <i x="2" s="1"/>
        <i x="4" s="1"/>
        <i x="5" s="1"/>
        <i x="6" s="1"/>
        <i x="7" s="1"/>
        <i x="8" s="1"/>
        <i x="9" s="1"/>
        <i x="10" s="1"/>
        <i x="3" s="1"/>
        <i x="16" s="1"/>
        <i x="19" s="1"/>
        <i x="20" s="1"/>
        <i x="11" s="1"/>
        <i x="12" s="1"/>
        <i x="13" s="1"/>
        <i x="14" s="1"/>
        <i x="15" s="1"/>
        <i x="53" s="1" nd="1"/>
        <i x="40" s="1" nd="1"/>
        <i x="27" s="1" nd="1"/>
        <i x="22" s="1" nd="1"/>
        <i x="24" s="1" nd="1"/>
        <i x="51" s="1" nd="1"/>
        <i x="39" s="1" nd="1"/>
        <i x="60" s="1" nd="1"/>
        <i x="62" s="1" nd="1"/>
        <i x="29" s="1" nd="1"/>
        <i x="61" s="1" nd="1"/>
        <i x="44" s="1" nd="1"/>
        <i x="30" s="1" nd="1"/>
        <i x="34" s="1" nd="1"/>
        <i x="43" s="1" nd="1"/>
        <i x="54" s="1" nd="1"/>
        <i x="47" s="1" nd="1"/>
        <i x="32" s="1" nd="1"/>
        <i x="49" s="1" nd="1"/>
        <i x="52" s="1" nd="1"/>
        <i x="38" s="1" nd="1"/>
        <i x="48" s="1" nd="1"/>
        <i x="63" s="1" nd="1"/>
        <i x="23" s="1" nd="1"/>
        <i x="41" s="1" nd="1"/>
        <i x="56" s="1" nd="1"/>
        <i x="50" s="1" nd="1"/>
        <i x="46" s="1" nd="1"/>
        <i x="58" s="1" nd="1"/>
        <i x="45" s="1" nd="1"/>
        <i x="42" s="1" nd="1"/>
        <i x="57" s="1" nd="1"/>
        <i x="59" s="1" nd="1"/>
        <i x="25" s="1" nd="1"/>
        <i x="26" s="1" nd="1"/>
        <i x="33" s="1" nd="1"/>
        <i x="36" s="1" nd="1"/>
        <i x="31" s="1" nd="1"/>
        <i x="37" s="1" nd="1"/>
        <i x="55" s="1" nd="1"/>
        <i x="28" s="1" nd="1"/>
        <i x="35" s="1" nd="1"/>
        <i x="21"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4">
        <i x="0" s="1"/>
        <i x="1" s="1"/>
        <i x="2" s="1"/>
        <i x="3" s="1"/>
        <i x="12" s="1" nd="1"/>
        <i x="11" s="1" nd="1"/>
        <i x="9" s="1" nd="1"/>
        <i x="4" s="1" nd="1"/>
        <i x="5" s="1" nd="1"/>
        <i x="7" s="1" nd="1"/>
        <i x="6" s="1" nd="1"/>
        <i x="10" s="1" nd="1"/>
        <i x="13" s="1" nd="1"/>
        <i x="8"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4">
        <i x="0" s="1"/>
        <i x="1" s="1"/>
        <i x="2" s="1"/>
        <i x="3" s="1"/>
        <i x="12" s="1" nd="1"/>
        <i x="11" s="1" nd="1"/>
        <i x="9" s="1" nd="1"/>
        <i x="4" s="1" nd="1"/>
        <i x="5" s="1" nd="1"/>
        <i x="7" s="1" nd="1"/>
        <i x="6" s="1" nd="1"/>
        <i x="10" s="1" nd="1"/>
        <i x="13" s="1" nd="1"/>
        <i x="8"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8">
        <i x="0" s="1"/>
        <i x="1" s="1"/>
        <i x="13" s="1"/>
        <i x="2" s="1"/>
        <i x="3" s="1"/>
        <i x="4" s="1"/>
        <i x="5" s="1"/>
        <i x="6" s="1"/>
        <i x="7" s="1"/>
        <i x="8" s="1"/>
        <i x="9" s="1"/>
        <i x="10" s="1"/>
        <i x="11" s="1"/>
        <i x="12" s="1"/>
        <i x="14" s="1"/>
        <i x="47" s="1" nd="1"/>
        <i x="34" s="1" nd="1"/>
        <i x="22" s="1" nd="1"/>
        <i x="16" s="1" nd="1"/>
        <i x="18" s="1" nd="1"/>
        <i x="19" s="1" nd="1"/>
        <i x="45" s="1" nd="1"/>
        <i x="33" s="1" nd="1"/>
        <i x="55" s="1" nd="1"/>
        <i x="57" s="1" nd="1"/>
        <i x="24" s="1" nd="1"/>
        <i x="56" s="1" nd="1"/>
        <i x="39" s="1" nd="1"/>
        <i x="25" s="1" nd="1"/>
        <i x="29" s="1" nd="1"/>
        <i x="38" s="1" nd="1"/>
        <i x="49" s="1" nd="1"/>
        <i x="35" s="1" nd="1"/>
        <i x="41" s="1" nd="1"/>
        <i x="15" s="1" nd="1"/>
        <i x="27" s="1" nd="1"/>
        <i x="42" s="1" nd="1"/>
        <i x="46" s="1" nd="1"/>
        <i x="36" s="1" nd="1"/>
        <i x="32" s="1" nd="1"/>
        <i x="43" s="1" nd="1"/>
        <i x="17" s="1" nd="1"/>
        <i x="51" s="1" nd="1"/>
        <i x="44" s="1" nd="1"/>
        <i x="40" s="1" nd="1"/>
        <i x="53" s="1" nd="1"/>
        <i x="37" s="1" nd="1"/>
        <i x="54" s="1" nd="1"/>
        <i x="20" s="1" nd="1"/>
        <i x="21" s="1" nd="1"/>
        <i x="28" s="1" nd="1"/>
        <i x="30" s="1" nd="1"/>
        <i x="26" s="1" nd="1"/>
        <i x="31" s="1" nd="1"/>
        <i x="50" s="1" nd="1"/>
        <i x="52" s="1" nd="1"/>
        <i x="23" s="1" nd="1"/>
        <i x="48"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8">
        <i x="0" s="1"/>
        <i x="1" s="1"/>
        <i x="2" s="1"/>
        <i x="3" s="1"/>
        <i x="4" s="1"/>
        <i x="5" s="1"/>
        <i x="6" s="1"/>
        <i x="7" s="1"/>
        <i x="8" s="1"/>
        <i x="9" s="1"/>
        <i x="10" s="1"/>
        <i x="11" s="1"/>
        <i x="12" s="1"/>
        <i x="47" s="1" nd="1"/>
        <i x="34" s="1" nd="1"/>
        <i x="22" s="1" nd="1"/>
        <i x="16" s="1" nd="1"/>
        <i x="18" s="1" nd="1"/>
        <i x="19" s="1" nd="1"/>
        <i x="45" s="1" nd="1"/>
        <i x="33" s="1" nd="1"/>
        <i x="55" s="1" nd="1"/>
        <i x="13" s="1" nd="1"/>
        <i x="57" s="1" nd="1"/>
        <i x="24" s="1" nd="1"/>
        <i x="56" s="1" nd="1"/>
        <i x="39" s="1" nd="1"/>
        <i x="25" s="1" nd="1"/>
        <i x="29" s="1" nd="1"/>
        <i x="38" s="1" nd="1"/>
        <i x="49" s="1" nd="1"/>
        <i x="35" s="1" nd="1"/>
        <i x="41" s="1" nd="1"/>
        <i x="15" s="1" nd="1"/>
        <i x="27" s="1" nd="1"/>
        <i x="42" s="1" nd="1"/>
        <i x="46" s="1" nd="1"/>
        <i x="36" s="1" nd="1"/>
        <i x="32" s="1" nd="1"/>
        <i x="43" s="1" nd="1"/>
        <i x="17" s="1" nd="1"/>
        <i x="51" s="1" nd="1"/>
        <i x="44" s="1" nd="1"/>
        <i x="40" s="1" nd="1"/>
        <i x="53" s="1" nd="1"/>
        <i x="37" s="1" nd="1"/>
        <i x="54" s="1" nd="1"/>
        <i x="20" s="1" nd="1"/>
        <i x="21" s="1" nd="1"/>
        <i x="28" s="1" nd="1"/>
        <i x="30" s="1" nd="1"/>
        <i x="26" s="1" nd="1"/>
        <i x="31" s="1" nd="1"/>
        <i x="50" s="1" nd="1"/>
        <i x="52" s="1" nd="1"/>
        <i x="23" s="1" nd="1"/>
        <i x="48" s="1" nd="1"/>
        <i x="14"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4">
        <i x="0" s="1"/>
        <i x="1" s="1"/>
        <i x="2" s="1"/>
        <i x="12" s="1" nd="1"/>
        <i x="11" s="1" nd="1"/>
        <i x="9" s="1" nd="1"/>
        <i x="4" s="1" nd="1"/>
        <i x="5" s="1" nd="1"/>
        <i x="7" s="1" nd="1"/>
        <i x="6" s="1" nd="1"/>
        <i x="3" s="1" nd="1"/>
        <i x="10" s="1" nd="1"/>
        <i x="1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6">
        <i x="1" s="1"/>
        <i x="2" s="1"/>
        <i x="3" s="1"/>
        <i x="14" s="1"/>
        <i x="21" s="1"/>
        <i x="23" s="1"/>
        <i x="15" s="1"/>
        <i x="22" s="1"/>
        <i x="16" s="1"/>
        <i x="0" s="1"/>
        <i x="4" s="1"/>
        <i x="17" s="1"/>
        <i x="5" s="1"/>
        <i x="6" s="1"/>
        <i x="7" s="1"/>
        <i x="18" s="1"/>
        <i x="8" s="1"/>
        <i x="19" s="1"/>
        <i x="20" s="1"/>
        <i x="9" s="1"/>
        <i x="10" s="1"/>
        <i x="11" s="1"/>
        <i x="12" s="1"/>
        <i x="1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6">
        <i x="1" s="1"/>
        <i x="2" s="1"/>
        <i x="3" s="1"/>
        <i x="14" s="1"/>
        <i x="21" s="1"/>
        <i x="23" s="1"/>
        <i x="15" s="1"/>
        <i x="22" s="1"/>
        <i x="16" s="1"/>
        <i x="0" s="1"/>
        <i x="4" s="1"/>
        <i x="17" s="1"/>
        <i x="5" s="1"/>
        <i x="6" s="1"/>
        <i x="7" s="1"/>
        <i x="18" s="1"/>
        <i x="8" s="1"/>
        <i x="19" s="1"/>
        <i x="20" s="1"/>
        <i x="9" s="1"/>
        <i x="10" s="1"/>
        <i x="11" s="1"/>
        <i x="12" s="1"/>
        <i x="13" s="1"/>
        <i x="31" s="1" nd="1"/>
        <i x="43" s="1" nd="1"/>
        <i x="35" s="1" nd="1"/>
        <i x="38" s="1" nd="1"/>
        <i x="26" s="1" nd="1"/>
        <i x="45" s="1" nd="1"/>
        <i x="41" s="1" nd="1"/>
        <i x="36" s="1" nd="1"/>
        <i x="30" s="1" nd="1"/>
        <i x="25" s="1" nd="1"/>
        <i x="42" s="1" nd="1"/>
        <i x="34" s="1" nd="1"/>
        <i x="33" s="1" nd="1"/>
        <i x="29" s="1" nd="1"/>
        <i x="27" s="1" nd="1"/>
        <i x="28" s="1" nd="1"/>
        <i x="32" s="1" nd="1"/>
        <i x="37" s="1" nd="1"/>
        <i x="44" s="1" nd="1"/>
        <i x="40" s="1" nd="1"/>
        <i x="39" s="1" nd="1"/>
        <i x="2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12">
        <i x="1" s="1"/>
        <i x="0" s="1"/>
        <i x="4" s="1"/>
        <i x="10" s="1"/>
        <i x="11" s="1" nd="1"/>
        <i x="6" s="1" nd="1"/>
        <i x="3" s="1" nd="1"/>
        <i x="7" s="1" nd="1"/>
        <i x="5" s="1" nd="1"/>
        <i x="2" s="1" nd="1"/>
        <i x="8" s="1" nd="1"/>
        <i x="9"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4">
        <i x="0" s="1"/>
        <i x="1" s="1"/>
        <i x="21" s="1" nd="1"/>
        <i x="22" s="1" nd="1"/>
        <i x="8" s="1" nd="1"/>
        <i x="23" s="1" nd="1"/>
        <i x="15" s="1" nd="1"/>
        <i x="17" s="1" nd="1"/>
        <i x="19" s="1" nd="1"/>
        <i x="20" s="1" nd="1"/>
        <i x="4" s="1" nd="1"/>
        <i x="11" s="1" nd="1"/>
        <i x="13" s="1" nd="1"/>
        <i x="16" s="1" nd="1"/>
        <i x="18" s="1" nd="1"/>
        <i x="6" s="1" nd="1"/>
        <i x="9" s="1" nd="1"/>
        <i x="12" s="1" nd="1"/>
        <i x="14" s="1" nd="1"/>
        <i x="3" s="1" nd="1"/>
        <i x="5" s="1" nd="1"/>
        <i x="7" s="1" nd="1"/>
        <i x="10" s="1" nd="1"/>
        <i x="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2" s="1"/>
        <i x="5" s="1" nd="1"/>
        <i x="8" s="1" nd="1"/>
        <i x="7" s="1" nd="1"/>
        <i x="3" s="1" nd="1"/>
        <i x="1" s="1" nd="1"/>
        <i x="6" s="1" nd="1"/>
        <i x="4"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P396" totalsRowShown="0" headerRowDxfId="1171" dataDxfId="1169" headerRowBorderDxfId="1170" tableBorderDxfId="1168">
  <autoFilter ref="A6:EP396" xr:uid="{481D48B0-BDA4-40D7-8F51-66A8FB64B4AE}">
    <filterColumn colId="0">
      <filters>
        <filter val="2022_Q2"/>
      </filters>
    </filterColumn>
    <filterColumn colId="4">
      <filters>
        <filter val="Kachin"/>
      </filters>
    </filterColumn>
  </autoFilter>
  <sortState xmlns:xlrd2="http://schemas.microsoft.com/office/spreadsheetml/2017/richdata2" ref="A220:EP233">
    <sortCondition ref="H220:H396"/>
  </sortState>
  <tableColumns count="146">
    <tableColumn id="1" xr3:uid="{00000000-0010-0000-0000-000001000000}" name="Reporting Period" dataDxfId="1167" totalsRowDxfId="1166"/>
    <tableColumn id="75" xr3:uid="{00000000-0010-0000-0000-00004B000000}" name="WASH project agency" dataDxfId="1165" totalsRowDxfId="1164"/>
    <tableColumn id="2" xr3:uid="{00000000-0010-0000-0000-000002000000}" name="WASH implementing agency" dataDxfId="1163" totalsRowDxfId="1162"/>
    <tableColumn id="8" xr3:uid="{00000000-0010-0000-0000-000008000000}" name="Primary Donor covering WASH activities at site " dataDxfId="1161" totalsRowDxfId="1160"/>
    <tableColumn id="3" xr3:uid="{00000000-0010-0000-0000-000003000000}" name="State" dataDxfId="1159" totalsRowDxfId="1158"/>
    <tableColumn id="4" xr3:uid="{00000000-0010-0000-0000-000004000000}" name="Township" dataDxfId="1157" totalsRowDxfId="1156"/>
    <tableColumn id="82" xr3:uid="{00000000-0010-0000-0000-000052000000}" name="Location Type" dataDxfId="1155" totalsRowDxfId="1154" dataCellStyle="Percent">
      <calculatedColumnFormula>VLOOKUP(WWWW[[#This Row],[Site Name]],SiteDB6[[Site Name]:[Location Type]],8,FALSE)</calculatedColumnFormula>
    </tableColumn>
    <tableColumn id="5" xr3:uid="{00000000-0010-0000-0000-000005000000}" name="Site Name" dataDxfId="1153" totalsRowDxfId="1152"/>
    <tableColumn id="6" xr3:uid="{00000000-0010-0000-0000-000006000000}" name="Total HH" dataDxfId="1151" totalsRowDxfId="1150" dataCellStyle="Comma"/>
    <tableColumn id="7" xr3:uid="{00000000-0010-0000-0000-000007000000}" name="Total PoP " dataDxfId="1149" totalsRowDxfId="1148" dataCellStyle="Comma"/>
    <tableColumn id="77" xr3:uid="{00000000-0010-0000-0000-00004D000000}" name="Project start date" dataDxfId="1147" totalsRowDxfId="1146"/>
    <tableColumn id="9" xr3:uid="{00000000-0010-0000-0000-000009000000}" name="Project end date" dataDxfId="1145" totalsRowDxfId="1144"/>
    <tableColumn id="104" xr3:uid="{00000000-0010-0000-0000-000068000000}" name="#_students at TLS_CFS" dataDxfId="1143" totalsRowDxfId="1142" dataCellStyle="Comma"/>
    <tableColumn id="50" xr3:uid="{00000000-0010-0000-0000-000032000000}" name="#_ paid camp based WASH skilled labor" dataDxfId="1141" totalsRowDxfId="1140" dataCellStyle="Comma"/>
    <tableColumn id="51" xr3:uid="{00000000-0010-0000-0000-000033000000}" name="#_paid camp based unskilled WASH unskilled labor" dataDxfId="1139" totalsRowDxfId="1138" dataCellStyle="Comma"/>
    <tableColumn id="10" xr3:uid="{00000000-0010-0000-0000-00000A000000}" name="# Work days (approx) lost in this site due to access restrictions" dataDxfId="1137" totalsRowDxfId="1136" dataCellStyle="Comma"/>
    <tableColumn id="74" xr3:uid="{00000000-0010-0000-0000-00004A000000}" name="WASH Focal in camp management structure?" dataDxfId="1135" totalsRowDxfId="1134"/>
    <tableColumn id="83" xr3:uid="{00000000-0010-0000-0000-000053000000}" name="#_men on camp WASH team" dataDxfId="1133" totalsRowDxfId="1132" dataCellStyle="Comma"/>
    <tableColumn id="101" xr3:uid="{00000000-0010-0000-0000-000065000000}" name="#_women on camp WASH team" dataDxfId="1131" totalsRowDxfId="1130" dataCellStyle="Comma"/>
    <tableColumn id="14" xr3:uid="{00000000-0010-0000-0000-00000E000000}" name="#_Constructed/existing protected hand dug well" dataDxfId="1129" totalsRowDxfId="1128" dataCellStyle="Comma"/>
    <tableColumn id="102" xr3:uid="{00000000-0010-0000-0000-000066000000}" name="#_Non-functional protected hand dug well" dataDxfId="1127" totalsRowDxfId="1126" dataCellStyle="Comma"/>
    <tableColumn id="103" xr3:uid="{00000000-0010-0000-0000-000067000000}" name="#_Operation &amp; Maintenance of hand dug well" dataDxfId="1125" totalsRowDxfId="1124" dataCellStyle="Comma"/>
    <tableColumn id="15" xr3:uid="{00000000-0010-0000-0000-00000F000000}" name="#_Constructed/Existing tube wells/boreholes/handpumps_WASH_agency" dataDxfId="1123" totalsRowDxfId="1122" dataCellStyle="Comma"/>
    <tableColumn id="106" xr3:uid="{00000000-0010-0000-0000-00006A000000}" name="#_Non-Cluster partner water tube-wells/boreholes/handpumps" dataDxfId="1121" totalsRowDxfId="1120" dataCellStyle="Comma"/>
    <tableColumn id="107" xr3:uid="{00000000-0010-0000-0000-00006B000000}" name="#_Non-functional tube wells/boreholes/handpumps" dataDxfId="1119" totalsRowDxfId="1118" dataCellStyle="Comma"/>
    <tableColumn id="108" xr3:uid="{00000000-0010-0000-0000-00006C000000}" name="#_Operation &amp; Maintenance of tube wells/boreholes/handpumps" dataDxfId="1117" totalsRowDxfId="1116" dataCellStyle="Comma"/>
    <tableColumn id="109" xr3:uid="{00000000-0010-0000-0000-00006D000000}" name="#_Constructed/Existingwater storage tank with gravity fed reticulation system" dataDxfId="1115" totalsRowDxfId="1114" dataCellStyle="Comma"/>
    <tableColumn id="110" xr3:uid="{00000000-0010-0000-0000-00006E000000}" name="#_Non-functional storage tank gravity fed reticulation system" dataDxfId="1113" totalsRowDxfId="1112" dataCellStyle="Comma"/>
    <tableColumn id="111" xr3:uid="{00000000-0010-0000-0000-00006F000000}" name="#_Operation &amp; maintenance of storage tank and reticulation system" dataDxfId="1111" totalsRowDxfId="1110" dataCellStyle="Comma"/>
    <tableColumn id="112" xr3:uid="{00000000-0010-0000-0000-000070000000}" name="#_Water_Liters_supplied_by_Water boating or water trucking" dataDxfId="1109" totalsRowDxfId="1108" dataCellStyle="Comma"/>
    <tableColumn id="113" xr3:uid="{00000000-0010-0000-0000-000071000000}" name="#_Constructed/Existing protected/fenced ponds" dataDxfId="1107" totalsRowDxfId="1106" dataCellStyle="Comma"/>
    <tableColumn id="114" xr3:uid="{00000000-0010-0000-0000-000072000000}" name="#_Water_Liters_from_Constructed/Existing water distribution system from river or natural spring" dataDxfId="1105" totalsRowDxfId="1104" dataCellStyle="Comma"/>
    <tableColumn id="115" xr3:uid="{00000000-0010-0000-0000-000073000000}" name="#_committes/technicians trained and maintaining the water points" dataDxfId="1103" totalsRowDxfId="1102" dataCellStyle="Comma"/>
    <tableColumn id="116" xr3:uid="{00000000-0010-0000-0000-000074000000}" name="#_Water points fully handed over" dataDxfId="1101" totalsRowDxfId="1100" dataCellStyle="Comma"/>
    <tableColumn id="117" xr3:uid="{00000000-0010-0000-0000-000075000000}" name="#_Water sources tested for fecal coliform " dataDxfId="1099" totalsRowDxfId="1098" dataCellStyle="Comma"/>
    <tableColumn id="118" xr3:uid="{00000000-0010-0000-0000-000076000000}" name="#_Water sources passed" dataDxfId="1097" totalsRowDxfId="1096" dataCellStyle="Comma"/>
    <tableColumn id="119" xr3:uid="{00000000-0010-0000-0000-000077000000}" name="#_Household water samples tested for fecal coliform" dataDxfId="1095" totalsRowDxfId="1094" dataCellStyle="Comma"/>
    <tableColumn id="120" xr3:uid="{00000000-0010-0000-0000-000078000000}" name="#_Household passed" dataDxfId="1093" totalsRowDxfId="1092" dataCellStyle="Comma"/>
    <tableColumn id="121" xr3:uid="{00000000-0010-0000-0000-000079000000}" name="#_Constructed/Existing hand washing stations at TLS/CFS/THF" dataDxfId="1091" totalsRowDxfId="1090" dataCellStyle="Comma"/>
    <tableColumn id="17" xr3:uid="{00000000-0010-0000-0000-000011000000}" name="#_of water points in TLS/CFS" dataDxfId="1089" totalsRowDxfId="1088" dataCellStyle="Comma"/>
    <tableColumn id="143" xr3:uid="{244E3FFB-BD94-4A0C-BCF6-CC2FDD778512}" name="#_of water points in THF" dataDxfId="1087" totalsRowDxfId="1086" dataCellStyle="Comma"/>
    <tableColumn id="59" xr3:uid="{00000000-0010-0000-0000-00003B000000}" name="WATER Comments" dataDxfId="1085" totalsRowDxfId="1084"/>
    <tableColumn id="87" xr3:uid="{00000000-0010-0000-0000-000057000000}" name="#_Constructed latrines_by_WASHAgencies" dataDxfId="1083" totalsRowDxfId="1082" dataCellStyle="Comma"/>
    <tableColumn id="65" xr3:uid="{00000000-0010-0000-0000-000041000000}" name="#_Non Cluster partner latrines" dataDxfId="1081" totalsRowDxfId="1080" dataCellStyle="Comma"/>
    <tableColumn id="39" xr3:uid="{00000000-0010-0000-0000-000027000000}" name="Name of Non-Cluster partner who constructed latrines" dataDxfId="1079" totalsRowDxfId="1078"/>
    <tableColumn id="23" xr3:uid="{00000000-0010-0000-0000-000017000000}" name="#_Non-functional latrines" dataDxfId="1077" totalsRowDxfId="1076" dataCellStyle="Comma"/>
    <tableColumn id="24" xr3:uid="{00000000-0010-0000-0000-000018000000}" name="#_Operation &amp; maintenance of latrines" dataDxfId="1075" totalsRowDxfId="1074" dataCellStyle="Comma"/>
    <tableColumn id="25" xr3:uid="{00000000-0010-0000-0000-000019000000}" name="#_Latrines desludged during the past quarter" dataDxfId="1073" totalsRowDxfId="1072" dataCellStyle="Comma"/>
    <tableColumn id="122" xr3:uid="{00000000-0010-0000-0000-00007A000000}" name="#_Cubic meters of desludging in past quarter" dataDxfId="1071" totalsRowDxfId="1070" dataCellStyle="Comma"/>
    <tableColumn id="123" xr3:uid="{00000000-0010-0000-0000-00007B000000}" name="#_Latrines fully handed over" dataDxfId="1069" totalsRowDxfId="1068" dataCellStyle="Comma"/>
    <tableColumn id="124" xr3:uid="{00000000-0010-0000-0000-00007C000000}" name="Is there provision of solid waste management equipment?" dataDxfId="1067" totalsRowDxfId="1066" dataCellStyle="Percent"/>
    <tableColumn id="105" xr3:uid="{00000000-0010-0000-0000-000069000000}" name="Is there constructed surface water drainage system?_x000a_" dataDxfId="1065" totalsRowDxfId="1064"/>
    <tableColumn id="100" xr3:uid="{00000000-0010-0000-0000-000064000000}" name="#_Constructed/Existing child friendly latrines" dataDxfId="1063" totalsRowDxfId="1062" dataCellStyle="Comma"/>
    <tableColumn id="26" xr3:uid="{00000000-0010-0000-0000-00001A000000}" name="#_Constructed/Existing disabled &amp; elderly friendly latrines " dataDxfId="1061" totalsRowDxfId="1060" dataCellStyle="Comma"/>
    <tableColumn id="125" xr3:uid="{00000000-0010-0000-0000-00007D000000}" name="# of functional latrines in TLS/CFS supported by WASH partners during the reporting period" dataDxfId="1059" totalsRowDxfId="1058" dataCellStyle="Comma"/>
    <tableColumn id="94" xr3:uid="{7F7C0F7D-C4C1-4C47-A69B-747B7539E4BF}" name="# of functional latrines in THF supported by WASH partners during the reporting period2" dataDxfId="1057" totalsRowDxfId="1056" dataCellStyle="Comma"/>
    <tableColumn id="32" xr3:uid="{103DD5A6-1CAA-4F9C-AD18-280981AF11D7}" name="#_of_persons_with_disabilities_with_adapted_sanitation_option" dataDxfId="1055" totalsRowDxfId="1054" dataCellStyle="Comma"/>
    <tableColumn id="11" xr3:uid="{00000000-0010-0000-0000-00000B000000}" name="Sanitation Comments" dataDxfId="1053" totalsRowDxfId="1052"/>
    <tableColumn id="126" xr3:uid="{00000000-0010-0000-0000-00007E000000}" name="#_Constructed/Existing hand washing stations" dataDxfId="1051" totalsRowDxfId="1050" dataCellStyle="Comma"/>
    <tableColumn id="127" xr3:uid="{00000000-0010-0000-0000-00007F000000}" name="#_Non-Functional_hand_washing_stations" dataDxfId="1049" totalsRowDxfId="1048" dataCellStyle="Comma"/>
    <tableColumn id="13" xr3:uid="{00000000-0010-0000-0000-00000D000000}" name="#_Constructed/Existing_individual_bathing_spaces " dataDxfId="1047" totalsRowDxfId="1046" dataCellStyle="Comma"/>
    <tableColumn id="128" xr3:uid="{00000000-0010-0000-0000-000080000000}" name="#_Constructed/Existing communal bathing spaces " dataDxfId="1045" totalsRowDxfId="1044" dataCellStyle="Comma"/>
    <tableColumn id="129" xr3:uid="{00000000-0010-0000-0000-000081000000}" name="#_Non-Functional communal_bathing spaces " dataDxfId="1043" totalsRowDxfId="1042" dataCellStyle="Comma"/>
    <tableColumn id="130" xr3:uid="{00000000-0010-0000-0000-000082000000}" name="#_male hygiene promoters" dataDxfId="1041" totalsRowDxfId="1040" dataCellStyle="Comma"/>
    <tableColumn id="131" xr3:uid="{00000000-0010-0000-0000-000083000000}" name="#_female hygiene promoters" dataDxfId="1039" totalsRowDxfId="1038" dataCellStyle="Comma"/>
    <tableColumn id="132" xr3:uid="{00000000-0010-0000-0000-000084000000}" name="#_households that received standard amount of soap for this quarter" dataDxfId="1037" totalsRowDxfId="1036" dataCellStyle="Comma"/>
    <tableColumn id="133" xr3:uid="{00000000-0010-0000-0000-000085000000}" name="# of affected women and girls receiving a sufficient quantity of sanitary pads from direct distribution or from MHM room facilities" dataDxfId="1035" totalsRowDxfId="1034" dataCellStyle="Comma"/>
    <tableColumn id="134" xr3:uid="{00000000-0010-0000-0000-000086000000}" name="Is sufficient soap available for TLS? (Yes/No)" dataDxfId="1033" totalsRowDxfId="1032"/>
    <tableColumn id="20" xr3:uid="{00000000-0010-0000-0000-000014000000}" name="#_Hygiene Promotion activities (sessions) in TLS?" dataDxfId="1031" totalsRowDxfId="1030"/>
    <tableColumn id="27" xr3:uid="{00000000-0010-0000-0000-00001B000000}" name="% of students reached by HP activities" dataDxfId="1029" totalsRowDxfId="1028" dataCellStyle="Percent"/>
    <tableColumn id="28" xr3:uid="{00000000-0010-0000-0000-00001C000000}" name="Hygiene_x000a_Comments " dataDxfId="1027" totalsRowDxfId="1026"/>
    <tableColumn id="88" xr3:uid="{9392C146-40EC-4C6C-845E-899B52090CD0}" name="%_of_affected_people_surveyed_who_report_feeling_satistfied_with_the_latrine_design_and_sanitation_service" dataDxfId="1025" totalsRowDxfId="1024" dataCellStyle="Percent"/>
    <tableColumn id="84" xr3:uid="{D02E63BE-A09A-459E-A028-D523541E7FF1}" name="%_of_affected_people_surveyed_who_report_feeling_satistfied_with_the_water_point_design_and_water_service" dataDxfId="1023" totalsRowDxfId="1022" dataCellStyle="Percent"/>
    <tableColumn id="79" xr3:uid="{45D940FA-098B-422B-8457-B5D7E56B8A76}" name="#_of_affected_people_surveyed_who_report_feeling_informed_about_the_different_WASH_services_available_to_them" dataDxfId="1021" totalsRowDxfId="1020" dataCellStyle="Percent"/>
    <tableColumn id="69" xr3:uid="{48B022E4-7FE2-4B75-A989-82EB1EB664CB}" name="%_of_complaints_received_that_result_in_timely_corrective_action_and_feedback_to_the_community" dataDxfId="1019" totalsRowDxfId="1018" dataCellStyle="Percent"/>
    <tableColumn id="91" xr3:uid="{A6DE4835-FE6C-403F-8C4E-CB713ADA4F9D}" name="# of sanitation facilities (latrines) built/repaired/rehabilitated following risk-sensitive programming and consultation with communities and/or GBV risk-sensitive programming" dataDxfId="1017" totalsRowDxfId="1016" dataCellStyle="Comma"/>
    <tableColumn id="92" xr3:uid="{01D53E97-A04B-40D2-88CE-B51CAB6274C9}" name="# of sanitation facilities (HH sanitation devices) distributed following risk-sensitive programming and consultation with communities and/or GBV risk-sensitive programming" dataDxfId="1015" totalsRowDxfId="1014" dataCellStyle="Comma"/>
    <tableColumn id="93" xr3:uid="{6F0F9250-E439-4B01-A614-A46D59F326F9}" name="# of sanitation facilities (bathing spaces) built following risk-sensitive programming and consultation with communities" dataDxfId="1013" totalsRowDxfId="1012" dataCellStyle="Comma"/>
    <tableColumn id="145" xr3:uid="{30298DF9-32FA-4E53-94C8-0EF62540805E}" name="amount_of_MMK/Voucher_or_Token_distributed_per_HH/Family" dataDxfId="1011" totalsRowDxfId="1010" dataCellStyle="Comma"/>
    <tableColumn id="146" xr3:uid="{4E9D37B8-A6B6-46A3-8825-A3C815ACD4DF}" name="#_of_Family/HH_Reached" dataDxfId="1009" totalsRowDxfId="1008" dataCellStyle="Comma"/>
    <tableColumn id="147" xr3:uid="{DFAD0E27-7B9F-4712-A1C0-70A69EB291D4}" name="Date_of_Cash_distribution" dataDxfId="1007" totalsRowDxfId="1006" dataCellStyle="Comma"/>
    <tableColumn id="148" xr3:uid="{9DC61FBD-A6C6-4612-B41F-2504DEFCE9E4}" name="Cash_distributed_for_which_items" dataDxfId="1005" totalsRowDxfId="1004" dataCellStyle="Comma"/>
    <tableColumn id="97" xr3:uid="{00000000-0010-0000-0000-000061000000}" name="% of water sources passed" dataDxfId="1003" totalsRowDxfId="1002">
      <calculatedColumnFormula>IFERROR(WWWW[[#This Row],['#_Water sources passed]]/WWWW[[#This Row],['#_Water sources tested for fecal coliform ]],"no test")</calculatedColumnFormula>
    </tableColumn>
    <tableColumn id="98" xr3:uid="{00000000-0010-0000-0000-000062000000}" name="% Household passed" dataDxfId="1001" totalsRowDxfId="1000"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999" totalsRowDxfId="998"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997" totalsRowDxfId="996"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995" totalsRowDxfId="994"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993" totalsRowDxfId="992"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991" totalsRowDxfId="990" dataCellStyle="Percent">
      <calculatedColumnFormula>(WWWW[[#This Row],['#_Water_Liters_supplied_by_Water boating or water trucking]]/90)/15</calculatedColumnFormula>
    </tableColumn>
    <tableColumn id="52" xr3:uid="{00000000-0010-0000-0000-000034000000}" name="Liters_Constructed water distribution system from river" dataDxfId="989" totalsRowDxfId="988"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987" totalsRowDxfId="986"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985" totalsRowDxfId="984" dataCellStyle="Percent">
      <calculatedColumnFormula>IF(WWWW[[#This Row],['#_of water points in THF]]*500&gt;WWWW[[#This Row],[Total PoP ]],WWWW[[#This Row],[Total PoP ]],WWWW[[#This Row],['#_of water points in THF]]*500)</calculatedColumnFormula>
    </tableColumn>
    <tableColumn id="34" xr3:uid="{00000000-0010-0000-0000-000022000000}" name="Access to safe drinking water for Camp" dataDxfId="983" totalsRowDxfId="982"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981" totalsRowDxfId="980"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979" totalsRowDxfId="978"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977" totalsRowDxfId="976">
      <calculatedColumnFormula>WWWW[[#This Row],[%Equitable and continuous access to sufficient quantity of safe drinking water]]*WWWW[[#This Row],[Total PoP ]]</calculatedColumnFormula>
    </tableColumn>
    <tableColumn id="37" xr3:uid="{00000000-0010-0000-0000-000025000000}" name="% Access to unimproved water points" dataDxfId="975" totalsRowDxfId="974"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973" totalsRowDxfId="972">
      <calculatedColumnFormula>WWWW[[#This Row],[% Access to unimproved water points]]*WWWW[[#This Row],[Total PoP ]]</calculatedColumnFormula>
    </tableColumn>
    <tableColumn id="41" xr3:uid="{00000000-0010-0000-0000-000029000000}" name="% Equitable and continuous access to sufficient quantity of domestic water" dataDxfId="971" totalsRowDxfId="970"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969" totalsRowDxfId="968">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967" totalsRowDxfId="966">
      <calculatedColumnFormula>WWWW[[#This Row],[HRP1]]/500</calculatedColumnFormula>
    </tableColumn>
    <tableColumn id="85" xr3:uid="{00000000-0010-0000-0000-000055000000}" name="%equitable and continuous access to sufficient quantity of safe drinking and domestic water's GAP" dataDxfId="965" totalsRowDxfId="964">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963" totalsRowDxfId="962">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961" totalsRowDxfId="960"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959" totalsRowDxfId="958" dataCellStyle="Percent">
      <calculatedColumnFormula>ROUND(IF(WWWW[[#This Row],[Total PoP ]]&lt;500,1,WWWW[[#This Row],[Total PoP ]]/500),0)</calculatedColumnFormula>
    </tableColumn>
    <tableColumn id="66" xr3:uid="{00000000-0010-0000-0000-000042000000}" name="# of Functioning latrine" dataDxfId="957" totalsRowDxfId="956"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955" totalsRowDxfId="954" dataCellStyle="Percent">
      <calculatedColumnFormula>WWWW[[#This Row],[HRP2]]/WWWW[[#This Row],[Total PoP ]]</calculatedColumnFormula>
    </tableColumn>
    <tableColumn id="18" xr3:uid="{00000000-0010-0000-0000-000012000000}" name="HRP2" dataDxfId="953" totalsRowDxfId="952">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calculatedColumnFormula>
    </tableColumn>
    <tableColumn id="70" xr3:uid="{00000000-0010-0000-0000-000046000000}" name="# people access to continuous sanitation services desluding" dataDxfId="951" totalsRowDxfId="950"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949" totalsRowDxfId="948"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947" totalsRowDxfId="946"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45" totalsRowDxfId="944"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43" totalsRowDxfId="942"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41" totalsRowDxfId="940">
      <calculatedColumnFormula>1-WWWW[[#This Row],[% people access to functioning Latrine]]</calculatedColumnFormula>
    </tableColumn>
    <tableColumn id="76" xr3:uid="{00000000-0010-0000-0000-00004C000000}" name="% Latrines requiring  repairs" dataDxfId="939" totalsRowDxfId="938"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37" totalsRowDxfId="936">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35" totalsRowDxfId="934"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33" totalsRowDxfId="932"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931" totalsRowDxfId="930"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29" totalsRowDxfId="928"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27" totalsRowDxfId="926">
      <calculatedColumnFormula>IF(WWWW[[#This Row],[HRP3]]/WWWW[[#This Row],[Total PoP ]]&gt;1,1,WWWW[[#This Row],[HRP3]]/WWWW[[#This Row],[Total PoP ]])</calculatedColumnFormula>
    </tableColumn>
    <tableColumn id="72" xr3:uid="{00000000-0010-0000-0000-000048000000}" name="Hygiene Gap%" dataDxfId="925" totalsRowDxfId="924" dataCellStyle="Percent">
      <calculatedColumnFormula>1-WWWW[[#This Row],[Hygiene Coverage%]]</calculatedColumnFormula>
    </tableColumn>
    <tableColumn id="96" xr3:uid="{00000000-0010-0000-0000-000060000000}" name="%people reached by regular dedicated hygiene promotion" dataDxfId="923" totalsRowDxfId="922" dataCellStyle="Percent">
      <calculatedColumnFormula>WWWW[[#This Row],['# people reached by regular dedicated hygiene promotion_5]]/WWWW[[#This Row],[Total PoP ]]</calculatedColumnFormula>
    </tableColumn>
    <tableColumn id="55" xr3:uid="{00000000-0010-0000-0000-000037000000}" name="%HH with access to soap" dataDxfId="921" totalsRowDxfId="920"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19" totalsRowDxfId="918"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917" totalsRowDxfId="916"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15" totalsRowDxfId="914">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13" totalsRowDxfId="912">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911" totalsRowDxfId="910">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09" totalsRowDxfId="908">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907" totalsRowDxfId="906"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38" xr3:uid="{D2E8727C-D400-42EC-927D-BF8DF766C3B5}" name="HRP4" dataDxfId="905" totalsRowDxfId="904" dataCellStyle="Percent">
      <calculatedColumnFormula>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calculatedColumnFormula>
    </tableColumn>
    <tableColumn id="139" xr3:uid="{D29A4F7B-10CF-4208-8675-3A9C881225BC}" name="HRP5" dataDxfId="903" totalsRowDxfId="902"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901" totalsRowDxfId="900"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899" totalsRowDxfId="898" dataCellStyle="Percent">
      <calculatedColumnFormula>VLOOKUP(WWWW[[#This Row],[Site Name]],SiteDB6[[Site Name]:[CCCM Management]],6,FALSE)</calculatedColumnFormula>
    </tableColumn>
    <tableColumn id="81" xr3:uid="{00000000-0010-0000-0000-000051000000}" name="CCCM Focal Agency" dataDxfId="897" totalsRowDxfId="896" dataCellStyle="Percent">
      <calculatedColumnFormula>VLOOKUP(WWWW[[#This Row],[Site Name]],SiteDB6[[Site Name]:[CCCM Focal Agency]],7,FALSE)</calculatedColumnFormula>
    </tableColumn>
    <tableColumn id="80" xr3:uid="{00000000-0010-0000-0000-000050000000}" name="Location Type 1" dataDxfId="895" totalsRowDxfId="894" dataCellStyle="Percent">
      <calculatedColumnFormula>VLOOKUP(WWWW[[#This Row],[Site Name]],SiteDB6[[Site Name]:[Location Type 1]],9,FALSE)</calculatedColumnFormula>
    </tableColumn>
    <tableColumn id="45" xr3:uid="{00000000-0010-0000-0000-00002D000000}" name="Type of accommodation" dataDxfId="893" totalsRowDxfId="892" dataCellStyle="Percent">
      <calculatedColumnFormula>VLOOKUP(WWWW[[#This Row],[Site Name]],SiteDB6[[Site Name]:[Type of Accommodation]],10,FALSE)</calculatedColumnFormula>
    </tableColumn>
    <tableColumn id="46" xr3:uid="{00000000-0010-0000-0000-00002E000000}" name="Ethnic or GCA/NGCA" dataDxfId="891" totalsRowDxfId="890" dataCellStyle="Percent">
      <calculatedColumnFormula>VLOOKUP(WWWW[[#This Row],[Site Name]],SiteDB6[[Site Name]:[Ethnic or GCA/NGCA]],11,FALSE)</calculatedColumnFormula>
    </tableColumn>
    <tableColumn id="60" xr3:uid="{00000000-0010-0000-0000-00003C000000}" name="Lat" dataDxfId="889" totalsRowDxfId="888" dataCellStyle="Percent">
      <calculatedColumnFormula>VLOOKUP(WWWW[[#This Row],[Site Name]],SiteDB6[[Site Name]:[Lat]],12,FALSE)</calculatedColumnFormula>
    </tableColumn>
    <tableColumn id="61" xr3:uid="{00000000-0010-0000-0000-00003D000000}" name="Long" dataDxfId="887" totalsRowDxfId="886" dataCellStyle="Percent">
      <calculatedColumnFormula>VLOOKUP(WWWW[[#This Row],[Site Name]],SiteDB6[[Site Name]:[Long]],13,FALSE)</calculatedColumnFormula>
    </tableColumn>
    <tableColumn id="62" xr3:uid="{00000000-0010-0000-0000-00003E000000}" name="Pcode" dataDxfId="885" totalsRowDxfId="884" dataCellStyle="Percent">
      <calculatedColumnFormula>VLOOKUP(WWWW[[#This Row],[Site Name]],SiteDB6[[Site Name]:[Pcode]],3,FALSE)</calculatedColumnFormula>
    </tableColumn>
    <tableColumn id="63" xr3:uid="{00000000-0010-0000-0000-00003F000000}" name="Covered" dataDxfId="883" totalsRowDxfId="882">
      <calculatedColumnFormula>IF(C7="none","Notcovered","Covered")</calculatedColumnFormula>
    </tableColumn>
    <tableColumn id="64" xr3:uid="{00000000-0010-0000-0000-000040000000}" name="Remark" dataDxfId="881" totalsRowDxfId="880"/>
    <tableColumn id="137" xr3:uid="{4AE3EAE7-838D-448F-9EBF-A5D3F9444C5E}" name="HH" dataDxfId="879" totalsRowDxfId="878" dataCellStyle="Percent">
      <calculatedColumnFormula>VLOOKUP(WWWW[[#This Row],[Site Name]],SiteDB6[[Site Name]:[Pop
(Kachin/Shan-CCCM as of July 2021)]],16,FALSE)</calculatedColumnFormula>
    </tableColumn>
    <tableColumn id="140" xr3:uid="{FCC69DBE-FEAC-4669-A23E-99ECA329EC5D}" name="Population" dataDxfId="877" dataCellStyle="Percent">
      <calculatedColumnFormula>VLOOKUP(WWWW[[#This Row],[Site Name]],SiteDB6[[Site Name]:[Pop
(Kachin/Shan-CCCM as of July 2021)]],17,FALSE)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29:H40" totalsRowShown="0" headerRowDxfId="86" dataDxfId="84" headerRowBorderDxfId="85" tableBorderDxfId="83" totalsRowBorderDxfId="82">
  <tableColumns count="7">
    <tableColumn id="1" xr3:uid="{00000000-0010-0000-0500-000001000000}" name="Gap in WASH covered camps / township" dataDxfId="81" totalsRowDxfId="80"/>
    <tableColumn id="2" xr3:uid="{00000000-0010-0000-0500-000002000000}" name="Partners " dataDxfId="79" totalsRowDxfId="78"/>
    <tableColumn id="3" xr3:uid="{00000000-0010-0000-0500-000003000000}" name="# of sites" dataDxfId="77" totalsRowDxfId="76" dataCellStyle="Comma"/>
    <tableColumn id="4" xr3:uid="{00000000-0010-0000-0500-000004000000}" name="Total population" dataDxfId="75" totalsRowDxfId="74" dataCellStyle="Comma"/>
    <tableColumn id="5" xr3:uid="{00000000-0010-0000-0500-000005000000}" name=" % _x000a_Water Gap" dataDxfId="73" totalsRowDxfId="72"/>
    <tableColumn id="6" xr3:uid="{00000000-0010-0000-0500-000006000000}" name=" %_x000a_ Sanitation Gap" dataDxfId="71" totalsRowDxfId="70"/>
    <tableColumn id="7" xr3:uid="{AB1608BD-CBFF-4849-B68E-CA61CA18B396}" name="%  _x000a_Hygiene Gap" dataDxfId="69" totalsRowDxfId="68"/>
  </tableColumns>
  <tableStyleInfo name="TableStyleLight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41:H48" totalsRowShown="0" headerRowDxfId="67" dataDxfId="65" headerRowBorderDxfId="66" tableBorderDxfId="64" totalsRowBorderDxfId="63">
  <tableColumns count="7">
    <tableColumn id="1" xr3:uid="{698DE567-F73E-4889-A830-67FFCE1B6803}" name="Gap in WASH covered villages / township" dataDxfId="62"/>
    <tableColumn id="2" xr3:uid="{9545AE45-0B30-40F1-9017-7E27D70768AE}" name="Partners " dataDxfId="61"/>
    <tableColumn id="3" xr3:uid="{A628D95F-ABF8-4B91-AC92-76A5D9D7533E}" name="# of villages" dataDxfId="60"/>
    <tableColumn id="4" xr3:uid="{C6D6A6A5-922D-43FD-8D84-E0EB3210DAAA}" name="Total population" dataDxfId="59"/>
    <tableColumn id="5" xr3:uid="{498662AD-6EB1-4CC0-8C46-2F84560E0FFD}" name=" % _x000a_Water GAP" dataDxfId="58"/>
    <tableColumn id="6" xr3:uid="{ABECD877-BBD9-4F1A-A1BA-C2D733E18258}" name=" %_x000a_Sanitation GAP" dataDxfId="57"/>
    <tableColumn id="7" xr3:uid="{31B1CF1B-5248-4EC8-9F42-13E2AD36658C}" name=" %_x000a_Hygiene Gap" dataDxfId="5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X410" totalsRowShown="0" headerRowDxfId="846">
  <autoFilter ref="A2:X410" xr:uid="{2913C69C-5A26-4EDC-84F7-B6A877F0E61F}"/>
  <sortState xmlns:xlrd2="http://schemas.microsoft.com/office/spreadsheetml/2017/richdata2" ref="A3:X410">
    <sortCondition ref="A3:A410"/>
    <sortCondition ref="B3:B410"/>
    <sortCondition ref="C3:C410"/>
  </sortState>
  <tableColumns count="24">
    <tableColumn id="13" xr3:uid="{00000000-0010-0000-0100-00000D000000}" name="State" dataDxfId="845"/>
    <tableColumn id="12" xr3:uid="{00000000-0010-0000-0100-00000C000000}" name="Township" dataDxfId="844"/>
    <tableColumn id="1" xr3:uid="{00000000-0010-0000-0100-000001000000}" name="Site Name" dataDxfId="843"/>
    <tableColumn id="26" xr3:uid="{00000000-0010-0000-0100-00001A000000}" name="open in cccm?" dataDxfId="842"/>
    <tableColumn id="2" xr3:uid="{00000000-0010-0000-0100-000002000000}" name="Pcode" dataDxfId="841"/>
    <tableColumn id="20" xr3:uid="{00000000-0010-0000-0100-000014000000}" name="Vtract" dataDxfId="840"/>
    <tableColumn id="21" xr3:uid="{00000000-0010-0000-0100-000015000000}" name="VillageWard" dataDxfId="839"/>
    <tableColumn id="3" xr3:uid="{00000000-0010-0000-0100-000003000000}" name="CCCM Management" dataDxfId="838"/>
    <tableColumn id="4" xr3:uid="{00000000-0010-0000-0100-000004000000}" name="CCCM Focal Agency" dataDxfId="837"/>
    <tableColumn id="5" xr3:uid="{00000000-0010-0000-0100-000005000000}" name="Location Type" dataDxfId="836"/>
    <tableColumn id="6" xr3:uid="{00000000-0010-0000-0100-000006000000}" name="Location Type 1" dataDxfId="835"/>
    <tableColumn id="7" xr3:uid="{00000000-0010-0000-0100-000007000000}" name="Type of Accommodation" dataDxfId="834"/>
    <tableColumn id="8" xr3:uid="{00000000-0010-0000-0100-000008000000}" name="Ethnic or GCA/NGCA" dataDxfId="833"/>
    <tableColumn id="10" xr3:uid="{00000000-0010-0000-0100-00000A000000}" name="Lat" dataDxfId="832"/>
    <tableColumn id="9" xr3:uid="{00000000-0010-0000-0100-000009000000}" name="Long" dataDxfId="831"/>
    <tableColumn id="11" xr3:uid="{00000000-0010-0000-0100-00000B000000}" name="HRP categories" dataDxfId="830"/>
    <tableColumn id="14" xr3:uid="{00000000-0010-0000-0100-00000E000000}" name="Current 4 W reported list" dataDxfId="829"/>
    <tableColumn id="15" xr3:uid="{00000000-0010-0000-0100-00000F000000}" name="HH_x000a_(Kachin/Shan-CCCM as of July 2021)" dataDxfId="828"/>
    <tableColumn id="16" xr3:uid="{00000000-0010-0000-0100-000010000000}" name="Pop_x000a_(Kachin/Shan-CCCM as of July 2021)" dataDxfId="827"/>
    <tableColumn id="17" xr3:uid="{00000000-0010-0000-0100-000011000000}" name="Updated Date" dataDxfId="826"/>
    <tableColumn id="18" xr3:uid="{00000000-0010-0000-0100-000012000000}" name="Remark" dataDxfId="825"/>
    <tableColumn id="19" xr3:uid="{00000000-0010-0000-0100-000013000000}" name="Site Name_(Old)" dataDxfId="824"/>
    <tableColumn id="24" xr3:uid="{00000000-0010-0000-0100-000018000000}" name="Comments form CCCM" dataDxfId="823"/>
    <tableColumn id="22" xr3:uid="{7F177281-BFF7-4C20-A257-E2A6FD571981}" name="old-Pcode" dataDxfId="82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Z24:AH42" totalsRowShown="0" headerRowDxfId="768" dataDxfId="767" headerRowCellStyle="Percent" dataCellStyle="Percent">
  <autoFilter ref="Z24:AH42" xr:uid="{2ED43D13-34A9-43A8-8619-43B0B3B6FE5F}"/>
  <tableColumns count="9">
    <tableColumn id="1" xr3:uid="{1DF98B73-0100-42FA-A4EA-48D006F18ADC}" name="Row Labels" dataDxfId="766" dataCellStyle="Percent"/>
    <tableColumn id="9" xr3:uid="{7D4C4BAD-3118-45B7-9C6A-291564A4DF2C}" name="% Male" dataDxfId="765" dataCellStyle="Percent">
      <calculatedColumnFormula>1-Table7[[#This Row],[% Female]]</calculatedColumnFormula>
    </tableColumn>
    <tableColumn id="2" xr3:uid="{4A59A6D6-3700-4F61-8976-542E92D88FC8}" name="% Female" dataDxfId="764" dataCellStyle="Percent"/>
    <tableColumn id="3" xr3:uid="{7C03B214-F47E-4240-BC01-2C8206074FBE}" name="% CHILDREN  (Age 18&lt;)" dataDxfId="763" dataCellStyle="Percent"/>
    <tableColumn id="4" xr3:uid="{6F2CD890-4F97-4E40-8906-C537A9CC5AA1}" name=" % ADULTS ( Age 18-60)" dataDxfId="762" dataCellStyle="Percent"/>
    <tableColumn id="5" xr3:uid="{ABA85F2F-3F02-4212-A5B3-0040660BA75C}" name="% ELDERS  (Age 60+)" dataDxfId="761" dataCellStyle="Percent"/>
    <tableColumn id="6" xr3:uid="{A3EDBD5C-63BC-41D2-BBC4-1611E28D3582}" name="% of people with disabilities (Age 5 yrs+)" dataDxfId="760" dataCellStyle="Percent"/>
    <tableColumn id="7" xr3:uid="{03BDE777-865E-4371-8C3E-26E780CFAFB5}" name="Column1" dataDxfId="759" dataCellStyle="Percent">
      <calculatedColumnFormula>Table7[[#This Row],[% Female]]*O25</calculatedColumnFormula>
    </tableColumn>
    <tableColumn id="8" xr3:uid="{1B86C093-8C0E-403E-80C6-248E9131E0F9}" name="Column2" dataDxfId="758" dataCellStyle="Percent">
      <calculatedColumnFormula>O25*Table7[[#This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E6E74B-9278-46CF-9079-013C5C9F8F04}" name="Table4" displayName="Table4" ref="E5:N41" totalsRowShown="0">
  <autoFilter ref="E5:N41" xr:uid="{8524BEFB-AB3B-48A4-83EE-CFB4E1CC6397}"/>
  <tableColumns count="10">
    <tableColumn id="1" xr3:uid="{E8C6F03A-7C2C-4A57-AD4E-E91D77CA979A}" name="State" dataDxfId="128"/>
    <tableColumn id="2" xr3:uid="{DF18D7A0-D07D-4C55-9D43-7BCDF5A37B9E}" name="Township" dataDxfId="127"/>
    <tableColumn id="3" xr3:uid="{FFD7A381-020A-4EB6-84BF-FFE37C48D52C}" name="WASH implementing agency"/>
    <tableColumn id="4" xr3:uid="{D7CED10D-9929-46BB-9F1E-23B6A98298F7}" name="Column1"/>
    <tableColumn id="5" xr3:uid="{604F42A3-4AD9-4622-90E8-3D1164678702}" name="Column2"/>
    <tableColumn id="6" xr3:uid="{D3DF7DF7-799A-4740-9DC7-DDE57637810D}" name="Column3"/>
    <tableColumn id="7" xr3:uid="{A9CF2079-9530-4C22-A857-64D287225D51}" name="Column4"/>
    <tableColumn id="8" xr3:uid="{3480F16C-B392-4FAA-8EB4-510988299AE8}" name="Column5"/>
    <tableColumn id="9" xr3:uid="{DB9C9EAE-9BB5-4FB1-85FC-A1F763C01CE3}" name="Column6" dataDxfId="126">
      <calculatedColumnFormula>Table4[[#This Row],[Column1]]&amp;", "&amp;Table4[[#This Row],[Column2]]&amp;", "&amp;Table4[[#This Row],[Column3]]&amp;", "&amp;Table4[[#This Row],[Column4]]&amp;", "&amp;Table4[[#This Row],[Column5]]</calculatedColumnFormula>
    </tableColumn>
    <tableColumn id="10" xr3:uid="{99D301F1-DA94-48A1-A05C-213979E2FBA1}" name="Column7" dataDxfId="12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4" totalsRowShown="0">
  <autoFilter ref="B1:D74" xr:uid="{C7160497-FB2A-46BE-B598-99BC73E687A1}"/>
  <sortState xmlns:xlrd2="http://schemas.microsoft.com/office/spreadsheetml/2017/richdata2" ref="B57:D62">
    <sortCondition ref="C59:C74"/>
  </sortState>
  <tableColumns count="3">
    <tableColumn id="1" xr3:uid="{943F8942-DCB1-4E92-90EF-25CEB170E0E5}" name="State" dataDxfId="124"/>
    <tableColumn id="2" xr3:uid="{4855DDFF-B12E-434F-91CE-5F24B4B1325E}" name="Acronym" dataDxfId="123"/>
    <tableColumn id="3" xr3:uid="{4A00DAB0-F230-4449-BF42-BCCE59B8C1A0}" name="report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7A8EC0E-78B9-4A24-8AAE-8C217AF5087C}" name="Table11" displayName="Table11" ref="B1:D100" totalsRowShown="0" headerRowDxfId="122" dataDxfId="120" headerRowBorderDxfId="121" tableBorderDxfId="119">
  <autoFilter ref="B1:D100" xr:uid="{79D853A1-C55E-4B1A-9554-D1849183AF86}"/>
  <sortState xmlns:xlrd2="http://schemas.microsoft.com/office/spreadsheetml/2017/richdata2" ref="B2:D100">
    <sortCondition ref="D2:D100"/>
    <sortCondition ref="B2:B100"/>
    <sortCondition ref="C2:C100"/>
  </sortState>
  <tableColumns count="3">
    <tableColumn id="1" xr3:uid="{1A8463B7-A8E4-4659-8238-EC6DB12B5BA0}" name="State" dataDxfId="118"/>
    <tableColumn id="2" xr3:uid="{C9741FC6-C582-4A23-9CB1-AD0234F0287C}" name="Acronym" dataDxfId="117"/>
    <tableColumn id="3" xr3:uid="{D43D3176-44EF-4FAF-99A3-2FB89198A86A}" name="reporting" dataDxfId="1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FDEB21-06E3-475D-BBE7-3C9586890AB8}" name="Table12" displayName="Table12" ref="K2:L47" totalsRowShown="0" headerRowDxfId="115" dataDxfId="113" headerRowBorderDxfId="114">
  <autoFilter ref="K2:L47" xr:uid="{43508913-B5F6-4D3D-8F91-6EE2B881A4D1}"/>
  <sortState xmlns:xlrd2="http://schemas.microsoft.com/office/spreadsheetml/2017/richdata2" ref="K3:L47">
    <sortCondition ref="L2:L47"/>
  </sortState>
  <tableColumns count="2">
    <tableColumn id="1" xr3:uid="{9E25C265-87D2-4573-8EEE-DAC389185E6F}" name="Acronym" dataDxfId="112"/>
    <tableColumn id="2" xr3:uid="{1781BFD7-9D86-4950-8923-AA9879611C4C}" name="Type" dataDxfId="11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34:H48" totalsRowShown="0" headerRowDxfId="110" dataDxfId="108" totalsRowDxfId="107" headerRowBorderDxfId="109">
  <autoFilter ref="B34:H48"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106" totalsRowDxfId="105"/>
    <tableColumn id="2" xr3:uid="{00000000-0010-0000-0200-000002000000}" name="Partners " dataDxfId="104"/>
    <tableColumn id="3" xr3:uid="{00000000-0010-0000-0200-000003000000}" name="# of sites" dataDxfId="103" dataCellStyle="Comma"/>
    <tableColumn id="4" xr3:uid="{00000000-0010-0000-0200-000004000000}" name="Total population" dataDxfId="102" dataCellStyle="Comma"/>
    <tableColumn id="5" xr3:uid="{00000000-0010-0000-0200-000005000000}" name=" % _x000a_Water Gap" dataDxfId="101"/>
    <tableColumn id="6" xr3:uid="{00000000-0010-0000-0200-000006000000}" name=" %_x000a_ Sanitation Gap" dataDxfId="100"/>
    <tableColumn id="7" xr3:uid="{43887CA2-2ABC-4266-ACE9-C2109EC04876}" name="%  _x000a_Hygiene Gap" dataDxfId="99" totalsRowDxfId="98"/>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91E84C-CF95-419F-B9C3-8DE05DE946E5}" name="Table3" displayName="Table3" ref="B50:H54" totalsRowShown="0" headerRowDxfId="97" dataDxfId="95" headerRowBorderDxfId="96" tableBorderDxfId="94">
  <tableColumns count="7">
    <tableColumn id="1" xr3:uid="{A98AEB9C-B387-4C61-8145-A507F690BAC6}" name="Gap in WASH covered villages / township" dataDxfId="93"/>
    <tableColumn id="2" xr3:uid="{4BD8682D-5899-4781-A405-54CC3A03F989}" name="Partners " dataDxfId="92"/>
    <tableColumn id="3" xr3:uid="{99302724-D9B0-46A1-809F-4142D45DA7B2}" name="# of villages" dataDxfId="91"/>
    <tableColumn id="4" xr3:uid="{DC50B553-D54C-45DD-B06D-FC13E36C3554}" name="Total population" dataDxfId="90"/>
    <tableColumn id="5" xr3:uid="{9D12971F-D8CC-4D6E-98EC-A4F965AEF1D0}" name=" % _x000a_Water Gap" dataDxfId="89"/>
    <tableColumn id="6" xr3:uid="{24FE1E40-BC66-413E-A0D2-D1D1F440948D}" name=" %_x000a_ Sanitation Gap" dataDxfId="88"/>
    <tableColumn id="7" xr3:uid="{1A9FBEAB-0FF7-4AD2-B477-9562C837DE1A}" name="%  _x000a_Hygiene Gap" dataDxfId="8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H187" dT="2022-05-05T07:42:08.00" personId="{399628A3-4D26-4987-9D06-9886B04E9F7C}" id="{7CCD1736-E191-40E4-A3B9-9440656E3792}">
    <text>Including the data for AD 2000 extension</text>
  </threadedComment>
  <threadedComment ref="BW191" dT="2022-05-05T08:01:27.18" personId="{399628A3-4D26-4987-9D06-9886B04E9F7C}" id="{9DFE2248-F842-4415-AE9F-2D0D6BB7C151}">
    <text>0 complaint in Q1 2022</text>
  </threadedComment>
  <threadedComment ref="BW193" dT="2022-05-05T08:01:52.51" personId="{399628A3-4D26-4987-9D06-9886B04E9F7C}" id="{166C3F2B-8DD4-4111-B4CB-6E6840E6A666}">
    <text>0 complaint in Q1 2022</text>
  </threadedComment>
  <threadedComment ref="BW194" dT="2022-05-05T08:02:16.43" personId="{399628A3-4D26-4987-9D06-9886B04E9F7C}" id="{0931F8E0-00FD-41AC-A843-55D15D104565}">
    <text>0 complaint in Q1 2022</text>
  </threadedComment>
  <threadedComment ref="BW195" dT="2022-05-05T08:02:00.16" personId="{399628A3-4D26-4987-9D06-9886B04E9F7C}" id="{B2E05BA6-522C-4AA7-A89F-BFEF87C0C98A}">
    <text>0 complaint in Q1 2022</text>
  </threadedComment>
  <threadedComment ref="BW196" dT="2022-05-05T08:02:06.40" personId="{399628A3-4D26-4987-9D06-9886B04E9F7C}" id="{65E04F2E-5A22-49E1-957F-62B3216A4E4A}">
    <text>0 complaint in Q1 2022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printerSettings" Target="../printerSettings/printerSettings9.bin"/><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microsoft.com/office/2007/relationships/slicer" Target="../slicers/slicer1.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drawing" Target="../drawings/drawing8.xml"/><Relationship Id="rId8" Type="http://schemas.openxmlformats.org/officeDocument/2006/relationships/pivotTable" Target="../pivotTables/pivotTable12.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0.bin"/><Relationship Id="rId1" Type="http://schemas.openxmlformats.org/officeDocument/2006/relationships/pivotTable" Target="../pivotTables/pivotTable3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3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2.xml"/><Relationship Id="rId2" Type="http://schemas.openxmlformats.org/officeDocument/2006/relationships/pivotTable" Target="../pivotTables/pivotTable41.xml"/><Relationship Id="rId1" Type="http://schemas.openxmlformats.org/officeDocument/2006/relationships/pivotTable" Target="../pivotTables/pivotTable40.xml"/><Relationship Id="rId5" Type="http://schemas.openxmlformats.org/officeDocument/2006/relationships/table" Target="../tables/table7.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43.xml"/></Relationships>
</file>

<file path=xl/worksheets/_rels/sheet1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5.xml"/><Relationship Id="rId1" Type="http://schemas.openxmlformats.org/officeDocument/2006/relationships/pivotTable" Target="../pivotTables/pivotTable44.xml"/></Relationships>
</file>

<file path=xl/worksheets/_rels/sheet1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6.xml"/><Relationship Id="rId1" Type="http://schemas.openxmlformats.org/officeDocument/2006/relationships/pivotTable" Target="../pivotTables/pivotTable45.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9921875" defaultRowHeight="14.4"/>
  <cols>
    <col min="1" max="1" width="7.09765625" style="21" customWidth="1"/>
    <col min="2" max="2" width="2.19921875" style="21" customWidth="1"/>
    <col min="3" max="19" width="7.69921875" style="21"/>
    <col min="20" max="20" width="25.09765625" style="21" customWidth="1"/>
    <col min="21" max="16384" width="7.69921875" style="21"/>
  </cols>
  <sheetData>
    <row r="1" spans="2:20" ht="28.2" customHeight="1" thickBot="1"/>
    <row r="2" spans="2:20" s="22" customFormat="1" ht="35.700000000000003" customHeight="1" thickTop="1" thickBot="1">
      <c r="B2" s="1093" t="s">
        <v>79</v>
      </c>
      <c r="C2" s="1094"/>
      <c r="D2" s="1094"/>
      <c r="E2" s="1094"/>
      <c r="F2" s="1094"/>
      <c r="G2" s="1094"/>
      <c r="H2" s="1094"/>
      <c r="I2" s="1094"/>
      <c r="J2" s="1094"/>
      <c r="K2" s="1094"/>
      <c r="L2" s="1094"/>
      <c r="M2" s="1094"/>
      <c r="N2" s="1094"/>
      <c r="O2" s="1094"/>
      <c r="P2" s="1094"/>
      <c r="Q2" s="1094"/>
      <c r="R2" s="1094"/>
      <c r="S2" s="1094"/>
      <c r="T2" s="1095"/>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096" t="s">
        <v>2139</v>
      </c>
      <c r="E26" s="1097"/>
      <c r="F26" s="1097"/>
      <c r="G26" s="1097"/>
      <c r="H26" s="1097"/>
      <c r="I26" s="1097"/>
      <c r="J26" s="1097"/>
      <c r="K26" s="1097"/>
      <c r="L26" s="1097"/>
      <c r="M26" s="1097"/>
      <c r="N26" s="1097"/>
      <c r="O26" s="1097"/>
      <c r="P26" s="1097"/>
      <c r="Q26" s="1097"/>
      <c r="R26" s="1097"/>
      <c r="S26" s="1097"/>
      <c r="T26" s="1098"/>
    </row>
    <row r="27" spans="2:20">
      <c r="B27" s="23"/>
      <c r="C27" s="24"/>
      <c r="D27" s="87" t="s">
        <v>1527</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403" t="s">
        <v>2140</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7" t="s">
        <v>1529</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82"/>
  <sheetViews>
    <sheetView showGridLines="0" zoomScale="76" zoomScaleNormal="76" workbookViewId="0">
      <selection activeCell="J20" sqref="J20"/>
    </sheetView>
  </sheetViews>
  <sheetFormatPr defaultColWidth="10.3984375" defaultRowHeight="14.4"/>
  <cols>
    <col min="1" max="1" width="10.3984375" style="94"/>
    <col min="2" max="2" width="15.296875" style="94" customWidth="1"/>
    <col min="3" max="3" width="19.19921875" style="94" customWidth="1"/>
    <col min="4" max="7" width="10.3984375" style="94"/>
    <col min="8" max="8" width="18.296875" style="94" customWidth="1"/>
    <col min="9" max="9" width="14.8984375" style="94" customWidth="1"/>
    <col min="10" max="10" width="16.5" style="94" customWidth="1"/>
    <col min="11" max="21" width="10.3984375" style="94"/>
    <col min="22" max="22" width="43.69921875" style="94" bestFit="1" customWidth="1"/>
    <col min="23" max="23" width="25.3984375" style="94" bestFit="1" customWidth="1"/>
    <col min="24" max="16384" width="10.3984375" style="94"/>
  </cols>
  <sheetData>
    <row r="2" spans="1:42" s="121" customFormat="1" ht="18">
      <c r="A2" s="93" t="s">
        <v>1575</v>
      </c>
      <c r="B2" s="93"/>
      <c r="C2" s="93"/>
      <c r="D2" s="93"/>
      <c r="E2" s="93"/>
      <c r="F2" s="93"/>
      <c r="G2" s="93"/>
      <c r="H2" s="93"/>
      <c r="I2" s="93"/>
      <c r="J2" s="93"/>
      <c r="K2" s="93"/>
      <c r="L2" s="93"/>
      <c r="M2" s="93"/>
      <c r="N2" s="93"/>
      <c r="O2" s="93"/>
      <c r="P2" s="93"/>
      <c r="Q2" s="93"/>
      <c r="R2" s="93"/>
      <c r="S2" s="93"/>
      <c r="T2" s="93"/>
      <c r="U2" s="93"/>
      <c r="V2" s="93"/>
      <c r="W2" s="93"/>
      <c r="X2" s="93"/>
      <c r="Y2" s="93"/>
      <c r="Z2" s="93"/>
    </row>
    <row r="3" spans="1:42">
      <c r="C3" s="95"/>
      <c r="K3" s="95"/>
      <c r="R3" s="95"/>
    </row>
    <row r="4" spans="1:42">
      <c r="C4" s="96"/>
      <c r="D4" s="97"/>
      <c r="E4" s="97"/>
      <c r="F4" s="97"/>
      <c r="G4" s="98"/>
    </row>
    <row r="5" spans="1:42" ht="15.6">
      <c r="B5" s="1022" t="s">
        <v>20</v>
      </c>
      <c r="C5" s="1023" t="s">
        <v>2786</v>
      </c>
      <c r="I5" s="1084" t="s">
        <v>20</v>
      </c>
      <c r="J5" s="1085" t="s">
        <v>2786</v>
      </c>
      <c r="O5" s="493"/>
      <c r="AL5"/>
      <c r="AM5"/>
    </row>
    <row r="6" spans="1:42" ht="15.6">
      <c r="B6" s="1022" t="s">
        <v>34</v>
      </c>
      <c r="C6" s="1023" t="s">
        <v>34</v>
      </c>
      <c r="I6" s="1084" t="s">
        <v>34</v>
      </c>
      <c r="J6" s="1085" t="s">
        <v>34</v>
      </c>
      <c r="O6" s="493"/>
      <c r="AL6" s="364"/>
      <c r="AM6" s="364"/>
      <c r="AN6" s="364"/>
    </row>
    <row r="7" spans="1:42" ht="15.6">
      <c r="B7" s="1036" t="s">
        <v>21</v>
      </c>
      <c r="C7" s="1023" t="s">
        <v>37</v>
      </c>
      <c r="I7" s="1092" t="s">
        <v>21</v>
      </c>
      <c r="J7" s="1085" t="s">
        <v>515</v>
      </c>
      <c r="O7" s="493"/>
      <c r="AL7" s="364"/>
      <c r="AM7" s="364"/>
      <c r="AN7" s="364"/>
    </row>
    <row r="8" spans="1:42" ht="15.6">
      <c r="B8" s="1022" t="s">
        <v>134</v>
      </c>
      <c r="C8" s="1023" t="s">
        <v>1284</v>
      </c>
      <c r="I8" s="1084" t="s">
        <v>134</v>
      </c>
      <c r="J8" s="1085" t="s">
        <v>1099</v>
      </c>
      <c r="O8" s="493"/>
      <c r="AE8" s="151"/>
      <c r="AL8" s="364"/>
      <c r="AM8" s="364"/>
      <c r="AN8" s="364"/>
    </row>
    <row r="9" spans="1:42" s="99" customFormat="1" ht="15.6">
      <c r="B9" s="101"/>
      <c r="C9" s="94"/>
      <c r="D9" s="151" t="s">
        <v>43</v>
      </c>
      <c r="E9" s="94"/>
      <c r="F9" s="94"/>
      <c r="I9" s="364"/>
      <c r="J9" s="94"/>
      <c r="K9" s="151" t="s">
        <v>43</v>
      </c>
      <c r="L9" s="94"/>
      <c r="M9" s="94"/>
      <c r="O9" s="94"/>
      <c r="P9" s="151"/>
      <c r="Q9" s="94"/>
      <c r="R9" s="94"/>
      <c r="S9" s="94"/>
      <c r="AE9"/>
      <c r="AF9"/>
      <c r="AG9"/>
      <c r="AH9" s="401"/>
      <c r="AI9" s="378"/>
      <c r="AJ9" s="378"/>
      <c r="AK9" s="379"/>
      <c r="AL9" s="366"/>
      <c r="AM9" s="366"/>
      <c r="AN9" s="366"/>
      <c r="AO9" s="378"/>
      <c r="AP9" s="378"/>
    </row>
    <row r="10" spans="1:42" s="99" customFormat="1" ht="15.6">
      <c r="B10" s="1024" t="s">
        <v>22</v>
      </c>
      <c r="C10" s="1023" t="s">
        <v>2610</v>
      </c>
      <c r="D10" s="1034" t="s">
        <v>1485</v>
      </c>
      <c r="E10" s="1023" t="s">
        <v>2142</v>
      </c>
      <c r="F10" s="1023" t="s">
        <v>2143</v>
      </c>
      <c r="G10" s="1023" t="s">
        <v>2144</v>
      </c>
      <c r="I10" s="1086" t="s">
        <v>1283</v>
      </c>
      <c r="J10" s="1085" t="s">
        <v>2610</v>
      </c>
      <c r="K10" s="1087" t="s">
        <v>1485</v>
      </c>
      <c r="L10" s="1085" t="s">
        <v>2142</v>
      </c>
      <c r="M10" s="1085" t="s">
        <v>2143</v>
      </c>
      <c r="N10" s="1085" t="s">
        <v>2145</v>
      </c>
      <c r="O10"/>
      <c r="P10"/>
      <c r="Q10"/>
      <c r="R10"/>
      <c r="S10" s="427"/>
      <c r="T10" s="379"/>
      <c r="U10" s="379"/>
      <c r="V10" s="379"/>
      <c r="W10" s="379"/>
      <c r="X10" s="379"/>
      <c r="Y10" s="379"/>
      <c r="Z10" s="379"/>
      <c r="AA10" s="379"/>
      <c r="AB10" s="379"/>
      <c r="AC10" s="379"/>
      <c r="AD10" s="379"/>
      <c r="AE10" s="427"/>
      <c r="AF10" s="427"/>
      <c r="AG10" s="427"/>
      <c r="AH10" s="427"/>
      <c r="AI10" s="427"/>
      <c r="AJ10" s="427"/>
      <c r="AK10" s="379"/>
      <c r="AL10" s="427"/>
      <c r="AM10" s="427"/>
      <c r="AN10" s="427"/>
      <c r="AO10" s="427"/>
      <c r="AP10" s="427"/>
    </row>
    <row r="11" spans="1:42" ht="15.6">
      <c r="B11" s="1025" t="s">
        <v>195</v>
      </c>
      <c r="C11" s="1026">
        <v>9</v>
      </c>
      <c r="D11" s="1035">
        <v>6976</v>
      </c>
      <c r="E11" s="1027">
        <v>0</v>
      </c>
      <c r="F11" s="1027">
        <v>0.24068233944954132</v>
      </c>
      <c r="G11" s="1027">
        <v>0.32927178899082565</v>
      </c>
      <c r="I11" s="1088" t="s">
        <v>961</v>
      </c>
      <c r="J11" s="1089">
        <v>1</v>
      </c>
      <c r="K11" s="1090">
        <v>103</v>
      </c>
      <c r="L11" s="1091">
        <v>0</v>
      </c>
      <c r="M11" s="1091">
        <v>0</v>
      </c>
      <c r="N11" s="1091">
        <v>1</v>
      </c>
      <c r="O11"/>
      <c r="P11"/>
      <c r="Q11"/>
      <c r="R11"/>
      <c r="S11"/>
      <c r="U11" s="159"/>
      <c r="AE11"/>
      <c r="AF11"/>
      <c r="AG11"/>
      <c r="AH11"/>
      <c r="AI11"/>
      <c r="AJ11"/>
      <c r="AL11" s="364"/>
      <c r="AM11" s="364"/>
      <c r="AN11" s="364"/>
      <c r="AO11"/>
      <c r="AP11"/>
    </row>
    <row r="12" spans="1:42" ht="15.6">
      <c r="B12" s="1025" t="s">
        <v>146</v>
      </c>
      <c r="C12" s="1026">
        <v>3</v>
      </c>
      <c r="D12" s="1035">
        <v>2526</v>
      </c>
      <c r="E12" s="1027">
        <v>0.48297703879651621</v>
      </c>
      <c r="F12" s="1027">
        <v>0.30958036421219315</v>
      </c>
      <c r="G12" s="1027">
        <v>8.1551860649247798E-2</v>
      </c>
      <c r="I12" s="1088" t="s">
        <v>1285</v>
      </c>
      <c r="J12" s="1089">
        <v>1</v>
      </c>
      <c r="K12" s="1090">
        <v>103</v>
      </c>
      <c r="L12" s="1091">
        <v>0</v>
      </c>
      <c r="M12" s="1091">
        <v>0</v>
      </c>
      <c r="N12" s="1091">
        <v>1</v>
      </c>
      <c r="O12"/>
      <c r="P12"/>
      <c r="Q12"/>
      <c r="R12"/>
      <c r="S12"/>
      <c r="U12" s="364"/>
      <c r="AE12"/>
      <c r="AF12"/>
      <c r="AG12"/>
      <c r="AH12"/>
      <c r="AI12"/>
      <c r="AJ12"/>
      <c r="AL12" s="364"/>
      <c r="AM12" s="364"/>
      <c r="AN12" s="364"/>
      <c r="AO12"/>
      <c r="AP12"/>
    </row>
    <row r="13" spans="1:42" ht="15.6">
      <c r="B13" s="1025" t="s">
        <v>148</v>
      </c>
      <c r="C13" s="1026">
        <v>19</v>
      </c>
      <c r="D13" s="1035">
        <v>3807</v>
      </c>
      <c r="E13" s="1027">
        <v>0.19893179231240687</v>
      </c>
      <c r="F13" s="1027">
        <v>0.20698712897294458</v>
      </c>
      <c r="G13" s="1027">
        <v>6.6719201470974543E-2</v>
      </c>
      <c r="I13"/>
      <c r="J13"/>
      <c r="K13"/>
      <c r="L13"/>
      <c r="M13"/>
      <c r="N13"/>
      <c r="O13"/>
      <c r="P13"/>
      <c r="Q13"/>
      <c r="R13"/>
      <c r="S13"/>
      <c r="U13" s="364"/>
      <c r="AB13"/>
      <c r="AE13"/>
      <c r="AF13"/>
      <c r="AG13"/>
      <c r="AH13"/>
      <c r="AI13"/>
      <c r="AJ13"/>
      <c r="AL13" s="364"/>
      <c r="AM13" s="364"/>
      <c r="AN13" s="364"/>
      <c r="AO13"/>
      <c r="AP13"/>
    </row>
    <row r="14" spans="1:42" ht="15.6">
      <c r="B14" s="1025" t="s">
        <v>587</v>
      </c>
      <c r="C14" s="1026">
        <v>1</v>
      </c>
      <c r="D14" s="1035">
        <v>591</v>
      </c>
      <c r="E14" s="1027">
        <v>0</v>
      </c>
      <c r="F14" s="1027">
        <v>0</v>
      </c>
      <c r="G14" s="1027">
        <v>0</v>
      </c>
      <c r="I14"/>
      <c r="J14"/>
      <c r="K14"/>
      <c r="L14"/>
      <c r="M14"/>
      <c r="N14"/>
      <c r="O14"/>
      <c r="P14"/>
      <c r="Q14"/>
      <c r="R14"/>
      <c r="S14"/>
      <c r="U14" s="364"/>
      <c r="AB14"/>
      <c r="AE14"/>
      <c r="AF14"/>
      <c r="AG14"/>
      <c r="AH14"/>
      <c r="AI14"/>
      <c r="AJ14"/>
      <c r="AL14" s="364"/>
      <c r="AM14" s="364"/>
      <c r="AN14" s="364"/>
      <c r="AO14"/>
      <c r="AP14"/>
    </row>
    <row r="15" spans="1:42" ht="15.6">
      <c r="B15" s="1025" t="s">
        <v>38</v>
      </c>
      <c r="C15" s="1026">
        <v>10</v>
      </c>
      <c r="D15" s="1035">
        <v>12473</v>
      </c>
      <c r="E15" s="1027">
        <v>0.28619150698842832</v>
      </c>
      <c r="F15" s="1027">
        <v>0.196664795959272</v>
      </c>
      <c r="G15" s="1027">
        <v>0.10687084101659583</v>
      </c>
      <c r="I15"/>
      <c r="J15"/>
      <c r="K15"/>
      <c r="L15"/>
      <c r="M15"/>
      <c r="N15"/>
      <c r="O15"/>
      <c r="P15"/>
      <c r="Q15"/>
      <c r="R15"/>
      <c r="S15"/>
      <c r="U15" s="364"/>
      <c r="AA15"/>
      <c r="AB15"/>
      <c r="AE15"/>
      <c r="AF15"/>
      <c r="AG15"/>
      <c r="AH15"/>
      <c r="AI15"/>
      <c r="AJ15"/>
      <c r="AL15" s="364"/>
      <c r="AM15" s="364"/>
      <c r="AN15" s="364"/>
      <c r="AO15"/>
      <c r="AP15"/>
    </row>
    <row r="16" spans="1:42" ht="15.6">
      <c r="B16" s="1025" t="s">
        <v>152</v>
      </c>
      <c r="C16" s="1026">
        <v>8</v>
      </c>
      <c r="D16" s="1035">
        <v>1666</v>
      </c>
      <c r="E16" s="1027">
        <v>0</v>
      </c>
      <c r="F16" s="1027">
        <v>0.30252100840336138</v>
      </c>
      <c r="G16" s="1027">
        <v>0.21668667466986791</v>
      </c>
      <c r="I16"/>
      <c r="J16"/>
      <c r="K16"/>
      <c r="L16"/>
      <c r="M16"/>
      <c r="N16"/>
      <c r="O16"/>
      <c r="P16"/>
      <c r="Q16"/>
      <c r="R16"/>
      <c r="S16"/>
      <c r="U16" s="364"/>
      <c r="AA16"/>
      <c r="AB16"/>
      <c r="AE16"/>
      <c r="AF16"/>
      <c r="AG16"/>
      <c r="AH16"/>
      <c r="AI16"/>
      <c r="AJ16"/>
      <c r="AL16" s="364"/>
      <c r="AM16" s="364"/>
      <c r="AN16" s="364"/>
      <c r="AO16"/>
      <c r="AP16"/>
    </row>
    <row r="17" spans="1:42" ht="15.6">
      <c r="B17" s="1025" t="s">
        <v>157</v>
      </c>
      <c r="C17" s="1026">
        <v>2</v>
      </c>
      <c r="D17" s="1035">
        <v>198</v>
      </c>
      <c r="E17" s="1027">
        <v>0</v>
      </c>
      <c r="F17" s="1027">
        <v>0.65656565656565657</v>
      </c>
      <c r="G17" s="1027">
        <v>0.65656565656565657</v>
      </c>
      <c r="I17"/>
      <c r="J17"/>
      <c r="K17"/>
      <c r="L17"/>
      <c r="M17"/>
      <c r="N17"/>
      <c r="O17"/>
      <c r="P17"/>
      <c r="Q17"/>
      <c r="R17"/>
      <c r="S17"/>
      <c r="AA17"/>
      <c r="AB17"/>
      <c r="AE17"/>
      <c r="AF17"/>
      <c r="AG17"/>
      <c r="AH17"/>
      <c r="AI17"/>
      <c r="AJ17"/>
      <c r="AL17" s="364"/>
      <c r="AM17" s="364"/>
      <c r="AN17" s="364"/>
      <c r="AO17"/>
      <c r="AP17"/>
    </row>
    <row r="18" spans="1:42" ht="15.6">
      <c r="B18" s="1025" t="s">
        <v>205</v>
      </c>
      <c r="C18" s="1026">
        <v>20</v>
      </c>
      <c r="D18" s="1035">
        <v>34325</v>
      </c>
      <c r="E18" s="1027">
        <v>0.64236950716193242</v>
      </c>
      <c r="F18" s="1027">
        <v>0.38219956300072833</v>
      </c>
      <c r="G18" s="1027">
        <v>0.46263656227239625</v>
      </c>
      <c r="I18"/>
      <c r="J18"/>
      <c r="K18"/>
      <c r="L18"/>
      <c r="M18"/>
      <c r="N18"/>
      <c r="O18"/>
      <c r="P18"/>
      <c r="Q18"/>
      <c r="R18"/>
      <c r="S18"/>
      <c r="AA18"/>
      <c r="AB18"/>
      <c r="AE18"/>
      <c r="AF18"/>
      <c r="AG18"/>
      <c r="AL18" s="364"/>
      <c r="AM18" s="364"/>
      <c r="AN18" s="364"/>
      <c r="AO18"/>
      <c r="AP18"/>
    </row>
    <row r="19" spans="1:42" ht="15.6">
      <c r="B19" s="1025" t="s">
        <v>159</v>
      </c>
      <c r="C19" s="1026">
        <v>25</v>
      </c>
      <c r="D19" s="1035">
        <v>11566</v>
      </c>
      <c r="E19" s="1027">
        <v>0</v>
      </c>
      <c r="F19" s="1027">
        <v>0.2860107210790247</v>
      </c>
      <c r="G19" s="1027">
        <v>0.47942244509770016</v>
      </c>
      <c r="I19"/>
      <c r="J19"/>
      <c r="K19"/>
      <c r="L19"/>
      <c r="M19"/>
      <c r="N19"/>
      <c r="O19"/>
      <c r="P19"/>
      <c r="Q19"/>
      <c r="R19"/>
      <c r="S19"/>
      <c r="AA19"/>
      <c r="AB19"/>
      <c r="AE19"/>
      <c r="AF19"/>
      <c r="AG19"/>
      <c r="AL19"/>
      <c r="AM19"/>
    </row>
    <row r="20" spans="1:42" ht="15.6">
      <c r="B20" s="1025" t="s">
        <v>214</v>
      </c>
      <c r="C20" s="1026">
        <v>3</v>
      </c>
      <c r="D20" s="1035">
        <v>1879</v>
      </c>
      <c r="E20" s="1027">
        <v>0</v>
      </c>
      <c r="F20" s="1027">
        <v>0.72112825971261307</v>
      </c>
      <c r="G20" s="1027">
        <v>0.84034060670569455</v>
      </c>
      <c r="I20"/>
      <c r="J20"/>
      <c r="K20"/>
      <c r="L20"/>
      <c r="M20"/>
      <c r="N20"/>
      <c r="P20" s="421"/>
      <c r="Q20" s="421"/>
      <c r="R20"/>
      <c r="S20"/>
      <c r="T20"/>
      <c r="AA20"/>
      <c r="AB20"/>
      <c r="AE20"/>
      <c r="AF20"/>
      <c r="AG20"/>
      <c r="AL20"/>
      <c r="AM20"/>
    </row>
    <row r="21" spans="1:42" ht="15.6">
      <c r="B21" s="1025" t="s">
        <v>184</v>
      </c>
      <c r="C21" s="1026">
        <v>2</v>
      </c>
      <c r="D21" s="1035">
        <v>676</v>
      </c>
      <c r="E21" s="1027">
        <v>0</v>
      </c>
      <c r="F21" s="1027">
        <v>0</v>
      </c>
      <c r="G21" s="1027">
        <v>0.52218934911242609</v>
      </c>
      <c r="I21"/>
      <c r="J21"/>
      <c r="K21"/>
      <c r="L21"/>
      <c r="M21"/>
      <c r="N21"/>
      <c r="P21" s="421"/>
      <c r="Q21" s="421"/>
      <c r="R21"/>
      <c r="S21"/>
      <c r="T21"/>
      <c r="U21"/>
      <c r="AA21"/>
      <c r="AB21"/>
      <c r="AE21"/>
      <c r="AF21"/>
      <c r="AG21"/>
      <c r="AL21"/>
      <c r="AM21"/>
    </row>
    <row r="22" spans="1:42" ht="15.6">
      <c r="B22" s="1025" t="s">
        <v>863</v>
      </c>
      <c r="C22" s="1026">
        <v>3</v>
      </c>
      <c r="D22" s="1035">
        <v>1276</v>
      </c>
      <c r="E22" s="1027">
        <v>9.7178683385579889E-2</v>
      </c>
      <c r="F22" s="1027">
        <v>0.62147335423197492</v>
      </c>
      <c r="G22" s="1027">
        <v>0.37852664576802508</v>
      </c>
      <c r="P22" s="421"/>
      <c r="Q22" s="421"/>
      <c r="R22" s="364"/>
      <c r="AA22"/>
      <c r="AB22"/>
      <c r="AE22"/>
      <c r="AF22"/>
      <c r="AG22"/>
      <c r="AL22"/>
      <c r="AM22"/>
    </row>
    <row r="23" spans="1:42" ht="15.6">
      <c r="B23" s="1025" t="s">
        <v>142</v>
      </c>
      <c r="C23" s="1026">
        <v>25</v>
      </c>
      <c r="D23" s="1035">
        <v>29185</v>
      </c>
      <c r="E23" s="1027">
        <v>0.52893609731026214</v>
      </c>
      <c r="F23" s="1027">
        <v>0.30991947918451257</v>
      </c>
      <c r="G23" s="1027">
        <v>0.38375878019530585</v>
      </c>
      <c r="I23" s="418"/>
      <c r="J23" s="418"/>
      <c r="K23" s="418"/>
      <c r="L23" s="418"/>
      <c r="M23" s="418"/>
      <c r="N23" s="418"/>
      <c r="O23" s="418"/>
      <c r="P23" s="418"/>
      <c r="Q23" s="421"/>
      <c r="R23" s="364"/>
      <c r="AA23"/>
      <c r="AB23"/>
      <c r="AF23"/>
      <c r="AG23"/>
      <c r="AL23"/>
      <c r="AM23"/>
    </row>
    <row r="24" spans="1:42" ht="15.6">
      <c r="B24" s="1025" t="s">
        <v>1285</v>
      </c>
      <c r="C24" s="1026">
        <v>130</v>
      </c>
      <c r="D24" s="1035">
        <v>107144</v>
      </c>
      <c r="E24" s="1027">
        <v>0.40279748127131088</v>
      </c>
      <c r="F24" s="1027">
        <v>0.31691928619428056</v>
      </c>
      <c r="G24" s="1027">
        <v>0.36979205555140748</v>
      </c>
      <c r="I24" s="418"/>
      <c r="J24" s="418"/>
      <c r="K24" s="418"/>
      <c r="L24" s="418"/>
      <c r="M24" s="418"/>
      <c r="N24" s="418"/>
      <c r="O24" s="418"/>
      <c r="P24" s="418"/>
      <c r="Q24" s="421"/>
      <c r="R24" s="364"/>
      <c r="AF24"/>
      <c r="AG24"/>
      <c r="AL24"/>
      <c r="AM24"/>
    </row>
    <row r="25" spans="1:42" ht="15.6">
      <c r="A25" s="421"/>
      <c r="B25"/>
      <c r="C25"/>
      <c r="D25"/>
      <c r="E25"/>
      <c r="F25"/>
      <c r="G25"/>
      <c r="H25" s="421"/>
      <c r="I25" s="418"/>
      <c r="J25" s="418"/>
      <c r="K25" s="418"/>
      <c r="L25" s="418"/>
      <c r="M25" s="418"/>
      <c r="N25" s="418"/>
      <c r="O25" s="418"/>
      <c r="P25" s="418"/>
      <c r="Q25" s="421"/>
      <c r="R25" s="364"/>
      <c r="S25" s="151"/>
      <c r="AA25" s="378"/>
      <c r="AB25" s="378"/>
      <c r="AE25" s="378"/>
      <c r="AF25" s="366"/>
      <c r="AG25" s="366"/>
      <c r="AH25" s="378"/>
      <c r="AI25" s="378"/>
      <c r="AJ25" s="378"/>
      <c r="AK25" s="378"/>
      <c r="AL25" s="366"/>
      <c r="AM25" s="366"/>
      <c r="AN25" s="378"/>
      <c r="AO25" s="378"/>
      <c r="AP25" s="378"/>
    </row>
    <row r="26" spans="1:42" ht="15.6">
      <c r="A26" s="421"/>
      <c r="B26" s="421"/>
      <c r="C26" s="421"/>
      <c r="D26" s="421"/>
      <c r="E26" s="421"/>
      <c r="F26" s="421"/>
      <c r="G26" s="421"/>
      <c r="H26" s="421"/>
      <c r="I26" s="418"/>
      <c r="J26" s="418"/>
      <c r="K26" s="418"/>
      <c r="L26" s="418"/>
      <c r="M26" s="418"/>
      <c r="N26" s="418"/>
      <c r="O26" s="418"/>
      <c r="P26" s="418"/>
      <c r="Q26" s="421"/>
      <c r="R26" s="366"/>
      <c r="S26" s="366"/>
      <c r="T26" s="366"/>
      <c r="U26" s="366"/>
      <c r="AA26" s="378"/>
      <c r="AB26" s="378"/>
      <c r="AC26" s="366"/>
      <c r="AD26" s="366"/>
      <c r="AE26" s="378"/>
      <c r="AF26" s="366"/>
      <c r="AG26" s="366"/>
      <c r="AH26" s="378"/>
      <c r="AI26" s="378"/>
      <c r="AJ26" s="378"/>
      <c r="AK26" s="378"/>
      <c r="AL26" s="366"/>
      <c r="AM26" s="366"/>
      <c r="AN26" s="378"/>
      <c r="AO26" s="378"/>
      <c r="AP26" s="378"/>
    </row>
    <row r="27" spans="1:42" s="104" customFormat="1" ht="18">
      <c r="A27" s="417"/>
      <c r="B27" s="509"/>
      <c r="C27" s="509"/>
      <c r="D27" s="510"/>
      <c r="E27" s="511"/>
      <c r="F27" s="511"/>
      <c r="G27" s="511"/>
      <c r="H27" s="419"/>
      <c r="I27" s="418"/>
      <c r="J27" s="418"/>
      <c r="K27" s="418"/>
      <c r="L27" s="418"/>
      <c r="M27" s="418"/>
      <c r="N27" s="418"/>
      <c r="O27" s="418"/>
      <c r="P27" s="418"/>
      <c r="Q27" s="418"/>
      <c r="R27" s="418"/>
      <c r="S27" s="418"/>
      <c r="T27" s="418"/>
      <c r="U27" s="418"/>
      <c r="V27" s="418"/>
      <c r="W27" s="418"/>
      <c r="X27" s="418"/>
      <c r="Y27" s="418"/>
      <c r="Z27" s="418"/>
      <c r="AC27" s="439"/>
      <c r="AF27" s="439"/>
      <c r="AL27" s="439"/>
      <c r="AM27" s="439"/>
    </row>
    <row r="28" spans="1:42" s="104" customFormat="1" ht="18">
      <c r="A28" s="417"/>
      <c r="B28" s="509"/>
      <c r="C28" s="509"/>
      <c r="D28" s="510"/>
      <c r="E28" s="511"/>
      <c r="F28" s="511"/>
      <c r="G28" s="511"/>
      <c r="H28" s="419"/>
      <c r="O28" s="418"/>
      <c r="P28" s="418"/>
      <c r="Q28" s="418"/>
      <c r="R28" s="418"/>
      <c r="S28" s="418"/>
      <c r="T28" s="418"/>
      <c r="U28" s="418"/>
      <c r="V28" s="418"/>
      <c r="W28" s="418"/>
      <c r="X28" s="418"/>
      <c r="Y28" s="418"/>
      <c r="Z28" s="418"/>
      <c r="AC28" s="439"/>
      <c r="AF28" s="439"/>
      <c r="AL28" s="439"/>
      <c r="AM28" s="439"/>
    </row>
    <row r="29" spans="1:42" ht="18">
      <c r="A29" s="146" t="s">
        <v>1583</v>
      </c>
      <c r="B29" s="414"/>
      <c r="C29" s="414"/>
      <c r="D29" s="414"/>
      <c r="E29" s="414"/>
      <c r="F29" s="414"/>
      <c r="G29" s="414"/>
      <c r="H29" s="414"/>
      <c r="I29" s="415"/>
      <c r="J29" s="416"/>
      <c r="K29" s="416"/>
      <c r="L29" s="416"/>
      <c r="M29" s="102"/>
      <c r="N29" s="102"/>
      <c r="O29" s="102"/>
      <c r="P29" s="102"/>
      <c r="Q29" s="102"/>
      <c r="R29" s="102"/>
      <c r="S29" s="102"/>
      <c r="T29" s="102"/>
      <c r="U29" s="102"/>
      <c r="V29" s="102"/>
      <c r="W29" s="102"/>
      <c r="X29" s="102"/>
      <c r="Y29" s="102"/>
      <c r="Z29" s="102"/>
      <c r="AC29" s="364"/>
      <c r="AF29" s="364"/>
      <c r="AL29" s="364"/>
      <c r="AM29" s="364"/>
    </row>
    <row r="30" spans="1:42" ht="15.6">
      <c r="B30"/>
      <c r="C30"/>
      <c r="D30"/>
      <c r="E30"/>
      <c r="F30"/>
      <c r="G30"/>
      <c r="AC30"/>
      <c r="AF30"/>
      <c r="AL30"/>
      <c r="AM30"/>
    </row>
    <row r="31" spans="1:42" ht="15.6">
      <c r="B31"/>
      <c r="C31"/>
      <c r="D31"/>
      <c r="E31"/>
      <c r="F31"/>
      <c r="R31" s="738"/>
      <c r="S31" s="738"/>
      <c r="AC31"/>
      <c r="AL31"/>
      <c r="AM31"/>
    </row>
    <row r="32" spans="1:42" ht="15.6">
      <c r="B32"/>
      <c r="C32"/>
      <c r="D32"/>
      <c r="E32"/>
      <c r="F32"/>
      <c r="R32" s="421"/>
      <c r="S32" s="421"/>
      <c r="AC32"/>
      <c r="AL32"/>
    </row>
    <row r="33" spans="2:38" ht="15.6">
      <c r="B33" s="1022" t="s">
        <v>20</v>
      </c>
      <c r="C33" s="1023" t="s">
        <v>2786</v>
      </c>
      <c r="I33" s="1022" t="s">
        <v>20</v>
      </c>
      <c r="J33" s="1023" t="s">
        <v>2786</v>
      </c>
      <c r="R33" s="738"/>
      <c r="S33" s="738"/>
      <c r="AC33"/>
      <c r="AL33"/>
    </row>
    <row r="34" spans="2:38" ht="15.6">
      <c r="B34" s="1036" t="s">
        <v>21</v>
      </c>
      <c r="C34" s="1036" t="s">
        <v>37</v>
      </c>
      <c r="I34" s="1036" t="s">
        <v>21</v>
      </c>
      <c r="J34" s="1023" t="s">
        <v>515</v>
      </c>
      <c r="R34" s="738"/>
      <c r="S34" s="738"/>
      <c r="AC34"/>
      <c r="AL34"/>
    </row>
    <row r="35" spans="2:38" ht="15.6">
      <c r="B35" s="1022" t="s">
        <v>34</v>
      </c>
      <c r="C35" s="1023" t="s">
        <v>34</v>
      </c>
      <c r="I35" s="1022" t="s">
        <v>34</v>
      </c>
      <c r="J35" s="1023" t="s">
        <v>34</v>
      </c>
      <c r="AC35"/>
      <c r="AL35"/>
    </row>
    <row r="36" spans="2:38" ht="15.6">
      <c r="B36" s="1022" t="s">
        <v>134</v>
      </c>
      <c r="C36" s="1023" t="s">
        <v>1284</v>
      </c>
      <c r="I36" s="1022" t="s">
        <v>134</v>
      </c>
      <c r="J36" s="1023" t="s">
        <v>1284</v>
      </c>
      <c r="R36"/>
      <c r="S36"/>
      <c r="T36"/>
      <c r="U36"/>
      <c r="V36" s="378"/>
      <c r="W36" s="378"/>
      <c r="X36" s="378"/>
      <c r="Y36" s="378"/>
      <c r="Z36" s="378"/>
      <c r="AA36" s="378"/>
      <c r="AB36" s="378"/>
      <c r="AC36" s="378"/>
      <c r="AD36" s="378"/>
      <c r="AE36" s="378"/>
      <c r="AF36" s="378"/>
      <c r="AG36" s="378"/>
      <c r="AH36" s="378"/>
      <c r="AI36" s="378"/>
      <c r="AJ36" s="378"/>
      <c r="AK36" s="378"/>
      <c r="AL36" s="427"/>
    </row>
    <row r="37" spans="2:38" ht="15.6">
      <c r="R37"/>
      <c r="S37"/>
      <c r="T37"/>
      <c r="U37"/>
      <c r="AL37"/>
    </row>
    <row r="38" spans="2:38" ht="15.6">
      <c r="B38" s="1024" t="s">
        <v>1283</v>
      </c>
      <c r="C38" s="1023" t="s">
        <v>1290</v>
      </c>
      <c r="D38" s="1023" t="s">
        <v>1291</v>
      </c>
      <c r="E38"/>
      <c r="I38" s="1024" t="s">
        <v>1283</v>
      </c>
      <c r="J38" s="1023" t="s">
        <v>1290</v>
      </c>
      <c r="K38" s="1023" t="s">
        <v>1291</v>
      </c>
      <c r="L38"/>
      <c r="R38"/>
      <c r="S38"/>
      <c r="T38"/>
      <c r="U38"/>
      <c r="AL38"/>
    </row>
    <row r="39" spans="2:38" ht="15.6">
      <c r="B39" s="1025" t="s">
        <v>2887</v>
      </c>
      <c r="C39" s="1035">
        <v>46799</v>
      </c>
      <c r="D39" s="1035">
        <v>14257.000000000002</v>
      </c>
      <c r="E39"/>
      <c r="I39" s="1025" t="s">
        <v>2887</v>
      </c>
      <c r="J39" s="1035">
        <v>9688.3333333333321</v>
      </c>
      <c r="K39" s="1035">
        <v>680.66666666666663</v>
      </c>
      <c r="L39"/>
    </row>
    <row r="40" spans="2:38" ht="15.6">
      <c r="B40" s="1025" t="s">
        <v>2888</v>
      </c>
      <c r="C40" s="1035">
        <v>17187.666666666668</v>
      </c>
      <c r="D40" s="1035">
        <v>28900.333333333336</v>
      </c>
      <c r="E40"/>
      <c r="I40"/>
      <c r="J40"/>
      <c r="K40"/>
      <c r="P40"/>
      <c r="Q40"/>
      <c r="R40"/>
    </row>
    <row r="41" spans="2:38" ht="15.6">
      <c r="B41"/>
      <c r="C41"/>
      <c r="D41"/>
      <c r="E41" s="101"/>
      <c r="F41" s="101"/>
      <c r="G41" s="101"/>
      <c r="H41" s="101"/>
      <c r="I41"/>
      <c r="J41"/>
      <c r="K41"/>
    </row>
    <row r="42" spans="2:38" ht="15.6">
      <c r="F42" s="101"/>
      <c r="G42" s="101"/>
      <c r="H42" s="101"/>
      <c r="I42"/>
      <c r="J42"/>
      <c r="K42"/>
    </row>
    <row r="46" spans="2:38">
      <c r="B46" s="101"/>
      <c r="C46" s="101"/>
      <c r="D46" s="101"/>
      <c r="F46" s="473"/>
      <c r="G46" s="101"/>
      <c r="H46" s="101"/>
      <c r="J46" s="101"/>
      <c r="K46" s="101"/>
      <c r="L46" s="101"/>
    </row>
    <row r="47" spans="2:38">
      <c r="B47" s="101"/>
      <c r="C47" s="101"/>
      <c r="D47" s="101"/>
      <c r="F47" s="101"/>
      <c r="G47" s="101"/>
      <c r="H47" s="101"/>
      <c r="J47" s="101"/>
      <c r="K47" s="101"/>
      <c r="L47" s="101"/>
    </row>
    <row r="48" spans="2:38" ht="15.6">
      <c r="B48"/>
      <c r="C48"/>
      <c r="D48" s="101"/>
      <c r="E48" s="161" t="s">
        <v>1715</v>
      </c>
      <c r="F48" s="101"/>
      <c r="G48" s="101"/>
      <c r="P48"/>
      <c r="Q48"/>
      <c r="R48" s="101"/>
      <c r="S48" s="161" t="s">
        <v>1715</v>
      </c>
      <c r="T48" s="101"/>
    </row>
    <row r="49" spans="1:39">
      <c r="B49" s="1022" t="s">
        <v>34</v>
      </c>
      <c r="C49" s="1023" t="s">
        <v>34</v>
      </c>
      <c r="D49" s="101"/>
      <c r="F49" s="101"/>
      <c r="G49" s="101"/>
      <c r="P49" s="1022" t="s">
        <v>34</v>
      </c>
      <c r="Q49" s="1023" t="s">
        <v>34</v>
      </c>
      <c r="R49" s="101"/>
      <c r="T49" s="101"/>
    </row>
    <row r="50" spans="1:39">
      <c r="B50" s="1022" t="s">
        <v>134</v>
      </c>
      <c r="C50" s="1023" t="s">
        <v>1284</v>
      </c>
      <c r="D50" s="101"/>
      <c r="F50" s="101"/>
      <c r="G50" s="101"/>
      <c r="P50" s="1022" t="s">
        <v>134</v>
      </c>
      <c r="Q50" s="1023" t="s">
        <v>1284</v>
      </c>
      <c r="R50" s="101"/>
      <c r="T50" s="101"/>
    </row>
    <row r="51" spans="1:39" ht="15" thickBot="1">
      <c r="B51" s="101"/>
      <c r="C51" s="101"/>
      <c r="D51" s="101"/>
      <c r="F51" s="101"/>
      <c r="G51" s="101"/>
      <c r="P51" s="101"/>
      <c r="Q51" s="101"/>
      <c r="R51" s="101"/>
      <c r="S51" s="1180" t="s">
        <v>138</v>
      </c>
      <c r="T51" s="1181"/>
      <c r="W51" s="1182" t="s">
        <v>2168</v>
      </c>
      <c r="X51" s="1183"/>
    </row>
    <row r="52" spans="1:39" ht="29.4" thickBot="1">
      <c r="B52" s="1024" t="s">
        <v>21</v>
      </c>
      <c r="C52" s="1023" t="s">
        <v>2362</v>
      </c>
      <c r="D52" s="1023" t="s">
        <v>2363</v>
      </c>
      <c r="E52"/>
      <c r="F52"/>
      <c r="G52" s="101"/>
      <c r="H52" s="452" t="s">
        <v>21</v>
      </c>
      <c r="I52" s="409" t="s">
        <v>1480</v>
      </c>
      <c r="J52" s="410" t="s">
        <v>1512</v>
      </c>
      <c r="K52" s="410" t="s">
        <v>1511</v>
      </c>
      <c r="P52" s="1024" t="s">
        <v>21</v>
      </c>
      <c r="Q52" s="1023" t="s">
        <v>2375</v>
      </c>
      <c r="R52" s="1023" t="s">
        <v>2365</v>
      </c>
      <c r="S52"/>
      <c r="T52"/>
      <c r="U52" s="378"/>
      <c r="V52" s="452" t="s">
        <v>21</v>
      </c>
      <c r="W52" s="409" t="s">
        <v>1480</v>
      </c>
      <c r="X52" s="410" t="s">
        <v>1512</v>
      </c>
      <c r="Y52" s="410" t="s">
        <v>2153</v>
      </c>
      <c r="AB52" s="378"/>
      <c r="AC52" s="378"/>
      <c r="AD52" s="378"/>
      <c r="AE52" s="378"/>
      <c r="AF52" s="378"/>
      <c r="AG52" s="378"/>
      <c r="AH52" s="378"/>
      <c r="AI52" s="378"/>
      <c r="AJ52" s="378"/>
      <c r="AK52" s="378"/>
      <c r="AL52" s="378"/>
      <c r="AM52" s="378"/>
    </row>
    <row r="53" spans="1:39" ht="15.6">
      <c r="B53" s="1025" t="s">
        <v>37</v>
      </c>
      <c r="C53" s="1026"/>
      <c r="D53" s="1026"/>
      <c r="E53"/>
      <c r="F53"/>
      <c r="G53" s="101"/>
      <c r="H53" s="115" t="s">
        <v>37</v>
      </c>
      <c r="I53" s="412">
        <f>GETPIVOTDATA("# of sites",$B$10)</f>
        <v>130</v>
      </c>
      <c r="J53" s="412">
        <f>GETPIVOTDATA("[Measures].[Distinct Count of Site Name]",$H$63,"[WWWW].[State]","[WWWW].[State].&amp;[Kachin]")</f>
        <v>33</v>
      </c>
      <c r="K53" s="412">
        <f>I53-J53</f>
        <v>97</v>
      </c>
      <c r="P53" s="1025" t="s">
        <v>37</v>
      </c>
      <c r="Q53" s="1026"/>
      <c r="R53" s="1026"/>
      <c r="S53"/>
      <c r="T53"/>
      <c r="V53" s="115" t="s">
        <v>37</v>
      </c>
      <c r="W53" s="412">
        <f>I53</f>
        <v>130</v>
      </c>
      <c r="X53" s="412">
        <f>GETPIVOTDATA("[Measures].[Distinct Count of Site Name]",$V$61,"[WWWW].[State]","[WWWW].[State].&amp;[Kachin]")</f>
        <v>15</v>
      </c>
      <c r="Y53" s="412">
        <f>W53-X53</f>
        <v>115</v>
      </c>
    </row>
    <row r="54" spans="1:39" ht="15.6">
      <c r="B54" s="1030" t="s">
        <v>2785</v>
      </c>
      <c r="C54" s="1026">
        <v>46</v>
      </c>
      <c r="D54" s="1026">
        <v>31</v>
      </c>
      <c r="E54"/>
      <c r="F54"/>
      <c r="G54" s="101"/>
      <c r="H54" s="116" t="s">
        <v>515</v>
      </c>
      <c r="I54" s="413">
        <f>GETPIVOTDATA("# of sites",$I$10)</f>
        <v>1</v>
      </c>
      <c r="J54" s="413">
        <v>0</v>
      </c>
      <c r="K54" s="413">
        <f>I54-J54</f>
        <v>1</v>
      </c>
      <c r="P54" s="1030" t="s">
        <v>2785</v>
      </c>
      <c r="Q54" s="1026">
        <v>100</v>
      </c>
      <c r="R54" s="1026">
        <v>71</v>
      </c>
      <c r="S54"/>
      <c r="T54"/>
      <c r="V54" s="116" t="s">
        <v>515</v>
      </c>
      <c r="W54" s="413">
        <v>34</v>
      </c>
      <c r="X54" s="413">
        <v>0</v>
      </c>
      <c r="Y54" s="412">
        <f>W54-X54</f>
        <v>34</v>
      </c>
    </row>
    <row r="55" spans="1:39" ht="16.2" thickBot="1">
      <c r="B55" s="1030" t="s">
        <v>2786</v>
      </c>
      <c r="C55" s="1026">
        <v>140</v>
      </c>
      <c r="D55" s="1026">
        <v>99</v>
      </c>
      <c r="E55"/>
      <c r="F55"/>
      <c r="G55" s="101"/>
      <c r="H55" s="115"/>
      <c r="I55" s="412"/>
      <c r="J55" s="412"/>
      <c r="K55" s="412"/>
      <c r="P55" s="1030" t="s">
        <v>2786</v>
      </c>
      <c r="Q55" s="1026">
        <v>181</v>
      </c>
      <c r="R55" s="1026">
        <v>163</v>
      </c>
      <c r="S55"/>
      <c r="T55"/>
      <c r="V55" s="115"/>
      <c r="W55" s="412"/>
      <c r="X55" s="412"/>
      <c r="Y55" s="412"/>
    </row>
    <row r="56" spans="1:39" ht="16.2" thickBot="1">
      <c r="B56" s="1025" t="s">
        <v>1489</v>
      </c>
      <c r="C56" s="1026">
        <v>186</v>
      </c>
      <c r="D56" s="1026">
        <v>130</v>
      </c>
      <c r="E56"/>
      <c r="F56"/>
      <c r="H56" s="408" t="s">
        <v>1285</v>
      </c>
      <c r="I56" s="451">
        <f>SUM(I53:I55)</f>
        <v>131</v>
      </c>
      <c r="J56" s="451">
        <f>SUM(J53:J55)</f>
        <v>33</v>
      </c>
      <c r="K56" s="451">
        <f>I56-J56</f>
        <v>98</v>
      </c>
      <c r="P56" s="1025" t="s">
        <v>1489</v>
      </c>
      <c r="Q56" s="1026">
        <v>281</v>
      </c>
      <c r="R56" s="1026">
        <v>234</v>
      </c>
      <c r="S56"/>
      <c r="T56"/>
    </row>
    <row r="57" spans="1:39" ht="15" thickBot="1">
      <c r="A57" s="101"/>
      <c r="B57" s="1025" t="s">
        <v>515</v>
      </c>
      <c r="C57" s="1026"/>
      <c r="D57" s="1026"/>
      <c r="P57" s="1025" t="s">
        <v>515</v>
      </c>
      <c r="Q57" s="1026"/>
      <c r="R57" s="1026"/>
    </row>
    <row r="58" spans="1:39" ht="16.2" thickBot="1">
      <c r="A58" s="101"/>
      <c r="B58" s="1030" t="s">
        <v>2785</v>
      </c>
      <c r="C58" s="1026"/>
      <c r="D58" s="1026"/>
      <c r="P58" s="1030" t="s">
        <v>2785</v>
      </c>
      <c r="Q58" s="1026"/>
      <c r="R58" s="1026"/>
      <c r="V58" s="427" t="s">
        <v>34</v>
      </c>
      <c r="W58" s="421" t="s" vm="1">
        <v>34</v>
      </c>
      <c r="Y58" s="1043" t="s">
        <v>37</v>
      </c>
      <c r="Z58" s="410" t="s">
        <v>2154</v>
      </c>
      <c r="AA58" s="411" t="s">
        <v>2155</v>
      </c>
    </row>
    <row r="59" spans="1:39" ht="16.2" thickBot="1">
      <c r="A59" s="101"/>
      <c r="B59" s="1030" t="s">
        <v>2786</v>
      </c>
      <c r="C59" s="1026"/>
      <c r="D59" s="1026"/>
      <c r="H59"/>
      <c r="I59"/>
      <c r="P59" s="1030" t="s">
        <v>2786</v>
      </c>
      <c r="Q59" s="1026"/>
      <c r="R59" s="1026"/>
      <c r="V59" s="427" t="s">
        <v>2291</v>
      </c>
      <c r="W59" s="421" t="s" vm="3">
        <v>1284</v>
      </c>
      <c r="Y59" s="1041" t="s">
        <v>2785</v>
      </c>
      <c r="Z59" s="412">
        <f>GETPIVOTDATA("Sum of #_Household water samples tested for fecal coliform",$P$52,"Reporting Period","2022_Q1","State","Kachin")</f>
        <v>100</v>
      </c>
      <c r="AA59" s="412">
        <f>GETPIVOTDATA("Sum of #_Household passed",$P$52,"Reporting Period","2022_Q1","State","Kachin")</f>
        <v>71</v>
      </c>
    </row>
    <row r="60" spans="1:39" ht="16.2" thickBot="1">
      <c r="A60" s="101"/>
      <c r="B60" s="1025" t="s">
        <v>2087</v>
      </c>
      <c r="C60" s="1026"/>
      <c r="D60" s="1026"/>
      <c r="H60" s="427" t="s">
        <v>34</v>
      </c>
      <c r="I60" s="421" t="s" vm="1">
        <v>34</v>
      </c>
      <c r="K60" s="410" t="s">
        <v>37</v>
      </c>
      <c r="L60" s="410" t="s">
        <v>2152</v>
      </c>
      <c r="M60" s="411" t="s">
        <v>2364</v>
      </c>
      <c r="P60" s="1025" t="s">
        <v>2087</v>
      </c>
      <c r="Q60" s="1026"/>
      <c r="R60" s="1026"/>
      <c r="Y60" s="1042" t="s">
        <v>2786</v>
      </c>
      <c r="Z60" s="413">
        <f>GETPIVOTDATA("Sum of #_Household water samples tested for fecal coliform",$P$52,"Reporting Period","2022_Q2","State","Kachin")</f>
        <v>181</v>
      </c>
      <c r="AA60" s="450">
        <f>GETPIVOTDATA("Sum of #_Household passed",$P$52,"Reporting Period","2022_Q2","State","Kachin")</f>
        <v>163</v>
      </c>
    </row>
    <row r="61" spans="1:39" ht="16.2" thickBot="1">
      <c r="A61" s="101"/>
      <c r="B61" s="1025" t="s">
        <v>1285</v>
      </c>
      <c r="C61" s="1026">
        <v>186</v>
      </c>
      <c r="D61" s="1026">
        <v>130</v>
      </c>
      <c r="H61" s="427" t="s">
        <v>2442</v>
      </c>
      <c r="I61" s="421" t="s" vm="2">
        <v>1284</v>
      </c>
      <c r="K61" s="412" t="s">
        <v>2785</v>
      </c>
      <c r="L61" s="412">
        <f>GETPIVOTDATA("Sum of #_Water sources tested for fecal coliform ",$B$52,"Reporting Period","2022_Q1","State","Kachin")</f>
        <v>46</v>
      </c>
      <c r="M61" s="412">
        <f>GETPIVOTDATA("Sum of #_Water sources passed",$B$52,"Reporting Period","2022_Q1","State","Kachin")</f>
        <v>31</v>
      </c>
      <c r="P61" s="1025" t="s">
        <v>1285</v>
      </c>
      <c r="Q61" s="1026">
        <v>281</v>
      </c>
      <c r="R61" s="1026">
        <v>234</v>
      </c>
      <c r="V61" s="427" t="s">
        <v>1283</v>
      </c>
      <c r="W61" t="s">
        <v>2443</v>
      </c>
      <c r="Y61" s="1043" t="s">
        <v>515</v>
      </c>
      <c r="Z61" s="410" t="s">
        <v>2154</v>
      </c>
      <c r="AA61" s="411" t="s">
        <v>2155</v>
      </c>
    </row>
    <row r="62" spans="1:39" ht="16.2" thickBot="1">
      <c r="A62" s="101"/>
      <c r="B62" s="101"/>
      <c r="C62" s="101"/>
      <c r="D62" s="101"/>
      <c r="K62" s="413" t="s">
        <v>2786</v>
      </c>
      <c r="L62" s="413">
        <f>GETPIVOTDATA("Sum of #_Water sources tested for fecal coliform ",$B$52,"Reporting Period","2022_Q2","State","Kachin")</f>
        <v>140</v>
      </c>
      <c r="M62" s="450">
        <f>GETPIVOTDATA("Sum of #_Water sources passed",$B$52,"Reporting Period","2022_Q2","State","Kachin")</f>
        <v>99</v>
      </c>
      <c r="V62" s="492" t="s">
        <v>37</v>
      </c>
      <c r="W62" s="420">
        <v>15</v>
      </c>
      <c r="Y62" s="1041" t="s">
        <v>2785</v>
      </c>
      <c r="Z62" s="1044">
        <f>GETPIVOTDATA("Sum of #_Household water samples tested for fecal coliform",$P$52,"Reporting Period","2022_Q1","State","Shan (North)")</f>
        <v>0</v>
      </c>
      <c r="AA62" s="1045">
        <f>GETPIVOTDATA("Sum of #_Household passed",$P$52,"Reporting Period","2022_Q1","State","Shan (North)")</f>
        <v>0</v>
      </c>
    </row>
    <row r="63" spans="1:39" ht="16.2" thickBot="1">
      <c r="A63" s="101"/>
      <c r="B63" s="101"/>
      <c r="C63" s="101"/>
      <c r="D63" s="101"/>
      <c r="H63" s="427" t="s">
        <v>1283</v>
      </c>
      <c r="I63" t="s">
        <v>2443</v>
      </c>
      <c r="J63"/>
      <c r="K63" s="451"/>
      <c r="L63" s="451">
        <f>SUM(L61:L62)</f>
        <v>186</v>
      </c>
      <c r="M63" s="451">
        <f>SUM(M61:M62)</f>
        <v>130</v>
      </c>
      <c r="V63" s="492" t="s">
        <v>1285</v>
      </c>
      <c r="W63" s="420">
        <v>15</v>
      </c>
      <c r="Y63" s="1042" t="s">
        <v>2786</v>
      </c>
      <c r="Z63" s="1046">
        <f>GETPIVOTDATA("Sum of #_Household water samples tested for fecal coliform",$P$52,"Reporting Period","2022_Q2","State","Shan (North)")</f>
        <v>0</v>
      </c>
      <c r="AA63" s="1046">
        <f>GETPIVOTDATA("Sum of #_Household passed",$P$52,"Reporting Period","2022_Q2","State","Shan (North)")</f>
        <v>0</v>
      </c>
    </row>
    <row r="64" spans="1:39" ht="16.2" thickBot="1">
      <c r="A64" s="101"/>
      <c r="B64" s="101"/>
      <c r="C64" s="101"/>
      <c r="D64" s="101"/>
      <c r="H64" s="492" t="s">
        <v>37</v>
      </c>
      <c r="I64" s="420">
        <v>33</v>
      </c>
      <c r="J64"/>
      <c r="K64" s="116" t="s">
        <v>515</v>
      </c>
      <c r="L64" s="410" t="s">
        <v>2152</v>
      </c>
      <c r="M64" s="411" t="s">
        <v>2364</v>
      </c>
      <c r="V64"/>
      <c r="W64"/>
    </row>
    <row r="65" spans="1:15" ht="15.6">
      <c r="A65" s="101"/>
      <c r="B65" s="101"/>
      <c r="C65" s="101"/>
      <c r="D65" s="101"/>
      <c r="H65" s="492" t="s">
        <v>1285</v>
      </c>
      <c r="I65" s="420">
        <v>33</v>
      </c>
      <c r="J65"/>
      <c r="K65" s="1041" t="s">
        <v>2785</v>
      </c>
      <c r="L65" s="412">
        <f>GETPIVOTDATA("Sum of #_Water sources tested for fecal coliform ",$B$52,"Reporting Period","2022_Q1","State","Shan (North)")</f>
        <v>0</v>
      </c>
      <c r="M65" s="412">
        <f>GETPIVOTDATA("Sum of #_Water sources passed",$B$52,"Reporting Period","2022_Q1","State","Shan (North)")</f>
        <v>0</v>
      </c>
    </row>
    <row r="66" spans="1:15" ht="16.2" thickBot="1">
      <c r="A66" s="101"/>
      <c r="B66" s="101"/>
      <c r="C66" s="101"/>
      <c r="D66" s="101"/>
      <c r="H66"/>
      <c r="I66"/>
      <c r="J66"/>
      <c r="K66" s="1042" t="s">
        <v>2786</v>
      </c>
      <c r="L66" s="413">
        <f>GETPIVOTDATA("Sum of #_Water sources tested for fecal coliform ",$B$52,"Reporting Period","2022_Q2","State","Shan (North)")</f>
        <v>0</v>
      </c>
      <c r="M66" s="450">
        <f>GETPIVOTDATA("Sum of #_Water sources passed",$B$52,"Reporting Period","2022_Q2","State","Shan (North)")</f>
        <v>0</v>
      </c>
    </row>
    <row r="67" spans="1:15" ht="15" thickBot="1">
      <c r="A67" s="101"/>
      <c r="B67" s="101"/>
      <c r="C67" s="101"/>
      <c r="D67" s="101"/>
      <c r="H67" s="698"/>
      <c r="I67" s="698"/>
      <c r="J67" s="101"/>
      <c r="K67" s="451"/>
      <c r="L67" s="451">
        <f>SUM(L65:L66)</f>
        <v>0</v>
      </c>
      <c r="M67" s="451">
        <f>SUM(M65:M66)</f>
        <v>0</v>
      </c>
    </row>
    <row r="68" spans="1:15">
      <c r="A68" s="101"/>
      <c r="B68" s="101"/>
      <c r="C68" s="101"/>
      <c r="D68" s="101"/>
      <c r="E68" s="101"/>
      <c r="F68" s="101"/>
      <c r="G68" s="101"/>
      <c r="H68" s="698"/>
      <c r="I68" s="698"/>
      <c r="J68" s="101"/>
    </row>
    <row r="69" spans="1:15">
      <c r="A69" s="101"/>
      <c r="B69" s="101"/>
      <c r="C69" s="101"/>
      <c r="D69" s="101"/>
      <c r="E69" s="101"/>
      <c r="F69" s="101"/>
      <c r="G69" s="101"/>
      <c r="H69" s="698"/>
      <c r="I69" s="698"/>
      <c r="J69" s="101"/>
    </row>
    <row r="70" spans="1:15">
      <c r="A70" s="101"/>
      <c r="B70" s="101"/>
      <c r="C70" s="101"/>
      <c r="D70" s="101"/>
      <c r="E70" s="101"/>
      <c r="F70" s="101"/>
      <c r="G70" s="101"/>
      <c r="H70" s="101"/>
      <c r="I70" s="101"/>
      <c r="J70" s="101"/>
    </row>
    <row r="71" spans="1:15" ht="15.6">
      <c r="A71" s="101"/>
      <c r="B71" s="101"/>
      <c r="C71" s="101"/>
      <c r="D71" s="101"/>
      <c r="E71" s="97"/>
      <c r="F71" s="97"/>
      <c r="G71" s="98"/>
      <c r="H71"/>
      <c r="I71"/>
      <c r="J71"/>
      <c r="K71" s="378"/>
      <c r="L71" s="378"/>
      <c r="M71" s="378"/>
      <c r="N71" s="378"/>
      <c r="O71" s="378"/>
    </row>
    <row r="72" spans="1:15" s="104" customFormat="1" ht="15.6">
      <c r="B72" s="105"/>
      <c r="C72" s="106"/>
      <c r="D72" s="106"/>
      <c r="E72" s="107"/>
      <c r="F72" s="107"/>
      <c r="G72" s="108"/>
      <c r="H72"/>
      <c r="I72"/>
      <c r="J72"/>
    </row>
    <row r="73" spans="1:15" s="104" customFormat="1" ht="15.6">
      <c r="B73" s="105"/>
      <c r="C73" s="106"/>
      <c r="D73" s="106"/>
      <c r="E73" s="107"/>
      <c r="F73" s="107"/>
      <c r="G73" s="108"/>
      <c r="H73"/>
      <c r="I73"/>
      <c r="J73"/>
    </row>
    <row r="74" spans="1:15" s="104" customFormat="1" ht="15.6">
      <c r="B74" s="105"/>
      <c r="C74" s="106"/>
      <c r="D74" s="106"/>
      <c r="E74" s="107"/>
      <c r="F74" s="107"/>
      <c r="G74" s="108"/>
      <c r="H74"/>
      <c r="I74"/>
      <c r="J74"/>
    </row>
    <row r="75" spans="1:15" s="104" customFormat="1" ht="15.6">
      <c r="B75" s="1022" t="s">
        <v>20</v>
      </c>
      <c r="C75" s="1023" t="s">
        <v>2786</v>
      </c>
      <c r="D75" s="106"/>
      <c r="E75" s="107"/>
      <c r="F75" s="107"/>
      <c r="G75" s="108"/>
      <c r="H75"/>
      <c r="I75"/>
      <c r="J75"/>
      <c r="M75" s="383"/>
      <c r="N75" s="383"/>
      <c r="O75" s="106"/>
    </row>
    <row r="76" spans="1:15" s="104" customFormat="1" ht="15.6">
      <c r="B76" s="1022" t="s">
        <v>34</v>
      </c>
      <c r="C76" s="1023" t="s">
        <v>34</v>
      </c>
      <c r="D76" s="101"/>
      <c r="E76" s="107"/>
      <c r="F76" s="107"/>
      <c r="G76" s="108"/>
      <c r="H76"/>
      <c r="I76"/>
      <c r="J76"/>
      <c r="M76" s="383"/>
      <c r="N76" s="383"/>
      <c r="O76" s="384"/>
    </row>
    <row r="77" spans="1:15" s="104" customFormat="1" ht="15.6">
      <c r="B77" s="1024" t="s">
        <v>21</v>
      </c>
      <c r="C77" s="1023" t="s">
        <v>37</v>
      </c>
      <c r="D77" s="101"/>
      <c r="E77" s="107"/>
      <c r="F77" s="107"/>
      <c r="G77" s="108"/>
      <c r="H77"/>
      <c r="I77"/>
      <c r="J77"/>
      <c r="M77" s="385"/>
      <c r="N77" s="383"/>
      <c r="O77" s="384"/>
    </row>
    <row r="78" spans="1:15" s="104" customFormat="1" ht="15.6">
      <c r="B78" s="1022" t="s">
        <v>134</v>
      </c>
      <c r="C78" s="1023" t="s">
        <v>1284</v>
      </c>
      <c r="D78" s="101"/>
      <c r="E78" s="107"/>
      <c r="F78" s="107"/>
      <c r="G78" s="108"/>
      <c r="H78"/>
      <c r="I78"/>
      <c r="J78"/>
      <c r="M78" s="383"/>
      <c r="N78" s="383"/>
      <c r="O78" s="384"/>
    </row>
    <row r="79" spans="1:15" s="104" customFormat="1" ht="15.6">
      <c r="B79" s="380"/>
      <c r="C79" s="101"/>
      <c r="D79" s="101"/>
      <c r="E79" s="107"/>
      <c r="F79" s="107"/>
      <c r="G79" s="108"/>
      <c r="H79"/>
      <c r="I79"/>
      <c r="J79"/>
      <c r="M79" s="386"/>
      <c r="N79" s="384"/>
      <c r="O79" s="384"/>
    </row>
    <row r="80" spans="1:15" s="104" customFormat="1" ht="15.6">
      <c r="B80" s="1028" t="s">
        <v>21</v>
      </c>
      <c r="C80" s="1023" t="s">
        <v>2146</v>
      </c>
      <c r="D80" s="1023" t="s">
        <v>2142</v>
      </c>
      <c r="E80"/>
      <c r="F80" s="107"/>
      <c r="G80" s="108"/>
      <c r="H80"/>
      <c r="I80"/>
      <c r="J80"/>
      <c r="M80" s="368"/>
      <c r="N80" s="368"/>
      <c r="O80" s="368"/>
    </row>
    <row r="81" spans="2:16" s="104" customFormat="1" ht="15.6">
      <c r="B81" s="1025" t="s">
        <v>195</v>
      </c>
      <c r="C81" s="1027">
        <v>1</v>
      </c>
      <c r="D81" s="1027">
        <v>0</v>
      </c>
      <c r="E81"/>
      <c r="F81" s="107"/>
      <c r="G81" s="108"/>
      <c r="M81" s="368"/>
      <c r="N81" s="368"/>
      <c r="O81" s="368"/>
    </row>
    <row r="82" spans="2:16" s="104" customFormat="1" ht="15.6">
      <c r="B82" s="1025" t="s">
        <v>146</v>
      </c>
      <c r="C82" s="1027">
        <v>0.51702296120348379</v>
      </c>
      <c r="D82" s="1027">
        <v>0.48297703879651621</v>
      </c>
      <c r="E82"/>
      <c r="F82" s="107"/>
      <c r="G82" s="108"/>
      <c r="M82" s="368"/>
      <c r="N82" s="368"/>
      <c r="O82" s="368"/>
    </row>
    <row r="83" spans="2:16" s="104" customFormat="1" ht="15.6">
      <c r="B83" s="1025" t="s">
        <v>148</v>
      </c>
      <c r="C83" s="1027">
        <v>0.80106820768759313</v>
      </c>
      <c r="D83" s="1027">
        <v>0.19893179231240687</v>
      </c>
      <c r="E83"/>
      <c r="F83" s="107"/>
      <c r="G83" s="108"/>
      <c r="M83" s="368"/>
      <c r="N83" s="368"/>
      <c r="O83" s="368"/>
    </row>
    <row r="84" spans="2:16" s="104" customFormat="1" ht="15.6">
      <c r="B84" s="1025" t="s">
        <v>38</v>
      </c>
      <c r="C84" s="1027">
        <v>0.71380849301157168</v>
      </c>
      <c r="D84" s="1027">
        <v>0.28619150698842832</v>
      </c>
      <c r="E84"/>
      <c r="F84" s="107"/>
      <c r="G84" s="108"/>
      <c r="M84"/>
      <c r="N84"/>
      <c r="O84"/>
    </row>
    <row r="85" spans="2:16" s="104" customFormat="1" ht="15.6">
      <c r="B85" s="1025" t="s">
        <v>152</v>
      </c>
      <c r="C85" s="1027">
        <v>1</v>
      </c>
      <c r="D85" s="1027">
        <v>0</v>
      </c>
      <c r="E85"/>
      <c r="F85" s="107"/>
      <c r="G85" s="108"/>
      <c r="M85"/>
      <c r="N85"/>
      <c r="O85"/>
    </row>
    <row r="86" spans="2:16" s="104" customFormat="1" ht="15.6">
      <c r="B86" s="1025" t="s">
        <v>157</v>
      </c>
      <c r="C86" s="1027">
        <v>1</v>
      </c>
      <c r="D86" s="1027">
        <v>0</v>
      </c>
      <c r="E86"/>
      <c r="F86" s="107"/>
      <c r="G86" s="108"/>
      <c r="M86"/>
      <c r="N86"/>
      <c r="O86"/>
    </row>
    <row r="87" spans="2:16" s="104" customFormat="1" ht="15.6">
      <c r="B87" s="1025" t="s">
        <v>205</v>
      </c>
      <c r="C87" s="1027">
        <v>0.35763049283806753</v>
      </c>
      <c r="D87" s="1027">
        <v>0.64236950716193242</v>
      </c>
      <c r="E87"/>
      <c r="F87" s="107"/>
      <c r="G87" s="108"/>
      <c r="M87"/>
      <c r="N87"/>
      <c r="O87"/>
    </row>
    <row r="88" spans="2:16" s="104" customFormat="1" ht="15.6">
      <c r="B88" s="1025" t="s">
        <v>159</v>
      </c>
      <c r="C88" s="1027">
        <v>1</v>
      </c>
      <c r="D88" s="1027">
        <v>0</v>
      </c>
      <c r="E88"/>
      <c r="F88" s="107"/>
      <c r="G88" s="108"/>
      <c r="M88"/>
      <c r="N88"/>
      <c r="O88"/>
    </row>
    <row r="89" spans="2:16" s="104" customFormat="1" ht="15.6">
      <c r="B89" s="1025" t="s">
        <v>214</v>
      </c>
      <c r="C89" s="1027">
        <v>1</v>
      </c>
      <c r="D89" s="1027">
        <v>0</v>
      </c>
      <c r="E89"/>
      <c r="F89" s="107"/>
      <c r="G89" s="108"/>
      <c r="M89"/>
      <c r="N89"/>
      <c r="O89"/>
    </row>
    <row r="90" spans="2:16" s="104" customFormat="1" ht="15.6">
      <c r="B90" s="1025" t="s">
        <v>184</v>
      </c>
      <c r="C90" s="1027">
        <v>1</v>
      </c>
      <c r="D90" s="1027">
        <v>0</v>
      </c>
      <c r="E90"/>
      <c r="F90" s="107"/>
      <c r="G90" s="108"/>
    </row>
    <row r="91" spans="2:16" s="104" customFormat="1" ht="15.6">
      <c r="B91" s="1025" t="s">
        <v>863</v>
      </c>
      <c r="C91" s="1027">
        <v>0.90282131661442011</v>
      </c>
      <c r="D91" s="1027">
        <v>9.7178683385579889E-2</v>
      </c>
      <c r="E91"/>
      <c r="F91" s="107"/>
      <c r="G91" s="108"/>
      <c r="M91"/>
      <c r="N91"/>
      <c r="O91"/>
    </row>
    <row r="92" spans="2:16" s="104" customFormat="1" ht="15.6">
      <c r="B92" s="1025" t="s">
        <v>142</v>
      </c>
      <c r="C92" s="1027">
        <v>0.47106390268973786</v>
      </c>
      <c r="D92" s="1027">
        <v>0.52893609731026214</v>
      </c>
      <c r="E92"/>
      <c r="F92" s="107"/>
      <c r="G92" s="108"/>
      <c r="M92"/>
      <c r="N92"/>
      <c r="O92"/>
    </row>
    <row r="93" spans="2:16" s="104" customFormat="1" ht="15.6">
      <c r="B93" s="1025" t="s">
        <v>587</v>
      </c>
      <c r="C93" s="1027">
        <v>1</v>
      </c>
      <c r="D93" s="1027">
        <v>0</v>
      </c>
      <c r="E93" s="107"/>
      <c r="F93" s="107"/>
      <c r="G93" s="108"/>
      <c r="M93"/>
      <c r="N93"/>
      <c r="O93"/>
    </row>
    <row r="94" spans="2:16" s="104" customFormat="1" ht="15.6">
      <c r="B94"/>
      <c r="C94"/>
      <c r="D94"/>
      <c r="E94" s="107"/>
      <c r="F94" s="107"/>
      <c r="G94" s="108"/>
    </row>
    <row r="95" spans="2:16" s="104" customFormat="1" ht="15.6">
      <c r="B95"/>
      <c r="C95"/>
      <c r="D95"/>
      <c r="E95" s="107"/>
      <c r="F95" s="107"/>
      <c r="G95" s="108"/>
      <c r="K95" s="453"/>
      <c r="L95" s="453"/>
      <c r="M95" s="106"/>
    </row>
    <row r="96" spans="2:16" s="104" customFormat="1" ht="15.6">
      <c r="B96" s="1022" t="s">
        <v>20</v>
      </c>
      <c r="C96" s="1023" t="s">
        <v>2786</v>
      </c>
      <c r="D96" s="106"/>
      <c r="E96" s="107"/>
      <c r="F96" s="107"/>
      <c r="G96" s="108"/>
      <c r="I96" s="421"/>
      <c r="J96" s="421"/>
      <c r="K96" s="421"/>
      <c r="L96" s="421"/>
      <c r="M96" s="421"/>
      <c r="N96" s="421"/>
      <c r="O96" s="421"/>
      <c r="P96" s="421"/>
    </row>
    <row r="97" spans="2:25" s="104" customFormat="1" ht="15.6">
      <c r="B97" s="1022" t="s">
        <v>34</v>
      </c>
      <c r="C97" s="1023" t="s">
        <v>34</v>
      </c>
      <c r="D97" s="101"/>
      <c r="E97" s="107"/>
      <c r="F97" s="107"/>
      <c r="G97" s="108"/>
      <c r="I97" s="421"/>
      <c r="J97" s="421"/>
      <c r="K97" s="421"/>
      <c r="L97" s="421"/>
      <c r="M97" s="421"/>
      <c r="N97" s="421"/>
      <c r="O97" s="421"/>
      <c r="P97" s="421"/>
    </row>
    <row r="98" spans="2:25" s="104" customFormat="1" ht="15.6">
      <c r="B98" s="1029" t="s">
        <v>21</v>
      </c>
      <c r="C98" s="1029" t="s">
        <v>515</v>
      </c>
      <c r="D98" s="101"/>
      <c r="E98" s="107"/>
      <c r="F98" s="107"/>
      <c r="G98" s="108"/>
      <c r="I98" s="421"/>
      <c r="J98" s="421"/>
      <c r="K98" s="421"/>
      <c r="L98" s="421"/>
      <c r="M98" s="421"/>
      <c r="N98" s="421"/>
      <c r="O98" s="421"/>
      <c r="P98" s="421"/>
    </row>
    <row r="99" spans="2:25" s="104" customFormat="1" ht="15.6">
      <c r="B99" s="1022" t="s">
        <v>134</v>
      </c>
      <c r="C99" s="1023" t="s">
        <v>1284</v>
      </c>
      <c r="D99" s="101"/>
      <c r="E99" s="107"/>
      <c r="F99" s="107"/>
      <c r="G99" s="108"/>
      <c r="I99" s="421"/>
      <c r="J99" s="421"/>
      <c r="K99" s="421"/>
      <c r="L99" s="421"/>
      <c r="M99" s="421"/>
      <c r="N99" s="421"/>
      <c r="O99" s="421"/>
      <c r="P99" s="421"/>
    </row>
    <row r="100" spans="2:25" s="104" customFormat="1" ht="15.6">
      <c r="B100" s="381"/>
      <c r="C100" s="101"/>
      <c r="D100" s="101"/>
      <c r="E100" s="107"/>
      <c r="F100" s="107"/>
      <c r="G100" s="108"/>
      <c r="I100" s="421"/>
      <c r="J100" s="421"/>
      <c r="K100" s="421"/>
      <c r="L100" s="421"/>
      <c r="M100" s="421"/>
      <c r="N100" s="421"/>
      <c r="O100" s="421"/>
      <c r="P100" s="421"/>
    </row>
    <row r="101" spans="2:25" s="104" customFormat="1" ht="15.6">
      <c r="B101" s="1028" t="s">
        <v>21</v>
      </c>
      <c r="C101" s="1023" t="s">
        <v>2146</v>
      </c>
      <c r="D101" s="1023" t="s">
        <v>2142</v>
      </c>
      <c r="E101" s="107"/>
      <c r="F101" s="107"/>
      <c r="G101" s="108"/>
      <c r="I101" s="421"/>
      <c r="J101" s="421"/>
      <c r="K101" s="421"/>
      <c r="L101" s="421"/>
      <c r="M101" s="421"/>
      <c r="N101" s="421"/>
      <c r="O101" s="421"/>
      <c r="P101" s="421"/>
    </row>
    <row r="102" spans="2:25" s="104" customFormat="1" ht="15.6">
      <c r="B102" s="1025" t="s">
        <v>534</v>
      </c>
      <c r="C102" s="1027">
        <v>1</v>
      </c>
      <c r="D102" s="1027">
        <v>0</v>
      </c>
      <c r="E102" s="107"/>
      <c r="F102" s="107"/>
      <c r="G102" s="108"/>
      <c r="I102" s="421"/>
      <c r="J102" s="421"/>
      <c r="K102" s="421"/>
      <c r="L102" s="421"/>
      <c r="M102" s="421"/>
      <c r="N102" s="421"/>
      <c r="O102" s="421"/>
      <c r="P102" s="421"/>
    </row>
    <row r="103" spans="2:25" s="104" customFormat="1" ht="15.6">
      <c r="B103" s="1025" t="s">
        <v>519</v>
      </c>
      <c r="C103" s="1027">
        <v>0.93791542921793258</v>
      </c>
      <c r="D103" s="1027">
        <v>6.2084570782067416E-2</v>
      </c>
      <c r="E103" s="107"/>
      <c r="F103" s="107"/>
      <c r="G103" s="108"/>
      <c r="J103"/>
      <c r="K103"/>
      <c r="L103"/>
      <c r="M103"/>
      <c r="N103"/>
      <c r="O103"/>
      <c r="P103"/>
    </row>
    <row r="104" spans="2:25" s="104" customFormat="1" ht="15.6">
      <c r="B104" s="1025" t="s">
        <v>961</v>
      </c>
      <c r="C104" s="1027">
        <v>1</v>
      </c>
      <c r="D104" s="1027">
        <v>0</v>
      </c>
      <c r="E104" s="107"/>
      <c r="F104" s="107"/>
      <c r="G104" s="108"/>
      <c r="J104"/>
      <c r="K104"/>
      <c r="L104"/>
      <c r="M104"/>
      <c r="N104"/>
      <c r="O104"/>
      <c r="P104"/>
    </row>
    <row r="105" spans="2:25" s="104" customFormat="1" ht="15.6">
      <c r="B105" s="1025" t="s">
        <v>522</v>
      </c>
      <c r="C105" s="1027">
        <v>1</v>
      </c>
      <c r="D105" s="1027">
        <v>0</v>
      </c>
      <c r="E105" s="107"/>
      <c r="F105" s="107"/>
      <c r="G105" s="108"/>
      <c r="J105"/>
      <c r="K105"/>
      <c r="L105"/>
      <c r="M105"/>
      <c r="N105"/>
      <c r="O105"/>
      <c r="P105"/>
    </row>
    <row r="106" spans="2:25" s="104" customFormat="1" ht="15.6">
      <c r="B106" s="1025" t="s">
        <v>525</v>
      </c>
      <c r="C106" s="1027">
        <v>0.78942213516160631</v>
      </c>
      <c r="D106" s="1027">
        <v>0.21057786483839369</v>
      </c>
      <c r="E106" s="107"/>
      <c r="F106" s="107"/>
      <c r="G106" s="108"/>
      <c r="J106"/>
      <c r="K106"/>
      <c r="L106"/>
      <c r="M106"/>
      <c r="N106"/>
      <c r="O106"/>
      <c r="P106"/>
    </row>
    <row r="107" spans="2:25" s="104" customFormat="1" ht="15.6">
      <c r="B107" s="1025" t="s">
        <v>516</v>
      </c>
      <c r="C107" s="1027">
        <v>1</v>
      </c>
      <c r="D107" s="1027">
        <v>0</v>
      </c>
      <c r="E107" s="107"/>
      <c r="F107" s="107"/>
      <c r="G107" s="108"/>
      <c r="J107"/>
      <c r="K107"/>
      <c r="L107"/>
      <c r="M107"/>
      <c r="T107"/>
      <c r="U107"/>
      <c r="V107"/>
      <c r="W107"/>
      <c r="X107"/>
      <c r="Y107"/>
    </row>
    <row r="108" spans="2:25" s="104" customFormat="1" ht="15.6">
      <c r="B108" s="1025" t="s">
        <v>536</v>
      </c>
      <c r="C108" s="1027">
        <v>1</v>
      </c>
      <c r="D108" s="1027">
        <v>0</v>
      </c>
      <c r="E108" s="107"/>
      <c r="F108" s="107"/>
      <c r="G108" s="108"/>
      <c r="J108"/>
      <c r="K108"/>
      <c r="L108"/>
      <c r="M108"/>
      <c r="T108"/>
      <c r="U108"/>
      <c r="V108"/>
    </row>
    <row r="109" spans="2:25" s="104" customFormat="1" ht="15.6">
      <c r="B109" s="1025" t="s">
        <v>963</v>
      </c>
      <c r="C109" s="1027">
        <v>0.95579450418160095</v>
      </c>
      <c r="D109" s="1027">
        <v>4.4205495818399054E-2</v>
      </c>
      <c r="E109" s="107"/>
      <c r="F109" s="107"/>
      <c r="G109" s="108"/>
      <c r="J109"/>
      <c r="K109"/>
      <c r="L109"/>
      <c r="M109"/>
      <c r="T109"/>
      <c r="U109"/>
      <c r="V109"/>
    </row>
    <row r="110" spans="2:25" s="104" customFormat="1" ht="15.6">
      <c r="B110" s="1025" t="s">
        <v>960</v>
      </c>
      <c r="C110" s="1027">
        <v>0.67434210526315785</v>
      </c>
      <c r="D110" s="1027">
        <v>0.32565789473684215</v>
      </c>
      <c r="E110" s="107"/>
      <c r="F110" s="107"/>
      <c r="G110" s="108"/>
      <c r="K110"/>
      <c r="L110"/>
      <c r="M110"/>
      <c r="T110"/>
      <c r="U110"/>
      <c r="V110"/>
    </row>
    <row r="111" spans="2:25" s="104" customFormat="1" ht="15.6">
      <c r="B111"/>
      <c r="C111"/>
      <c r="D111"/>
      <c r="E111" s="107"/>
      <c r="F111" s="107"/>
      <c r="G111" s="108"/>
      <c r="K111"/>
      <c r="L111"/>
      <c r="M111"/>
      <c r="T111"/>
      <c r="U111"/>
    </row>
    <row r="112" spans="2:25" s="104" customFormat="1" ht="15.6">
      <c r="B112" s="105"/>
      <c r="C112" s="106"/>
      <c r="D112" s="106"/>
      <c r="E112" s="107"/>
      <c r="F112" s="107"/>
      <c r="G112" s="108"/>
      <c r="T112"/>
      <c r="U112"/>
    </row>
    <row r="113" spans="1:37" s="120" customFormat="1" ht="18">
      <c r="A113" s="92" t="s">
        <v>1584</v>
      </c>
      <c r="B113" s="92"/>
      <c r="C113" s="117"/>
      <c r="D113" s="118"/>
      <c r="E113" s="118"/>
      <c r="F113" s="118"/>
      <c r="G113" s="119"/>
      <c r="H113" s="92"/>
      <c r="I113" s="92"/>
      <c r="J113" s="92"/>
      <c r="K113" s="92"/>
      <c r="L113" s="92"/>
      <c r="M113" s="92"/>
      <c r="N113" s="92"/>
      <c r="O113" s="92"/>
      <c r="P113" s="92"/>
      <c r="Q113" s="92"/>
      <c r="R113" s="92"/>
      <c r="S113" s="92"/>
      <c r="T113" s="92"/>
      <c r="U113" s="92"/>
      <c r="V113" s="92"/>
      <c r="W113" s="92"/>
      <c r="X113" s="92"/>
      <c r="Y113" s="92"/>
      <c r="Z113" s="92"/>
    </row>
    <row r="114" spans="1:37">
      <c r="C114" s="96"/>
      <c r="D114" s="97"/>
      <c r="E114" s="97"/>
      <c r="F114" s="97"/>
      <c r="G114" s="98"/>
    </row>
    <row r="115" spans="1:37" ht="15.6">
      <c r="C115" s="1022" t="s">
        <v>20</v>
      </c>
      <c r="D115" s="1023" t="s">
        <v>2786</v>
      </c>
      <c r="F115" s="97"/>
      <c r="G115" s="98"/>
      <c r="J115" s="1022" t="s">
        <v>20</v>
      </c>
      <c r="K115" s="1023" t="s">
        <v>2786</v>
      </c>
      <c r="L115"/>
      <c r="O115" s="1022" t="s">
        <v>20</v>
      </c>
      <c r="P115" s="1023" t="s">
        <v>2786</v>
      </c>
      <c r="X115" s="1022" t="s">
        <v>20</v>
      </c>
      <c r="Y115" s="1023" t="s">
        <v>2786</v>
      </c>
      <c r="AI115" s="1022" t="s">
        <v>20</v>
      </c>
      <c r="AJ115" s="1023" t="s">
        <v>2785</v>
      </c>
    </row>
    <row r="116" spans="1:37" ht="28.8">
      <c r="C116" s="1024" t="s">
        <v>21</v>
      </c>
      <c r="D116" s="1023" t="s">
        <v>37</v>
      </c>
      <c r="E116" s="97"/>
      <c r="J116" s="1037" t="s">
        <v>21</v>
      </c>
      <c r="K116" s="1037" t="s">
        <v>515</v>
      </c>
      <c r="L116" s="459"/>
      <c r="O116" s="1024" t="s">
        <v>21</v>
      </c>
      <c r="P116" s="1023" t="s">
        <v>37</v>
      </c>
      <c r="Q116" s="97"/>
      <c r="X116" s="1024" t="s">
        <v>21</v>
      </c>
      <c r="Y116" s="1023" t="s">
        <v>515</v>
      </c>
      <c r="Z116" s="97"/>
      <c r="AI116" s="1024" t="s">
        <v>21</v>
      </c>
      <c r="AJ116" s="1023" t="s">
        <v>37</v>
      </c>
      <c r="AK116" s="97"/>
    </row>
    <row r="117" spans="1:37" ht="15.6">
      <c r="C117" s="1022" t="s">
        <v>34</v>
      </c>
      <c r="D117" s="1023" t="s">
        <v>34</v>
      </c>
      <c r="H117" s="94">
        <v>97507</v>
      </c>
      <c r="J117" s="1022" t="s">
        <v>34</v>
      </c>
      <c r="K117" s="1023" t="s">
        <v>34</v>
      </c>
      <c r="L117" s="421"/>
      <c r="O117" s="1022" t="s">
        <v>34</v>
      </c>
      <c r="P117" s="1023" t="s">
        <v>34</v>
      </c>
      <c r="X117" s="1022" t="s">
        <v>34</v>
      </c>
      <c r="Y117" s="1023" t="s">
        <v>34</v>
      </c>
      <c r="AI117" s="1022" t="s">
        <v>34</v>
      </c>
      <c r="AJ117" s="1023" t="s">
        <v>34</v>
      </c>
    </row>
    <row r="118" spans="1:37" ht="15.6">
      <c r="C118" s="1022" t="s">
        <v>134</v>
      </c>
      <c r="D118" s="1023" t="s">
        <v>1284</v>
      </c>
      <c r="H118" s="94">
        <f>H117/20</f>
        <v>4875.3500000000004</v>
      </c>
      <c r="J118" s="1022" t="s">
        <v>134</v>
      </c>
      <c r="K118" s="1023" t="s">
        <v>1284</v>
      </c>
      <c r="L118" s="421"/>
      <c r="O118" s="1022" t="s">
        <v>134</v>
      </c>
      <c r="P118" s="1023" t="s">
        <v>1284</v>
      </c>
      <c r="X118" s="1022" t="s">
        <v>134</v>
      </c>
      <c r="Y118" s="1023" t="s">
        <v>1284</v>
      </c>
      <c r="AI118" s="1022" t="s">
        <v>134</v>
      </c>
      <c r="AJ118" s="1023" t="s">
        <v>1284</v>
      </c>
    </row>
    <row r="119" spans="1:37" s="99" customFormat="1">
      <c r="C119" s="94"/>
      <c r="D119" s="94"/>
      <c r="E119" s="94"/>
      <c r="F119" s="101"/>
      <c r="G119" s="101"/>
      <c r="H119" s="94"/>
      <c r="I119" s="94"/>
      <c r="J119" s="94"/>
      <c r="K119" s="94"/>
      <c r="L119" s="94"/>
      <c r="M119" s="94"/>
      <c r="O119" s="94"/>
      <c r="P119" s="94"/>
      <c r="Q119" s="94"/>
      <c r="R119" s="94"/>
      <c r="S119" s="94"/>
      <c r="U119" s="94"/>
      <c r="V119" s="94"/>
      <c r="W119" s="94"/>
      <c r="X119" s="94"/>
      <c r="Y119" s="94"/>
      <c r="Z119" s="94"/>
      <c r="AC119" s="94"/>
      <c r="AD119" s="94"/>
      <c r="AI119" s="94"/>
      <c r="AJ119" s="94"/>
      <c r="AK119" s="94"/>
    </row>
    <row r="120" spans="1:37" ht="15.6">
      <c r="C120" s="1023"/>
      <c r="D120" s="1022" t="s">
        <v>1477</v>
      </c>
      <c r="E120" s="1023"/>
      <c r="F120"/>
      <c r="G120"/>
      <c r="J120" s="1023"/>
      <c r="K120" s="1022" t="s">
        <v>1477</v>
      </c>
      <c r="L120"/>
      <c r="M120"/>
      <c r="O120" s="1022" t="s">
        <v>1283</v>
      </c>
      <c r="P120" s="1023" t="s">
        <v>2377</v>
      </c>
      <c r="Q120" s="1023" t="s">
        <v>2378</v>
      </c>
      <c r="U120"/>
      <c r="X120" s="1022" t="s">
        <v>1283</v>
      </c>
      <c r="Y120" s="1023" t="s">
        <v>2377</v>
      </c>
      <c r="Z120" s="1023" t="s">
        <v>2378</v>
      </c>
      <c r="AA120" s="378"/>
      <c r="AB120" s="378"/>
      <c r="AC120" s="378"/>
      <c r="AD120" s="378"/>
      <c r="AI120" s="1022" t="s">
        <v>1283</v>
      </c>
      <c r="AJ120" s="1023" t="s">
        <v>2688</v>
      </c>
      <c r="AK120" s="1023" t="s">
        <v>2687</v>
      </c>
    </row>
    <row r="121" spans="1:37" ht="15.6">
      <c r="C121" s="1022" t="s">
        <v>1478</v>
      </c>
      <c r="D121" s="1023" t="s">
        <v>1508</v>
      </c>
      <c r="E121" s="1023" t="s">
        <v>1509</v>
      </c>
      <c r="F121"/>
      <c r="G121"/>
      <c r="J121" s="1022" t="s">
        <v>1478</v>
      </c>
      <c r="K121" s="1023" t="s">
        <v>1508</v>
      </c>
      <c r="L121"/>
      <c r="M121"/>
      <c r="O121" s="1025" t="s">
        <v>1508</v>
      </c>
      <c r="P121" s="1035">
        <v>37127</v>
      </c>
      <c r="Q121" s="1035">
        <v>23929</v>
      </c>
      <c r="R121" s="378"/>
      <c r="S121" s="378"/>
      <c r="T121" s="378"/>
      <c r="U121" s="427"/>
      <c r="V121" s="378"/>
      <c r="W121" s="378"/>
      <c r="X121" s="1025" t="s">
        <v>1508</v>
      </c>
      <c r="Y121" s="1035">
        <v>7472</v>
      </c>
      <c r="Z121" s="1035">
        <v>2897</v>
      </c>
      <c r="AA121" s="378"/>
      <c r="AB121" s="378"/>
      <c r="AC121" s="378"/>
      <c r="AD121" s="378"/>
      <c r="AI121" s="1025" t="s">
        <v>195</v>
      </c>
      <c r="AJ121" s="1026">
        <v>286</v>
      </c>
      <c r="AK121" s="1026">
        <v>335</v>
      </c>
    </row>
    <row r="122" spans="1:37" ht="15.6">
      <c r="B122" s="496" t="s">
        <v>128</v>
      </c>
      <c r="C122" s="1025" t="s">
        <v>1506</v>
      </c>
      <c r="D122" s="1026">
        <v>3054</v>
      </c>
      <c r="E122" s="1026">
        <v>2589</v>
      </c>
      <c r="F122"/>
      <c r="G122"/>
      <c r="J122" s="1025" t="s">
        <v>1506</v>
      </c>
      <c r="K122" s="1026">
        <v>800</v>
      </c>
      <c r="L122"/>
      <c r="M122"/>
      <c r="O122" s="1025" t="s">
        <v>1509</v>
      </c>
      <c r="P122" s="1035">
        <v>36061</v>
      </c>
      <c r="Q122" s="1035">
        <v>10027</v>
      </c>
      <c r="U122"/>
      <c r="X122"/>
      <c r="Y122"/>
      <c r="Z122"/>
      <c r="AI122" s="1025" t="s">
        <v>146</v>
      </c>
      <c r="AJ122" s="1026">
        <v>129</v>
      </c>
      <c r="AK122" s="1026">
        <v>130</v>
      </c>
    </row>
    <row r="123" spans="1:37" ht="15.6">
      <c r="C123" s="1025" t="s">
        <v>2101</v>
      </c>
      <c r="D123" s="1026">
        <v>51</v>
      </c>
      <c r="E123" s="1026">
        <v>39</v>
      </c>
      <c r="F123"/>
      <c r="G123"/>
      <c r="J123" s="1025" t="s">
        <v>2101</v>
      </c>
      <c r="K123" s="1026"/>
      <c r="L123"/>
      <c r="M123"/>
      <c r="O123"/>
      <c r="P123"/>
      <c r="Q123"/>
      <c r="U123"/>
      <c r="AI123" s="1025" t="s">
        <v>148</v>
      </c>
      <c r="AJ123" s="1026">
        <v>191</v>
      </c>
      <c r="AK123" s="1026">
        <v>192</v>
      </c>
    </row>
    <row r="124" spans="1:37" ht="15.6">
      <c r="C124" s="1025" t="s">
        <v>2102</v>
      </c>
      <c r="D124" s="1026">
        <v>595</v>
      </c>
      <c r="E124" s="1026"/>
      <c r="F124"/>
      <c r="G124"/>
      <c r="J124" s="1025" t="s">
        <v>2102</v>
      </c>
      <c r="K124" s="1026">
        <v>20</v>
      </c>
      <c r="L124"/>
      <c r="M124"/>
      <c r="O124"/>
      <c r="P124"/>
      <c r="Q124"/>
      <c r="U124"/>
      <c r="AI124" s="1025" t="s">
        <v>587</v>
      </c>
      <c r="AJ124" s="1026">
        <v>12</v>
      </c>
      <c r="AK124" s="1026">
        <v>29</v>
      </c>
    </row>
    <row r="125" spans="1:37" ht="15.6">
      <c r="C125" s="1025" t="s">
        <v>2103</v>
      </c>
      <c r="D125" s="1026">
        <v>660</v>
      </c>
      <c r="E125" s="1026">
        <v>1055</v>
      </c>
      <c r="F125"/>
      <c r="G125"/>
      <c r="J125" s="1025" t="s">
        <v>2103</v>
      </c>
      <c r="K125" s="1026">
        <v>121</v>
      </c>
      <c r="L125"/>
      <c r="M125"/>
      <c r="O125"/>
      <c r="P125"/>
      <c r="Q125"/>
      <c r="U125"/>
      <c r="AI125" s="1025" t="s">
        <v>38</v>
      </c>
      <c r="AJ125" s="1026">
        <v>1015</v>
      </c>
      <c r="AK125" s="1026">
        <v>590</v>
      </c>
    </row>
    <row r="126" spans="1:37" ht="15.6">
      <c r="B126" s="101" t="s">
        <v>1854</v>
      </c>
      <c r="C126" s="1025" t="s">
        <v>2104</v>
      </c>
      <c r="D126" s="1026">
        <v>2344</v>
      </c>
      <c r="E126" s="1026">
        <v>3662</v>
      </c>
      <c r="F126"/>
      <c r="G126"/>
      <c r="J126" s="1025" t="s">
        <v>2104</v>
      </c>
      <c r="K126" s="1026">
        <v>1032</v>
      </c>
      <c r="L126"/>
      <c r="M126"/>
      <c r="O126"/>
      <c r="P126" s="657"/>
      <c r="Q126"/>
      <c r="U126"/>
      <c r="AI126" s="1025" t="s">
        <v>152</v>
      </c>
      <c r="AJ126" s="1026">
        <v>70</v>
      </c>
      <c r="AK126" s="1026">
        <v>76</v>
      </c>
    </row>
    <row r="127" spans="1:37" ht="15.6">
      <c r="B127" s="101"/>
      <c r="C127" s="1025" t="s">
        <v>2105</v>
      </c>
      <c r="D127" s="1026">
        <v>2417</v>
      </c>
      <c r="E127" s="1026">
        <v>3793</v>
      </c>
      <c r="F127"/>
      <c r="G127"/>
      <c r="J127" s="1025" t="s">
        <v>2105</v>
      </c>
      <c r="K127" s="1026">
        <v>1048</v>
      </c>
      <c r="L127" s="421"/>
      <c r="M127" s="421"/>
      <c r="N127" s="421"/>
      <c r="O127"/>
      <c r="P127"/>
      <c r="Q127"/>
      <c r="R127"/>
      <c r="U127"/>
      <c r="AI127" s="1025" t="s">
        <v>157</v>
      </c>
      <c r="AJ127" s="1026">
        <v>12</v>
      </c>
      <c r="AK127" s="1026">
        <v>9</v>
      </c>
    </row>
    <row r="128" spans="1:37" ht="15.6">
      <c r="B128" s="101"/>
      <c r="C128" s="1025" t="s">
        <v>2232</v>
      </c>
      <c r="D128" s="1026">
        <v>73</v>
      </c>
      <c r="E128" s="1026">
        <v>131</v>
      </c>
      <c r="F128"/>
      <c r="G128"/>
      <c r="J128" s="1025" t="s">
        <v>2232</v>
      </c>
      <c r="K128" s="1026">
        <v>16</v>
      </c>
      <c r="L128" s="421"/>
      <c r="M128" s="421"/>
      <c r="N128" s="421"/>
      <c r="O128"/>
      <c r="P128"/>
      <c r="Q128"/>
      <c r="R128"/>
      <c r="S128"/>
      <c r="T128"/>
      <c r="U128"/>
      <c r="AI128" s="1025" t="s">
        <v>205</v>
      </c>
      <c r="AJ128" s="1026">
        <v>1003</v>
      </c>
      <c r="AK128" s="1026">
        <v>1308</v>
      </c>
    </row>
    <row r="129" spans="1:37" ht="16.2" thickBot="1">
      <c r="B129" s="101"/>
      <c r="C129" s="96"/>
      <c r="D129" s="98"/>
      <c r="E129" s="98"/>
      <c r="F129" s="101"/>
      <c r="G129" s="101"/>
      <c r="M129" s="421"/>
      <c r="N129" s="101" t="s">
        <v>1524</v>
      </c>
      <c r="O129" s="100">
        <f>K131</f>
        <v>1032</v>
      </c>
      <c r="AI129" s="1025" t="s">
        <v>159</v>
      </c>
      <c r="AJ129" s="1026">
        <v>441</v>
      </c>
      <c r="AK129" s="1026">
        <v>549</v>
      </c>
    </row>
    <row r="130" spans="1:37" ht="15.6">
      <c r="B130" s="122" t="s">
        <v>37</v>
      </c>
      <c r="C130" s="123" t="s">
        <v>1508</v>
      </c>
      <c r="D130" s="124" t="s">
        <v>1509</v>
      </c>
      <c r="F130" s="101" t="s">
        <v>1524</v>
      </c>
      <c r="G130" s="110">
        <f>GETPIVOTDATA("Sum of # Existing functional latrines",$C$120,"Ethnic or GCA/NGCA","# in GCA (20:1)")+GETPIVOTDATA("Sum of # Existing functional latrines",$C$120,"Ethnic or GCA/NGCA","# in NGCA (20:1)")</f>
        <v>6006</v>
      </c>
      <c r="J130" s="131" t="s">
        <v>515</v>
      </c>
      <c r="K130" s="123" t="s">
        <v>1508</v>
      </c>
      <c r="L130" s="421"/>
      <c r="M130" s="421"/>
      <c r="N130" s="101" t="s">
        <v>2234</v>
      </c>
      <c r="O130" s="100">
        <f>GETPIVOTDATA("  Total # of latrine",$J$120,"Ethnic or GCA/NGCA","# in GCA (20:1)")-O129</f>
        <v>16</v>
      </c>
      <c r="AI130" s="1025" t="s">
        <v>173</v>
      </c>
      <c r="AJ130" s="1026">
        <v>12</v>
      </c>
      <c r="AK130" s="1026">
        <v>14</v>
      </c>
    </row>
    <row r="131" spans="1:37" ht="15.6">
      <c r="A131" s="495" t="s">
        <v>2108</v>
      </c>
      <c r="B131" s="125" t="s">
        <v>1290</v>
      </c>
      <c r="C131" s="126">
        <f>GETPIVOTDATA("Sum of # Existing functional latrines",$C$120,"Ethnic or GCA/NGCA","# in GCA (20:1)")</f>
        <v>2344</v>
      </c>
      <c r="D131" s="127">
        <f>GETPIVOTDATA("Sum of # Existing functional latrines",$C$120,"Ethnic or GCA/NGCA","# in NGCA (20:1)")</f>
        <v>3662</v>
      </c>
      <c r="F131" s="101" t="s">
        <v>2233</v>
      </c>
      <c r="G131" s="110">
        <f>GETPIVOTDATA("Sum of #_Non-functional latrines",$C$120,"Ethnic or GCA/NGCA","# in GCA (20:1)")+GETPIVOTDATA("Sum of #_Non-functional latrines",$C$120,"Ethnic or GCA/NGCA","# in NGCA (20:1)")</f>
        <v>204</v>
      </c>
      <c r="J131" s="125" t="s">
        <v>1290</v>
      </c>
      <c r="K131" s="126">
        <f>GETPIVOTDATA("Sum of # Existing functional latrines",$J$120,"Ethnic or GCA/NGCA","# in GCA (20:1)")</f>
        <v>1032</v>
      </c>
      <c r="L131" s="421"/>
      <c r="M131" s="421"/>
      <c r="N131" s="101"/>
      <c r="O131" s="100"/>
      <c r="AI131" s="1025" t="s">
        <v>214</v>
      </c>
      <c r="AJ131" s="1026">
        <v>27</v>
      </c>
      <c r="AK131" s="1026">
        <v>94</v>
      </c>
    </row>
    <row r="132" spans="1:37" ht="15.6">
      <c r="A132" s="495" t="s">
        <v>2107</v>
      </c>
      <c r="B132" s="125" t="s">
        <v>1519</v>
      </c>
      <c r="C132" s="126">
        <f>GETPIVOTDATA("# latrines (target)",$C$120,"Ethnic or GCA/NGCA","# in GCA (20:1)")-GETPIVOTDATA("Sum of # Existing functional latrines",$C$120,"Ethnic or GCA/NGCA","# in GCA (20:1)")</f>
        <v>710</v>
      </c>
      <c r="D132" s="127">
        <f>IF(GETPIVOTDATA("# latrines (target)",$C$120,"Ethnic or GCA/NGCA","# in NGCA (20:1)")-GETPIVOTDATA("Sum of # Existing functional latrines",$C$120,"Ethnic or GCA/NGCA","# in NGCA (20:1)")&lt;0,0,GETPIVOTDATA("# latrines (target)",$C$120,"Ethnic or GCA/NGCA","# in NGCA (20:1)")-GETPIVOTDATA("Sum of # Existing functional latrines",$C$120,"Ethnic or GCA/NGCA","# in NGCA (20:1)"))</f>
        <v>0</v>
      </c>
      <c r="F132" s="101" t="s">
        <v>2106</v>
      </c>
      <c r="G132" s="110">
        <f>SUM(C135:D135)</f>
        <v>90</v>
      </c>
      <c r="J132" s="125" t="s">
        <v>1519</v>
      </c>
      <c r="K132" s="126">
        <f>GETPIVOTDATA("  Total # of latrine",$J$120,"Ethnic or GCA/NGCA","# in GCA (20:1)")-GETPIVOTDATA("Sum of # Existing functional latrines",$J$120,"Ethnic or GCA/NGCA","# in GCA (20:1)")</f>
        <v>16</v>
      </c>
      <c r="L132" s="421"/>
      <c r="M132" s="421"/>
      <c r="N132" s="421"/>
      <c r="O132" s="421"/>
      <c r="AI132" s="1025" t="s">
        <v>184</v>
      </c>
      <c r="AJ132" s="1026">
        <v>155</v>
      </c>
      <c r="AK132" s="1026">
        <v>43</v>
      </c>
    </row>
    <row r="133" spans="1:37" ht="28.8">
      <c r="B133" s="125" t="s">
        <v>1520</v>
      </c>
      <c r="C133" s="126">
        <f>GETPIVOTDATA("# handed over",$C$120,"Ethnic or GCA/NGCA","# in GCA (20:1)")</f>
        <v>660</v>
      </c>
      <c r="D133" s="127">
        <f>GETPIVOTDATA("# handed over",$C$120,"Ethnic or GCA/NGCA","# in NGCA (20:1)")</f>
        <v>1055</v>
      </c>
      <c r="F133" s="101" t="s">
        <v>1525</v>
      </c>
      <c r="G133" s="101">
        <f>SUM(C136:D136)</f>
        <v>595</v>
      </c>
      <c r="J133" s="125" t="s">
        <v>1520</v>
      </c>
      <c r="K133" s="126">
        <f>GETPIVOTDATA("# handed over",$J$120,"Ethnic or GCA/NGCA","# in GCA (20:1)")</f>
        <v>121</v>
      </c>
      <c r="L133" s="421"/>
      <c r="M133" s="421"/>
      <c r="N133" s="421"/>
      <c r="O133" s="421"/>
      <c r="AI133" s="1025" t="s">
        <v>863</v>
      </c>
      <c r="AJ133" s="1026">
        <v>0</v>
      </c>
      <c r="AK133" s="1026">
        <v>62</v>
      </c>
    </row>
    <row r="134" spans="1:37" ht="28.8">
      <c r="B134" s="125" t="s">
        <v>1521</v>
      </c>
      <c r="C134" s="126">
        <f>GETPIVOTDATA("# latrines (target)",$C$120,"Ethnic or GCA/NGCA","# in GCA (20:1)")-GETPIVOTDATA("# handed over",$C$120,"Ethnic or GCA/NGCA","# in GCA (20:1)")</f>
        <v>2394</v>
      </c>
      <c r="D134" s="127">
        <f>D131-D133</f>
        <v>2607</v>
      </c>
      <c r="G134" s="101"/>
      <c r="H134" s="101"/>
      <c r="J134" s="125" t="s">
        <v>1521</v>
      </c>
      <c r="K134" s="126">
        <f>GETPIVOTDATA("  Total # of latrine",$J$120,"Ethnic or GCA/NGCA","# in GCA (20:1)")-GETPIVOTDATA("# handed over",$J$120,"Ethnic or GCA/NGCA","# in GCA (20:1)")</f>
        <v>927</v>
      </c>
      <c r="L134" s="421"/>
      <c r="M134" s="421"/>
      <c r="N134" s="421"/>
      <c r="O134" s="421"/>
      <c r="AI134" s="1025" t="s">
        <v>142</v>
      </c>
      <c r="AJ134" s="1026">
        <v>2106</v>
      </c>
      <c r="AK134" s="1026">
        <v>1725</v>
      </c>
    </row>
    <row r="135" spans="1:37" ht="43.2">
      <c r="B135" s="125" t="s">
        <v>2101</v>
      </c>
      <c r="C135" s="126">
        <f>GETPIVOTDATA("# Operation &amp; maintenance of latrines",$C$120,"Ethnic or GCA/NGCA","# in GCA (20:1)")</f>
        <v>51</v>
      </c>
      <c r="D135" s="127">
        <f>GETPIVOTDATA("# Operation &amp; maintenance of latrines",$C$120,"Ethnic or GCA/NGCA","# in NGCA (20:1)")</f>
        <v>39</v>
      </c>
      <c r="G135" s="101"/>
      <c r="J135" s="125" t="s">
        <v>2109</v>
      </c>
      <c r="K135" s="126">
        <f>GETPIVOTDATA("# Operation &amp; maintenance of latrines",$J$120,"Ethnic or GCA/NGCA","# in GCA (20:1)")</f>
        <v>0</v>
      </c>
      <c r="L135" s="421"/>
      <c r="M135" s="421"/>
      <c r="N135" s="421"/>
      <c r="O135" s="421"/>
      <c r="AI135" s="1022" t="s">
        <v>20</v>
      </c>
      <c r="AJ135" s="1023" t="s">
        <v>2785</v>
      </c>
    </row>
    <row r="136" spans="1:37" ht="28.8">
      <c r="B136" s="125" t="s">
        <v>1507</v>
      </c>
      <c r="C136" s="126">
        <f>GETPIVOTDATA("# latrines desludged",$C$120,"Ethnic or GCA/NGCA","# in GCA (20:1)")</f>
        <v>595</v>
      </c>
      <c r="D136" s="127">
        <f>GETPIVOTDATA("# latrines desludged",$C$120,"Ethnic or GCA/NGCA","# in NGCA (20:1)")</f>
        <v>0</v>
      </c>
      <c r="G136" s="101"/>
      <c r="J136" s="125" t="s">
        <v>1507</v>
      </c>
      <c r="K136" s="126">
        <f>GETPIVOTDATA("# Latrines desludged",$J$120,"Ethnic or GCA/NGCA","# in GCA (20:1)")</f>
        <v>20</v>
      </c>
      <c r="L136" s="421"/>
      <c r="M136" s="421"/>
      <c r="N136" s="421"/>
      <c r="O136" s="421"/>
      <c r="AI136" s="1024" t="s">
        <v>21</v>
      </c>
      <c r="AJ136" s="1023" t="s">
        <v>515</v>
      </c>
      <c r="AK136" s="97"/>
    </row>
    <row r="137" spans="1:37" ht="16.2" thickBot="1">
      <c r="B137" s="128" t="s">
        <v>1506</v>
      </c>
      <c r="C137" s="129">
        <f>GETPIVOTDATA("# latrines (target)",$C$120,"Ethnic or GCA/NGCA","# in GCA (20:1)")</f>
        <v>3054</v>
      </c>
      <c r="D137" s="130">
        <f>GETPIVOTDATA("# latrines (target)",$C$120,"Ethnic or GCA/NGCA","# in NGCA (20:1)")</f>
        <v>2589</v>
      </c>
      <c r="G137" s="101"/>
      <c r="J137" s="128" t="s">
        <v>1506</v>
      </c>
      <c r="K137" s="129">
        <f>GETPIVOTDATA("# latrines (target)",$J$120,"Ethnic or GCA/NGCA","# in GCA (20:1)")</f>
        <v>800</v>
      </c>
      <c r="L137" s="421"/>
      <c r="M137" s="421"/>
      <c r="N137" s="421"/>
      <c r="O137" s="421"/>
      <c r="AI137" s="1022" t="s">
        <v>34</v>
      </c>
      <c r="AJ137" s="1023" t="s">
        <v>34</v>
      </c>
    </row>
    <row r="138" spans="1:37" ht="15.6">
      <c r="B138" s="101"/>
      <c r="C138" s="132"/>
      <c r="D138" s="133"/>
      <c r="E138" s="133"/>
      <c r="G138" s="101"/>
      <c r="K138" s="421"/>
      <c r="L138" s="421"/>
      <c r="M138" s="421"/>
      <c r="N138" s="421"/>
      <c r="O138" s="421"/>
      <c r="Q138" s="101"/>
      <c r="R138" s="101"/>
      <c r="S138" s="132"/>
      <c r="T138" s="133"/>
      <c r="U138" s="133"/>
      <c r="AI138" s="1022" t="s">
        <v>134</v>
      </c>
      <c r="AJ138" s="1023" t="s">
        <v>1284</v>
      </c>
    </row>
    <row r="139" spans="1:37" ht="15.6">
      <c r="B139" s="101"/>
      <c r="C139" s="132"/>
      <c r="D139" s="133"/>
      <c r="E139" s="133"/>
      <c r="G139" s="101"/>
      <c r="K139" s="421"/>
      <c r="L139" s="421"/>
      <c r="M139" s="421"/>
      <c r="N139" s="421"/>
      <c r="O139" s="421"/>
      <c r="Q139" s="101"/>
      <c r="R139" s="101"/>
      <c r="S139" s="132"/>
      <c r="T139" s="133"/>
      <c r="U139" s="133"/>
    </row>
    <row r="140" spans="1:37" ht="15.6">
      <c r="B140" s="101"/>
      <c r="C140" s="132"/>
      <c r="D140" s="133"/>
      <c r="E140" s="133"/>
      <c r="G140" s="101"/>
      <c r="K140" s="421"/>
      <c r="L140" s="421"/>
      <c r="M140" s="421"/>
      <c r="N140" s="421"/>
      <c r="O140" s="421"/>
      <c r="Q140" s="101"/>
      <c r="R140" s="101"/>
      <c r="S140" s="132"/>
      <c r="T140" s="133"/>
      <c r="U140" s="133"/>
      <c r="AI140" s="1022" t="s">
        <v>1283</v>
      </c>
      <c r="AJ140" s="1023" t="s">
        <v>2688</v>
      </c>
      <c r="AK140" s="1023" t="s">
        <v>2687</v>
      </c>
    </row>
    <row r="141" spans="1:37">
      <c r="B141" s="101"/>
      <c r="C141" s="96"/>
      <c r="D141" s="98"/>
      <c r="E141" s="98"/>
      <c r="F141" s="101"/>
      <c r="G141" s="101"/>
      <c r="J141" s="101"/>
      <c r="K141" s="101"/>
      <c r="L141" s="101"/>
      <c r="Q141" s="101"/>
      <c r="R141" s="101"/>
      <c r="S141" s="101"/>
      <c r="AI141" s="1025" t="s">
        <v>534</v>
      </c>
      <c r="AJ141" s="1026">
        <v>48</v>
      </c>
      <c r="AK141" s="1026">
        <v>20</v>
      </c>
    </row>
    <row r="142" spans="1:37">
      <c r="B142" s="101"/>
      <c r="C142" s="96"/>
      <c r="D142" s="98"/>
      <c r="E142" s="98"/>
      <c r="F142" s="101"/>
      <c r="G142" s="101"/>
      <c r="J142" s="101"/>
      <c r="K142" s="101"/>
      <c r="L142" s="101"/>
      <c r="Q142" s="101"/>
      <c r="R142" s="101"/>
      <c r="S142" s="101"/>
      <c r="AI142" s="1025" t="s">
        <v>519</v>
      </c>
      <c r="AJ142" s="1026">
        <v>685</v>
      </c>
      <c r="AK142" s="1026">
        <v>473</v>
      </c>
    </row>
    <row r="143" spans="1:37">
      <c r="B143" s="101"/>
      <c r="C143" s="96"/>
      <c r="D143" s="98"/>
      <c r="E143" s="98"/>
      <c r="F143" s="101"/>
      <c r="G143" s="101"/>
      <c r="J143" s="101"/>
      <c r="K143" s="101"/>
      <c r="L143" s="101"/>
      <c r="Q143" s="101"/>
      <c r="R143" s="101"/>
      <c r="S143" s="101"/>
      <c r="AI143" s="1025" t="s">
        <v>961</v>
      </c>
      <c r="AJ143" s="1026">
        <v>23</v>
      </c>
      <c r="AK143" s="1026">
        <v>5</v>
      </c>
    </row>
    <row r="144" spans="1:37">
      <c r="B144" s="101"/>
      <c r="C144" s="96"/>
      <c r="D144" s="98"/>
      <c r="E144" s="98"/>
      <c r="F144" s="101"/>
      <c r="G144" s="101"/>
      <c r="J144" s="101"/>
      <c r="K144" s="101"/>
      <c r="L144" s="101"/>
      <c r="Q144" s="101"/>
      <c r="R144" s="101"/>
      <c r="S144" s="101"/>
      <c r="AI144" s="1025" t="s">
        <v>962</v>
      </c>
      <c r="AJ144" s="1026">
        <v>641</v>
      </c>
      <c r="AK144" s="1026">
        <v>257</v>
      </c>
    </row>
    <row r="145" spans="2:37">
      <c r="B145" s="101"/>
      <c r="C145" s="96"/>
      <c r="D145" s="98"/>
      <c r="E145" s="98"/>
      <c r="F145" s="101"/>
      <c r="G145" s="101"/>
      <c r="J145" s="101"/>
      <c r="K145" s="101"/>
      <c r="L145" s="101"/>
      <c r="Q145" s="101"/>
      <c r="R145" s="101"/>
      <c r="S145" s="101"/>
      <c r="AI145" s="1025" t="s">
        <v>522</v>
      </c>
      <c r="AJ145" s="1026">
        <v>26</v>
      </c>
      <c r="AK145" s="1026">
        <v>14</v>
      </c>
    </row>
    <row r="146" spans="2:37">
      <c r="B146" s="101"/>
      <c r="C146" s="96"/>
      <c r="D146" s="98"/>
      <c r="E146" s="98"/>
      <c r="F146" s="101"/>
      <c r="G146" s="101"/>
      <c r="J146" s="101"/>
      <c r="K146" s="101"/>
      <c r="L146" s="101"/>
      <c r="Q146" s="101"/>
      <c r="R146" s="101"/>
      <c r="S146" s="101"/>
      <c r="AI146" s="1025" t="s">
        <v>525</v>
      </c>
      <c r="AJ146" s="1026">
        <v>40</v>
      </c>
      <c r="AK146" s="1026">
        <v>47</v>
      </c>
    </row>
    <row r="147" spans="2:37">
      <c r="B147" s="101"/>
      <c r="C147" s="96"/>
      <c r="D147" s="98"/>
      <c r="E147" s="98"/>
      <c r="F147" s="101"/>
      <c r="G147" s="101"/>
      <c r="J147" s="101"/>
      <c r="K147" s="101"/>
      <c r="L147" s="101"/>
      <c r="Q147" s="101"/>
      <c r="R147" s="101"/>
      <c r="S147" s="101"/>
      <c r="AI147" s="1025" t="s">
        <v>516</v>
      </c>
      <c r="AJ147" s="1026">
        <v>54</v>
      </c>
      <c r="AK147" s="1026">
        <v>49</v>
      </c>
    </row>
    <row r="148" spans="2:37">
      <c r="B148" s="101"/>
      <c r="C148" s="96"/>
      <c r="D148" s="98"/>
      <c r="E148" s="98"/>
      <c r="F148" s="101"/>
      <c r="G148" s="101"/>
      <c r="J148" s="101"/>
      <c r="K148" s="101"/>
      <c r="L148" s="101"/>
      <c r="Q148" s="101"/>
      <c r="R148" s="101"/>
      <c r="S148" s="101"/>
      <c r="AI148" s="1025" t="s">
        <v>536</v>
      </c>
      <c r="AJ148" s="1026">
        <v>42</v>
      </c>
      <c r="AK148" s="1026">
        <v>32</v>
      </c>
    </row>
    <row r="149" spans="2:37" ht="15.6">
      <c r="B149" s="1022" t="s">
        <v>20</v>
      </c>
      <c r="C149" s="1023" t="s">
        <v>2786</v>
      </c>
      <c r="D149" s="98"/>
      <c r="E149" s="98"/>
      <c r="F149" s="101"/>
      <c r="G149" s="101"/>
      <c r="J149" s="101"/>
      <c r="K149" s="101"/>
      <c r="L149" s="101"/>
      <c r="Q149" s="101"/>
      <c r="R149" s="101"/>
      <c r="S149" s="101"/>
      <c r="AI149"/>
      <c r="AJ149"/>
      <c r="AK149"/>
    </row>
    <row r="150" spans="2:37" ht="15.6">
      <c r="B150" s="1022" t="s">
        <v>34</v>
      </c>
      <c r="C150" s="1023" t="s">
        <v>34</v>
      </c>
      <c r="D150" s="98"/>
      <c r="E150" s="98"/>
      <c r="F150" s="101"/>
      <c r="G150" s="101"/>
      <c r="J150" s="101"/>
      <c r="K150" s="101"/>
      <c r="L150" s="101"/>
      <c r="Q150" s="101"/>
      <c r="R150" s="101"/>
      <c r="S150" s="101"/>
      <c r="AI150"/>
      <c r="AJ150"/>
      <c r="AK150"/>
    </row>
    <row r="151" spans="2:37" ht="15.6">
      <c r="B151" s="1022" t="s">
        <v>134</v>
      </c>
      <c r="C151" s="1023" t="s">
        <v>1284</v>
      </c>
      <c r="AI151"/>
      <c r="AJ151"/>
      <c r="AK151"/>
    </row>
    <row r="152" spans="2:37" ht="15.6">
      <c r="AI152"/>
      <c r="AJ152"/>
      <c r="AK152"/>
    </row>
    <row r="153" spans="2:37" ht="15.6">
      <c r="B153" s="1022" t="s">
        <v>2110</v>
      </c>
      <c r="C153" s="1022" t="s">
        <v>1477</v>
      </c>
      <c r="D153" s="1023"/>
      <c r="E153" s="1023"/>
      <c r="F153" s="1023"/>
      <c r="G153"/>
      <c r="AI153"/>
      <c r="AJ153"/>
      <c r="AK153"/>
    </row>
    <row r="154" spans="2:37" ht="15.6">
      <c r="B154" s="1022" t="s">
        <v>21</v>
      </c>
      <c r="C154" s="1023" t="s">
        <v>137</v>
      </c>
      <c r="D154" s="1023" t="s">
        <v>140</v>
      </c>
      <c r="E154" s="1023" t="s">
        <v>136</v>
      </c>
      <c r="F154" s="1023" t="s">
        <v>904</v>
      </c>
      <c r="G154"/>
      <c r="AI154"/>
      <c r="AJ154"/>
    </row>
    <row r="155" spans="2:37" ht="15.6">
      <c r="B155" s="1025" t="s">
        <v>37</v>
      </c>
      <c r="C155" s="1026">
        <v>104</v>
      </c>
      <c r="D155" s="1026">
        <v>11</v>
      </c>
      <c r="E155" s="1026">
        <v>6</v>
      </c>
      <c r="F155" s="1026">
        <v>9</v>
      </c>
      <c r="G155"/>
      <c r="AI155"/>
      <c r="AJ155"/>
    </row>
    <row r="156" spans="2:37" ht="15.6">
      <c r="B156" s="1025" t="s">
        <v>515</v>
      </c>
      <c r="C156" s="1026">
        <v>14</v>
      </c>
      <c r="D156" s="1026">
        <v>14</v>
      </c>
      <c r="E156" s="1026">
        <v>6</v>
      </c>
      <c r="F156" s="1026">
        <v>4</v>
      </c>
      <c r="G156"/>
      <c r="AI156"/>
      <c r="AJ156"/>
    </row>
    <row r="157" spans="2:37" ht="15.6">
      <c r="B157"/>
      <c r="C157"/>
      <c r="D157"/>
      <c r="E157"/>
      <c r="F157"/>
      <c r="G157"/>
      <c r="AI157"/>
      <c r="AJ157"/>
    </row>
    <row r="158" spans="2:37" ht="15.6">
      <c r="B158" s="101"/>
      <c r="C158" s="101"/>
      <c r="D158" s="101"/>
      <c r="E158" s="101"/>
      <c r="F158" s="101"/>
      <c r="G158" s="101"/>
      <c r="Q158" s="101"/>
      <c r="R158" s="101"/>
      <c r="S158" s="101"/>
      <c r="AI158"/>
      <c r="AJ158"/>
    </row>
    <row r="159" spans="2:37" ht="15.6">
      <c r="B159" s="134"/>
      <c r="C159" s="134" t="s">
        <v>137</v>
      </c>
      <c r="D159" s="134" t="s">
        <v>140</v>
      </c>
      <c r="E159" s="134" t="s">
        <v>904</v>
      </c>
      <c r="F159" s="134" t="s">
        <v>186</v>
      </c>
      <c r="AI159"/>
      <c r="AJ159"/>
    </row>
    <row r="160" spans="2:37">
      <c r="B160" s="135" t="s">
        <v>37</v>
      </c>
      <c r="C160" s="136">
        <f>GETPIVOTDATA("Is there constructed surface water drainage system?
",$B$153,"State","Kachin","Is there constructed surface water drainage system?
","Functional")</f>
        <v>104</v>
      </c>
      <c r="D160" s="136">
        <f>GETPIVOTDATA("Is there constructed surface water drainage system?
",$B$153,"State","Kachin","Is there constructed surface water drainage system?
","NA")</f>
        <v>11</v>
      </c>
      <c r="E160" s="136">
        <f>GETPIVOTDATA("Is there constructed surface water drainage system?
",$B$153,"State","Kachin","Is there constructed surface water drainage system?
","Not_Functional")</f>
        <v>9</v>
      </c>
      <c r="F160" s="136">
        <f>GETPIVOTDATA("Is there constructed surface water drainage system?
",$B$153,"State","Kachin","Is there constructed surface water drainage system?
","No")</f>
        <v>6</v>
      </c>
    </row>
    <row r="161" spans="2:11">
      <c r="B161" s="135"/>
      <c r="C161" s="136"/>
      <c r="D161" s="136"/>
      <c r="E161" s="136"/>
      <c r="F161" s="136"/>
    </row>
    <row r="162" spans="2:11">
      <c r="B162" s="135" t="s">
        <v>515</v>
      </c>
      <c r="C162" s="136">
        <f>GETPIVOTDATA("Is there constructed surface water drainage system?
",$B$153,"State","Shan (North)","Is there constructed surface water drainage system?
","Functional")</f>
        <v>14</v>
      </c>
      <c r="D162" s="136">
        <f>GETPIVOTDATA("Is there constructed surface water drainage system?
",$B$153,"State","Shan (North)","Is there constructed surface water drainage system?
","NA")</f>
        <v>14</v>
      </c>
      <c r="E162" s="136">
        <f>GETPIVOTDATA("Is there constructed surface water drainage system?
",$B$153,"State","Shan (North)","Is there constructed surface water drainage system?
","Not_Functional")</f>
        <v>4</v>
      </c>
      <c r="F162" s="136">
        <f>GETPIVOTDATA("Is there constructed surface water drainage system?
",$B$153,"State","Shan (North)","Is there constructed surface water drainage system?
","No")</f>
        <v>6</v>
      </c>
    </row>
    <row r="163" spans="2:11">
      <c r="B163" s="132"/>
      <c r="C163" s="133"/>
      <c r="D163" s="133"/>
      <c r="E163" s="133"/>
      <c r="F163" s="133"/>
    </row>
    <row r="164" spans="2:11">
      <c r="B164" s="132"/>
      <c r="C164" s="133"/>
      <c r="D164" s="133"/>
      <c r="E164" s="133"/>
      <c r="F164" s="133"/>
    </row>
    <row r="165" spans="2:11">
      <c r="B165" s="1022" t="s">
        <v>20</v>
      </c>
      <c r="C165" s="1023" t="s">
        <v>2786</v>
      </c>
    </row>
    <row r="166" spans="2:11">
      <c r="B166" s="1022" t="s">
        <v>34</v>
      </c>
      <c r="C166" s="1023" t="s">
        <v>34</v>
      </c>
    </row>
    <row r="167" spans="2:11">
      <c r="B167" s="1022" t="s">
        <v>134</v>
      </c>
      <c r="C167" s="1023" t="s">
        <v>1284</v>
      </c>
    </row>
    <row r="169" spans="2:11" ht="15.6">
      <c r="B169" s="1022" t="s">
        <v>2111</v>
      </c>
      <c r="C169" s="1022" t="s">
        <v>1477</v>
      </c>
      <c r="D169" s="1023"/>
      <c r="E169" s="1023"/>
      <c r="F169"/>
      <c r="G169"/>
      <c r="H169" s="101"/>
      <c r="I169" s="101"/>
      <c r="J169" s="101"/>
      <c r="K169" s="101"/>
    </row>
    <row r="170" spans="2:11" ht="15.6">
      <c r="B170" s="1022" t="s">
        <v>21</v>
      </c>
      <c r="C170" s="1023" t="s">
        <v>140</v>
      </c>
      <c r="D170" s="1023" t="s">
        <v>136</v>
      </c>
      <c r="E170" s="1023" t="s">
        <v>41</v>
      </c>
      <c r="F170"/>
      <c r="G170"/>
      <c r="H170" s="101"/>
      <c r="I170" s="101"/>
      <c r="J170" s="101"/>
      <c r="K170" s="101"/>
    </row>
    <row r="171" spans="2:11" ht="15.6">
      <c r="B171" s="1025" t="s">
        <v>37</v>
      </c>
      <c r="C171" s="1026">
        <v>8</v>
      </c>
      <c r="D171" s="1026">
        <v>7</v>
      </c>
      <c r="E171" s="1026">
        <v>115</v>
      </c>
      <c r="F171"/>
      <c r="G171"/>
      <c r="H171" s="101"/>
      <c r="I171" s="101"/>
      <c r="J171" s="101"/>
      <c r="K171" s="101"/>
    </row>
    <row r="172" spans="2:11" ht="15.6">
      <c r="B172" s="1025" t="s">
        <v>515</v>
      </c>
      <c r="C172" s="1026">
        <v>14</v>
      </c>
      <c r="D172" s="1026">
        <v>6</v>
      </c>
      <c r="E172" s="1026">
        <v>18</v>
      </c>
      <c r="F172"/>
      <c r="G172"/>
      <c r="H172" s="101"/>
      <c r="I172" s="101"/>
      <c r="J172" s="101"/>
      <c r="K172" s="101"/>
    </row>
    <row r="173" spans="2:11" ht="15.6">
      <c r="B173"/>
      <c r="C173"/>
      <c r="D173"/>
      <c r="E173"/>
      <c r="F173"/>
      <c r="G173"/>
      <c r="H173" s="101"/>
      <c r="I173" s="101"/>
      <c r="J173" s="101"/>
      <c r="K173" s="101"/>
    </row>
    <row r="174" spans="2:11">
      <c r="B174" s="101"/>
      <c r="C174" s="101"/>
      <c r="D174" s="101"/>
      <c r="E174" s="101"/>
      <c r="F174" s="101"/>
      <c r="G174" s="101"/>
      <c r="H174" s="101"/>
      <c r="I174" s="101"/>
    </row>
    <row r="175" spans="2:11">
      <c r="B175" s="143" t="s">
        <v>1283</v>
      </c>
      <c r="C175" s="388" t="s">
        <v>140</v>
      </c>
      <c r="D175" s="388" t="s">
        <v>136</v>
      </c>
      <c r="E175" s="388" t="s">
        <v>41</v>
      </c>
    </row>
    <row r="176" spans="2:11">
      <c r="B176" s="139" t="s">
        <v>37</v>
      </c>
      <c r="C176" s="141">
        <f>GETPIVOTDATA("Is there provision of solid waste management equipment?",$B$169,"State","Kachin","Is there provision of solid waste management equipment?","NA")</f>
        <v>8</v>
      </c>
      <c r="D176" s="140">
        <f>GETPIVOTDATA("Is there provision of solid waste management equipment?",$B$169,"State","Kachin","Is there provision of solid waste management equipment?","No")</f>
        <v>7</v>
      </c>
      <c r="E176" s="141">
        <f>GETPIVOTDATA("Is there provision of solid waste management equipment?",$B$169,"State","Kachin","Is there provision of solid waste management equipment?","Yes")</f>
        <v>115</v>
      </c>
    </row>
    <row r="177" spans="2:35">
      <c r="B177" s="137"/>
      <c r="C177" s="142"/>
      <c r="D177" s="138"/>
      <c r="E177" s="142"/>
    </row>
    <row r="178" spans="2:35">
      <c r="B178" s="139" t="s">
        <v>515</v>
      </c>
      <c r="C178" s="141">
        <f>GETPIVOTDATA("Is there provision of solid waste management equipment?",$B$169,"State","Shan (North)","Is there provision of solid waste management equipment?","NA")</f>
        <v>14</v>
      </c>
      <c r="D178" s="140">
        <f>GETPIVOTDATA("Is there provision of solid waste management equipment?",$B$169,"State","Shan (North)","Is there provision of solid waste management equipment?","No")</f>
        <v>6</v>
      </c>
      <c r="E178" s="141">
        <f>GETPIVOTDATA("Is there provision of solid waste management equipment?",$B$169,"State","Shan (North)","Is there provision of solid waste management equipment?","Yes")</f>
        <v>18</v>
      </c>
    </row>
    <row r="182" spans="2:35" ht="15.6">
      <c r="B182" s="1022" t="s">
        <v>20</v>
      </c>
      <c r="C182" s="1023" t="s">
        <v>2786</v>
      </c>
      <c r="D182" s="106"/>
      <c r="V182" s="421"/>
      <c r="W182" s="421"/>
      <c r="X182" s="421"/>
      <c r="Y182" s="421"/>
      <c r="Z182" s="421"/>
      <c r="AA182" s="421"/>
      <c r="AB182" s="421"/>
      <c r="AC182" s="421"/>
      <c r="AD182" s="421"/>
      <c r="AE182" s="421"/>
      <c r="AF182" s="421"/>
      <c r="AG182" s="421"/>
      <c r="AH182" s="421"/>
    </row>
    <row r="183" spans="2:35" ht="15.6">
      <c r="B183" s="1022" t="s">
        <v>34</v>
      </c>
      <c r="C183" s="1023" t="s">
        <v>34</v>
      </c>
      <c r="D183" s="101"/>
      <c r="J183" s="1022" t="s">
        <v>20</v>
      </c>
      <c r="K183" s="1023" t="s">
        <v>2786</v>
      </c>
      <c r="L183" s="106"/>
      <c r="V183" s="421"/>
      <c r="W183" s="421"/>
      <c r="X183" s="421"/>
      <c r="Y183" s="421"/>
      <c r="Z183" s="421"/>
      <c r="AA183" s="421"/>
      <c r="AB183" s="421"/>
      <c r="AC183" s="421"/>
      <c r="AD183" s="421"/>
      <c r="AE183" s="421"/>
      <c r="AF183" s="421"/>
      <c r="AG183" s="421"/>
      <c r="AH183" s="421"/>
      <c r="AI183" s="106"/>
    </row>
    <row r="184" spans="2:35" ht="15.6">
      <c r="B184" s="1032" t="s">
        <v>21</v>
      </c>
      <c r="C184" s="1033" t="s">
        <v>37</v>
      </c>
      <c r="D184" s="101"/>
      <c r="J184" s="1022" t="s">
        <v>34</v>
      </c>
      <c r="K184" s="1023" t="s">
        <v>34</v>
      </c>
      <c r="L184" s="101"/>
      <c r="V184" s="421"/>
      <c r="W184" s="421"/>
      <c r="X184" s="421"/>
      <c r="Y184" s="421"/>
      <c r="Z184" s="421"/>
      <c r="AA184" s="421"/>
      <c r="AB184" s="421"/>
      <c r="AC184" s="421"/>
      <c r="AD184" s="421"/>
      <c r="AE184" s="421"/>
      <c r="AF184" s="421"/>
      <c r="AG184" s="421"/>
      <c r="AH184" s="421"/>
      <c r="AI184" s="101"/>
    </row>
    <row r="185" spans="2:35" ht="15.6">
      <c r="B185" s="1022" t="s">
        <v>134</v>
      </c>
      <c r="C185" s="1023" t="s">
        <v>1284</v>
      </c>
      <c r="D185" s="101"/>
      <c r="J185" s="1032" t="s">
        <v>21</v>
      </c>
      <c r="K185" s="1033" t="s">
        <v>515</v>
      </c>
      <c r="L185" s="101"/>
      <c r="V185" s="421"/>
      <c r="W185" s="421"/>
      <c r="X185" s="421"/>
      <c r="Y185" s="421"/>
      <c r="Z185" s="421"/>
      <c r="AA185" s="421"/>
      <c r="AB185" s="421"/>
      <c r="AC185" s="421"/>
      <c r="AD185" s="421"/>
      <c r="AE185" s="421"/>
      <c r="AF185" s="421"/>
      <c r="AG185" s="421"/>
      <c r="AH185" s="421"/>
      <c r="AI185" s="101"/>
    </row>
    <row r="186" spans="2:35" ht="15.6">
      <c r="B186" s="382"/>
      <c r="C186" s="101"/>
      <c r="D186" s="101"/>
      <c r="J186" s="1022" t="s">
        <v>134</v>
      </c>
      <c r="K186" s="1023" t="s">
        <v>1284</v>
      </c>
      <c r="L186" s="101"/>
      <c r="V186" s="421"/>
      <c r="W186" s="421"/>
      <c r="X186" s="421"/>
      <c r="Y186" s="421"/>
      <c r="Z186" s="421"/>
      <c r="AA186" s="421"/>
      <c r="AB186" s="421"/>
      <c r="AC186" s="421"/>
      <c r="AD186" s="421"/>
      <c r="AE186" s="421"/>
      <c r="AF186" s="421"/>
      <c r="AG186" s="421"/>
      <c r="AH186" s="421"/>
      <c r="AI186" s="101"/>
    </row>
    <row r="187" spans="2:35" ht="15.6">
      <c r="B187" s="1028" t="s">
        <v>21</v>
      </c>
      <c r="C187" s="1023" t="s">
        <v>2149</v>
      </c>
      <c r="D187" s="1023" t="s">
        <v>2148</v>
      </c>
      <c r="J187" s="382"/>
      <c r="K187" s="101"/>
      <c r="L187" s="101"/>
      <c r="V187" s="421"/>
      <c r="W187" s="421"/>
      <c r="X187" s="421"/>
      <c r="Y187" s="421"/>
      <c r="Z187" s="421"/>
      <c r="AA187" s="421"/>
      <c r="AB187" s="421"/>
      <c r="AC187" s="421"/>
      <c r="AD187" s="421"/>
      <c r="AE187" s="421"/>
      <c r="AF187" s="421"/>
      <c r="AG187" s="421"/>
      <c r="AH187" s="421"/>
      <c r="AI187" s="101"/>
    </row>
    <row r="188" spans="2:35" ht="15.6">
      <c r="B188" s="1025" t="s">
        <v>195</v>
      </c>
      <c r="C188" s="1027">
        <v>0.75931766055045868</v>
      </c>
      <c r="D188" s="1027">
        <v>0.24068233944954132</v>
      </c>
      <c r="J188" s="1028" t="s">
        <v>21</v>
      </c>
      <c r="K188" s="1023" t="s">
        <v>2147</v>
      </c>
      <c r="L188" s="1023" t="s">
        <v>2148</v>
      </c>
      <c r="V188" s="421"/>
      <c r="W188" s="421"/>
      <c r="X188" s="421"/>
      <c r="Y188" s="421"/>
      <c r="Z188" s="421"/>
      <c r="AA188" s="421"/>
      <c r="AB188" s="421"/>
      <c r="AC188" s="421"/>
      <c r="AD188" s="421"/>
      <c r="AE188" s="421"/>
      <c r="AF188" s="421"/>
      <c r="AG188" s="421"/>
      <c r="AH188" s="421"/>
      <c r="AI188"/>
    </row>
    <row r="189" spans="2:35" ht="15.6">
      <c r="B189" s="1025" t="s">
        <v>146</v>
      </c>
      <c r="C189" s="1027">
        <v>0.69041963578780685</v>
      </c>
      <c r="D189" s="1027">
        <v>0.30958036421219315</v>
      </c>
      <c r="J189" s="1025" t="s">
        <v>534</v>
      </c>
      <c r="K189" s="1027">
        <v>1</v>
      </c>
      <c r="L189" s="1027">
        <v>0</v>
      </c>
      <c r="V189" s="421"/>
      <c r="W189" s="421"/>
      <c r="X189" s="421"/>
      <c r="Y189" s="421"/>
      <c r="Z189" s="421"/>
      <c r="AA189" s="421"/>
      <c r="AB189" s="421"/>
      <c r="AC189" s="421"/>
      <c r="AD189" s="421"/>
      <c r="AE189" s="421"/>
      <c r="AF189" s="421"/>
      <c r="AG189" s="421"/>
      <c r="AH189" s="421"/>
      <c r="AI189"/>
    </row>
    <row r="190" spans="2:35" ht="15.6">
      <c r="B190" s="1025" t="s">
        <v>148</v>
      </c>
      <c r="C190" s="1027">
        <v>0.79301287102705542</v>
      </c>
      <c r="D190" s="1027">
        <v>0.20698712897294458</v>
      </c>
      <c r="J190" s="1025" t="s">
        <v>519</v>
      </c>
      <c r="K190" s="1027">
        <v>0.9140857021637675</v>
      </c>
      <c r="L190" s="1027">
        <v>8.59142978362325E-2</v>
      </c>
      <c r="V190" s="421"/>
      <c r="W190" s="421"/>
      <c r="X190" s="421"/>
      <c r="Y190" s="421"/>
      <c r="Z190" s="421"/>
      <c r="AA190" s="421"/>
      <c r="AB190" s="421"/>
      <c r="AC190" s="421"/>
      <c r="AD190" s="421"/>
      <c r="AE190" s="421"/>
      <c r="AF190" s="421"/>
      <c r="AG190" s="421"/>
      <c r="AH190" s="421"/>
      <c r="AI190"/>
    </row>
    <row r="191" spans="2:35" ht="15.6">
      <c r="B191" s="1025" t="s">
        <v>38</v>
      </c>
      <c r="C191" s="1027">
        <v>0.803335204040728</v>
      </c>
      <c r="D191" s="1027">
        <v>0.196664795959272</v>
      </c>
      <c r="J191" s="1025" t="s">
        <v>961</v>
      </c>
      <c r="K191" s="1027">
        <v>1</v>
      </c>
      <c r="L191" s="1027">
        <v>0</v>
      </c>
      <c r="V191" s="421"/>
      <c r="W191" s="421"/>
      <c r="X191" s="421"/>
      <c r="Y191" s="421"/>
      <c r="Z191" s="421"/>
      <c r="AA191" s="421"/>
      <c r="AB191" s="421"/>
      <c r="AC191" s="421"/>
      <c r="AD191" s="421"/>
      <c r="AE191" s="421"/>
      <c r="AF191" s="421"/>
      <c r="AG191" s="421"/>
      <c r="AH191" s="421"/>
      <c r="AI191"/>
    </row>
    <row r="192" spans="2:35" ht="15.6">
      <c r="B192" s="1025" t="s">
        <v>152</v>
      </c>
      <c r="C192" s="1027">
        <v>0.69747899159663862</v>
      </c>
      <c r="D192" s="1027">
        <v>0.30252100840336138</v>
      </c>
      <c r="J192" s="1025" t="s">
        <v>522</v>
      </c>
      <c r="K192" s="1027">
        <v>1</v>
      </c>
      <c r="L192" s="1027">
        <v>0</v>
      </c>
      <c r="V192" s="421"/>
      <c r="W192" s="421"/>
      <c r="X192"/>
      <c r="Y192" s="421"/>
      <c r="Z192" s="421"/>
      <c r="AA192" s="421"/>
      <c r="AB192" s="421"/>
      <c r="AC192" s="421"/>
      <c r="AD192" s="421"/>
      <c r="AE192" s="421"/>
      <c r="AF192" s="421"/>
      <c r="AG192" s="421"/>
      <c r="AH192" s="421"/>
      <c r="AI192"/>
    </row>
    <row r="193" spans="1:35" ht="15.6">
      <c r="B193" s="1025" t="s">
        <v>157</v>
      </c>
      <c r="C193" s="1027">
        <v>0.34343434343434343</v>
      </c>
      <c r="D193" s="1027">
        <v>0.65656565656565657</v>
      </c>
      <c r="J193" s="1025" t="s">
        <v>525</v>
      </c>
      <c r="K193" s="1027">
        <v>0.11753183153770813</v>
      </c>
      <c r="L193" s="1027">
        <v>0.88246816846229192</v>
      </c>
      <c r="V193" s="421"/>
      <c r="W193" s="421"/>
      <c r="X193" s="421"/>
      <c r="Y193" s="421"/>
      <c r="Z193" s="421"/>
      <c r="AA193" s="421"/>
      <c r="AB193" s="421"/>
      <c r="AC193" s="421"/>
      <c r="AD193" s="421"/>
      <c r="AE193" s="421"/>
      <c r="AF193" s="421"/>
      <c r="AG193" s="421"/>
      <c r="AH193" s="421"/>
      <c r="AI193"/>
    </row>
    <row r="194" spans="1:35" ht="15.6">
      <c r="B194" s="1025" t="s">
        <v>205</v>
      </c>
      <c r="C194" s="1027">
        <v>0.61780043699927167</v>
      </c>
      <c r="D194" s="1027">
        <v>0.38219956300072833</v>
      </c>
      <c r="J194" s="1025" t="s">
        <v>516</v>
      </c>
      <c r="K194" s="1027">
        <v>0.88844621513944222</v>
      </c>
      <c r="L194" s="1027">
        <v>0.11155378486055778</v>
      </c>
      <c r="V194"/>
      <c r="W194"/>
      <c r="X194"/>
    </row>
    <row r="195" spans="1:35">
      <c r="B195" s="1025" t="s">
        <v>159</v>
      </c>
      <c r="C195" s="1027">
        <v>0.7139892789209753</v>
      </c>
      <c r="D195" s="1027">
        <v>0.2860107210790247</v>
      </c>
      <c r="J195" s="1025" t="s">
        <v>536</v>
      </c>
      <c r="K195" s="1027">
        <v>0.90731707317073174</v>
      </c>
      <c r="L195" s="1027">
        <v>9.2682926829268264E-2</v>
      </c>
    </row>
    <row r="196" spans="1:35">
      <c r="B196" s="1025" t="s">
        <v>214</v>
      </c>
      <c r="C196" s="1027">
        <v>0.27887174028738693</v>
      </c>
      <c r="D196" s="1027">
        <v>0.72112825971261307</v>
      </c>
      <c r="J196" s="1025" t="s">
        <v>963</v>
      </c>
      <c r="K196" s="1027">
        <v>0.16726403823178015</v>
      </c>
      <c r="L196" s="1027">
        <v>0.83273596176821985</v>
      </c>
    </row>
    <row r="197" spans="1:35" ht="15.6">
      <c r="B197" s="1025" t="s">
        <v>184</v>
      </c>
      <c r="C197" s="1027">
        <v>1</v>
      </c>
      <c r="D197" s="1027">
        <v>0</v>
      </c>
      <c r="J197" s="1025" t="s">
        <v>960</v>
      </c>
      <c r="K197" s="1027">
        <v>1</v>
      </c>
      <c r="L197" s="1027">
        <v>0</v>
      </c>
      <c r="M197"/>
      <c r="N197"/>
    </row>
    <row r="198" spans="1:35" ht="15.6">
      <c r="B198" s="1025" t="s">
        <v>863</v>
      </c>
      <c r="C198" s="1027">
        <v>0.37852664576802508</v>
      </c>
      <c r="D198" s="1027">
        <v>0.62147335423197492</v>
      </c>
      <c r="L198"/>
      <c r="M198"/>
      <c r="N198"/>
    </row>
    <row r="199" spans="1:35" ht="15.6">
      <c r="B199" s="1025" t="s">
        <v>142</v>
      </c>
      <c r="C199" s="1027">
        <v>0.69008052081548743</v>
      </c>
      <c r="D199" s="1027">
        <v>0.30991947918451257</v>
      </c>
      <c r="L199"/>
      <c r="M199"/>
      <c r="N199"/>
    </row>
    <row r="200" spans="1:35" ht="15.6">
      <c r="B200" s="1025" t="s">
        <v>587</v>
      </c>
      <c r="C200" s="1027">
        <v>1</v>
      </c>
      <c r="D200" s="1027">
        <v>0</v>
      </c>
      <c r="L200"/>
      <c r="M200"/>
      <c r="N200"/>
    </row>
    <row r="201" spans="1:35" ht="15.6">
      <c r="B201"/>
      <c r="C201"/>
      <c r="D201"/>
      <c r="L201"/>
      <c r="M201"/>
      <c r="N201"/>
    </row>
    <row r="202" spans="1:35" ht="15.6">
      <c r="B202" s="96"/>
      <c r="C202" s="97"/>
      <c r="D202" s="97"/>
      <c r="L202"/>
      <c r="M202"/>
      <c r="N202"/>
    </row>
    <row r="203" spans="1:35" ht="15.6">
      <c r="L203"/>
      <c r="M203"/>
      <c r="N203"/>
    </row>
    <row r="204" spans="1:35" ht="15.6">
      <c r="B204" s="101"/>
      <c r="C204" s="101"/>
      <c r="D204" s="101"/>
      <c r="S204"/>
      <c r="T204"/>
    </row>
    <row r="205" spans="1:35" ht="18">
      <c r="A205" s="147" t="s">
        <v>1585</v>
      </c>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35" ht="15.6">
      <c r="S206"/>
      <c r="T206"/>
    </row>
    <row r="208" spans="1:35">
      <c r="B208" s="1022" t="s">
        <v>20</v>
      </c>
      <c r="C208" s="1023" t="s">
        <v>2786</v>
      </c>
      <c r="D208" s="101"/>
      <c r="G208" s="1022" t="s">
        <v>20</v>
      </c>
      <c r="H208" s="1023" t="s">
        <v>2786</v>
      </c>
      <c r="I208" s="101"/>
    </row>
    <row r="209" spans="2:42">
      <c r="B209" s="1022" t="s">
        <v>34</v>
      </c>
      <c r="C209" s="1023" t="s">
        <v>34</v>
      </c>
      <c r="G209" s="1022" t="s">
        <v>34</v>
      </c>
      <c r="H209" s="1023" t="s">
        <v>34</v>
      </c>
      <c r="M209" s="98"/>
    </row>
    <row r="210" spans="2:42" ht="15.6">
      <c r="B210" s="1022" t="s">
        <v>134</v>
      </c>
      <c r="C210" s="1023" t="s">
        <v>1284</v>
      </c>
      <c r="D210" s="101"/>
      <c r="G210" s="1022" t="s">
        <v>134</v>
      </c>
      <c r="H210" s="1023" t="s">
        <v>1284</v>
      </c>
      <c r="I210" s="101"/>
      <c r="L210" s="421"/>
    </row>
    <row r="211" spans="2:42" ht="15.6">
      <c r="L211" s="421"/>
    </row>
    <row r="212" spans="2:42">
      <c r="B212" s="1022" t="s">
        <v>1283</v>
      </c>
      <c r="C212" s="1023" t="s">
        <v>1482</v>
      </c>
      <c r="D212" s="1023" t="s">
        <v>1501</v>
      </c>
      <c r="E212" s="1023" t="s">
        <v>1483</v>
      </c>
      <c r="G212" s="1022" t="s">
        <v>1283</v>
      </c>
      <c r="H212" s="1023" t="s">
        <v>2381</v>
      </c>
      <c r="I212" s="1023" t="s">
        <v>1482</v>
      </c>
      <c r="J212" s="1023" t="s">
        <v>1501</v>
      </c>
      <c r="K212" s="1023" t="s">
        <v>1483</v>
      </c>
      <c r="L212" s="1023" t="s">
        <v>2120</v>
      </c>
      <c r="M212" s="1023" t="s">
        <v>2366</v>
      </c>
    </row>
    <row r="213" spans="2:42">
      <c r="B213" s="1025" t="s">
        <v>37</v>
      </c>
      <c r="C213" s="1031">
        <v>20750.2</v>
      </c>
      <c r="D213" s="1026">
        <v>62371</v>
      </c>
      <c r="E213" s="1031">
        <v>9689</v>
      </c>
      <c r="G213" s="1025" t="s">
        <v>515</v>
      </c>
      <c r="H213" s="1026">
        <v>10369</v>
      </c>
      <c r="I213" s="1031">
        <v>2160</v>
      </c>
      <c r="J213" s="1026">
        <v>5834</v>
      </c>
      <c r="K213" s="1031">
        <v>1181</v>
      </c>
      <c r="L213" s="1026">
        <v>210</v>
      </c>
      <c r="M213" s="1026"/>
    </row>
    <row r="214" spans="2:42">
      <c r="B214" s="1025" t="s">
        <v>1285</v>
      </c>
      <c r="C214" s="1031">
        <v>20750.2</v>
      </c>
      <c r="D214" s="1026">
        <v>62371</v>
      </c>
      <c r="E214" s="1031">
        <v>9689</v>
      </c>
      <c r="G214" s="1025" t="s">
        <v>1285</v>
      </c>
      <c r="H214" s="1026">
        <v>10369</v>
      </c>
      <c r="I214" s="1031">
        <v>2160</v>
      </c>
      <c r="J214" s="1026">
        <v>5834</v>
      </c>
      <c r="K214" s="1031">
        <v>1181</v>
      </c>
      <c r="L214" s="1026">
        <v>210</v>
      </c>
      <c r="M214" s="1026"/>
    </row>
    <row r="215" spans="2:42" ht="15.6">
      <c r="B215"/>
      <c r="C215"/>
      <c r="D215"/>
      <c r="E215"/>
    </row>
    <row r="216" spans="2:42" ht="15.6">
      <c r="B216"/>
      <c r="C216"/>
      <c r="D216"/>
      <c r="E216"/>
      <c r="F216"/>
      <c r="G216"/>
      <c r="J216" s="112"/>
      <c r="K216" s="112"/>
    </row>
    <row r="217" spans="2:42" ht="15.6">
      <c r="C217" s="111" t="s">
        <v>37</v>
      </c>
      <c r="D217" s="97"/>
      <c r="E217"/>
      <c r="F217"/>
      <c r="H217" s="111" t="s">
        <v>1479</v>
      </c>
      <c r="K217" s="514" t="s">
        <v>2266</v>
      </c>
      <c r="L217" s="699" t="s">
        <v>2666</v>
      </c>
      <c r="Q217" s="103"/>
      <c r="R217" s="103"/>
    </row>
    <row r="218" spans="2:42">
      <c r="B218" s="109" t="s">
        <v>24</v>
      </c>
      <c r="C218" s="94">
        <f>GETPIVOTDATA("Sum of Total HH",$B$212,"State","Kachin")</f>
        <v>20750.2</v>
      </c>
      <c r="G218" s="109" t="s">
        <v>24</v>
      </c>
      <c r="H218" s="94">
        <f>GETPIVOTDATA("Sum of Total HH",$G$212,"State","Shan (North)")</f>
        <v>2160</v>
      </c>
      <c r="K218" s="629" t="s">
        <v>2383</v>
      </c>
      <c r="L218" s="103">
        <f>GETPIVOTDATA("Sum of Total PoP ",$G$212,"State","Shan (North)")*29%</f>
        <v>3007.0099999999998</v>
      </c>
    </row>
    <row r="220" spans="2:42">
      <c r="C220" s="111" t="s">
        <v>34</v>
      </c>
      <c r="D220" s="111" t="s">
        <v>1291</v>
      </c>
      <c r="H220" s="111" t="s">
        <v>34</v>
      </c>
      <c r="I220" s="111" t="s">
        <v>1291</v>
      </c>
      <c r="L220" s="111" t="s">
        <v>34</v>
      </c>
      <c r="M220" s="111" t="s">
        <v>1291</v>
      </c>
    </row>
    <row r="221" spans="2:42" s="901" customFormat="1" ht="53.55" customHeight="1">
      <c r="B221" s="899" t="s">
        <v>1484</v>
      </c>
      <c r="C221" s="900">
        <f>GETPIVOTDATA("Sum of # people reached by regular dedicated hygiene promotion_5",$B$212,"State","Kachin")/5</f>
        <v>12474.2</v>
      </c>
      <c r="D221" s="900">
        <f>$C$218-C221</f>
        <v>8276</v>
      </c>
      <c r="G221" s="899" t="s">
        <v>1484</v>
      </c>
      <c r="H221" s="902">
        <f>GETPIVOTDATA("Sum of # people reached by regular dedicated hygiene promotion_5",$G$212,"State","Shan (North)")/5</f>
        <v>1166.8</v>
      </c>
      <c r="I221" s="902">
        <f>$H$218-H221</f>
        <v>993.2</v>
      </c>
      <c r="K221" s="904" t="s">
        <v>2889</v>
      </c>
      <c r="L221" s="903">
        <f>GETPIVOTDATA("Sum of # of affected women and girls receiving a sufficient quantity of sanitary pads from direct distribution or from MHM room facilities",$G$212,"State","Shan (North)")</f>
        <v>0</v>
      </c>
      <c r="M221" s="903">
        <f>IF(L218-L221&lt;0,0,L218-L221)</f>
        <v>3007.0099999999998</v>
      </c>
    </row>
    <row r="222" spans="2:42" ht="15.6">
      <c r="B222" s="109" t="s">
        <v>1279</v>
      </c>
      <c r="C222" s="112">
        <f>GETPIVOTDATA("Sum of #HH with access to Hand Washing Station",$B$212,"State","Kachin")</f>
        <v>9689</v>
      </c>
      <c r="D222" s="112">
        <f>$C$218-C222</f>
        <v>11061.2</v>
      </c>
      <c r="G222" s="109" t="s">
        <v>1279</v>
      </c>
      <c r="H222" s="103">
        <f>GETPIVOTDATA("Sum of #HH with access to Hand Washing Station",$G$212,"State","Shan (North)")</f>
        <v>1181</v>
      </c>
      <c r="I222" s="103">
        <f>$H$218-H222</f>
        <v>979</v>
      </c>
      <c r="K222" s="421"/>
      <c r="L222"/>
      <c r="M222" s="106"/>
    </row>
    <row r="223" spans="2:42" ht="15.6">
      <c r="G223" s="635" t="s">
        <v>2436</v>
      </c>
      <c r="H223" s="94">
        <f>GETPIVOTDATA("Sum of #_households that received standard amount of soap for this quarter",$G$212,"State","Shan (North)")</f>
        <v>210</v>
      </c>
      <c r="I223" s="94">
        <f>H218-H223</f>
        <v>1950</v>
      </c>
      <c r="J223" s="378"/>
      <c r="K223" s="427"/>
      <c r="L223" s="427"/>
      <c r="M223" s="395"/>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row>
    <row r="224" spans="2:42" ht="15.6">
      <c r="G224" s="700" t="s">
        <v>2667</v>
      </c>
      <c r="H224" s="94">
        <f>GETPIVOTDATA("Sum of # of affected women and girls receiving a sufficient quantity of sanitary pads from direct distribution or from MHM room facilities",$G$212,"State","Shan (North)")</f>
        <v>0</v>
      </c>
      <c r="I224" s="103">
        <f>L218-H224</f>
        <v>3007.0099999999998</v>
      </c>
      <c r="K224" s="427"/>
      <c r="L224" s="427"/>
      <c r="M224" s="395"/>
      <c r="N224" s="378"/>
      <c r="O224" s="378"/>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row>
    <row r="225" spans="2:42" ht="15.6">
      <c r="K225" s="421"/>
      <c r="L225" s="364"/>
      <c r="M225" s="106"/>
    </row>
    <row r="226" spans="2:42" ht="15.6">
      <c r="K226" s="421"/>
      <c r="L226" s="421"/>
      <c r="M226" s="395"/>
      <c r="N226" s="378"/>
      <c r="R226" s="378"/>
      <c r="S226" s="378"/>
      <c r="T226" s="378"/>
      <c r="U226" s="378"/>
      <c r="V226" s="378"/>
      <c r="W226" s="378"/>
      <c r="X226" s="378"/>
      <c r="Y226" s="378"/>
      <c r="Z226" s="378"/>
      <c r="AA226" s="378"/>
      <c r="AB226" s="378"/>
      <c r="AC226" s="378"/>
      <c r="AD226" s="378"/>
      <c r="AE226" s="378"/>
      <c r="AF226" s="378"/>
      <c r="AG226" s="378"/>
      <c r="AH226" s="378"/>
      <c r="AI226" s="378"/>
      <c r="AJ226" s="378"/>
      <c r="AK226" s="378"/>
      <c r="AL226" s="378"/>
      <c r="AM226" s="378"/>
      <c r="AN226" s="378"/>
      <c r="AO226" s="378"/>
      <c r="AP226" s="378"/>
    </row>
    <row r="227" spans="2:42" ht="15.6">
      <c r="H227" s="421"/>
      <c r="I227" s="421"/>
      <c r="K227" s="421"/>
      <c r="L227" s="421"/>
      <c r="M227" s="395"/>
      <c r="N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row>
    <row r="228" spans="2:42" ht="15.6">
      <c r="H228" s="421"/>
      <c r="I228" s="421"/>
      <c r="K228" s="421"/>
      <c r="L228" s="421"/>
      <c r="M228" s="395"/>
      <c r="N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row>
    <row r="229" spans="2:42" ht="15.6">
      <c r="H229" s="427"/>
      <c r="I229" s="421"/>
      <c r="K229" s="421"/>
      <c r="L229" s="421"/>
      <c r="M229" s="395"/>
      <c r="N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row>
    <row r="230" spans="2:42" ht="15.6">
      <c r="H230" s="421"/>
      <c r="I230" s="421"/>
      <c r="K230" s="421"/>
      <c r="L230" s="364"/>
      <c r="M230" s="106"/>
    </row>
    <row r="231" spans="2:42" ht="15.6">
      <c r="H231" s="421"/>
      <c r="I231" s="421"/>
      <c r="K231" s="421"/>
      <c r="L231" s="364"/>
      <c r="M231" s="106"/>
    </row>
    <row r="232" spans="2:42" ht="15.6">
      <c r="B232"/>
      <c r="C232"/>
      <c r="D232"/>
      <c r="E232"/>
      <c r="F232"/>
      <c r="G232"/>
      <c r="K232" s="421"/>
      <c r="L232" s="364"/>
      <c r="M232" s="106"/>
    </row>
    <row r="233" spans="2:42" ht="15.6">
      <c r="B233"/>
      <c r="C233"/>
      <c r="D233"/>
      <c r="E233"/>
      <c r="F233"/>
      <c r="G233"/>
      <c r="I233" s="421"/>
      <c r="J233" s="421"/>
      <c r="K233" s="421"/>
      <c r="L233" s="364"/>
      <c r="M233" s="106"/>
    </row>
    <row r="234" spans="2:42" ht="15.6">
      <c r="B234" s="1022" t="s">
        <v>20</v>
      </c>
      <c r="C234" s="1023" t="s">
        <v>2786</v>
      </c>
      <c r="D234" s="101"/>
      <c r="F234" s="364"/>
      <c r="J234" s="421"/>
      <c r="K234" s="421"/>
      <c r="L234" s="364"/>
      <c r="M234" s="106"/>
    </row>
    <row r="235" spans="2:42" ht="15.6">
      <c r="B235" s="1022" t="s">
        <v>34</v>
      </c>
      <c r="C235" s="1023" t="s">
        <v>34</v>
      </c>
      <c r="F235" s="364"/>
      <c r="J235" s="421"/>
      <c r="K235" s="631"/>
      <c r="L235" s="103"/>
      <c r="M235" s="630"/>
    </row>
    <row r="236" spans="2:42" ht="15.6">
      <c r="B236" s="1022" t="s">
        <v>134</v>
      </c>
      <c r="C236" s="1023" t="s">
        <v>1284</v>
      </c>
      <c r="D236" s="101"/>
      <c r="F236" s="364"/>
      <c r="G236" s="514" t="s">
        <v>2265</v>
      </c>
      <c r="H236" s="515" t="s">
        <v>2269</v>
      </c>
      <c r="I236" s="513" t="s">
        <v>2264</v>
      </c>
      <c r="K236" s="514" t="s">
        <v>2266</v>
      </c>
      <c r="L236" s="699" t="s">
        <v>2662</v>
      </c>
      <c r="M236" s="699" t="s">
        <v>2663</v>
      </c>
    </row>
    <row r="237" spans="2:42" ht="15.6">
      <c r="F237" s="421"/>
      <c r="G237" s="629" t="s">
        <v>2382</v>
      </c>
      <c r="H237" s="103">
        <f>GETPIVOTDATA("Sum of Total HH",$B$238,"State","Kachin","Ethnic or GCA/NGCA","GCA")*25%</f>
        <v>2925</v>
      </c>
      <c r="I237" s="94">
        <f>GETPIVOTDATA("Sum of Total HH",$B$238,"State","Kachin","Ethnic or GCA/NGCA","NGCA")</f>
        <v>9050.2000000000007</v>
      </c>
      <c r="K237" s="629" t="s">
        <v>2383</v>
      </c>
      <c r="L237" s="103">
        <f>GETPIVOTDATA("Sum of Total PoP ",$B$238,"State","Kachin","Ethnic or GCA/NGCA","GCA")*29%</f>
        <v>17706.239999999998</v>
      </c>
      <c r="M237" s="630">
        <f>GETPIVOTDATA("Sum of Total PoP ",$B$238,"State","Kachin","Ethnic or GCA/NGCA","NGCA")*29%</f>
        <v>13365.519999999999</v>
      </c>
    </row>
    <row r="238" spans="2:42" ht="15.6">
      <c r="B238" s="1022" t="s">
        <v>1283</v>
      </c>
      <c r="C238" s="1023" t="s">
        <v>1482</v>
      </c>
      <c r="D238" s="1023" t="s">
        <v>2381</v>
      </c>
      <c r="E238"/>
      <c r="F238"/>
      <c r="G238"/>
      <c r="H238"/>
      <c r="J238" s="378"/>
      <c r="O238" s="378"/>
      <c r="P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row>
    <row r="239" spans="2:42" ht="15.6">
      <c r="B239" s="1025" t="s">
        <v>37</v>
      </c>
      <c r="C239" s="1031"/>
      <c r="D239" s="1026"/>
      <c r="E239"/>
      <c r="F239"/>
      <c r="G239"/>
      <c r="H239" s="111" t="s">
        <v>34</v>
      </c>
      <c r="I239" s="111" t="s">
        <v>1291</v>
      </c>
      <c r="L239" s="111" t="s">
        <v>34</v>
      </c>
      <c r="M239" s="111" t="s">
        <v>1291</v>
      </c>
      <c r="O239" s="590" t="s">
        <v>2367</v>
      </c>
    </row>
    <row r="240" spans="2:42" ht="15.6">
      <c r="B240" s="1030" t="s">
        <v>44</v>
      </c>
      <c r="C240" s="1031">
        <v>11700</v>
      </c>
      <c r="D240" s="1026">
        <v>61056</v>
      </c>
      <c r="E240"/>
      <c r="F240"/>
      <c r="G240" s="905" t="s">
        <v>2890</v>
      </c>
      <c r="H240">
        <f>GETPIVOTDATA("Sum of #_households that received standard amount of soap for this quarter",$B$250,"State","Kachin","Ethnic or GCA/NGCA","GCA")</f>
        <v>5980</v>
      </c>
      <c r="I240" s="112">
        <f>IF(H237-H240&lt;-1,0,H237-H240)</f>
        <v>0</v>
      </c>
      <c r="K240" s="699" t="s">
        <v>2664</v>
      </c>
      <c r="L240" s="112">
        <f>GETPIVOTDATA("Sum of # of affected women and girls receiving a sufficient quantity of sanitary pads from direct distribution or from MHM room facilities",$B$250,"State","Kachin","Ethnic or GCA/NGCA","GCA")</f>
        <v>8742</v>
      </c>
      <c r="M240" s="112">
        <f>L237-L240</f>
        <v>8964.239999999998</v>
      </c>
    </row>
    <row r="241" spans="2:13" ht="15.6">
      <c r="B241" s="1030" t="s">
        <v>590</v>
      </c>
      <c r="C241" s="1031">
        <v>9050.2000000000007</v>
      </c>
      <c r="D241" s="1026">
        <v>46088</v>
      </c>
      <c r="E241"/>
      <c r="F241"/>
      <c r="G241" s="905" t="s">
        <v>2891</v>
      </c>
      <c r="H241">
        <f>GETPIVOTDATA("Sum of #_households that received standard amount of soap for this quarter",$B$250,"State","Kachin","Ethnic or GCA/NGCA","NGCA")</f>
        <v>1363</v>
      </c>
      <c r="I241" s="112">
        <f>I237-H241</f>
        <v>7687.2000000000007</v>
      </c>
      <c r="K241" s="699" t="s">
        <v>2665</v>
      </c>
      <c r="L241" s="112">
        <f>GETPIVOTDATA("Sum of # of affected women and girls receiving a sufficient quantity of sanitary pads from direct distribution or from MHM room facilities",$B$250,"State","Kachin","Ethnic or GCA/NGCA","NGCA")</f>
        <v>1898</v>
      </c>
      <c r="M241" s="112">
        <f>M237-L241</f>
        <v>11467.519999999999</v>
      </c>
    </row>
    <row r="242" spans="2:13" ht="15.6">
      <c r="B242" s="1025" t="s">
        <v>1489</v>
      </c>
      <c r="C242" s="1031">
        <v>20750.2</v>
      </c>
      <c r="D242" s="1026">
        <v>107144</v>
      </c>
      <c r="E242"/>
      <c r="F242"/>
      <c r="G242"/>
      <c r="H242"/>
      <c r="K242" s="421"/>
      <c r="L242" s="421"/>
      <c r="M242" s="106"/>
    </row>
    <row r="243" spans="2:13" ht="15.6">
      <c r="B243" s="1025" t="s">
        <v>1285</v>
      </c>
      <c r="C243" s="1031">
        <v>20750.2</v>
      </c>
      <c r="D243" s="1026">
        <v>107144</v>
      </c>
      <c r="E243" s="512"/>
      <c r="F243" s="421"/>
      <c r="G243" s="421"/>
      <c r="K243" s="421"/>
      <c r="L243" s="421"/>
      <c r="M243" s="106"/>
    </row>
    <row r="244" spans="2:13" ht="15.6">
      <c r="B244"/>
      <c r="C244"/>
      <c r="D244"/>
      <c r="E244" s="512"/>
      <c r="F244" s="421"/>
      <c r="G244" s="421"/>
      <c r="K244" s="421"/>
      <c r="L244" s="421"/>
      <c r="M244" s="106"/>
    </row>
    <row r="245" spans="2:13" ht="15.6">
      <c r="B245"/>
      <c r="C245"/>
      <c r="D245"/>
      <c r="E245" s="512"/>
      <c r="F245" s="421"/>
      <c r="G245" s="421"/>
      <c r="K245" s="421"/>
      <c r="L245" s="421"/>
      <c r="M245" s="106"/>
    </row>
    <row r="246" spans="2:13" ht="15.6">
      <c r="B246" s="1022" t="s">
        <v>20</v>
      </c>
      <c r="C246" s="1023" t="s">
        <v>2785</v>
      </c>
      <c r="D246" s="101"/>
      <c r="E246" s="512"/>
      <c r="F246" s="421"/>
      <c r="G246" s="421"/>
      <c r="K246" s="421"/>
      <c r="L246" s="421"/>
      <c r="M246" s="106"/>
    </row>
    <row r="247" spans="2:13" ht="15.6">
      <c r="B247" s="1022" t="s">
        <v>34</v>
      </c>
      <c r="C247" s="1023" t="s">
        <v>34</v>
      </c>
      <c r="E247" s="512"/>
      <c r="F247" s="421"/>
      <c r="G247" s="421"/>
      <c r="K247" s="421"/>
      <c r="L247" s="421"/>
      <c r="M247" s="106"/>
    </row>
    <row r="248" spans="2:13" ht="15.6">
      <c r="B248" s="1022" t="s">
        <v>134</v>
      </c>
      <c r="C248" s="1023" t="s">
        <v>1284</v>
      </c>
      <c r="D248" s="101"/>
      <c r="E248" s="512"/>
      <c r="F248" s="421"/>
      <c r="K248" s="421"/>
      <c r="L248" s="421"/>
      <c r="M248" s="106"/>
    </row>
    <row r="249" spans="2:13" ht="15.6">
      <c r="E249" s="512"/>
      <c r="F249" s="421"/>
      <c r="K249" s="421"/>
      <c r="L249" s="421"/>
      <c r="M249" s="106"/>
    </row>
    <row r="250" spans="2:13" ht="15.6">
      <c r="B250" s="1022" t="s">
        <v>1283</v>
      </c>
      <c r="C250" s="1023" t="s">
        <v>2120</v>
      </c>
      <c r="D250" s="1023" t="s">
        <v>2366</v>
      </c>
      <c r="E250" s="512"/>
      <c r="F250" s="421"/>
      <c r="K250" s="421"/>
      <c r="L250" s="421"/>
      <c r="M250" s="106"/>
    </row>
    <row r="251" spans="2:13" ht="15.6">
      <c r="B251" s="1025" t="s">
        <v>37</v>
      </c>
      <c r="C251" s="1026"/>
      <c r="D251" s="1026"/>
      <c r="E251" s="512"/>
      <c r="F251" s="421"/>
      <c r="K251" s="421"/>
      <c r="L251" s="421"/>
      <c r="M251" s="106"/>
    </row>
    <row r="252" spans="2:13" ht="15.6">
      <c r="B252" s="1030" t="s">
        <v>44</v>
      </c>
      <c r="C252" s="1026">
        <v>5980</v>
      </c>
      <c r="D252" s="1026">
        <v>8742</v>
      </c>
      <c r="E252" s="512"/>
      <c r="F252" s="421"/>
      <c r="K252" s="421"/>
      <c r="L252" s="421"/>
      <c r="M252" s="106"/>
    </row>
    <row r="253" spans="2:13" ht="15.6">
      <c r="B253" s="1030" t="s">
        <v>590</v>
      </c>
      <c r="C253" s="1026">
        <v>1363</v>
      </c>
      <c r="D253" s="1026">
        <v>1898</v>
      </c>
      <c r="E253" s="512"/>
      <c r="F253" s="421"/>
      <c r="K253" s="421"/>
      <c r="L253" s="421"/>
      <c r="M253" s="106"/>
    </row>
    <row r="254" spans="2:13" ht="15.6">
      <c r="B254" s="1025" t="s">
        <v>1489</v>
      </c>
      <c r="C254" s="1026">
        <v>7343</v>
      </c>
      <c r="D254" s="1026">
        <v>10640</v>
      </c>
      <c r="E254" s="512"/>
      <c r="F254" s="421"/>
      <c r="G254" s="421"/>
      <c r="K254" s="421"/>
      <c r="L254" s="421"/>
      <c r="M254" s="106"/>
    </row>
    <row r="255" spans="2:13" ht="15.6">
      <c r="B255"/>
      <c r="C255"/>
      <c r="D255"/>
      <c r="F255" s="421"/>
      <c r="G255" s="421"/>
      <c r="K255" s="421"/>
      <c r="L255" s="421"/>
      <c r="M255" s="106"/>
    </row>
    <row r="256" spans="2:13" ht="15.6">
      <c r="K256" s="421"/>
      <c r="L256" s="421"/>
      <c r="M256" s="106"/>
    </row>
    <row r="257" spans="2:13" ht="15.6">
      <c r="K257" s="421"/>
      <c r="L257" s="421"/>
      <c r="M257" s="106"/>
    </row>
    <row r="258" spans="2:13" ht="15.6">
      <c r="F258" s="364"/>
      <c r="G258" s="421"/>
      <c r="H258" s="421"/>
      <c r="I258" s="421"/>
      <c r="K258" s="421"/>
      <c r="L258" s="421"/>
      <c r="M258" s="106"/>
    </row>
    <row r="259" spans="2:13" ht="15.6">
      <c r="B259"/>
      <c r="C259"/>
      <c r="D259"/>
      <c r="K259" s="364"/>
      <c r="L259" s="364"/>
      <c r="M259" s="106"/>
    </row>
    <row r="260" spans="2:13" ht="15.6">
      <c r="B260"/>
      <c r="C260"/>
      <c r="D260"/>
      <c r="K260" s="364"/>
      <c r="L260" s="364"/>
      <c r="M260" s="106"/>
    </row>
    <row r="261" spans="2:13">
      <c r="K261" s="1022" t="s">
        <v>20</v>
      </c>
      <c r="L261" s="1023" t="s">
        <v>2786</v>
      </c>
    </row>
    <row r="262" spans="2:13">
      <c r="B262" s="1022" t="s">
        <v>20</v>
      </c>
      <c r="C262" s="1023" t="s">
        <v>2786</v>
      </c>
      <c r="D262" s="106"/>
      <c r="K262" s="1022" t="s">
        <v>34</v>
      </c>
      <c r="L262" s="1023" t="s">
        <v>34</v>
      </c>
      <c r="M262" s="101"/>
    </row>
    <row r="263" spans="2:13">
      <c r="B263" s="1022" t="s">
        <v>34</v>
      </c>
      <c r="C263" s="1023" t="s">
        <v>34</v>
      </c>
      <c r="D263" s="101"/>
      <c r="K263" s="1032" t="s">
        <v>21</v>
      </c>
      <c r="L263" s="1033" t="s">
        <v>515</v>
      </c>
      <c r="M263" s="101"/>
    </row>
    <row r="264" spans="2:13">
      <c r="B264" s="1032" t="s">
        <v>21</v>
      </c>
      <c r="C264" s="1033" t="s">
        <v>37</v>
      </c>
      <c r="D264" s="101"/>
      <c r="K264" s="1022" t="s">
        <v>134</v>
      </c>
      <c r="L264" s="1023" t="s">
        <v>1284</v>
      </c>
      <c r="M264" s="101"/>
    </row>
    <row r="265" spans="2:13">
      <c r="B265" s="1022" t="s">
        <v>134</v>
      </c>
      <c r="C265" s="1023" t="s">
        <v>1284</v>
      </c>
      <c r="D265" s="101"/>
      <c r="K265" s="382"/>
      <c r="L265" s="101"/>
      <c r="M265" s="101"/>
    </row>
    <row r="266" spans="2:13">
      <c r="B266" s="382"/>
      <c r="C266" s="101"/>
      <c r="D266" s="101"/>
      <c r="K266" s="1028" t="s">
        <v>21</v>
      </c>
      <c r="L266" s="1023" t="s">
        <v>2150</v>
      </c>
      <c r="M266" s="1023" t="s">
        <v>2145</v>
      </c>
    </row>
    <row r="267" spans="2:13">
      <c r="B267" s="1028" t="s">
        <v>21</v>
      </c>
      <c r="C267" s="1023" t="s">
        <v>2150</v>
      </c>
      <c r="D267" s="1023" t="s">
        <v>2145</v>
      </c>
      <c r="K267" s="1025" t="s">
        <v>534</v>
      </c>
      <c r="L267" s="1027">
        <v>1</v>
      </c>
      <c r="M267" s="1027">
        <v>0</v>
      </c>
    </row>
    <row r="268" spans="2:13">
      <c r="B268" s="1025" t="s">
        <v>195</v>
      </c>
      <c r="C268" s="1027">
        <v>0.67072821100917435</v>
      </c>
      <c r="D268" s="1027">
        <v>0.32927178899082565</v>
      </c>
      <c r="K268" s="1025" t="s">
        <v>519</v>
      </c>
      <c r="L268" s="1027">
        <v>0.78086550700042423</v>
      </c>
      <c r="M268" s="1027">
        <v>0.21913449299957577</v>
      </c>
    </row>
    <row r="269" spans="2:13">
      <c r="B269" s="1025" t="s">
        <v>146</v>
      </c>
      <c r="C269" s="1027">
        <v>0.9184481393507522</v>
      </c>
      <c r="D269" s="1027">
        <v>8.1551860649247798E-2</v>
      </c>
      <c r="K269" s="1025" t="s">
        <v>961</v>
      </c>
      <c r="L269" s="1027">
        <v>0</v>
      </c>
      <c r="M269" s="1027">
        <v>1</v>
      </c>
    </row>
    <row r="270" spans="2:13">
      <c r="B270" s="1025" t="s">
        <v>148</v>
      </c>
      <c r="C270" s="1027">
        <v>0.93328079852902546</v>
      </c>
      <c r="D270" s="1027">
        <v>6.6719201470974543E-2</v>
      </c>
      <c r="K270" s="1025" t="s">
        <v>522</v>
      </c>
      <c r="L270" s="1027">
        <v>1</v>
      </c>
      <c r="M270" s="1027">
        <v>0</v>
      </c>
    </row>
    <row r="271" spans="2:13">
      <c r="B271" s="1025" t="s">
        <v>38</v>
      </c>
      <c r="C271" s="1027">
        <v>0.89312915898340417</v>
      </c>
      <c r="D271" s="1027">
        <v>0.10687084101659583</v>
      </c>
      <c r="K271" s="1025" t="s">
        <v>525</v>
      </c>
      <c r="L271" s="1027">
        <v>0.78942213516160631</v>
      </c>
      <c r="M271" s="1027">
        <v>0.21057786483839369</v>
      </c>
    </row>
    <row r="272" spans="2:13">
      <c r="B272" s="1025" t="s">
        <v>152</v>
      </c>
      <c r="C272" s="1027">
        <v>0.78331332533013209</v>
      </c>
      <c r="D272" s="1027">
        <v>0.21668667466986791</v>
      </c>
      <c r="K272" s="1025" t="s">
        <v>516</v>
      </c>
      <c r="L272" s="1027">
        <v>0.7426294820717132</v>
      </c>
      <c r="M272" s="1027">
        <v>0.2573705179282868</v>
      </c>
    </row>
    <row r="273" spans="1:26">
      <c r="B273" s="1025" t="s">
        <v>157</v>
      </c>
      <c r="C273" s="1027">
        <v>0.34343434343434343</v>
      </c>
      <c r="D273" s="1027">
        <v>0.65656565656565657</v>
      </c>
      <c r="K273" s="1025" t="s">
        <v>536</v>
      </c>
      <c r="L273" s="1027">
        <v>0.87479674796747964</v>
      </c>
      <c r="M273" s="1027">
        <v>0.12520325203252036</v>
      </c>
    </row>
    <row r="274" spans="1:26">
      <c r="B274" s="1025" t="s">
        <v>205</v>
      </c>
      <c r="C274" s="1027">
        <v>0.53736343772760375</v>
      </c>
      <c r="D274" s="1027">
        <v>0.46263656227239625</v>
      </c>
      <c r="K274" s="1025" t="s">
        <v>963</v>
      </c>
      <c r="L274" s="1027">
        <v>0</v>
      </c>
      <c r="M274" s="1027">
        <v>1</v>
      </c>
    </row>
    <row r="275" spans="1:26">
      <c r="B275" s="1025" t="s">
        <v>159</v>
      </c>
      <c r="C275" s="1027">
        <v>0.52057755490229984</v>
      </c>
      <c r="D275" s="1027">
        <v>0.47942244509770016</v>
      </c>
      <c r="K275" s="1025" t="s">
        <v>960</v>
      </c>
      <c r="L275" s="1027">
        <v>0</v>
      </c>
      <c r="M275" s="1027">
        <v>1</v>
      </c>
    </row>
    <row r="276" spans="1:26" ht="15.6">
      <c r="B276" s="1025" t="s">
        <v>214</v>
      </c>
      <c r="C276" s="1027">
        <v>0.15965939329430548</v>
      </c>
      <c r="D276" s="1027">
        <v>0.84034060670569455</v>
      </c>
      <c r="K276"/>
      <c r="L276"/>
      <c r="M276"/>
    </row>
    <row r="277" spans="1:26" ht="15.6">
      <c r="B277" s="1025" t="s">
        <v>184</v>
      </c>
      <c r="C277" s="1027">
        <v>0.47781065088757396</v>
      </c>
      <c r="D277" s="1027">
        <v>0.52218934911242609</v>
      </c>
      <c r="K277"/>
      <c r="L277"/>
      <c r="M277"/>
    </row>
    <row r="278" spans="1:26" ht="15.6">
      <c r="B278" s="1025" t="s">
        <v>863</v>
      </c>
      <c r="C278" s="1027">
        <v>0.62147335423197492</v>
      </c>
      <c r="D278" s="1027">
        <v>0.37852664576802508</v>
      </c>
      <c r="K278"/>
      <c r="L278"/>
      <c r="M278"/>
    </row>
    <row r="279" spans="1:26" ht="15.6">
      <c r="B279" s="1025" t="s">
        <v>142</v>
      </c>
      <c r="C279" s="1027">
        <v>0.61624121980469415</v>
      </c>
      <c r="D279" s="1027">
        <v>0.38375878019530585</v>
      </c>
      <c r="K279"/>
      <c r="L279"/>
      <c r="M279"/>
    </row>
    <row r="280" spans="1:26" ht="15.6">
      <c r="B280" s="1025" t="s">
        <v>587</v>
      </c>
      <c r="C280" s="1027">
        <v>1</v>
      </c>
      <c r="D280" s="1027">
        <v>0</v>
      </c>
      <c r="K280"/>
      <c r="L280"/>
      <c r="M280"/>
    </row>
    <row r="281" spans="1:26" ht="15.6">
      <c r="B281"/>
      <c r="C281"/>
      <c r="D281"/>
    </row>
    <row r="282" spans="1:26" ht="15.6">
      <c r="B282" s="101"/>
      <c r="C282" s="101"/>
      <c r="D282" s="101"/>
      <c r="K282"/>
      <c r="L282"/>
      <c r="M282"/>
      <c r="U282"/>
      <c r="V282"/>
      <c r="W282"/>
    </row>
    <row r="283" spans="1:26" ht="15.6">
      <c r="B283" s="101"/>
      <c r="C283" s="101"/>
      <c r="D283" s="101"/>
      <c r="K283"/>
      <c r="L283"/>
      <c r="M283"/>
      <c r="U283"/>
      <c r="V283"/>
      <c r="W283"/>
    </row>
    <row r="284" spans="1:26" ht="15.6">
      <c r="B284" s="101"/>
      <c r="C284" s="101"/>
      <c r="D284" s="101"/>
      <c r="K284" s="404"/>
      <c r="L284" s="405"/>
      <c r="M284" s="405"/>
      <c r="U284" s="364"/>
      <c r="V284" s="364"/>
      <c r="W284" s="364"/>
    </row>
    <row r="285" spans="1:26" ht="15.6">
      <c r="B285" s="101"/>
      <c r="C285" s="101"/>
      <c r="D285" s="101"/>
      <c r="K285" s="404"/>
      <c r="L285" s="405"/>
      <c r="M285" s="405"/>
      <c r="U285" s="364"/>
      <c r="V285" s="364"/>
      <c r="W285" s="364"/>
    </row>
    <row r="286" spans="1:26" ht="15.6">
      <c r="B286" s="101"/>
      <c r="C286" s="101"/>
      <c r="D286" s="101"/>
      <c r="K286" s="404"/>
      <c r="L286" s="405"/>
      <c r="M286" s="405"/>
      <c r="U286" s="364"/>
      <c r="V286" s="364"/>
      <c r="W286" s="364"/>
    </row>
    <row r="287" spans="1:26" ht="15.6">
      <c r="B287" s="101"/>
      <c r="C287" s="101"/>
      <c r="D287" s="101"/>
      <c r="K287" s="404"/>
      <c r="L287" s="405"/>
      <c r="M287" s="405"/>
      <c r="U287" s="364"/>
      <c r="V287" s="364"/>
      <c r="W287" s="364"/>
    </row>
    <row r="288" spans="1:26" ht="18">
      <c r="A288" s="148" t="s">
        <v>1290</v>
      </c>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2:16">
      <c r="B289" s="101"/>
      <c r="C289" s="101"/>
      <c r="D289" s="101"/>
    </row>
    <row r="290" spans="2:16">
      <c r="B290" s="101"/>
      <c r="C290" s="101"/>
      <c r="D290" s="101"/>
    </row>
    <row r="291" spans="2:16">
      <c r="C291" s="1022" t="s">
        <v>20</v>
      </c>
      <c r="D291" s="1023" t="s">
        <v>2786</v>
      </c>
      <c r="N291" s="744"/>
      <c r="O291" s="744"/>
    </row>
    <row r="292" spans="2:16" ht="15.6">
      <c r="C292" s="1033" t="s">
        <v>21</v>
      </c>
      <c r="D292" s="1023" t="s">
        <v>37</v>
      </c>
      <c r="H292" s="1022" t="s">
        <v>20</v>
      </c>
      <c r="I292" s="1023" t="s">
        <v>2786</v>
      </c>
      <c r="N292" s="421"/>
      <c r="O292" s="744"/>
    </row>
    <row r="293" spans="2:16">
      <c r="H293" s="1033" t="s">
        <v>21</v>
      </c>
      <c r="I293" s="1033" t="s">
        <v>515</v>
      </c>
    </row>
    <row r="294" spans="2:16" ht="15.6">
      <c r="C294" s="1022" t="s">
        <v>1480</v>
      </c>
      <c r="D294" s="1022" t="s">
        <v>1477</v>
      </c>
      <c r="E294" s="1023"/>
      <c r="N294"/>
      <c r="O294"/>
      <c r="P294"/>
    </row>
    <row r="295" spans="2:16" ht="15.6">
      <c r="C295" s="1022" t="s">
        <v>1283</v>
      </c>
      <c r="D295" s="1023" t="s">
        <v>34</v>
      </c>
      <c r="E295" s="1023" t="s">
        <v>1291</v>
      </c>
      <c r="H295" s="1022" t="s">
        <v>1480</v>
      </c>
      <c r="I295" s="1022" t="s">
        <v>1477</v>
      </c>
      <c r="J295" s="1023"/>
      <c r="N295"/>
      <c r="O295"/>
      <c r="P295"/>
    </row>
    <row r="296" spans="2:16" ht="15.6">
      <c r="C296" s="1025" t="s">
        <v>43</v>
      </c>
      <c r="D296" s="1026"/>
      <c r="E296" s="1026"/>
      <c r="H296" s="1022" t="s">
        <v>1283</v>
      </c>
      <c r="I296" s="1023" t="s">
        <v>34</v>
      </c>
      <c r="J296" s="1023" t="s">
        <v>1291</v>
      </c>
      <c r="N296"/>
      <c r="O296"/>
      <c r="P296"/>
    </row>
    <row r="297" spans="2:16" ht="15.6">
      <c r="C297" s="1030" t="s">
        <v>755</v>
      </c>
      <c r="D297" s="1026">
        <v>1</v>
      </c>
      <c r="E297" s="1026"/>
      <c r="H297" s="1025" t="s">
        <v>43</v>
      </c>
      <c r="I297" s="1026">
        <v>35</v>
      </c>
      <c r="J297" s="1026">
        <v>3</v>
      </c>
      <c r="N297"/>
      <c r="O297"/>
      <c r="P297"/>
    </row>
    <row r="298" spans="2:16" ht="15.6">
      <c r="C298" s="1030" t="s">
        <v>43</v>
      </c>
      <c r="D298" s="1026">
        <v>107</v>
      </c>
      <c r="E298" s="1026">
        <v>3</v>
      </c>
      <c r="H298" s="1025" t="s">
        <v>1099</v>
      </c>
      <c r="I298" s="1026">
        <v>1</v>
      </c>
      <c r="J298" s="1026"/>
      <c r="N298"/>
      <c r="O298"/>
      <c r="P298"/>
    </row>
    <row r="299" spans="2:16" ht="15.6">
      <c r="C299" s="1030" t="s">
        <v>2629</v>
      </c>
      <c r="D299" s="1026">
        <v>5</v>
      </c>
      <c r="E299" s="1026">
        <v>11</v>
      </c>
      <c r="H299" s="1025" t="s">
        <v>607</v>
      </c>
      <c r="I299" s="1026">
        <v>1</v>
      </c>
      <c r="J299" s="1026"/>
      <c r="N299"/>
      <c r="O299"/>
      <c r="P299"/>
    </row>
    <row r="300" spans="2:16" ht="15.6">
      <c r="C300" s="1030" t="s">
        <v>572</v>
      </c>
      <c r="D300" s="1026">
        <v>1</v>
      </c>
      <c r="E300" s="1026"/>
      <c r="H300" s="1025" t="s">
        <v>620</v>
      </c>
      <c r="I300" s="1026">
        <v>2</v>
      </c>
      <c r="J300" s="1026">
        <v>2</v>
      </c>
      <c r="N300"/>
      <c r="O300"/>
      <c r="P300"/>
    </row>
    <row r="301" spans="2:16" ht="15.6">
      <c r="C301" s="1030" t="s">
        <v>2630</v>
      </c>
      <c r="D301" s="1026">
        <v>1</v>
      </c>
      <c r="E301" s="1026">
        <v>7</v>
      </c>
      <c r="H301"/>
      <c r="I301"/>
      <c r="J301"/>
      <c r="N301"/>
      <c r="O301"/>
      <c r="P301"/>
    </row>
    <row r="302" spans="2:16" ht="15.6">
      <c r="C302" s="1025" t="s">
        <v>1099</v>
      </c>
      <c r="D302" s="1026"/>
      <c r="E302" s="1026"/>
      <c r="N302"/>
      <c r="O302"/>
      <c r="P302"/>
    </row>
    <row r="303" spans="2:16" ht="15.6">
      <c r="C303" s="1030" t="s">
        <v>43</v>
      </c>
      <c r="D303" s="1026">
        <v>9</v>
      </c>
      <c r="E303" s="1026"/>
      <c r="N303"/>
      <c r="O303"/>
      <c r="P303"/>
    </row>
    <row r="304" spans="2:16" ht="15.6">
      <c r="C304" s="1030" t="s">
        <v>2629</v>
      </c>
      <c r="D304" s="1026">
        <v>3</v>
      </c>
      <c r="E304" s="1026"/>
      <c r="N304"/>
      <c r="O304"/>
      <c r="P304"/>
    </row>
    <row r="305" spans="1:26" ht="15.6">
      <c r="C305" s="1030" t="s">
        <v>584</v>
      </c>
      <c r="D305" s="1026">
        <v>1</v>
      </c>
      <c r="E305" s="1026"/>
      <c r="N305"/>
      <c r="O305"/>
      <c r="P305"/>
    </row>
    <row r="306" spans="1:26" ht="15.6">
      <c r="C306" s="1030" t="s">
        <v>826</v>
      </c>
      <c r="D306" s="1026">
        <v>2</v>
      </c>
      <c r="E306" s="1026"/>
      <c r="N306"/>
      <c r="O306"/>
      <c r="P306"/>
    </row>
    <row r="307" spans="1:26" ht="15.6">
      <c r="C307"/>
      <c r="D307"/>
      <c r="E307"/>
    </row>
    <row r="308" spans="1:26" ht="15.6">
      <c r="C308"/>
      <c r="D308"/>
      <c r="E308"/>
    </row>
    <row r="309" spans="1:26" ht="15.6">
      <c r="C309"/>
      <c r="D309"/>
      <c r="E309"/>
    </row>
    <row r="312" spans="1:26" ht="18">
      <c r="A312" s="149" t="s">
        <v>1586</v>
      </c>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5" spans="1:26">
      <c r="C315" s="1022" t="s">
        <v>20</v>
      </c>
      <c r="D315" s="1023" t="s">
        <v>2786</v>
      </c>
    </row>
    <row r="316" spans="1:26">
      <c r="C316" s="1022" t="s">
        <v>34</v>
      </c>
      <c r="D316" s="1023" t="s">
        <v>1291</v>
      </c>
    </row>
    <row r="318" spans="1:26">
      <c r="C318" s="1022" t="s">
        <v>21</v>
      </c>
      <c r="D318" s="1022" t="s">
        <v>22</v>
      </c>
      <c r="E318" s="1022" t="s">
        <v>23</v>
      </c>
      <c r="F318" s="1022" t="s">
        <v>29</v>
      </c>
      <c r="G318" s="1023" t="s">
        <v>1480</v>
      </c>
      <c r="H318" s="1023" t="s">
        <v>1513</v>
      </c>
      <c r="I318" s="1023" t="s">
        <v>1514</v>
      </c>
      <c r="J318" s="1023" t="s">
        <v>1515</v>
      </c>
      <c r="K318" s="1023" t="s">
        <v>1516</v>
      </c>
      <c r="L318" s="1023" t="s">
        <v>1517</v>
      </c>
    </row>
    <row r="319" spans="1:26">
      <c r="C319" s="1023" t="s">
        <v>37</v>
      </c>
      <c r="D319" s="1023" t="s">
        <v>195</v>
      </c>
      <c r="E319" s="1023" t="s">
        <v>3054</v>
      </c>
      <c r="F319" s="1023" t="s">
        <v>43</v>
      </c>
      <c r="G319" s="1026">
        <v>1</v>
      </c>
      <c r="H319" s="1035">
        <v>12</v>
      </c>
      <c r="I319" s="1035">
        <v>60</v>
      </c>
      <c r="J319" s="1027">
        <v>1</v>
      </c>
      <c r="K319" s="1027">
        <v>1</v>
      </c>
      <c r="L319" s="1027">
        <v>1</v>
      </c>
    </row>
    <row r="320" spans="1:26">
      <c r="C320" s="1023"/>
      <c r="D320" s="1023"/>
      <c r="E320" s="1023" t="s">
        <v>3044</v>
      </c>
      <c r="F320" s="1023" t="s">
        <v>2630</v>
      </c>
      <c r="G320" s="1026">
        <v>1</v>
      </c>
      <c r="H320" s="1035">
        <v>181</v>
      </c>
      <c r="I320" s="1035">
        <v>906</v>
      </c>
      <c r="J320" s="1027">
        <v>1</v>
      </c>
      <c r="K320" s="1027">
        <v>1</v>
      </c>
      <c r="L320" s="1027">
        <v>1</v>
      </c>
    </row>
    <row r="321" spans="3:12">
      <c r="C321" s="1023"/>
      <c r="D321" s="1023" t="s">
        <v>146</v>
      </c>
      <c r="E321" s="1023" t="s">
        <v>3047</v>
      </c>
      <c r="F321" s="1023" t="s">
        <v>2630</v>
      </c>
      <c r="G321" s="1026">
        <v>1</v>
      </c>
      <c r="H321" s="1035">
        <v>57</v>
      </c>
      <c r="I321" s="1035">
        <v>264</v>
      </c>
      <c r="J321" s="1027">
        <v>1</v>
      </c>
      <c r="K321" s="1027">
        <v>0</v>
      </c>
      <c r="L321" s="1027">
        <v>1</v>
      </c>
    </row>
    <row r="322" spans="3:12">
      <c r="C322" s="1023"/>
      <c r="D322" s="1023" t="s">
        <v>148</v>
      </c>
      <c r="E322" s="1023" t="s">
        <v>257</v>
      </c>
      <c r="F322" s="1023" t="s">
        <v>2629</v>
      </c>
      <c r="G322" s="1026">
        <v>1</v>
      </c>
      <c r="H322" s="1035">
        <v>3</v>
      </c>
      <c r="I322" s="1035">
        <v>15</v>
      </c>
      <c r="J322" s="1027">
        <v>0</v>
      </c>
      <c r="K322" s="1027">
        <v>1</v>
      </c>
      <c r="L322" s="1027">
        <v>1</v>
      </c>
    </row>
    <row r="323" spans="3:12">
      <c r="C323" s="1023"/>
      <c r="D323" s="1023"/>
      <c r="E323" s="1023" t="s">
        <v>3045</v>
      </c>
      <c r="F323" s="1023" t="s">
        <v>43</v>
      </c>
      <c r="G323" s="1026">
        <v>1</v>
      </c>
      <c r="H323" s="1035">
        <v>95</v>
      </c>
      <c r="I323" s="1035">
        <v>472</v>
      </c>
      <c r="J323" s="1027">
        <v>1</v>
      </c>
      <c r="K323" s="1027">
        <v>1</v>
      </c>
      <c r="L323" s="1027">
        <v>1</v>
      </c>
    </row>
    <row r="324" spans="3:12">
      <c r="C324" s="1023"/>
      <c r="D324" s="1023" t="s">
        <v>38</v>
      </c>
      <c r="E324" s="1023" t="s">
        <v>3049</v>
      </c>
      <c r="F324" s="1023" t="s">
        <v>2630</v>
      </c>
      <c r="G324" s="1026">
        <v>1</v>
      </c>
      <c r="H324" s="1035">
        <v>67</v>
      </c>
      <c r="I324" s="1035">
        <v>308</v>
      </c>
      <c r="J324" s="1027">
        <v>1</v>
      </c>
      <c r="K324" s="1027">
        <v>1</v>
      </c>
      <c r="L324" s="1027">
        <v>1</v>
      </c>
    </row>
    <row r="325" spans="3:12">
      <c r="C325" s="1023"/>
      <c r="D325" s="1023" t="s">
        <v>152</v>
      </c>
      <c r="E325" s="1023" t="s">
        <v>1547</v>
      </c>
      <c r="F325" s="1023" t="s">
        <v>2629</v>
      </c>
      <c r="G325" s="1026">
        <v>1</v>
      </c>
      <c r="H325" s="1035">
        <v>6</v>
      </c>
      <c r="I325" s="1035">
        <v>32</v>
      </c>
      <c r="J325" s="1027">
        <v>1</v>
      </c>
      <c r="K325" s="1027">
        <v>1</v>
      </c>
      <c r="L325" s="1027">
        <v>1</v>
      </c>
    </row>
    <row r="326" spans="3:12">
      <c r="C326" s="1023"/>
      <c r="D326" s="1023" t="s">
        <v>157</v>
      </c>
      <c r="E326" s="1023" t="s">
        <v>3050</v>
      </c>
      <c r="F326" s="1023" t="s">
        <v>2630</v>
      </c>
      <c r="G326" s="1026">
        <v>1</v>
      </c>
      <c r="H326" s="1035">
        <v>27</v>
      </c>
      <c r="I326" s="1035">
        <v>126</v>
      </c>
      <c r="J326" s="1027">
        <v>1</v>
      </c>
      <c r="K326" s="1027">
        <v>1</v>
      </c>
      <c r="L326" s="1027">
        <v>1</v>
      </c>
    </row>
    <row r="327" spans="3:12">
      <c r="C327" s="1023"/>
      <c r="D327" s="1023"/>
      <c r="E327" s="1023" t="s">
        <v>3051</v>
      </c>
      <c r="F327" s="1023" t="s">
        <v>2630</v>
      </c>
      <c r="G327" s="1026">
        <v>1</v>
      </c>
      <c r="H327" s="1035">
        <v>15</v>
      </c>
      <c r="I327" s="1035">
        <v>71</v>
      </c>
      <c r="J327" s="1027">
        <v>1</v>
      </c>
      <c r="K327" s="1027">
        <v>1</v>
      </c>
      <c r="L327" s="1027">
        <v>1</v>
      </c>
    </row>
    <row r="328" spans="3:12">
      <c r="C328" s="1023"/>
      <c r="D328" s="1023" t="s">
        <v>205</v>
      </c>
      <c r="E328" s="1023" t="s">
        <v>3046</v>
      </c>
      <c r="F328" s="1023" t="s">
        <v>2630</v>
      </c>
      <c r="G328" s="1026">
        <v>1</v>
      </c>
      <c r="H328" s="1035">
        <v>223</v>
      </c>
      <c r="I328" s="1035">
        <v>1067</v>
      </c>
      <c r="J328" s="1027">
        <v>1</v>
      </c>
      <c r="K328" s="1027">
        <v>1</v>
      </c>
      <c r="L328" s="1027">
        <v>1</v>
      </c>
    </row>
    <row r="329" spans="3:12">
      <c r="C329" s="1023"/>
      <c r="D329" s="1023"/>
      <c r="E329" s="1023" t="s">
        <v>3043</v>
      </c>
      <c r="F329" s="1023" t="s">
        <v>2630</v>
      </c>
      <c r="G329" s="1026">
        <v>1</v>
      </c>
      <c r="H329" s="1035">
        <v>15</v>
      </c>
      <c r="I329" s="1035">
        <v>101</v>
      </c>
      <c r="J329" s="1027">
        <v>1</v>
      </c>
      <c r="K329" s="1027">
        <v>1</v>
      </c>
      <c r="L329" s="1027">
        <v>1</v>
      </c>
    </row>
    <row r="330" spans="3:12">
      <c r="C330" s="1023"/>
      <c r="D330" s="1023" t="s">
        <v>159</v>
      </c>
      <c r="E330" s="1023" t="s">
        <v>2244</v>
      </c>
      <c r="F330" s="1023" t="s">
        <v>43</v>
      </c>
      <c r="G330" s="1026">
        <v>1</v>
      </c>
      <c r="H330" s="1035">
        <v>26</v>
      </c>
      <c r="I330" s="1035">
        <v>147</v>
      </c>
      <c r="J330" s="1027">
        <v>1</v>
      </c>
      <c r="K330" s="1027">
        <v>1</v>
      </c>
      <c r="L330" s="1027">
        <v>1</v>
      </c>
    </row>
    <row r="331" spans="3:12">
      <c r="C331" s="1023"/>
      <c r="D331" s="1023" t="s">
        <v>184</v>
      </c>
      <c r="E331" s="1023" t="s">
        <v>2115</v>
      </c>
      <c r="F331" s="1023" t="s">
        <v>2629</v>
      </c>
      <c r="G331" s="1026">
        <v>1</v>
      </c>
      <c r="H331" s="1035">
        <v>31</v>
      </c>
      <c r="I331" s="1035">
        <v>171</v>
      </c>
      <c r="J331" s="1027">
        <v>1</v>
      </c>
      <c r="K331" s="1027">
        <v>1</v>
      </c>
      <c r="L331" s="1027">
        <v>1</v>
      </c>
    </row>
    <row r="332" spans="3:12">
      <c r="C332" s="1023"/>
      <c r="D332" s="1023" t="s">
        <v>142</v>
      </c>
      <c r="E332" s="1023" t="s">
        <v>778</v>
      </c>
      <c r="F332" s="1023" t="s">
        <v>2629</v>
      </c>
      <c r="G332" s="1026">
        <v>1</v>
      </c>
      <c r="H332" s="1035">
        <v>45</v>
      </c>
      <c r="I332" s="1035">
        <v>247</v>
      </c>
      <c r="J332" s="1027">
        <v>1</v>
      </c>
      <c r="K332" s="1027">
        <v>1</v>
      </c>
      <c r="L332" s="1027">
        <v>1</v>
      </c>
    </row>
    <row r="333" spans="3:12">
      <c r="C333" s="1023"/>
      <c r="D333" s="1023"/>
      <c r="E333" s="1023" t="s">
        <v>2796</v>
      </c>
      <c r="F333" s="1023" t="s">
        <v>2629</v>
      </c>
      <c r="G333" s="1026">
        <v>1</v>
      </c>
      <c r="H333" s="1035">
        <v>12</v>
      </c>
      <c r="I333" s="1035">
        <v>80</v>
      </c>
      <c r="J333" s="1027">
        <v>1</v>
      </c>
      <c r="K333" s="1027">
        <v>1</v>
      </c>
      <c r="L333" s="1027">
        <v>1</v>
      </c>
    </row>
    <row r="334" spans="3:12">
      <c r="C334" s="1023"/>
      <c r="D334" s="1023"/>
      <c r="E334" s="1023" t="s">
        <v>2797</v>
      </c>
      <c r="F334" s="1023" t="s">
        <v>2629</v>
      </c>
      <c r="G334" s="1026">
        <v>1</v>
      </c>
      <c r="H334" s="1035">
        <v>27</v>
      </c>
      <c r="I334" s="1035">
        <v>139</v>
      </c>
      <c r="J334" s="1027">
        <v>1</v>
      </c>
      <c r="K334" s="1027">
        <v>1</v>
      </c>
      <c r="L334" s="1027">
        <v>1</v>
      </c>
    </row>
    <row r="335" spans="3:12">
      <c r="C335" s="1023"/>
      <c r="D335" s="1023"/>
      <c r="E335" s="1023" t="s">
        <v>2799</v>
      </c>
      <c r="F335" s="1023" t="s">
        <v>2629</v>
      </c>
      <c r="G335" s="1026">
        <v>1</v>
      </c>
      <c r="H335" s="1035">
        <v>40</v>
      </c>
      <c r="I335" s="1035">
        <v>220</v>
      </c>
      <c r="J335" s="1027">
        <v>1</v>
      </c>
      <c r="K335" s="1027">
        <v>1</v>
      </c>
      <c r="L335" s="1027">
        <v>1</v>
      </c>
    </row>
    <row r="336" spans="3:12">
      <c r="C336" s="1023"/>
      <c r="D336" s="1023"/>
      <c r="E336" s="1023" t="s">
        <v>2802</v>
      </c>
      <c r="F336" s="1023" t="s">
        <v>2629</v>
      </c>
      <c r="G336" s="1026">
        <v>1</v>
      </c>
      <c r="H336" s="1035">
        <v>45</v>
      </c>
      <c r="I336" s="1035">
        <v>247</v>
      </c>
      <c r="J336" s="1027">
        <v>1</v>
      </c>
      <c r="K336" s="1027">
        <v>1</v>
      </c>
      <c r="L336" s="1027">
        <v>1</v>
      </c>
    </row>
    <row r="337" spans="3:12">
      <c r="C337" s="1023"/>
      <c r="D337" s="1023"/>
      <c r="E337" s="1023" t="s">
        <v>2803</v>
      </c>
      <c r="F337" s="1023" t="s">
        <v>2629</v>
      </c>
      <c r="G337" s="1026">
        <v>1</v>
      </c>
      <c r="H337" s="1035">
        <v>48</v>
      </c>
      <c r="I337" s="1035">
        <v>240</v>
      </c>
      <c r="J337" s="1027">
        <v>1</v>
      </c>
      <c r="K337" s="1027">
        <v>1</v>
      </c>
      <c r="L337" s="1027">
        <v>1</v>
      </c>
    </row>
    <row r="338" spans="3:12">
      <c r="C338" s="1023"/>
      <c r="D338" s="1023"/>
      <c r="E338" s="1023" t="s">
        <v>2804</v>
      </c>
      <c r="F338" s="1023" t="s">
        <v>2629</v>
      </c>
      <c r="G338" s="1026">
        <v>1</v>
      </c>
      <c r="H338" s="1035">
        <v>34</v>
      </c>
      <c r="I338" s="1035">
        <v>189</v>
      </c>
      <c r="J338" s="1027">
        <v>1</v>
      </c>
      <c r="K338" s="1027">
        <v>1</v>
      </c>
      <c r="L338" s="1027">
        <v>1</v>
      </c>
    </row>
    <row r="339" spans="3:12">
      <c r="C339" s="1023"/>
      <c r="D339" s="1023"/>
      <c r="E339" s="1023" t="s">
        <v>2805</v>
      </c>
      <c r="F339" s="1023" t="s">
        <v>2629</v>
      </c>
      <c r="G339" s="1026">
        <v>1</v>
      </c>
      <c r="H339" s="1035">
        <v>12</v>
      </c>
      <c r="I339" s="1035">
        <v>59</v>
      </c>
      <c r="J339" s="1027">
        <v>1</v>
      </c>
      <c r="K339" s="1027">
        <v>1</v>
      </c>
      <c r="L339" s="1027">
        <v>1</v>
      </c>
    </row>
    <row r="340" spans="3:12">
      <c r="C340" s="1023" t="s">
        <v>1489</v>
      </c>
      <c r="D340" s="1023"/>
      <c r="E340" s="1023"/>
      <c r="F340" s="1023"/>
      <c r="G340" s="1026">
        <v>21</v>
      </c>
      <c r="H340" s="1035">
        <v>1021</v>
      </c>
      <c r="I340" s="1035">
        <v>5161</v>
      </c>
      <c r="J340" s="1027">
        <v>0.95238095238095233</v>
      </c>
      <c r="K340" s="1027">
        <v>0.95238095238095233</v>
      </c>
      <c r="L340" s="1027">
        <v>1</v>
      </c>
    </row>
    <row r="341" spans="3:12">
      <c r="C341" s="1023" t="s">
        <v>515</v>
      </c>
      <c r="D341" s="1023" t="s">
        <v>556</v>
      </c>
      <c r="E341" s="1023" t="s">
        <v>557</v>
      </c>
      <c r="F341" s="1023" t="s">
        <v>2629</v>
      </c>
      <c r="G341" s="1026">
        <v>1</v>
      </c>
      <c r="H341" s="1035">
        <v>37</v>
      </c>
      <c r="I341" s="1035">
        <v>120</v>
      </c>
      <c r="J341" s="1027">
        <v>1</v>
      </c>
      <c r="K341" s="1027">
        <v>1</v>
      </c>
      <c r="L341" s="1027">
        <v>1</v>
      </c>
    </row>
    <row r="342" spans="3:12">
      <c r="C342" s="1023"/>
      <c r="D342" s="1023" t="s">
        <v>963</v>
      </c>
      <c r="E342" s="1023" t="s">
        <v>2625</v>
      </c>
      <c r="F342" s="1023" t="s">
        <v>2629</v>
      </c>
      <c r="G342" s="1026">
        <v>1</v>
      </c>
      <c r="H342" s="1035">
        <v>34</v>
      </c>
      <c r="I342" s="1035">
        <v>170</v>
      </c>
      <c r="J342" s="1027">
        <v>1</v>
      </c>
      <c r="K342" s="1027">
        <v>1</v>
      </c>
      <c r="L342" s="1027">
        <v>1</v>
      </c>
    </row>
    <row r="343" spans="3:12">
      <c r="C343" s="1023"/>
      <c r="D343" s="1023"/>
      <c r="E343" s="1023" t="s">
        <v>2628</v>
      </c>
      <c r="F343" s="1023" t="s">
        <v>3031</v>
      </c>
      <c r="G343" s="1026">
        <v>1</v>
      </c>
      <c r="H343" s="1035">
        <v>219</v>
      </c>
      <c r="I343" s="1035">
        <v>653</v>
      </c>
      <c r="J343" s="1027">
        <v>1</v>
      </c>
      <c r="K343" s="1027">
        <v>1</v>
      </c>
      <c r="L343" s="1027">
        <v>1</v>
      </c>
    </row>
    <row r="344" spans="3:12">
      <c r="C344" s="1023"/>
      <c r="D344" s="1023"/>
      <c r="E344" s="1023" t="s">
        <v>2627</v>
      </c>
      <c r="F344" s="1023" t="s">
        <v>3031</v>
      </c>
      <c r="G344" s="1026">
        <v>1</v>
      </c>
      <c r="H344" s="1035">
        <v>657</v>
      </c>
      <c r="I344" s="1035">
        <v>2786</v>
      </c>
      <c r="J344" s="1027">
        <v>1</v>
      </c>
      <c r="K344" s="1027">
        <v>1</v>
      </c>
      <c r="L344" s="1027">
        <v>1</v>
      </c>
    </row>
    <row r="345" spans="3:12">
      <c r="C345" s="1023"/>
      <c r="D345" s="1023" t="s">
        <v>960</v>
      </c>
      <c r="E345" s="1023" t="s">
        <v>2718</v>
      </c>
      <c r="F345" s="1023" t="s">
        <v>2630</v>
      </c>
      <c r="G345" s="1026">
        <v>1</v>
      </c>
      <c r="H345" s="1035">
        <v>142</v>
      </c>
      <c r="I345" s="1035">
        <v>504</v>
      </c>
      <c r="J345" s="1027">
        <v>1</v>
      </c>
      <c r="K345" s="1027">
        <v>1</v>
      </c>
      <c r="L345" s="1027">
        <v>1</v>
      </c>
    </row>
    <row r="346" spans="3:12">
      <c r="C346" s="1023" t="s">
        <v>2087</v>
      </c>
      <c r="D346" s="1023"/>
      <c r="E346" s="1023"/>
      <c r="F346" s="1023"/>
      <c r="G346" s="1026">
        <v>5</v>
      </c>
      <c r="H346" s="1035">
        <v>1089</v>
      </c>
      <c r="I346" s="1035">
        <v>4233</v>
      </c>
      <c r="J346" s="1027">
        <v>1</v>
      </c>
      <c r="K346" s="1027">
        <v>1</v>
      </c>
      <c r="L346" s="1027">
        <v>1</v>
      </c>
    </row>
    <row r="347" spans="3:12" ht="15.6">
      <c r="C347"/>
      <c r="D347"/>
      <c r="E347"/>
      <c r="F347"/>
      <c r="G347"/>
      <c r="H347"/>
      <c r="I347"/>
      <c r="J347"/>
      <c r="K347"/>
      <c r="L347"/>
    </row>
    <row r="348" spans="3:12" ht="15.6">
      <c r="C348"/>
      <c r="D348"/>
      <c r="E348"/>
      <c r="F348"/>
      <c r="G348"/>
      <c r="H348"/>
      <c r="I348"/>
      <c r="J348"/>
      <c r="K348"/>
      <c r="L348"/>
    </row>
    <row r="349" spans="3:12" ht="15.6">
      <c r="C349"/>
      <c r="D349"/>
      <c r="E349"/>
      <c r="F349"/>
      <c r="G349"/>
      <c r="H349"/>
      <c r="I349"/>
      <c r="J349"/>
      <c r="K349"/>
      <c r="L349"/>
    </row>
    <row r="350" spans="3:12" ht="15.6">
      <c r="C350"/>
      <c r="D350"/>
      <c r="E350"/>
      <c r="F350"/>
      <c r="G350"/>
      <c r="H350"/>
      <c r="I350"/>
      <c r="J350"/>
      <c r="K350"/>
      <c r="L350"/>
    </row>
    <row r="351" spans="3:12" ht="15.6">
      <c r="C351"/>
      <c r="D351"/>
      <c r="E351"/>
      <c r="F351"/>
      <c r="G351"/>
      <c r="H351"/>
      <c r="I351"/>
      <c r="J351"/>
      <c r="K351"/>
      <c r="L351"/>
    </row>
    <row r="352" spans="3:12" ht="15.6">
      <c r="C352"/>
      <c r="D352"/>
      <c r="E352"/>
      <c r="F352"/>
      <c r="G352"/>
      <c r="H352"/>
      <c r="I352"/>
      <c r="J352"/>
      <c r="K352"/>
      <c r="L352"/>
    </row>
    <row r="353" spans="1:25" ht="15.6">
      <c r="C353"/>
      <c r="D353"/>
      <c r="E353"/>
      <c r="F353"/>
      <c r="G353"/>
      <c r="H353"/>
      <c r="I353"/>
      <c r="J353"/>
      <c r="K353"/>
      <c r="L353"/>
    </row>
    <row r="354" spans="1:25" ht="15.6">
      <c r="C354"/>
      <c r="D354"/>
      <c r="E354"/>
      <c r="F354"/>
      <c r="G354"/>
      <c r="H354"/>
      <c r="I354"/>
      <c r="J354"/>
      <c r="K354"/>
      <c r="L354"/>
    </row>
    <row r="355" spans="1:25" ht="15.6">
      <c r="C355"/>
      <c r="D355"/>
      <c r="E355"/>
      <c r="F355"/>
      <c r="G355"/>
      <c r="H355"/>
      <c r="I355"/>
      <c r="J355"/>
      <c r="K355"/>
      <c r="L355"/>
    </row>
    <row r="356" spans="1:25" ht="15.6">
      <c r="C356"/>
      <c r="D356"/>
      <c r="E356"/>
      <c r="F356"/>
      <c r="G356"/>
      <c r="H356"/>
      <c r="I356"/>
      <c r="J356"/>
      <c r="K356"/>
      <c r="L356"/>
    </row>
    <row r="357" spans="1:25" ht="15.6">
      <c r="C357"/>
      <c r="D357"/>
      <c r="E357"/>
      <c r="F357"/>
      <c r="G357"/>
      <c r="H357"/>
      <c r="I357"/>
      <c r="J357"/>
      <c r="K357"/>
      <c r="L357"/>
    </row>
    <row r="358" spans="1:25" ht="15.6">
      <c r="C358"/>
      <c r="D358"/>
      <c r="E358"/>
      <c r="F358"/>
      <c r="G358"/>
      <c r="H358"/>
      <c r="I358"/>
      <c r="J358"/>
      <c r="K358"/>
      <c r="L358"/>
    </row>
    <row r="359" spans="1:25" ht="15.6">
      <c r="C359"/>
      <c r="D359"/>
      <c r="E359"/>
      <c r="F359"/>
      <c r="G359"/>
      <c r="H359"/>
      <c r="I359"/>
      <c r="J359"/>
      <c r="K359"/>
      <c r="L359"/>
    </row>
    <row r="360" spans="1:25" ht="15.6">
      <c r="C360"/>
      <c r="D360"/>
      <c r="E360"/>
      <c r="F360"/>
      <c r="G360"/>
      <c r="H360"/>
      <c r="I360"/>
      <c r="J360"/>
      <c r="K360"/>
      <c r="L360"/>
    </row>
    <row r="361" spans="1:25" ht="15.6">
      <c r="C361"/>
      <c r="D361"/>
      <c r="E361"/>
      <c r="F361"/>
      <c r="G361"/>
      <c r="H361"/>
      <c r="I361"/>
      <c r="J361"/>
      <c r="K361"/>
      <c r="L361"/>
    </row>
    <row r="362" spans="1:25" ht="15.6">
      <c r="C362"/>
      <c r="D362"/>
      <c r="E362"/>
      <c r="F362"/>
      <c r="G362"/>
      <c r="H362"/>
      <c r="I362"/>
      <c r="J362"/>
      <c r="K362"/>
      <c r="L362"/>
    </row>
    <row r="363" spans="1:25" ht="18">
      <c r="A363" s="150" t="s">
        <v>1518</v>
      </c>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row>
    <row r="364" spans="1:25">
      <c r="C364" s="101"/>
      <c r="D364" s="101"/>
      <c r="E364" s="101"/>
      <c r="F364" s="101"/>
      <c r="G364" s="101"/>
      <c r="H364" s="101"/>
      <c r="I364" s="101"/>
      <c r="J364" s="101"/>
      <c r="K364" s="101"/>
    </row>
    <row r="365" spans="1:25">
      <c r="C365" s="101"/>
      <c r="D365" s="101"/>
      <c r="E365" s="101"/>
      <c r="F365" s="101"/>
      <c r="G365" s="101"/>
      <c r="H365" s="101"/>
      <c r="I365" s="101"/>
      <c r="J365" s="101"/>
      <c r="K365" s="101"/>
    </row>
    <row r="366" spans="1:25">
      <c r="C366" s="101"/>
      <c r="D366" s="101"/>
      <c r="E366" s="101"/>
      <c r="F366" s="101"/>
      <c r="G366" s="101"/>
      <c r="H366" s="101"/>
      <c r="I366" s="101"/>
      <c r="J366" s="101"/>
      <c r="K366" s="101"/>
    </row>
    <row r="367" spans="1:25">
      <c r="C367" s="1022" t="s">
        <v>20</v>
      </c>
      <c r="D367" s="1023" t="s">
        <v>2786</v>
      </c>
      <c r="F367" s="101"/>
      <c r="G367" s="101"/>
      <c r="H367" s="101"/>
      <c r="I367" s="101"/>
      <c r="J367" s="101"/>
      <c r="K367" s="101"/>
    </row>
    <row r="368" spans="1:25">
      <c r="C368" s="1022" t="s">
        <v>34</v>
      </c>
      <c r="D368" s="1023" t="s">
        <v>34</v>
      </c>
      <c r="F368" s="101"/>
      <c r="G368" s="101"/>
      <c r="H368" s="101"/>
      <c r="I368" s="101"/>
      <c r="J368" s="101"/>
      <c r="K368" s="101"/>
    </row>
    <row r="369" spans="3:11">
      <c r="C369" s="406"/>
      <c r="F369" s="101"/>
      <c r="G369" s="101"/>
      <c r="H369" s="101"/>
      <c r="I369" s="101"/>
      <c r="J369" s="101"/>
      <c r="K369" s="101"/>
    </row>
    <row r="370" spans="3:11" s="396" customFormat="1" ht="129.6">
      <c r="C370" s="1028" t="s">
        <v>21</v>
      </c>
      <c r="D370" s="1038" t="s">
        <v>2895</v>
      </c>
      <c r="E370" s="1038" t="s">
        <v>2124</v>
      </c>
      <c r="F370" s="1038" t="s">
        <v>2125</v>
      </c>
      <c r="G370" s="1038" t="s">
        <v>2896</v>
      </c>
      <c r="H370" s="1038" t="s">
        <v>2894</v>
      </c>
      <c r="I370" s="1038" t="s">
        <v>2380</v>
      </c>
      <c r="J370" s="398"/>
      <c r="K370" s="398"/>
    </row>
    <row r="371" spans="3:11">
      <c r="C371" s="1025" t="s">
        <v>37</v>
      </c>
      <c r="D371" s="1035">
        <v>288</v>
      </c>
      <c r="E371" s="1035">
        <v>2328</v>
      </c>
      <c r="F371" s="1035">
        <v>99</v>
      </c>
      <c r="G371" s="1035">
        <v>42</v>
      </c>
      <c r="H371" s="1035">
        <v>2</v>
      </c>
      <c r="I371" s="1035">
        <v>44</v>
      </c>
      <c r="J371" s="101"/>
      <c r="K371" s="101"/>
    </row>
    <row r="372" spans="3:11">
      <c r="C372" s="1025" t="s">
        <v>515</v>
      </c>
      <c r="D372" s="1035">
        <v>11</v>
      </c>
      <c r="E372" s="1035"/>
      <c r="F372" s="1035">
        <v>14</v>
      </c>
      <c r="G372" s="1035">
        <v>6</v>
      </c>
      <c r="H372" s="1035"/>
      <c r="I372" s="1035"/>
      <c r="J372" s="101"/>
      <c r="K372" s="101"/>
    </row>
    <row r="373" spans="3:11" ht="15.6">
      <c r="C373"/>
      <c r="D373"/>
      <c r="E373"/>
      <c r="F373"/>
      <c r="G373"/>
      <c r="H373"/>
      <c r="I373"/>
      <c r="J373" s="101"/>
      <c r="K373" s="101"/>
    </row>
    <row r="374" spans="3:11" ht="15.6">
      <c r="C374"/>
      <c r="D374"/>
      <c r="E374"/>
      <c r="F374"/>
      <c r="G374"/>
      <c r="H374"/>
      <c r="I374"/>
      <c r="J374" s="101"/>
      <c r="K374" s="101"/>
    </row>
    <row r="375" spans="3:11" ht="15" thickBot="1">
      <c r="C375" s="407"/>
      <c r="D375" s="101"/>
      <c r="E375" s="101"/>
      <c r="F375" s="101"/>
      <c r="G375" s="101"/>
      <c r="H375" s="101"/>
      <c r="I375" s="101"/>
      <c r="J375" s="101"/>
      <c r="K375" s="101"/>
    </row>
    <row r="376" spans="3:11" s="396" customFormat="1" ht="87" thickBot="1">
      <c r="C376" s="397" t="s">
        <v>21</v>
      </c>
      <c r="D376" s="393" t="s">
        <v>2379</v>
      </c>
      <c r="E376" s="393" t="s">
        <v>2126</v>
      </c>
      <c r="F376" s="393" t="s">
        <v>2892</v>
      </c>
      <c r="G376" s="393" t="s">
        <v>2893</v>
      </c>
      <c r="H376" s="393" t="s">
        <v>2897</v>
      </c>
      <c r="I376" s="394" t="s">
        <v>2898</v>
      </c>
      <c r="J376" s="398"/>
    </row>
    <row r="377" spans="3:11">
      <c r="C377" s="115" t="s">
        <v>37</v>
      </c>
      <c r="D377" s="906">
        <f>GETPIVOTDATA(" # of hand washing stations with soap in TLS",$C$370,"State","Kachin")</f>
        <v>99</v>
      </c>
      <c r="E377" s="906">
        <f>GETPIVOTDATA(" #_Hygiene Promotion activities (sessions) in TLS?",$C$370,"State","Kachin")</f>
        <v>2328</v>
      </c>
      <c r="F377" s="906">
        <f>GETPIVOTDATA("  functional latrines in TLS/CFS supported by WASH partners during the reporting period",$C$370,"State","Kachin")</f>
        <v>288</v>
      </c>
      <c r="G377" s="906">
        <f>GETPIVOTDATA(" #_of water points in TLS/CFS",$C$370,"State","Kachin")</f>
        <v>42</v>
      </c>
      <c r="H377" s="906">
        <f>GETPIVOTDATA("Sum of #_of water points in THF",$C$370,"State","Kachin")</f>
        <v>2</v>
      </c>
      <c r="I377" s="906">
        <f>GETPIVOTDATA("Sum of # of functional latrines in THF supported by WASH partners during the reporting period2",$C$370,"State","Kachin")</f>
        <v>44</v>
      </c>
      <c r="J377" s="101"/>
    </row>
    <row r="378" spans="3:11">
      <c r="C378" s="115" t="s">
        <v>515</v>
      </c>
      <c r="D378" s="907">
        <f>GETPIVOTDATA(" # of hand washing stations with soap in TLS",$C$370,"State","Shan (North)")</f>
        <v>14</v>
      </c>
      <c r="E378" s="907">
        <f>GETPIVOTDATA(" #_Hygiene Promotion activities (sessions) in TLS?",$C$370,"State","Shan (North)")</f>
        <v>0</v>
      </c>
      <c r="F378" s="907">
        <f>GETPIVOTDATA("  functional latrines in TLS/CFS supported by WASH partners during the reporting period",$C$370,"State","Shan (North)")</f>
        <v>11</v>
      </c>
      <c r="G378" s="907">
        <f>GETPIVOTDATA(" #_of water points in TLS/CFS",$C$370,"State","Shan (North)")</f>
        <v>6</v>
      </c>
      <c r="H378" s="907">
        <f>GETPIVOTDATA("Sum of #_of water points in THF",$C$370,"State","Shan (North)")</f>
        <v>0</v>
      </c>
      <c r="I378" s="908">
        <f>GETPIVOTDATA("Sum of # of functional latrines in THF supported by WASH partners during the reporting period2",$C$370,"State","Shan (North)")</f>
        <v>0</v>
      </c>
      <c r="J378" s="101"/>
    </row>
    <row r="379" spans="3:11">
      <c r="C379" s="101"/>
      <c r="D379" s="101"/>
      <c r="E379" s="101"/>
      <c r="F379" s="101"/>
      <c r="G379" s="101"/>
      <c r="H379" s="101"/>
      <c r="I379" s="101"/>
      <c r="J379" s="101"/>
      <c r="K379" s="101"/>
    </row>
    <row r="380" spans="3:11">
      <c r="C380" s="101"/>
      <c r="D380" s="101"/>
      <c r="E380" s="101"/>
      <c r="F380" s="101"/>
      <c r="G380" s="101"/>
      <c r="H380" s="101"/>
      <c r="I380" s="101"/>
      <c r="J380" s="101"/>
      <c r="K380" s="101"/>
    </row>
    <row r="381" spans="3:11">
      <c r="C381" s="101"/>
      <c r="D381" s="101"/>
      <c r="E381" s="101"/>
      <c r="F381" s="101"/>
      <c r="G381" s="101"/>
      <c r="H381" s="101"/>
      <c r="I381" s="101"/>
      <c r="J381" s="101"/>
      <c r="K381" s="101"/>
    </row>
    <row r="382" spans="3:11">
      <c r="C382" s="101"/>
      <c r="D382" s="101"/>
      <c r="E382" s="101"/>
      <c r="F382" s="101"/>
      <c r="G382" s="101"/>
      <c r="H382" s="101"/>
      <c r="I382" s="101"/>
      <c r="J382" s="101"/>
      <c r="K382" s="101"/>
    </row>
    <row r="383" spans="3:11">
      <c r="C383" s="101"/>
      <c r="D383" s="101"/>
      <c r="E383" s="101"/>
      <c r="F383" s="101"/>
      <c r="G383" s="101"/>
      <c r="H383" s="101"/>
      <c r="I383" s="101"/>
      <c r="J383" s="101"/>
      <c r="K383" s="101"/>
    </row>
    <row r="384" spans="3:11">
      <c r="C384" s="101"/>
      <c r="D384" s="101"/>
      <c r="E384" s="101"/>
      <c r="F384" s="101"/>
      <c r="G384" s="101"/>
      <c r="H384" s="101"/>
      <c r="I384" s="101"/>
      <c r="J384" s="101"/>
      <c r="K384" s="101"/>
    </row>
    <row r="385" spans="1:25">
      <c r="C385" s="101"/>
      <c r="D385" s="101"/>
      <c r="E385" s="101"/>
      <c r="F385" s="101"/>
      <c r="G385" s="101"/>
      <c r="H385" s="101"/>
      <c r="I385" s="101"/>
      <c r="J385" s="101"/>
      <c r="K385" s="101"/>
    </row>
    <row r="386" spans="1:25">
      <c r="C386" s="101"/>
      <c r="D386" s="101"/>
      <c r="E386" s="101"/>
      <c r="F386" s="101"/>
      <c r="G386" s="101"/>
      <c r="H386" s="101"/>
      <c r="I386" s="101"/>
      <c r="J386" s="101"/>
      <c r="K386" s="101"/>
    </row>
    <row r="387" spans="1:25">
      <c r="C387" s="101"/>
      <c r="D387" s="101"/>
      <c r="E387" s="101"/>
      <c r="F387" s="101"/>
      <c r="G387" s="101"/>
      <c r="H387" s="101"/>
      <c r="I387" s="101"/>
      <c r="J387" s="101"/>
      <c r="K387" s="101"/>
    </row>
    <row r="388" spans="1:25">
      <c r="C388" s="101"/>
      <c r="D388" s="101"/>
      <c r="E388" s="101"/>
      <c r="F388" s="101"/>
      <c r="G388" s="101"/>
      <c r="H388" s="101"/>
      <c r="I388" s="101"/>
      <c r="J388" s="101"/>
      <c r="K388" s="101"/>
    </row>
    <row r="389" spans="1:25">
      <c r="C389" s="101"/>
      <c r="D389" s="101"/>
      <c r="E389" s="101"/>
      <c r="F389" s="101"/>
      <c r="G389" s="101"/>
      <c r="H389" s="101"/>
      <c r="I389" s="101"/>
      <c r="J389" s="101"/>
      <c r="K389" s="101"/>
    </row>
    <row r="390" spans="1:25">
      <c r="C390" s="101"/>
      <c r="D390" s="101"/>
      <c r="E390" s="101"/>
      <c r="F390" s="101"/>
      <c r="G390" s="101"/>
      <c r="H390" s="101"/>
      <c r="I390" s="101"/>
      <c r="J390" s="101"/>
      <c r="K390" s="101"/>
    </row>
    <row r="391" spans="1:25">
      <c r="C391" s="101"/>
      <c r="D391" s="101"/>
      <c r="E391" s="101"/>
      <c r="F391" s="101"/>
      <c r="G391" s="101"/>
      <c r="H391" s="101"/>
      <c r="I391" s="101"/>
      <c r="J391" s="101"/>
      <c r="K391" s="101"/>
    </row>
    <row r="392" spans="1:25">
      <c r="C392" s="101"/>
      <c r="D392" s="101"/>
      <c r="E392" s="101"/>
      <c r="F392" s="101"/>
      <c r="G392" s="101"/>
      <c r="H392" s="101"/>
      <c r="I392" s="101"/>
      <c r="J392" s="101"/>
      <c r="K392" s="101"/>
    </row>
    <row r="393" spans="1:25">
      <c r="C393" s="101"/>
      <c r="D393" s="101"/>
      <c r="E393" s="101"/>
      <c r="F393" s="101"/>
      <c r="G393" s="101"/>
      <c r="H393" s="101"/>
      <c r="I393" s="101"/>
      <c r="J393" s="101"/>
      <c r="K393" s="101"/>
    </row>
    <row r="394" spans="1:25">
      <c r="C394" s="101"/>
      <c r="D394" s="101"/>
      <c r="E394" s="101"/>
      <c r="F394" s="101"/>
      <c r="G394" s="101"/>
      <c r="H394" s="101"/>
      <c r="I394" s="101"/>
      <c r="J394" s="101"/>
      <c r="K394" s="101"/>
    </row>
    <row r="395" spans="1:25">
      <c r="C395" s="101"/>
      <c r="D395" s="101"/>
      <c r="E395" s="101"/>
      <c r="F395" s="101"/>
      <c r="G395" s="101"/>
      <c r="H395" s="101"/>
      <c r="I395" s="101"/>
      <c r="J395" s="101"/>
      <c r="K395" s="101"/>
    </row>
    <row r="396" spans="1:25">
      <c r="C396" s="101"/>
      <c r="D396" s="101"/>
      <c r="E396" s="101"/>
      <c r="F396" s="101"/>
      <c r="G396" s="101"/>
      <c r="H396" s="101"/>
      <c r="I396" s="101"/>
      <c r="J396" s="101"/>
      <c r="K396" s="101"/>
    </row>
    <row r="397" spans="1:25">
      <c r="C397" s="101"/>
      <c r="D397" s="101"/>
      <c r="E397" s="101"/>
      <c r="F397" s="101"/>
      <c r="G397" s="101"/>
      <c r="H397" s="101"/>
      <c r="I397" s="101"/>
      <c r="J397" s="101"/>
      <c r="K397" s="101"/>
    </row>
    <row r="398" spans="1:25" s="499" customFormat="1" ht="18">
      <c r="A398" s="497" t="s">
        <v>2235</v>
      </c>
      <c r="B398" s="498"/>
      <c r="C398" s="498"/>
      <c r="D398" s="498"/>
      <c r="E398" s="498"/>
      <c r="F398" s="498"/>
      <c r="G398" s="498"/>
      <c r="H398" s="498"/>
      <c r="I398" s="498"/>
      <c r="J398" s="498"/>
      <c r="K398" s="498"/>
      <c r="L398" s="498"/>
      <c r="M398" s="498"/>
      <c r="N398" s="498"/>
      <c r="O398" s="498"/>
      <c r="P398" s="498"/>
      <c r="Q398" s="498"/>
      <c r="R398" s="498"/>
      <c r="S398" s="498"/>
      <c r="T398" s="498"/>
      <c r="U398" s="498"/>
      <c r="V398" s="498"/>
      <c r="W398" s="498"/>
      <c r="X398" s="498"/>
      <c r="Y398" s="498"/>
    </row>
    <row r="399" spans="1:25" ht="15.6">
      <c r="C399"/>
      <c r="D399"/>
      <c r="E399" s="101"/>
      <c r="F399" s="101"/>
      <c r="G399" s="101"/>
      <c r="H399" s="101"/>
      <c r="I399" s="101"/>
      <c r="J399" s="101"/>
      <c r="K399" s="101"/>
    </row>
    <row r="400" spans="1:25">
      <c r="C400" s="1022" t="s">
        <v>34</v>
      </c>
      <c r="D400" s="1023" t="s">
        <v>34</v>
      </c>
      <c r="E400" s="101"/>
      <c r="F400" s="101"/>
      <c r="G400" s="101"/>
      <c r="H400" s="101"/>
      <c r="I400" s="101"/>
      <c r="J400" s="101"/>
      <c r="K400" s="101"/>
    </row>
    <row r="401" spans="3:42">
      <c r="C401" s="1022" t="s">
        <v>134</v>
      </c>
      <c r="D401" s="1023" t="s">
        <v>1284</v>
      </c>
      <c r="F401" s="101"/>
      <c r="G401" s="101"/>
      <c r="H401" s="101"/>
      <c r="I401" s="101"/>
      <c r="J401" s="101"/>
      <c r="K401" s="101"/>
    </row>
    <row r="402" spans="3:42">
      <c r="C402" s="1022" t="s">
        <v>21</v>
      </c>
      <c r="D402" s="1023" t="s">
        <v>37</v>
      </c>
      <c r="F402" s="101"/>
      <c r="G402" s="101"/>
      <c r="H402" s="101"/>
      <c r="I402" s="101"/>
      <c r="J402" s="101"/>
      <c r="K402" s="101"/>
    </row>
    <row r="403" spans="3:42">
      <c r="F403" s="101"/>
      <c r="G403" s="101"/>
      <c r="H403" s="101"/>
      <c r="I403" s="101"/>
      <c r="J403" s="101"/>
      <c r="K403" s="101"/>
    </row>
    <row r="404" spans="3:42" ht="15.6">
      <c r="C404" s="1023"/>
      <c r="D404" s="1022" t="s">
        <v>1477</v>
      </c>
      <c r="E404" s="1023"/>
      <c r="F404"/>
      <c r="G404"/>
      <c r="H404" s="101"/>
      <c r="I404" s="101"/>
      <c r="J404" s="101"/>
      <c r="K404" s="101"/>
    </row>
    <row r="405" spans="3:42" ht="15.6">
      <c r="C405" s="1022" t="s">
        <v>1478</v>
      </c>
      <c r="D405" s="1023" t="s">
        <v>2785</v>
      </c>
      <c r="E405" s="1023" t="s">
        <v>2786</v>
      </c>
      <c r="F405"/>
      <c r="G405"/>
      <c r="H405" s="500"/>
      <c r="I405" s="500"/>
      <c r="J405" s="500"/>
      <c r="K405" s="500"/>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c r="AL405" s="378"/>
      <c r="AM405" s="378"/>
      <c r="AN405" s="378"/>
      <c r="AO405" s="378"/>
      <c r="AP405" s="378"/>
    </row>
    <row r="406" spans="3:42" ht="15.6">
      <c r="C406" s="1025" t="s">
        <v>2239</v>
      </c>
      <c r="D406" s="1027">
        <v>0.91302402761184132</v>
      </c>
      <c r="E406" s="1027">
        <v>0.80333333333333334</v>
      </c>
      <c r="F406"/>
      <c r="G406"/>
      <c r="H406" s="801">
        <f>AVERAGE(D406:G406)</f>
        <v>0.85817868047258727</v>
      </c>
      <c r="I406" s="101"/>
      <c r="J406" s="101"/>
      <c r="K406" s="101"/>
    </row>
    <row r="407" spans="3:42" ht="15.6">
      <c r="C407" s="1025" t="s">
        <v>2240</v>
      </c>
      <c r="D407" s="1027">
        <v>0.89170506912442404</v>
      </c>
      <c r="E407" s="1027">
        <v>0.8036585365853659</v>
      </c>
      <c r="F407"/>
      <c r="G407"/>
      <c r="H407" s="801">
        <f>AVERAGE(D407:G407)</f>
        <v>0.84768180285489492</v>
      </c>
      <c r="I407" s="101"/>
      <c r="J407" s="101"/>
      <c r="K407" s="101"/>
    </row>
    <row r="408" spans="3:42" ht="15.6">
      <c r="C408" s="1025" t="s">
        <v>2241</v>
      </c>
      <c r="D408" s="1027">
        <v>0.73531249999999981</v>
      </c>
      <c r="E408" s="1027">
        <v>0.33873239436619773</v>
      </c>
      <c r="F408"/>
      <c r="G408"/>
      <c r="H408" s="801">
        <f>AVERAGE(D408:G408)</f>
        <v>0.53702244718309877</v>
      </c>
      <c r="I408" s="101"/>
      <c r="J408" s="101"/>
      <c r="K408" s="101"/>
    </row>
    <row r="409" spans="3:42" ht="15.6">
      <c r="C409" s="1025" t="s">
        <v>2263</v>
      </c>
      <c r="D409" s="1027">
        <v>0.25169091445849412</v>
      </c>
      <c r="E409" s="1027">
        <v>8.9258899888097015E-2</v>
      </c>
      <c r="F409"/>
      <c r="G409"/>
      <c r="H409" s="801">
        <f>AVERAGE(E409:G409)</f>
        <v>8.9258899888097015E-2</v>
      </c>
      <c r="I409" s="101"/>
      <c r="J409" s="101"/>
      <c r="K409" s="101"/>
    </row>
    <row r="410" spans="3:42">
      <c r="C410" s="101"/>
      <c r="D410" s="101"/>
      <c r="E410" s="101"/>
      <c r="F410" s="101"/>
      <c r="G410" s="101"/>
      <c r="H410" s="101"/>
      <c r="I410" s="101"/>
      <c r="J410" s="101"/>
      <c r="K410" s="101"/>
    </row>
    <row r="411" spans="3:42">
      <c r="C411" s="101"/>
      <c r="D411" s="101"/>
      <c r="E411" s="101"/>
      <c r="F411" s="101"/>
      <c r="G411" s="101"/>
      <c r="H411" s="101"/>
      <c r="I411" s="101"/>
      <c r="J411" s="101"/>
      <c r="K411" s="101"/>
    </row>
    <row r="412" spans="3:42">
      <c r="C412" s="101"/>
      <c r="D412" s="101"/>
      <c r="E412" s="101"/>
      <c r="F412" s="101"/>
      <c r="G412" s="101"/>
      <c r="H412" s="101"/>
      <c r="I412" s="101"/>
      <c r="J412" s="101"/>
      <c r="K412" s="101"/>
    </row>
    <row r="413" spans="3:42">
      <c r="C413" s="101"/>
      <c r="D413" s="101"/>
      <c r="E413" s="101"/>
      <c r="F413" s="101"/>
      <c r="G413" s="101"/>
      <c r="H413" s="101"/>
      <c r="I413" s="101"/>
      <c r="J413" s="101"/>
      <c r="K413" s="101"/>
    </row>
    <row r="414" spans="3:42">
      <c r="C414" s="1023"/>
      <c r="D414" s="1023"/>
      <c r="E414" s="101"/>
      <c r="F414" s="101"/>
      <c r="G414" s="101"/>
      <c r="H414" s="101"/>
      <c r="I414" s="101"/>
      <c r="J414" s="101"/>
      <c r="K414" s="101"/>
    </row>
    <row r="415" spans="3:42">
      <c r="C415" s="1022" t="s">
        <v>34</v>
      </c>
      <c r="D415" s="1023" t="s">
        <v>34</v>
      </c>
      <c r="E415" s="101"/>
      <c r="F415" s="101"/>
      <c r="G415" s="101"/>
      <c r="H415" s="101"/>
      <c r="I415" s="101"/>
      <c r="J415" s="101"/>
      <c r="K415" s="101"/>
    </row>
    <row r="416" spans="3:42">
      <c r="C416" s="1022" t="s">
        <v>134</v>
      </c>
      <c r="D416" s="1023" t="s">
        <v>1284</v>
      </c>
      <c r="F416" s="101"/>
      <c r="G416" s="101"/>
      <c r="H416" s="101"/>
      <c r="I416" s="101"/>
      <c r="J416" s="101"/>
      <c r="K416" s="101"/>
    </row>
    <row r="417" spans="3:11">
      <c r="C417" s="1022" t="s">
        <v>21</v>
      </c>
      <c r="D417" s="1023" t="s">
        <v>515</v>
      </c>
      <c r="F417" s="101"/>
      <c r="G417" s="101"/>
      <c r="H417" s="101"/>
      <c r="I417" s="101"/>
      <c r="J417" s="101"/>
      <c r="K417" s="101"/>
    </row>
    <row r="418" spans="3:11">
      <c r="F418" s="101"/>
      <c r="G418" s="101"/>
      <c r="H418" s="101"/>
      <c r="I418" s="101"/>
      <c r="J418" s="101"/>
      <c r="K418" s="101"/>
    </row>
    <row r="419" spans="3:11" ht="15.6">
      <c r="C419" s="1023"/>
      <c r="D419" s="1022" t="s">
        <v>1477</v>
      </c>
      <c r="E419" s="1023"/>
      <c r="F419"/>
      <c r="G419" s="101"/>
      <c r="H419" s="500"/>
      <c r="I419" s="500"/>
      <c r="J419" s="500"/>
      <c r="K419" s="500"/>
    </row>
    <row r="420" spans="3:11" ht="15.6">
      <c r="C420" s="1022" t="s">
        <v>1478</v>
      </c>
      <c r="D420" s="1023" t="s">
        <v>2785</v>
      </c>
      <c r="E420" s="1023" t="s">
        <v>2786</v>
      </c>
      <c r="F420"/>
      <c r="G420" s="101"/>
      <c r="H420" s="101"/>
      <c r="I420" s="101"/>
      <c r="J420" s="101"/>
      <c r="K420" s="101"/>
    </row>
    <row r="421" spans="3:11">
      <c r="C421" s="1025" t="s">
        <v>2239</v>
      </c>
      <c r="D421" s="1027"/>
      <c r="E421" s="1027"/>
      <c r="F421" s="101"/>
      <c r="G421" s="101"/>
      <c r="H421" s="101"/>
      <c r="I421" s="101"/>
      <c r="J421" s="101"/>
      <c r="K421" s="101"/>
    </row>
    <row r="422" spans="3:11">
      <c r="C422" s="1025" t="s">
        <v>2240</v>
      </c>
      <c r="D422" s="1027"/>
      <c r="E422" s="1027"/>
      <c r="F422" s="101"/>
      <c r="G422" s="101"/>
      <c r="H422" s="101"/>
      <c r="I422" s="101"/>
      <c r="J422" s="101"/>
      <c r="K422" s="101"/>
    </row>
    <row r="423" spans="3:11">
      <c r="C423" s="1025" t="s">
        <v>2241</v>
      </c>
      <c r="D423" s="1027"/>
      <c r="E423" s="1027"/>
      <c r="F423" s="101"/>
      <c r="G423" s="101"/>
      <c r="H423" s="101"/>
      <c r="I423" s="101"/>
      <c r="J423" s="101"/>
      <c r="K423" s="101"/>
    </row>
    <row r="424" spans="3:11">
      <c r="C424" s="1025" t="s">
        <v>2263</v>
      </c>
      <c r="D424" s="1027" t="e">
        <v>#DIV/0!</v>
      </c>
      <c r="E424" s="1027" t="e">
        <v>#DIV/0!</v>
      </c>
      <c r="F424" s="101"/>
      <c r="G424" s="101"/>
      <c r="H424" s="101"/>
      <c r="I424" s="101"/>
      <c r="J424" s="101"/>
      <c r="K424" s="101"/>
    </row>
    <row r="425" spans="3:11">
      <c r="C425" s="101"/>
      <c r="D425" s="101"/>
      <c r="E425" s="101"/>
      <c r="F425" s="101"/>
      <c r="G425" s="101"/>
      <c r="H425" s="101"/>
      <c r="I425" s="101"/>
      <c r="J425" s="101"/>
      <c r="K425" s="101"/>
    </row>
    <row r="426" spans="3:11">
      <c r="C426" s="101"/>
      <c r="D426" s="101"/>
      <c r="E426" s="101"/>
      <c r="F426" s="101"/>
      <c r="G426" s="101"/>
      <c r="H426" s="101"/>
      <c r="I426" s="101"/>
      <c r="J426" s="101"/>
      <c r="K426" s="101"/>
    </row>
    <row r="427" spans="3:11">
      <c r="C427" s="101"/>
      <c r="D427" s="101"/>
      <c r="E427" s="101"/>
      <c r="F427" s="101"/>
      <c r="G427" s="101"/>
      <c r="H427" s="101"/>
      <c r="I427" s="101"/>
      <c r="J427" s="101"/>
      <c r="K427" s="101"/>
    </row>
    <row r="428" spans="3:11" ht="15.6">
      <c r="C428"/>
      <c r="D428"/>
      <c r="E428" s="101"/>
      <c r="F428" s="101"/>
      <c r="G428" s="101"/>
      <c r="H428" s="101"/>
      <c r="I428" s="101"/>
      <c r="J428" s="101"/>
      <c r="K428" s="101"/>
    </row>
    <row r="429" spans="3:11" ht="15.6">
      <c r="C429"/>
      <c r="D429"/>
      <c r="E429" s="101"/>
      <c r="F429" s="101"/>
      <c r="G429" s="101"/>
      <c r="H429" s="101"/>
      <c r="I429" s="101"/>
      <c r="J429" s="101"/>
      <c r="K429" s="101"/>
    </row>
    <row r="430" spans="3:11">
      <c r="C430" s="1022" t="s">
        <v>34</v>
      </c>
      <c r="D430" s="1023" t="s">
        <v>34</v>
      </c>
      <c r="F430" s="101"/>
      <c r="G430" s="101"/>
      <c r="H430" s="101"/>
      <c r="I430" s="101"/>
      <c r="J430" s="101"/>
      <c r="K430" s="101"/>
    </row>
    <row r="431" spans="3:11">
      <c r="C431" s="1022" t="s">
        <v>134</v>
      </c>
      <c r="D431" s="1023" t="s">
        <v>1284</v>
      </c>
      <c r="F431" s="101"/>
      <c r="G431" s="101"/>
      <c r="H431" s="101"/>
      <c r="I431" s="101"/>
      <c r="J431" s="101"/>
      <c r="K431" s="101"/>
    </row>
    <row r="432" spans="3:11">
      <c r="F432" s="101"/>
      <c r="G432" s="101"/>
      <c r="H432" s="101"/>
      <c r="I432" s="101"/>
      <c r="J432" s="101"/>
      <c r="K432" s="101"/>
    </row>
    <row r="433" spans="3:11" ht="15.6">
      <c r="C433" s="1023"/>
      <c r="D433" s="1023"/>
      <c r="E433" s="1022" t="s">
        <v>20</v>
      </c>
      <c r="F433" s="1023"/>
      <c r="G433"/>
      <c r="H433"/>
      <c r="I433" s="500"/>
      <c r="J433" s="500"/>
      <c r="K433" s="500"/>
    </row>
    <row r="434" spans="3:11" ht="15.6">
      <c r="C434" s="1022" t="s">
        <v>21</v>
      </c>
      <c r="D434" s="1022" t="s">
        <v>1478</v>
      </c>
      <c r="E434" s="1023" t="s">
        <v>2785</v>
      </c>
      <c r="F434" s="1023" t="s">
        <v>2786</v>
      </c>
      <c r="G434"/>
      <c r="H434"/>
      <c r="I434" s="101"/>
      <c r="J434" s="101"/>
      <c r="K434" s="101"/>
    </row>
    <row r="435" spans="3:11" ht="15.6">
      <c r="C435" s="1023" t="s">
        <v>37</v>
      </c>
      <c r="D435" s="1023" t="s">
        <v>2236</v>
      </c>
      <c r="E435" s="1027">
        <v>0.91302402761184132</v>
      </c>
      <c r="F435" s="1027">
        <v>0.80333333333333301</v>
      </c>
      <c r="G435"/>
      <c r="H435"/>
      <c r="I435" s="101"/>
      <c r="J435" s="101"/>
      <c r="K435" s="101"/>
    </row>
    <row r="436" spans="3:11" ht="15.6">
      <c r="C436" s="1023"/>
      <c r="D436" s="1023" t="s">
        <v>2237</v>
      </c>
      <c r="E436" s="1027">
        <v>0.89170506912442404</v>
      </c>
      <c r="F436" s="1027">
        <v>0.80365853658536579</v>
      </c>
      <c r="G436"/>
      <c r="H436"/>
      <c r="I436" s="101"/>
      <c r="J436" s="101"/>
      <c r="K436" s="101"/>
    </row>
    <row r="437" spans="3:11" ht="15.6">
      <c r="C437" s="1023"/>
      <c r="D437" s="1023" t="s">
        <v>2238</v>
      </c>
      <c r="E437" s="1027">
        <v>0.73531249999999981</v>
      </c>
      <c r="F437" s="1027">
        <v>0.33873239436619718</v>
      </c>
      <c r="G437"/>
      <c r="H437"/>
      <c r="I437" s="101"/>
      <c r="J437" s="101"/>
      <c r="K437" s="101"/>
    </row>
    <row r="438" spans="3:11" ht="15.6">
      <c r="C438" s="1023"/>
      <c r="D438" s="1023" t="s">
        <v>2262</v>
      </c>
      <c r="E438" s="1027">
        <v>0.25169091445849412</v>
      </c>
      <c r="F438" s="1027">
        <v>8.9258899888097029E-2</v>
      </c>
      <c r="G438"/>
      <c r="H438"/>
      <c r="I438" s="101"/>
      <c r="J438" s="101"/>
      <c r="K438" s="101"/>
    </row>
    <row r="439" spans="3:11" ht="15.6">
      <c r="C439" s="1023" t="s">
        <v>515</v>
      </c>
      <c r="D439" s="1023" t="s">
        <v>2236</v>
      </c>
      <c r="E439" s="1027"/>
      <c r="F439" s="1027"/>
      <c r="G439"/>
      <c r="H439"/>
      <c r="I439" s="101"/>
      <c r="J439" s="101"/>
      <c r="K439" s="101"/>
    </row>
    <row r="440" spans="3:11" ht="15.6">
      <c r="C440" s="1023"/>
      <c r="D440" s="1023" t="s">
        <v>2237</v>
      </c>
      <c r="E440" s="1027"/>
      <c r="F440" s="1027"/>
      <c r="G440"/>
      <c r="H440"/>
      <c r="I440" s="101"/>
      <c r="J440" s="101"/>
      <c r="K440" s="101"/>
    </row>
    <row r="441" spans="3:11" ht="15.6">
      <c r="C441" s="1023"/>
      <c r="D441" s="1023" t="s">
        <v>2238</v>
      </c>
      <c r="E441" s="1027"/>
      <c r="F441" s="1027"/>
      <c r="G441"/>
      <c r="H441"/>
      <c r="I441" s="101"/>
      <c r="J441" s="101"/>
      <c r="K441" s="101"/>
    </row>
    <row r="442" spans="3:11" ht="15.6">
      <c r="C442" s="1023"/>
      <c r="D442" s="1023" t="s">
        <v>2262</v>
      </c>
      <c r="E442" s="1027" t="e">
        <v>#DIV/0!</v>
      </c>
      <c r="F442" s="1027" t="e">
        <v>#DIV/0!</v>
      </c>
      <c r="G442"/>
      <c r="H442"/>
      <c r="I442" s="101"/>
      <c r="J442" s="101"/>
      <c r="K442" s="101"/>
    </row>
    <row r="443" spans="3:11" ht="15.6">
      <c r="C443"/>
      <c r="D443"/>
      <c r="E443"/>
      <c r="F443"/>
      <c r="G443"/>
      <c r="H443"/>
      <c r="I443" s="101"/>
      <c r="J443" s="101"/>
      <c r="K443" s="101"/>
    </row>
    <row r="444" spans="3:11" ht="15.6">
      <c r="C444"/>
      <c r="D444"/>
      <c r="E444"/>
      <c r="F444"/>
      <c r="G444"/>
      <c r="H444"/>
      <c r="I444" s="101"/>
      <c r="J444" s="101"/>
      <c r="K444" s="101"/>
    </row>
    <row r="445" spans="3:11" ht="15.6">
      <c r="C445"/>
      <c r="D445"/>
      <c r="E445"/>
      <c r="F445"/>
      <c r="G445"/>
      <c r="H445"/>
      <c r="I445" s="101"/>
      <c r="J445" s="101"/>
      <c r="K445" s="101"/>
    </row>
    <row r="446" spans="3:11" ht="15.6">
      <c r="C446"/>
      <c r="D446"/>
      <c r="E446"/>
      <c r="F446"/>
      <c r="G446"/>
      <c r="H446"/>
      <c r="I446" s="101"/>
      <c r="J446" s="101"/>
      <c r="K446" s="101"/>
    </row>
    <row r="447" spans="3:11" ht="15.6">
      <c r="C447"/>
      <c r="D447"/>
      <c r="E447"/>
      <c r="F447"/>
      <c r="G447"/>
      <c r="H447" s="101"/>
      <c r="I447" s="101"/>
      <c r="J447" s="101"/>
      <c r="K447" s="101"/>
    </row>
    <row r="448" spans="3:11" ht="15.6">
      <c r="C448"/>
      <c r="D448"/>
      <c r="E448"/>
      <c r="F448"/>
      <c r="G448"/>
      <c r="H448" s="101"/>
      <c r="I448" s="101"/>
      <c r="J448" s="101"/>
      <c r="K448" s="101"/>
    </row>
    <row r="449" spans="3:11" ht="15.6">
      <c r="C449"/>
      <c r="D449"/>
      <c r="E449"/>
      <c r="F449"/>
      <c r="G449"/>
      <c r="H449" s="101"/>
      <c r="I449" s="101"/>
      <c r="J449" s="101"/>
      <c r="K449" s="101"/>
    </row>
    <row r="450" spans="3:11">
      <c r="C450" s="101"/>
      <c r="D450" s="101"/>
      <c r="E450" s="101"/>
      <c r="F450" s="101"/>
      <c r="G450" s="101"/>
      <c r="H450" s="101"/>
      <c r="I450" s="101"/>
      <c r="J450" s="101"/>
      <c r="K450" s="101"/>
    </row>
    <row r="451" spans="3:11">
      <c r="C451" s="101"/>
      <c r="D451" s="101"/>
      <c r="E451" s="101"/>
      <c r="F451" s="101"/>
      <c r="G451" s="101"/>
      <c r="H451" s="101"/>
      <c r="I451" s="101"/>
      <c r="J451" s="101"/>
      <c r="K451" s="101"/>
    </row>
    <row r="452" spans="3:11">
      <c r="C452" s="101"/>
      <c r="D452" s="101"/>
      <c r="E452" s="101"/>
      <c r="F452" s="101"/>
      <c r="G452" s="101"/>
      <c r="H452" s="101"/>
      <c r="I452" s="101"/>
      <c r="J452" s="101"/>
      <c r="K452" s="101"/>
    </row>
    <row r="453" spans="3:11">
      <c r="C453" s="101"/>
      <c r="D453" s="101"/>
      <c r="E453" s="101"/>
      <c r="F453" s="101"/>
      <c r="G453" s="101"/>
      <c r="H453" s="101"/>
      <c r="I453" s="101"/>
      <c r="J453" s="101"/>
      <c r="K453" s="101"/>
    </row>
    <row r="454" spans="3:11">
      <c r="C454" s="101"/>
      <c r="D454" s="101"/>
      <c r="E454" s="101"/>
      <c r="F454" s="101"/>
      <c r="G454" s="101"/>
      <c r="H454" s="101"/>
      <c r="I454" s="101"/>
      <c r="J454" s="101"/>
      <c r="K454" s="101"/>
    </row>
    <row r="455" spans="3:11">
      <c r="C455" s="101"/>
      <c r="D455" s="101"/>
      <c r="E455" s="101"/>
      <c r="F455" s="101"/>
      <c r="G455" s="101"/>
      <c r="H455" s="101"/>
      <c r="I455" s="101"/>
      <c r="J455" s="101"/>
      <c r="K455" s="101"/>
    </row>
    <row r="456" spans="3:11">
      <c r="C456" s="101"/>
      <c r="D456" s="101"/>
      <c r="E456" s="101"/>
      <c r="F456" s="101"/>
      <c r="G456" s="101"/>
      <c r="H456" s="101"/>
      <c r="I456" s="101"/>
      <c r="J456" s="101"/>
      <c r="K456" s="101"/>
    </row>
    <row r="457" spans="3:11">
      <c r="C457" s="101"/>
      <c r="D457" s="101"/>
      <c r="E457" s="101"/>
      <c r="F457" s="101"/>
      <c r="G457" s="101"/>
      <c r="H457" s="101"/>
      <c r="I457" s="101"/>
      <c r="J457" s="101"/>
      <c r="K457" s="101"/>
    </row>
    <row r="458" spans="3:11">
      <c r="C458" s="101"/>
      <c r="D458" s="101"/>
      <c r="E458" s="101"/>
      <c r="F458" s="101"/>
      <c r="G458" s="101"/>
      <c r="H458" s="101"/>
      <c r="I458" s="101"/>
      <c r="J458" s="101"/>
      <c r="K458" s="101"/>
    </row>
    <row r="459" spans="3:11">
      <c r="C459" s="101"/>
      <c r="D459" s="101"/>
      <c r="E459" s="101"/>
      <c r="F459" s="101"/>
      <c r="G459" s="101"/>
      <c r="H459" s="101"/>
      <c r="I459" s="101"/>
      <c r="J459" s="101"/>
      <c r="K459" s="101"/>
    </row>
    <row r="460" spans="3:11">
      <c r="C460" s="101"/>
      <c r="D460" s="101"/>
      <c r="E460" s="101"/>
      <c r="F460" s="101"/>
      <c r="G460" s="101"/>
      <c r="H460" s="101"/>
      <c r="I460" s="101"/>
      <c r="J460" s="101"/>
      <c r="K460" s="101"/>
    </row>
    <row r="461" spans="3:11">
      <c r="C461" s="101"/>
      <c r="D461" s="101"/>
      <c r="E461" s="101"/>
      <c r="F461" s="101"/>
      <c r="G461" s="101"/>
      <c r="H461" s="101"/>
      <c r="I461" s="101"/>
      <c r="J461" s="101"/>
      <c r="K461" s="101"/>
    </row>
    <row r="462" spans="3:11">
      <c r="C462" s="101"/>
      <c r="D462" s="101"/>
      <c r="E462" s="101"/>
      <c r="F462" s="101"/>
      <c r="G462" s="101"/>
      <c r="H462" s="101"/>
      <c r="I462" s="101"/>
      <c r="J462" s="101"/>
      <c r="K462" s="101"/>
    </row>
    <row r="463" spans="3:11">
      <c r="C463" s="101"/>
      <c r="D463" s="101"/>
      <c r="E463" s="101"/>
      <c r="F463" s="101"/>
      <c r="G463" s="101"/>
      <c r="H463" s="101"/>
      <c r="I463" s="101"/>
      <c r="J463" s="101"/>
      <c r="K463" s="101"/>
    </row>
    <row r="464" spans="3:11">
      <c r="C464" s="101"/>
      <c r="D464" s="101"/>
      <c r="E464" s="101"/>
      <c r="F464" s="101"/>
      <c r="G464" s="101"/>
      <c r="H464" s="101"/>
      <c r="I464" s="101"/>
      <c r="J464" s="101"/>
      <c r="K464" s="101"/>
    </row>
    <row r="465" spans="3:11">
      <c r="C465" s="101"/>
      <c r="D465" s="101"/>
      <c r="E465" s="101"/>
      <c r="F465" s="101"/>
      <c r="G465" s="101"/>
      <c r="H465" s="101"/>
      <c r="I465" s="101"/>
      <c r="J465" s="101"/>
      <c r="K465" s="101"/>
    </row>
    <row r="466" spans="3:11">
      <c r="C466" s="101"/>
      <c r="D466" s="101"/>
      <c r="E466" s="101"/>
      <c r="F466" s="101"/>
      <c r="G466" s="101"/>
      <c r="H466" s="101"/>
      <c r="I466" s="101"/>
      <c r="J466" s="101"/>
      <c r="K466" s="101"/>
    </row>
    <row r="467" spans="3:11">
      <c r="C467" s="101"/>
      <c r="D467" s="101"/>
      <c r="E467" s="101"/>
      <c r="F467" s="101"/>
      <c r="G467" s="101"/>
      <c r="H467" s="101"/>
      <c r="I467" s="101"/>
      <c r="J467" s="101"/>
      <c r="K467" s="101"/>
    </row>
    <row r="468" spans="3:11">
      <c r="C468" s="101"/>
      <c r="D468" s="101"/>
      <c r="E468" s="101"/>
      <c r="F468" s="101"/>
      <c r="G468" s="101"/>
      <c r="H468" s="101"/>
      <c r="I468" s="101"/>
      <c r="J468" s="101"/>
      <c r="K468" s="101"/>
    </row>
    <row r="469" spans="3:11">
      <c r="C469" s="101"/>
      <c r="D469" s="101"/>
      <c r="E469" s="101"/>
      <c r="F469" s="101"/>
      <c r="G469" s="101"/>
      <c r="H469" s="101"/>
      <c r="I469" s="101"/>
      <c r="J469" s="101"/>
      <c r="K469" s="101"/>
    </row>
    <row r="470" spans="3:11">
      <c r="C470" s="101"/>
      <c r="D470" s="101"/>
      <c r="E470" s="101"/>
      <c r="F470" s="101"/>
      <c r="G470" s="101"/>
      <c r="H470" s="101"/>
      <c r="I470" s="101"/>
      <c r="J470" s="101"/>
      <c r="K470" s="101"/>
    </row>
    <row r="471" spans="3:11">
      <c r="C471" s="101"/>
      <c r="D471" s="101"/>
      <c r="E471" s="101"/>
      <c r="F471" s="101"/>
      <c r="G471" s="101"/>
      <c r="H471" s="101"/>
      <c r="I471" s="101"/>
      <c r="J471" s="101"/>
      <c r="K471" s="101"/>
    </row>
    <row r="472" spans="3:11">
      <c r="C472" s="101"/>
      <c r="D472" s="101"/>
      <c r="E472" s="101"/>
      <c r="F472" s="101"/>
      <c r="G472" s="101"/>
      <c r="H472" s="101"/>
      <c r="I472" s="101"/>
      <c r="J472" s="101"/>
      <c r="K472" s="101"/>
    </row>
    <row r="473" spans="3:11">
      <c r="C473" s="101"/>
      <c r="D473" s="101"/>
      <c r="E473" s="101"/>
      <c r="F473" s="101"/>
      <c r="G473" s="101"/>
      <c r="H473" s="101"/>
      <c r="I473" s="101"/>
      <c r="J473" s="101"/>
      <c r="K473" s="101"/>
    </row>
    <row r="474" spans="3:11">
      <c r="C474" s="101"/>
      <c r="D474" s="101"/>
      <c r="E474" s="101"/>
      <c r="F474" s="101"/>
      <c r="G474" s="101"/>
      <c r="H474" s="101"/>
      <c r="I474" s="101"/>
      <c r="J474" s="101"/>
      <c r="K474" s="101"/>
    </row>
    <row r="475" spans="3:11">
      <c r="C475" s="101"/>
      <c r="D475" s="101"/>
      <c r="E475" s="101"/>
      <c r="F475" s="101"/>
      <c r="G475" s="101"/>
      <c r="H475" s="101"/>
      <c r="I475" s="101"/>
      <c r="J475" s="101"/>
      <c r="K475" s="101"/>
    </row>
    <row r="476" spans="3:11">
      <c r="C476" s="101"/>
      <c r="D476" s="101"/>
      <c r="E476" s="101"/>
      <c r="F476" s="101"/>
      <c r="G476" s="101"/>
      <c r="H476" s="101"/>
      <c r="I476" s="101"/>
      <c r="J476" s="101"/>
      <c r="K476" s="101"/>
    </row>
    <row r="477" spans="3:11">
      <c r="C477" s="101"/>
      <c r="D477" s="101"/>
      <c r="E477" s="101"/>
      <c r="F477" s="101"/>
      <c r="G477" s="101"/>
      <c r="H477" s="101"/>
      <c r="I477" s="101"/>
      <c r="J477" s="101"/>
      <c r="K477" s="101"/>
    </row>
    <row r="478" spans="3:11">
      <c r="C478" s="101"/>
      <c r="D478" s="101"/>
      <c r="E478" s="101"/>
      <c r="F478" s="101"/>
      <c r="G478" s="101"/>
      <c r="H478" s="101"/>
      <c r="I478" s="101"/>
      <c r="J478" s="101"/>
      <c r="K478" s="101"/>
    </row>
    <row r="479" spans="3:11">
      <c r="C479" s="101"/>
      <c r="D479" s="101"/>
      <c r="E479" s="101"/>
      <c r="F479" s="101"/>
      <c r="G479" s="101"/>
      <c r="H479" s="101"/>
      <c r="I479" s="101"/>
      <c r="J479" s="101"/>
      <c r="K479" s="101"/>
    </row>
    <row r="480" spans="3:11">
      <c r="C480" s="101"/>
      <c r="D480" s="101"/>
      <c r="E480" s="101"/>
      <c r="F480" s="101"/>
      <c r="G480" s="101"/>
      <c r="H480" s="101"/>
      <c r="I480" s="101"/>
      <c r="J480" s="101"/>
      <c r="K480" s="101"/>
    </row>
    <row r="481" spans="3:11">
      <c r="C481" s="101"/>
      <c r="D481" s="101"/>
      <c r="E481" s="101"/>
      <c r="F481" s="101"/>
      <c r="G481" s="101"/>
      <c r="H481" s="101"/>
      <c r="I481" s="101"/>
      <c r="J481" s="101"/>
      <c r="K481" s="101"/>
    </row>
    <row r="482" spans="3:11">
      <c r="C482" s="101"/>
      <c r="D482" s="101"/>
      <c r="E482" s="101"/>
      <c r="F482" s="101"/>
      <c r="G482" s="101"/>
      <c r="H482" s="101"/>
      <c r="I482" s="101"/>
      <c r="J482" s="101"/>
      <c r="K482" s="101"/>
    </row>
    <row r="483" spans="3:11">
      <c r="C483" s="101"/>
      <c r="D483" s="101"/>
      <c r="E483" s="101"/>
      <c r="F483" s="101"/>
      <c r="G483" s="101"/>
      <c r="H483" s="101"/>
      <c r="I483" s="101"/>
      <c r="J483" s="101"/>
      <c r="K483" s="101"/>
    </row>
    <row r="484" spans="3:11">
      <c r="C484" s="101"/>
      <c r="D484" s="101"/>
      <c r="E484" s="101"/>
      <c r="F484" s="101"/>
      <c r="G484" s="101"/>
      <c r="H484" s="101"/>
      <c r="I484" s="101"/>
      <c r="J484" s="101"/>
      <c r="K484" s="101"/>
    </row>
    <row r="485" spans="3:11">
      <c r="C485" s="101"/>
      <c r="D485" s="101"/>
      <c r="E485" s="101"/>
      <c r="F485" s="101"/>
      <c r="G485" s="101"/>
      <c r="H485" s="101"/>
      <c r="I485" s="101"/>
      <c r="J485" s="101"/>
      <c r="K485" s="101"/>
    </row>
    <row r="486" spans="3:11">
      <c r="C486" s="101"/>
      <c r="D486" s="101"/>
      <c r="E486" s="101"/>
      <c r="F486" s="101"/>
      <c r="G486" s="101"/>
      <c r="H486" s="101"/>
      <c r="I486" s="101"/>
      <c r="J486" s="101"/>
      <c r="K486" s="101"/>
    </row>
    <row r="487" spans="3:11">
      <c r="C487" s="101"/>
      <c r="D487" s="101"/>
      <c r="E487" s="101"/>
      <c r="F487" s="101"/>
      <c r="G487" s="101"/>
      <c r="H487" s="101"/>
      <c r="I487" s="101"/>
      <c r="J487" s="101"/>
      <c r="K487" s="101"/>
    </row>
    <row r="488" spans="3:11">
      <c r="C488" s="101"/>
      <c r="D488" s="101"/>
      <c r="E488" s="101"/>
      <c r="F488" s="101"/>
      <c r="G488" s="101"/>
      <c r="H488" s="101"/>
      <c r="I488" s="101"/>
      <c r="J488" s="101"/>
      <c r="K488" s="101"/>
    </row>
    <row r="489" spans="3:11">
      <c r="C489" s="101"/>
      <c r="D489" s="101"/>
      <c r="E489" s="101"/>
      <c r="F489" s="101"/>
      <c r="G489" s="101"/>
      <c r="H489" s="101"/>
      <c r="I489" s="101"/>
      <c r="J489" s="101"/>
      <c r="K489" s="101"/>
    </row>
    <row r="490" spans="3:11">
      <c r="C490" s="101"/>
      <c r="D490" s="101"/>
      <c r="E490" s="101"/>
      <c r="F490" s="101"/>
      <c r="G490" s="101"/>
      <c r="H490" s="101"/>
      <c r="I490" s="101"/>
      <c r="J490" s="101"/>
      <c r="K490" s="101"/>
    </row>
    <row r="491" spans="3:11">
      <c r="C491" s="101"/>
      <c r="D491" s="101"/>
      <c r="E491" s="101"/>
      <c r="F491" s="101"/>
      <c r="G491" s="101"/>
      <c r="H491" s="101"/>
      <c r="I491" s="101"/>
      <c r="J491" s="101"/>
      <c r="K491" s="101"/>
    </row>
    <row r="492" spans="3:11">
      <c r="C492" s="101"/>
      <c r="D492" s="101"/>
      <c r="E492" s="101"/>
      <c r="F492" s="101"/>
      <c r="G492" s="101"/>
      <c r="H492" s="101"/>
      <c r="I492" s="101"/>
      <c r="J492" s="101"/>
      <c r="K492" s="101"/>
    </row>
    <row r="493" spans="3:11">
      <c r="C493" s="101"/>
      <c r="D493" s="101"/>
      <c r="E493" s="101"/>
      <c r="F493" s="101"/>
      <c r="G493" s="101"/>
      <c r="H493" s="101"/>
      <c r="I493" s="101"/>
      <c r="J493" s="101"/>
      <c r="K493" s="101"/>
    </row>
    <row r="494" spans="3:11">
      <c r="C494" s="101"/>
      <c r="D494" s="101"/>
      <c r="E494" s="101"/>
      <c r="F494" s="101"/>
      <c r="G494" s="101"/>
      <c r="H494" s="101"/>
      <c r="I494" s="101"/>
      <c r="J494" s="101"/>
      <c r="K494" s="101"/>
    </row>
    <row r="495" spans="3:11">
      <c r="C495" s="101"/>
      <c r="D495" s="101"/>
      <c r="E495" s="101"/>
      <c r="F495" s="101"/>
      <c r="G495" s="101"/>
      <c r="H495" s="101"/>
      <c r="I495" s="101"/>
      <c r="J495" s="101"/>
      <c r="K495" s="101"/>
    </row>
    <row r="496" spans="3:11">
      <c r="C496" s="101"/>
      <c r="D496" s="101"/>
      <c r="E496" s="101"/>
      <c r="F496" s="101"/>
      <c r="G496" s="101"/>
      <c r="H496" s="101"/>
      <c r="I496" s="101"/>
      <c r="J496" s="101"/>
      <c r="K496" s="101"/>
    </row>
    <row r="497" spans="3:11">
      <c r="C497" s="101"/>
      <c r="D497" s="101"/>
      <c r="E497" s="101"/>
      <c r="F497" s="101"/>
      <c r="G497" s="101"/>
      <c r="H497" s="101"/>
      <c r="I497" s="101"/>
      <c r="J497" s="101"/>
      <c r="K497" s="101"/>
    </row>
    <row r="498" spans="3:11">
      <c r="C498" s="101"/>
      <c r="D498" s="101"/>
      <c r="E498" s="101"/>
      <c r="F498" s="101"/>
      <c r="G498" s="101"/>
      <c r="H498" s="101"/>
      <c r="I498" s="101"/>
      <c r="J498" s="101"/>
      <c r="K498" s="101"/>
    </row>
    <row r="499" spans="3:11">
      <c r="C499" s="101"/>
      <c r="D499" s="101"/>
      <c r="E499" s="101"/>
      <c r="F499" s="101"/>
      <c r="G499" s="101"/>
      <c r="H499" s="101"/>
      <c r="I499" s="101"/>
      <c r="J499" s="101"/>
      <c r="K499" s="101"/>
    </row>
    <row r="500" spans="3:11">
      <c r="C500" s="101"/>
      <c r="D500" s="101"/>
      <c r="E500" s="101"/>
      <c r="F500" s="101"/>
      <c r="G500" s="101"/>
      <c r="H500" s="101"/>
      <c r="I500" s="101"/>
      <c r="J500" s="101"/>
      <c r="K500" s="101"/>
    </row>
    <row r="501" spans="3:11">
      <c r="C501" s="101"/>
      <c r="D501" s="101"/>
      <c r="E501" s="101"/>
      <c r="F501" s="101"/>
      <c r="G501" s="101"/>
      <c r="H501" s="101"/>
      <c r="I501" s="101"/>
      <c r="J501" s="101"/>
      <c r="K501" s="101"/>
    </row>
    <row r="502" spans="3:11">
      <c r="C502" s="101"/>
      <c r="D502" s="101"/>
      <c r="E502" s="101"/>
      <c r="F502" s="101"/>
      <c r="G502" s="101"/>
      <c r="H502" s="101"/>
      <c r="I502" s="101"/>
      <c r="J502" s="101"/>
      <c r="K502" s="101"/>
    </row>
    <row r="503" spans="3:11">
      <c r="C503" s="101"/>
      <c r="D503" s="101"/>
      <c r="E503" s="101"/>
      <c r="F503" s="101"/>
      <c r="G503" s="101"/>
      <c r="H503" s="101"/>
      <c r="I503" s="101"/>
      <c r="J503" s="101"/>
      <c r="K503" s="101"/>
    </row>
    <row r="504" spans="3:11">
      <c r="C504" s="101"/>
      <c r="D504" s="101"/>
      <c r="E504" s="101"/>
      <c r="F504" s="101"/>
      <c r="G504" s="101"/>
      <c r="H504" s="101"/>
      <c r="I504" s="101"/>
      <c r="J504" s="101"/>
      <c r="K504" s="101"/>
    </row>
    <row r="505" spans="3:11">
      <c r="C505" s="101"/>
      <c r="D505" s="101"/>
      <c r="E505" s="101"/>
      <c r="F505" s="101"/>
      <c r="G505" s="101"/>
      <c r="H505" s="101"/>
      <c r="I505" s="101"/>
      <c r="J505" s="101"/>
      <c r="K505" s="101"/>
    </row>
    <row r="506" spans="3:11">
      <c r="C506" s="101"/>
      <c r="D506" s="101"/>
      <c r="E506" s="101"/>
      <c r="F506" s="101"/>
      <c r="G506" s="101"/>
      <c r="H506" s="101"/>
      <c r="I506" s="101"/>
      <c r="J506" s="101"/>
      <c r="K506" s="101"/>
    </row>
    <row r="507" spans="3:11">
      <c r="C507" s="101"/>
      <c r="D507" s="101"/>
      <c r="E507" s="101"/>
      <c r="F507" s="101"/>
      <c r="G507" s="101"/>
      <c r="H507" s="101"/>
      <c r="I507" s="101"/>
      <c r="J507" s="101"/>
      <c r="K507" s="101"/>
    </row>
    <row r="508" spans="3:11">
      <c r="C508" s="101"/>
      <c r="D508" s="101"/>
      <c r="E508" s="101"/>
      <c r="F508" s="101"/>
      <c r="G508" s="101"/>
      <c r="H508" s="101"/>
      <c r="I508" s="101"/>
      <c r="J508" s="101"/>
      <c r="K508" s="101"/>
    </row>
    <row r="509" spans="3:11">
      <c r="C509" s="101"/>
      <c r="D509" s="101"/>
      <c r="E509" s="101"/>
      <c r="F509" s="101"/>
      <c r="G509" s="101"/>
      <c r="H509" s="101"/>
      <c r="I509" s="101"/>
      <c r="J509" s="101"/>
      <c r="K509" s="101"/>
    </row>
    <row r="510" spans="3:11">
      <c r="C510" s="101"/>
      <c r="D510" s="101"/>
      <c r="E510" s="101"/>
      <c r="F510" s="101"/>
      <c r="G510" s="101"/>
      <c r="H510" s="101"/>
      <c r="I510" s="101"/>
      <c r="J510" s="101"/>
      <c r="K510" s="101"/>
    </row>
    <row r="511" spans="3:11">
      <c r="C511" s="101"/>
      <c r="D511" s="101"/>
      <c r="E511" s="101"/>
      <c r="F511" s="101"/>
      <c r="G511" s="101"/>
      <c r="H511" s="101"/>
      <c r="I511" s="101"/>
      <c r="J511" s="101"/>
      <c r="K511" s="101"/>
    </row>
    <row r="512" spans="3:11">
      <c r="C512" s="101"/>
      <c r="D512" s="101"/>
      <c r="E512" s="101"/>
      <c r="F512" s="101"/>
      <c r="G512" s="101"/>
      <c r="H512" s="101"/>
      <c r="I512" s="101"/>
      <c r="J512" s="101"/>
      <c r="K512" s="101"/>
    </row>
    <row r="513" spans="3:11">
      <c r="C513" s="101"/>
      <c r="D513" s="101"/>
      <c r="E513" s="101"/>
      <c r="F513" s="101"/>
      <c r="G513" s="101"/>
      <c r="H513" s="101"/>
      <c r="I513" s="101"/>
      <c r="J513" s="101"/>
      <c r="K513" s="101"/>
    </row>
    <row r="514" spans="3:11">
      <c r="C514" s="101"/>
      <c r="D514" s="101"/>
      <c r="E514" s="101"/>
      <c r="F514" s="101"/>
      <c r="G514" s="101"/>
      <c r="H514" s="101"/>
      <c r="I514" s="101"/>
      <c r="J514" s="101"/>
      <c r="K514" s="101"/>
    </row>
    <row r="515" spans="3:11">
      <c r="C515" s="101"/>
      <c r="D515" s="101"/>
      <c r="E515" s="101"/>
      <c r="F515" s="101"/>
      <c r="G515" s="101"/>
      <c r="H515" s="101"/>
      <c r="I515" s="101"/>
      <c r="J515" s="101"/>
      <c r="K515" s="101"/>
    </row>
    <row r="516" spans="3:11">
      <c r="C516" s="101"/>
      <c r="D516" s="101"/>
      <c r="E516" s="101"/>
      <c r="F516" s="101"/>
      <c r="G516" s="101"/>
      <c r="H516" s="101"/>
      <c r="I516" s="101"/>
      <c r="J516" s="101"/>
      <c r="K516" s="101"/>
    </row>
    <row r="517" spans="3:11">
      <c r="C517" s="101"/>
      <c r="D517" s="101"/>
      <c r="E517" s="101"/>
      <c r="F517" s="101"/>
      <c r="G517" s="101"/>
      <c r="H517" s="101"/>
      <c r="I517" s="101"/>
      <c r="J517" s="101"/>
      <c r="K517" s="101"/>
    </row>
    <row r="518" spans="3:11">
      <c r="C518" s="101"/>
      <c r="D518" s="101"/>
      <c r="E518" s="101"/>
      <c r="F518" s="101"/>
      <c r="G518" s="101"/>
      <c r="H518" s="101"/>
      <c r="I518" s="101"/>
      <c r="J518" s="101"/>
      <c r="K518" s="101"/>
    </row>
    <row r="519" spans="3:11">
      <c r="C519" s="101"/>
      <c r="D519" s="101"/>
      <c r="E519" s="101"/>
      <c r="F519" s="101"/>
      <c r="G519" s="101"/>
      <c r="H519" s="101"/>
      <c r="I519" s="101"/>
      <c r="J519" s="101"/>
      <c r="K519" s="101"/>
    </row>
    <row r="520" spans="3:11">
      <c r="C520" s="101"/>
      <c r="D520" s="101"/>
      <c r="E520" s="101"/>
      <c r="F520" s="101"/>
      <c r="G520" s="101"/>
      <c r="H520" s="101"/>
      <c r="I520" s="101"/>
      <c r="J520" s="101"/>
      <c r="K520" s="101"/>
    </row>
    <row r="521" spans="3:11">
      <c r="C521" s="101"/>
      <c r="D521" s="101"/>
      <c r="E521" s="101"/>
      <c r="F521" s="101"/>
      <c r="G521" s="101"/>
      <c r="H521" s="101"/>
      <c r="I521" s="101"/>
      <c r="J521" s="101"/>
      <c r="K521" s="101"/>
    </row>
    <row r="522" spans="3:11">
      <c r="C522" s="101"/>
      <c r="D522" s="101"/>
      <c r="E522" s="101"/>
      <c r="F522" s="101"/>
      <c r="G522" s="101"/>
      <c r="H522" s="101"/>
      <c r="I522" s="101"/>
      <c r="J522" s="101"/>
      <c r="K522" s="101"/>
    </row>
    <row r="523" spans="3:11">
      <c r="C523" s="101"/>
      <c r="D523" s="101"/>
      <c r="E523" s="101"/>
      <c r="F523" s="101"/>
      <c r="G523" s="101"/>
      <c r="H523" s="101"/>
      <c r="I523" s="101"/>
      <c r="J523" s="101"/>
      <c r="K523" s="101"/>
    </row>
    <row r="524" spans="3:11">
      <c r="C524" s="101"/>
      <c r="D524" s="101"/>
      <c r="E524" s="101"/>
      <c r="F524" s="101"/>
      <c r="G524" s="101"/>
      <c r="H524" s="101"/>
      <c r="I524" s="101"/>
      <c r="J524" s="101"/>
      <c r="K524" s="101"/>
    </row>
    <row r="525" spans="3:11">
      <c r="C525" s="101"/>
      <c r="D525" s="101"/>
      <c r="E525" s="101"/>
      <c r="F525" s="101"/>
      <c r="G525" s="101"/>
      <c r="H525" s="101"/>
      <c r="I525" s="101"/>
      <c r="J525" s="101"/>
      <c r="K525" s="101"/>
    </row>
    <row r="526" spans="3:11">
      <c r="C526" s="101"/>
      <c r="D526" s="101"/>
      <c r="E526" s="101"/>
      <c r="F526" s="101"/>
      <c r="G526" s="101"/>
      <c r="H526" s="101"/>
      <c r="I526" s="101"/>
      <c r="J526" s="101"/>
      <c r="K526" s="101"/>
    </row>
    <row r="527" spans="3:11">
      <c r="C527" s="101"/>
      <c r="D527" s="101"/>
      <c r="E527" s="101"/>
      <c r="F527" s="101"/>
      <c r="G527" s="101"/>
      <c r="H527" s="101"/>
      <c r="I527" s="101"/>
      <c r="J527" s="101"/>
      <c r="K527" s="101"/>
    </row>
    <row r="528" spans="3:11">
      <c r="C528" s="101"/>
      <c r="D528" s="101"/>
      <c r="E528" s="101"/>
      <c r="F528" s="101"/>
      <c r="G528" s="101"/>
      <c r="H528" s="101"/>
      <c r="I528" s="101"/>
      <c r="J528" s="101"/>
      <c r="K528" s="101"/>
    </row>
    <row r="529" spans="3:11">
      <c r="C529" s="101"/>
      <c r="D529" s="101"/>
      <c r="E529" s="101"/>
      <c r="F529" s="101"/>
      <c r="G529" s="101"/>
      <c r="H529" s="101"/>
      <c r="I529" s="101"/>
      <c r="J529" s="101"/>
      <c r="K529" s="101"/>
    </row>
    <row r="530" spans="3:11">
      <c r="C530" s="101"/>
      <c r="D530" s="101"/>
      <c r="E530" s="101"/>
      <c r="F530" s="101"/>
      <c r="G530" s="101"/>
      <c r="H530" s="101"/>
      <c r="I530" s="101"/>
      <c r="J530" s="101"/>
      <c r="K530" s="101"/>
    </row>
    <row r="531" spans="3:11">
      <c r="C531" s="101"/>
      <c r="D531" s="101"/>
      <c r="E531" s="101"/>
      <c r="F531" s="101"/>
      <c r="G531" s="101"/>
      <c r="H531" s="101"/>
      <c r="I531" s="101"/>
      <c r="J531" s="101"/>
      <c r="K531" s="101"/>
    </row>
    <row r="532" spans="3:11">
      <c r="C532" s="101"/>
      <c r="D532" s="101"/>
      <c r="E532" s="101"/>
      <c r="F532" s="101"/>
      <c r="G532" s="101"/>
      <c r="H532" s="101"/>
      <c r="I532" s="101"/>
      <c r="J532" s="101"/>
      <c r="K532" s="101"/>
    </row>
    <row r="533" spans="3:11">
      <c r="C533" s="101"/>
      <c r="D533" s="101"/>
      <c r="E533" s="101"/>
      <c r="F533" s="101"/>
      <c r="G533" s="101"/>
      <c r="H533" s="101"/>
      <c r="I533" s="101"/>
      <c r="J533" s="101"/>
      <c r="K533" s="101"/>
    </row>
    <row r="534" spans="3:11">
      <c r="C534" s="101"/>
      <c r="D534" s="101"/>
      <c r="E534" s="101"/>
      <c r="F534" s="101"/>
      <c r="G534" s="101"/>
      <c r="H534" s="101"/>
      <c r="I534" s="101"/>
      <c r="J534" s="101"/>
      <c r="K534" s="101"/>
    </row>
    <row r="535" spans="3:11">
      <c r="C535" s="101"/>
      <c r="D535" s="101"/>
      <c r="E535" s="101"/>
      <c r="F535" s="101"/>
      <c r="G535" s="101"/>
      <c r="H535" s="101"/>
      <c r="I535" s="101"/>
      <c r="J535" s="101"/>
      <c r="K535" s="101"/>
    </row>
    <row r="536" spans="3:11">
      <c r="C536" s="101"/>
      <c r="D536" s="101"/>
      <c r="E536" s="101"/>
      <c r="F536" s="101"/>
      <c r="G536" s="101"/>
      <c r="H536" s="101"/>
      <c r="I536" s="101"/>
      <c r="J536" s="101"/>
      <c r="K536" s="101"/>
    </row>
    <row r="537" spans="3:11">
      <c r="C537" s="101"/>
      <c r="D537" s="101"/>
      <c r="E537" s="101"/>
      <c r="F537" s="101"/>
      <c r="G537" s="101"/>
      <c r="H537" s="101"/>
      <c r="I537" s="101"/>
      <c r="J537" s="101"/>
      <c r="K537" s="101"/>
    </row>
    <row r="538" spans="3:11">
      <c r="C538" s="101"/>
      <c r="D538" s="101"/>
      <c r="E538" s="101"/>
      <c r="F538" s="101"/>
      <c r="G538" s="101"/>
      <c r="H538" s="101"/>
      <c r="I538" s="101"/>
      <c r="J538" s="101"/>
      <c r="K538" s="101"/>
    </row>
    <row r="539" spans="3:11">
      <c r="C539" s="101"/>
      <c r="D539" s="101"/>
      <c r="E539" s="101"/>
      <c r="F539" s="101"/>
      <c r="G539" s="101"/>
      <c r="H539" s="101"/>
    </row>
    <row r="540" spans="3:11">
      <c r="C540" s="101"/>
      <c r="D540" s="101"/>
      <c r="E540" s="101"/>
      <c r="F540" s="101"/>
      <c r="G540" s="101"/>
      <c r="H540" s="101"/>
    </row>
    <row r="541" spans="3:11">
      <c r="C541" s="101"/>
      <c r="D541" s="101"/>
      <c r="E541" s="101"/>
      <c r="F541" s="101"/>
      <c r="G541" s="101"/>
      <c r="H541" s="101"/>
    </row>
    <row r="542" spans="3:11">
      <c r="C542" s="101"/>
      <c r="D542" s="101"/>
      <c r="E542" s="101"/>
      <c r="F542" s="101"/>
      <c r="G542" s="101"/>
      <c r="H542" s="101"/>
    </row>
    <row r="543" spans="3:11">
      <c r="C543" s="101"/>
      <c r="D543" s="101"/>
      <c r="E543" s="101"/>
      <c r="F543" s="101"/>
      <c r="G543" s="101"/>
      <c r="H543" s="101"/>
    </row>
    <row r="544" spans="3:11">
      <c r="C544" s="101"/>
      <c r="D544" s="101"/>
      <c r="E544" s="101"/>
      <c r="F544" s="101"/>
      <c r="G544" s="101"/>
      <c r="H544" s="101"/>
    </row>
    <row r="545" spans="3:8">
      <c r="C545" s="101"/>
      <c r="D545" s="101"/>
      <c r="E545" s="101"/>
      <c r="F545" s="101"/>
      <c r="G545" s="101"/>
      <c r="H545" s="101"/>
    </row>
    <row r="546" spans="3:8">
      <c r="C546" s="101"/>
      <c r="D546" s="101"/>
      <c r="E546" s="101"/>
      <c r="F546" s="101"/>
      <c r="G546" s="101"/>
      <c r="H546" s="101"/>
    </row>
    <row r="547" spans="3:8">
      <c r="C547" s="101"/>
      <c r="D547" s="101"/>
      <c r="E547" s="101"/>
      <c r="F547" s="101"/>
      <c r="G547" s="101"/>
      <c r="H547" s="101"/>
    </row>
    <row r="548" spans="3:8">
      <c r="C548" s="101"/>
      <c r="D548" s="101"/>
      <c r="E548" s="101"/>
      <c r="F548" s="101"/>
      <c r="G548" s="101"/>
      <c r="H548" s="101"/>
    </row>
    <row r="549" spans="3:8">
      <c r="C549" s="101"/>
      <c r="D549" s="101"/>
      <c r="E549" s="101"/>
      <c r="F549" s="101"/>
      <c r="G549" s="101"/>
      <c r="H549" s="101"/>
    </row>
    <row r="550" spans="3:8">
      <c r="C550" s="101"/>
      <c r="D550" s="101"/>
      <c r="E550" s="101"/>
      <c r="F550" s="101"/>
      <c r="G550" s="101"/>
      <c r="H550" s="101"/>
    </row>
    <row r="551" spans="3:8">
      <c r="C551" s="101"/>
      <c r="D551" s="101"/>
      <c r="E551" s="101"/>
      <c r="F551" s="101"/>
      <c r="G551" s="101"/>
      <c r="H551" s="101"/>
    </row>
    <row r="552" spans="3:8">
      <c r="C552" s="101"/>
      <c r="D552" s="101"/>
      <c r="E552" s="101"/>
      <c r="F552" s="101"/>
      <c r="G552" s="101"/>
      <c r="H552" s="101"/>
    </row>
    <row r="553" spans="3:8">
      <c r="C553" s="101"/>
      <c r="D553" s="101"/>
      <c r="E553" s="101"/>
      <c r="F553" s="101"/>
      <c r="G553" s="101"/>
      <c r="H553" s="101"/>
    </row>
    <row r="554" spans="3:8">
      <c r="C554" s="101"/>
      <c r="D554" s="101"/>
      <c r="E554" s="101"/>
      <c r="F554" s="101"/>
      <c r="G554" s="101"/>
      <c r="H554" s="101"/>
    </row>
    <row r="555" spans="3:8">
      <c r="C555" s="101"/>
      <c r="D555" s="101"/>
      <c r="E555" s="101"/>
      <c r="F555" s="101"/>
      <c r="G555" s="101"/>
      <c r="H555" s="101"/>
    </row>
    <row r="556" spans="3:8">
      <c r="C556" s="101"/>
      <c r="D556" s="101"/>
      <c r="E556" s="101"/>
      <c r="F556" s="101"/>
      <c r="G556" s="101"/>
      <c r="H556" s="101"/>
    </row>
    <row r="557" spans="3:8">
      <c r="C557" s="101"/>
      <c r="D557" s="101"/>
      <c r="E557" s="101"/>
      <c r="F557" s="101"/>
      <c r="G557" s="101"/>
      <c r="H557" s="101"/>
    </row>
    <row r="558" spans="3:8">
      <c r="C558" s="101"/>
      <c r="D558" s="101"/>
      <c r="E558" s="101"/>
      <c r="F558" s="101"/>
      <c r="G558" s="101"/>
      <c r="H558" s="101"/>
    </row>
    <row r="559" spans="3:8">
      <c r="C559" s="101"/>
      <c r="D559" s="101"/>
      <c r="E559" s="101"/>
      <c r="F559" s="101"/>
      <c r="G559" s="101"/>
      <c r="H559" s="101"/>
    </row>
    <row r="560" spans="3:8">
      <c r="C560" s="101"/>
      <c r="D560" s="101"/>
      <c r="E560" s="101"/>
      <c r="F560" s="101"/>
      <c r="G560" s="101"/>
      <c r="H560" s="101"/>
    </row>
    <row r="561" spans="3:8">
      <c r="C561" s="101"/>
      <c r="D561" s="101"/>
      <c r="E561" s="101"/>
      <c r="F561" s="101"/>
      <c r="G561" s="101"/>
      <c r="H561" s="101"/>
    </row>
    <row r="562" spans="3:8">
      <c r="C562" s="101"/>
      <c r="D562" s="101"/>
      <c r="E562" s="101"/>
      <c r="F562" s="101"/>
      <c r="G562" s="101"/>
      <c r="H562" s="101"/>
    </row>
    <row r="563" spans="3:8">
      <c r="C563" s="101"/>
      <c r="D563" s="101"/>
      <c r="E563" s="101"/>
      <c r="F563" s="101"/>
      <c r="G563" s="101"/>
      <c r="H563" s="101"/>
    </row>
    <row r="564" spans="3:8">
      <c r="C564" s="101"/>
      <c r="D564" s="101"/>
      <c r="E564" s="101"/>
      <c r="F564" s="101"/>
      <c r="G564" s="101"/>
      <c r="H564" s="101"/>
    </row>
    <row r="565" spans="3:8">
      <c r="C565" s="101"/>
      <c r="D565" s="101"/>
      <c r="E565" s="101"/>
      <c r="F565" s="101"/>
      <c r="G565" s="101"/>
      <c r="H565" s="101"/>
    </row>
    <row r="566" spans="3:8">
      <c r="C566" s="101"/>
      <c r="D566" s="101"/>
      <c r="E566" s="101"/>
      <c r="F566" s="101"/>
      <c r="G566" s="101"/>
      <c r="H566" s="101"/>
    </row>
    <row r="567" spans="3:8">
      <c r="C567" s="101"/>
      <c r="D567" s="101"/>
      <c r="E567" s="101"/>
      <c r="F567" s="101"/>
      <c r="G567" s="101"/>
      <c r="H567" s="101"/>
    </row>
    <row r="568" spans="3:8">
      <c r="C568" s="101"/>
      <c r="D568" s="101"/>
      <c r="E568" s="101"/>
      <c r="F568" s="101"/>
      <c r="G568" s="101"/>
      <c r="H568" s="101"/>
    </row>
    <row r="569" spans="3:8">
      <c r="C569" s="101"/>
      <c r="D569" s="101"/>
      <c r="E569" s="101"/>
      <c r="F569" s="101"/>
      <c r="G569" s="101"/>
      <c r="H569" s="101"/>
    </row>
    <row r="570" spans="3:8">
      <c r="C570" s="101"/>
      <c r="D570" s="101"/>
      <c r="E570" s="101"/>
      <c r="F570" s="101"/>
      <c r="G570" s="101"/>
      <c r="H570" s="101"/>
    </row>
    <row r="571" spans="3:8">
      <c r="C571" s="101"/>
      <c r="D571" s="101"/>
      <c r="E571" s="101"/>
      <c r="F571" s="101"/>
      <c r="G571" s="101"/>
      <c r="H571" s="101"/>
    </row>
    <row r="572" spans="3:8">
      <c r="C572" s="101"/>
      <c r="D572" s="101"/>
      <c r="E572" s="101"/>
      <c r="F572" s="101"/>
      <c r="G572" s="101"/>
      <c r="H572" s="101"/>
    </row>
    <row r="573" spans="3:8">
      <c r="C573" s="101"/>
      <c r="D573" s="101"/>
      <c r="E573" s="101"/>
      <c r="F573" s="101"/>
      <c r="G573" s="101"/>
      <c r="H573" s="101"/>
    </row>
    <row r="574" spans="3:8">
      <c r="C574" s="101"/>
      <c r="D574" s="101"/>
      <c r="E574" s="101"/>
      <c r="F574" s="101"/>
      <c r="G574" s="101"/>
      <c r="H574" s="101"/>
    </row>
    <row r="575" spans="3:8">
      <c r="C575" s="101"/>
      <c r="D575" s="101"/>
      <c r="E575" s="101"/>
      <c r="F575" s="101"/>
      <c r="G575" s="101"/>
      <c r="H575" s="101"/>
    </row>
    <row r="576" spans="3:8">
      <c r="C576" s="101"/>
      <c r="D576" s="101"/>
      <c r="E576" s="101"/>
      <c r="F576" s="101"/>
      <c r="G576" s="101"/>
      <c r="H576" s="101"/>
    </row>
    <row r="577" spans="3:8">
      <c r="C577" s="101"/>
      <c r="D577" s="101"/>
      <c r="E577" s="101"/>
      <c r="F577" s="101"/>
      <c r="G577" s="101"/>
      <c r="H577" s="101"/>
    </row>
    <row r="578" spans="3:8">
      <c r="C578" s="101"/>
      <c r="D578" s="101"/>
      <c r="E578" s="101"/>
      <c r="F578" s="101"/>
      <c r="G578" s="101"/>
      <c r="H578" s="101"/>
    </row>
    <row r="579" spans="3:8">
      <c r="C579" s="101"/>
      <c r="D579" s="101"/>
      <c r="E579" s="101"/>
      <c r="F579" s="101"/>
      <c r="G579" s="101"/>
      <c r="H579" s="101"/>
    </row>
    <row r="580" spans="3:8">
      <c r="C580" s="101"/>
      <c r="D580" s="101"/>
      <c r="E580" s="101"/>
      <c r="F580" s="101"/>
      <c r="G580" s="101"/>
      <c r="H580" s="101"/>
    </row>
    <row r="581" spans="3:8">
      <c r="C581" s="101"/>
      <c r="D581" s="101"/>
      <c r="E581" s="101"/>
      <c r="F581" s="101"/>
      <c r="G581" s="101"/>
      <c r="H581" s="101"/>
    </row>
    <row r="582" spans="3:8">
      <c r="C582" s="101"/>
      <c r="D582" s="101"/>
      <c r="E582" s="101"/>
      <c r="F582" s="101"/>
      <c r="G582" s="101"/>
      <c r="H582" s="101"/>
    </row>
    <row r="583" spans="3:8">
      <c r="C583" s="101"/>
      <c r="D583" s="101"/>
      <c r="E583" s="101"/>
      <c r="F583" s="101"/>
      <c r="G583" s="101"/>
      <c r="H583" s="101"/>
    </row>
    <row r="584" spans="3:8">
      <c r="C584" s="101"/>
      <c r="D584" s="101"/>
      <c r="E584" s="101"/>
      <c r="F584" s="101"/>
      <c r="G584" s="101"/>
      <c r="H584" s="101"/>
    </row>
    <row r="585" spans="3:8">
      <c r="C585" s="101"/>
      <c r="D585" s="101"/>
      <c r="E585" s="101"/>
      <c r="F585" s="101"/>
      <c r="G585" s="101"/>
      <c r="H585" s="101"/>
    </row>
    <row r="586" spans="3:8">
      <c r="C586" s="101"/>
      <c r="D586" s="101"/>
      <c r="E586" s="101"/>
      <c r="F586" s="101"/>
      <c r="G586" s="101"/>
      <c r="H586" s="101"/>
    </row>
    <row r="587" spans="3:8">
      <c r="C587" s="101"/>
      <c r="D587" s="101"/>
      <c r="E587" s="101"/>
      <c r="F587" s="101"/>
      <c r="G587" s="101"/>
      <c r="H587" s="101"/>
    </row>
    <row r="588" spans="3:8">
      <c r="C588" s="101"/>
      <c r="D588" s="101"/>
      <c r="E588" s="101"/>
      <c r="F588" s="101"/>
      <c r="G588" s="101"/>
      <c r="H588" s="101"/>
    </row>
    <row r="589" spans="3:8">
      <c r="C589" s="101"/>
      <c r="D589" s="101"/>
      <c r="E589" s="101"/>
      <c r="F589" s="101"/>
      <c r="G589" s="101"/>
      <c r="H589" s="101"/>
    </row>
    <row r="590" spans="3:8">
      <c r="C590" s="101"/>
      <c r="D590" s="101"/>
      <c r="E590" s="101"/>
      <c r="F590" s="101"/>
      <c r="G590" s="101"/>
      <c r="H590" s="101"/>
    </row>
    <row r="591" spans="3:8">
      <c r="C591" s="101"/>
      <c r="D591" s="101"/>
      <c r="E591" s="101"/>
      <c r="F591" s="101"/>
      <c r="G591" s="101"/>
      <c r="H591" s="101"/>
    </row>
    <row r="592" spans="3:8">
      <c r="C592" s="101"/>
      <c r="D592" s="101"/>
      <c r="E592" s="101"/>
      <c r="F592" s="101"/>
      <c r="G592" s="101"/>
      <c r="H592" s="101"/>
    </row>
    <row r="593" spans="3:8">
      <c r="C593" s="101"/>
      <c r="D593" s="101"/>
      <c r="E593" s="101"/>
      <c r="F593" s="101"/>
      <c r="G593" s="101"/>
      <c r="H593" s="101"/>
    </row>
    <row r="594" spans="3:8">
      <c r="C594" s="101"/>
      <c r="D594" s="101"/>
      <c r="E594" s="101"/>
      <c r="F594" s="101"/>
      <c r="G594" s="101"/>
      <c r="H594" s="101"/>
    </row>
    <row r="595" spans="3:8">
      <c r="C595" s="101"/>
      <c r="D595" s="101"/>
      <c r="E595" s="101"/>
      <c r="F595" s="101"/>
      <c r="G595" s="101"/>
      <c r="H595" s="101"/>
    </row>
    <row r="596" spans="3:8">
      <c r="C596" s="101"/>
      <c r="D596" s="101"/>
      <c r="E596" s="101"/>
      <c r="F596" s="101"/>
      <c r="G596" s="101"/>
      <c r="H596" s="101"/>
    </row>
    <row r="597" spans="3:8">
      <c r="C597" s="101"/>
      <c r="D597" s="101"/>
      <c r="E597" s="101"/>
      <c r="F597" s="101"/>
      <c r="G597" s="101"/>
      <c r="H597" s="101"/>
    </row>
    <row r="598" spans="3:8">
      <c r="C598" s="101"/>
      <c r="D598" s="101"/>
      <c r="E598" s="101"/>
      <c r="F598" s="101"/>
      <c r="G598" s="101"/>
      <c r="H598" s="101"/>
    </row>
    <row r="599" spans="3:8">
      <c r="C599" s="101"/>
      <c r="D599" s="101"/>
      <c r="E599" s="101"/>
      <c r="F599" s="101"/>
      <c r="G599" s="101"/>
      <c r="H599" s="101"/>
    </row>
    <row r="600" spans="3:8">
      <c r="C600" s="101"/>
      <c r="D600" s="101"/>
      <c r="E600" s="101"/>
      <c r="F600" s="101"/>
      <c r="G600" s="101"/>
      <c r="H600" s="101"/>
    </row>
    <row r="601" spans="3:8">
      <c r="C601" s="101"/>
      <c r="D601" s="101"/>
      <c r="E601" s="101"/>
      <c r="F601" s="101"/>
      <c r="G601" s="101"/>
      <c r="H601" s="101"/>
    </row>
    <row r="602" spans="3:8">
      <c r="C602" s="101"/>
      <c r="D602" s="101"/>
      <c r="E602" s="101"/>
      <c r="F602" s="101"/>
      <c r="G602" s="101"/>
      <c r="H602" s="101"/>
    </row>
    <row r="603" spans="3:8">
      <c r="C603" s="101"/>
      <c r="D603" s="101"/>
      <c r="E603" s="101"/>
      <c r="F603" s="101"/>
      <c r="G603" s="101"/>
      <c r="H603" s="101"/>
    </row>
    <row r="604" spans="3:8">
      <c r="C604" s="101"/>
      <c r="D604" s="101"/>
      <c r="E604" s="101"/>
      <c r="F604" s="101"/>
      <c r="G604" s="101"/>
      <c r="H604" s="101"/>
    </row>
    <row r="605" spans="3:8">
      <c r="C605" s="101"/>
      <c r="D605" s="101"/>
      <c r="E605" s="101"/>
      <c r="F605" s="101"/>
      <c r="G605" s="101"/>
      <c r="H605" s="101"/>
    </row>
    <row r="606" spans="3:8">
      <c r="C606" s="101"/>
      <c r="D606" s="101"/>
      <c r="E606" s="101"/>
      <c r="F606" s="101"/>
      <c r="G606" s="101"/>
      <c r="H606" s="101"/>
    </row>
    <row r="607" spans="3:8">
      <c r="C607" s="101"/>
      <c r="D607" s="101"/>
      <c r="E607" s="101"/>
      <c r="F607" s="101"/>
      <c r="G607" s="101"/>
      <c r="H607" s="101"/>
    </row>
    <row r="608" spans="3:8">
      <c r="C608" s="101"/>
      <c r="D608" s="101"/>
      <c r="E608" s="101"/>
      <c r="F608" s="101"/>
      <c r="G608" s="101"/>
      <c r="H608" s="101"/>
    </row>
    <row r="609" spans="3:8">
      <c r="C609" s="101"/>
      <c r="D609" s="101"/>
      <c r="E609" s="101"/>
      <c r="F609" s="101"/>
      <c r="G609" s="101"/>
      <c r="H609" s="101"/>
    </row>
    <row r="610" spans="3:8">
      <c r="C610" s="101"/>
      <c r="D610" s="101"/>
      <c r="E610" s="101"/>
      <c r="F610" s="101"/>
      <c r="G610" s="101"/>
      <c r="H610" s="101"/>
    </row>
    <row r="611" spans="3:8">
      <c r="C611" s="101"/>
      <c r="D611" s="101"/>
      <c r="E611" s="101"/>
      <c r="F611" s="101"/>
      <c r="G611" s="101"/>
      <c r="H611" s="101"/>
    </row>
    <row r="612" spans="3:8">
      <c r="C612" s="101"/>
      <c r="D612" s="101"/>
      <c r="E612" s="101"/>
      <c r="F612" s="101"/>
      <c r="G612" s="101"/>
      <c r="H612" s="101"/>
    </row>
    <row r="613" spans="3:8">
      <c r="C613" s="101"/>
      <c r="D613" s="101"/>
      <c r="E613" s="101"/>
      <c r="F613" s="101"/>
      <c r="G613" s="101"/>
      <c r="H613" s="101"/>
    </row>
    <row r="614" spans="3:8">
      <c r="C614" s="101"/>
      <c r="D614" s="101"/>
      <c r="E614" s="101"/>
      <c r="F614" s="101"/>
      <c r="G614" s="101"/>
      <c r="H614" s="101"/>
    </row>
    <row r="615" spans="3:8">
      <c r="C615" s="101"/>
      <c r="D615" s="101"/>
      <c r="E615" s="101"/>
      <c r="F615" s="101"/>
      <c r="G615" s="101"/>
      <c r="H615" s="101"/>
    </row>
    <row r="616" spans="3:8">
      <c r="C616" s="101"/>
      <c r="D616" s="101"/>
      <c r="E616" s="101"/>
      <c r="F616" s="101"/>
      <c r="G616" s="101"/>
      <c r="H616" s="101"/>
    </row>
    <row r="617" spans="3:8">
      <c r="C617" s="101"/>
      <c r="D617" s="101"/>
      <c r="E617" s="101"/>
      <c r="F617" s="101"/>
      <c r="G617" s="101"/>
      <c r="H617" s="101"/>
    </row>
    <row r="618" spans="3:8">
      <c r="C618" s="101"/>
      <c r="D618" s="101"/>
      <c r="E618" s="101"/>
      <c r="F618" s="101"/>
      <c r="G618" s="101"/>
      <c r="H618" s="101"/>
    </row>
    <row r="619" spans="3:8">
      <c r="C619" s="101"/>
      <c r="D619" s="101"/>
      <c r="E619" s="101"/>
      <c r="F619" s="101"/>
      <c r="G619" s="101"/>
      <c r="H619" s="101"/>
    </row>
    <row r="620" spans="3:8">
      <c r="C620" s="101"/>
      <c r="D620" s="101"/>
      <c r="E620" s="101"/>
      <c r="F620" s="101"/>
      <c r="G620" s="101"/>
      <c r="H620" s="101"/>
    </row>
    <row r="621" spans="3:8">
      <c r="C621" s="101"/>
      <c r="D621" s="101"/>
      <c r="E621" s="101"/>
      <c r="F621" s="101"/>
      <c r="G621" s="101"/>
      <c r="H621" s="101"/>
    </row>
    <row r="622" spans="3:8">
      <c r="C622" s="101"/>
      <c r="D622" s="101"/>
      <c r="E622" s="101"/>
      <c r="F622" s="101"/>
      <c r="G622" s="101"/>
      <c r="H622" s="101"/>
    </row>
    <row r="623" spans="3:8">
      <c r="C623" s="101"/>
      <c r="D623" s="101"/>
      <c r="E623" s="101"/>
      <c r="F623" s="101"/>
      <c r="G623" s="101"/>
      <c r="H623" s="101"/>
    </row>
    <row r="624" spans="3:8">
      <c r="C624" s="101"/>
      <c r="D624" s="101"/>
      <c r="E624" s="101"/>
      <c r="F624" s="101"/>
      <c r="G624" s="101"/>
      <c r="H624" s="101"/>
    </row>
    <row r="625" spans="3:8">
      <c r="C625" s="101"/>
      <c r="D625" s="101"/>
      <c r="E625" s="101"/>
      <c r="F625" s="101"/>
      <c r="G625" s="101"/>
      <c r="H625" s="101"/>
    </row>
    <row r="626" spans="3:8">
      <c r="C626" s="101"/>
      <c r="D626" s="101"/>
      <c r="E626" s="101"/>
      <c r="F626" s="101"/>
      <c r="G626" s="101"/>
      <c r="H626" s="101"/>
    </row>
    <row r="627" spans="3:8">
      <c r="C627" s="101"/>
      <c r="D627" s="101"/>
      <c r="E627" s="101"/>
      <c r="F627" s="101"/>
      <c r="G627" s="101"/>
      <c r="H627" s="101"/>
    </row>
    <row r="628" spans="3:8">
      <c r="C628" s="101"/>
      <c r="D628" s="101"/>
      <c r="E628" s="101"/>
      <c r="F628" s="101"/>
      <c r="G628" s="101"/>
      <c r="H628" s="101"/>
    </row>
    <row r="629" spans="3:8">
      <c r="C629" s="101"/>
      <c r="D629" s="101"/>
      <c r="E629" s="101"/>
      <c r="F629" s="101"/>
      <c r="G629" s="101"/>
      <c r="H629" s="101"/>
    </row>
    <row r="630" spans="3:8">
      <c r="C630" s="101"/>
      <c r="D630" s="101"/>
      <c r="E630" s="101"/>
      <c r="F630" s="101"/>
      <c r="G630" s="101"/>
      <c r="H630" s="101"/>
    </row>
    <row r="631" spans="3:8">
      <c r="C631" s="101"/>
      <c r="D631" s="101"/>
      <c r="E631" s="101"/>
      <c r="F631" s="101"/>
      <c r="G631" s="101"/>
      <c r="H631" s="101"/>
    </row>
    <row r="632" spans="3:8">
      <c r="C632" s="101"/>
      <c r="D632" s="101"/>
      <c r="E632" s="101"/>
      <c r="F632" s="101"/>
      <c r="G632" s="101"/>
      <c r="H632" s="101"/>
    </row>
    <row r="633" spans="3:8">
      <c r="C633" s="101"/>
      <c r="D633" s="101"/>
      <c r="E633" s="101"/>
      <c r="F633" s="101"/>
      <c r="G633" s="101"/>
      <c r="H633" s="101"/>
    </row>
    <row r="634" spans="3:8">
      <c r="C634" s="101"/>
      <c r="D634" s="101"/>
      <c r="E634" s="101"/>
      <c r="F634" s="101"/>
      <c r="G634" s="101"/>
      <c r="H634" s="101"/>
    </row>
    <row r="635" spans="3:8">
      <c r="C635" s="101"/>
      <c r="D635" s="101"/>
      <c r="E635" s="101"/>
      <c r="F635" s="101"/>
      <c r="G635" s="101"/>
      <c r="H635" s="101"/>
    </row>
    <row r="636" spans="3:8">
      <c r="C636" s="101"/>
      <c r="D636" s="101"/>
      <c r="E636" s="101"/>
      <c r="F636" s="101"/>
      <c r="G636" s="101"/>
      <c r="H636" s="101"/>
    </row>
    <row r="637" spans="3:8">
      <c r="C637" s="101"/>
      <c r="D637" s="101"/>
      <c r="E637" s="101"/>
      <c r="F637" s="101"/>
      <c r="G637" s="101"/>
      <c r="H637" s="101"/>
    </row>
    <row r="638" spans="3:8">
      <c r="C638" s="101"/>
      <c r="D638" s="101"/>
      <c r="E638" s="101"/>
      <c r="F638" s="101"/>
      <c r="G638" s="101"/>
      <c r="H638" s="101"/>
    </row>
    <row r="639" spans="3:8">
      <c r="C639" s="101"/>
      <c r="D639" s="101"/>
      <c r="E639" s="101"/>
      <c r="F639" s="101"/>
      <c r="G639" s="101"/>
      <c r="H639" s="101"/>
    </row>
    <row r="640" spans="3:8">
      <c r="C640" s="101"/>
      <c r="D640" s="101"/>
      <c r="E640" s="101"/>
      <c r="F640" s="101"/>
      <c r="G640" s="101"/>
      <c r="H640" s="101"/>
    </row>
    <row r="641" spans="3:8">
      <c r="C641" s="101"/>
      <c r="D641" s="101"/>
      <c r="E641" s="101"/>
      <c r="F641" s="101"/>
      <c r="G641" s="101"/>
      <c r="H641" s="101"/>
    </row>
    <row r="642" spans="3:8">
      <c r="C642" s="101"/>
      <c r="D642" s="101"/>
      <c r="E642" s="101"/>
      <c r="F642" s="101"/>
      <c r="G642" s="101"/>
      <c r="H642" s="101"/>
    </row>
    <row r="643" spans="3:8">
      <c r="C643" s="101"/>
      <c r="D643" s="101"/>
      <c r="E643" s="101"/>
      <c r="F643" s="101"/>
      <c r="G643" s="101"/>
      <c r="H643" s="101"/>
    </row>
    <row r="644" spans="3:8">
      <c r="C644" s="101"/>
      <c r="D644" s="101"/>
      <c r="E644" s="101"/>
      <c r="F644" s="101"/>
      <c r="G644" s="101"/>
      <c r="H644" s="101"/>
    </row>
    <row r="645" spans="3:8">
      <c r="C645" s="101"/>
      <c r="D645" s="101"/>
      <c r="E645" s="101"/>
      <c r="F645" s="101"/>
      <c r="G645" s="101"/>
      <c r="H645" s="101"/>
    </row>
    <row r="646" spans="3:8">
      <c r="C646" s="101"/>
      <c r="D646" s="101"/>
      <c r="E646" s="101"/>
      <c r="F646" s="101"/>
      <c r="G646" s="101"/>
      <c r="H646" s="101"/>
    </row>
    <row r="647" spans="3:8">
      <c r="C647" s="101"/>
      <c r="D647" s="101"/>
      <c r="E647" s="101"/>
      <c r="F647" s="101"/>
      <c r="G647" s="101"/>
      <c r="H647" s="101"/>
    </row>
    <row r="648" spans="3:8">
      <c r="C648" s="101"/>
      <c r="D648" s="101"/>
      <c r="E648" s="101"/>
      <c r="F648" s="101"/>
      <c r="G648" s="101"/>
      <c r="H648" s="101"/>
    </row>
    <row r="649" spans="3:8">
      <c r="C649" s="101"/>
      <c r="D649" s="101"/>
      <c r="E649" s="101"/>
      <c r="F649" s="101"/>
      <c r="G649" s="101"/>
      <c r="H649" s="101"/>
    </row>
    <row r="650" spans="3:8">
      <c r="C650" s="101"/>
      <c r="D650" s="101"/>
      <c r="E650" s="101"/>
      <c r="F650" s="101"/>
      <c r="G650" s="101"/>
      <c r="H650" s="101"/>
    </row>
    <row r="651" spans="3:8">
      <c r="C651" s="101"/>
      <c r="D651" s="101"/>
      <c r="E651" s="101"/>
      <c r="F651" s="101"/>
      <c r="G651" s="101"/>
      <c r="H651" s="101"/>
    </row>
    <row r="652" spans="3:8">
      <c r="C652" s="101"/>
      <c r="D652" s="101"/>
      <c r="E652" s="101"/>
      <c r="F652" s="101"/>
      <c r="G652" s="101"/>
      <c r="H652" s="101"/>
    </row>
    <row r="653" spans="3:8">
      <c r="C653" s="101"/>
      <c r="D653" s="101"/>
      <c r="E653" s="101"/>
      <c r="F653" s="101"/>
      <c r="G653" s="101"/>
      <c r="H653" s="101"/>
    </row>
    <row r="654" spans="3:8">
      <c r="C654" s="101"/>
      <c r="D654" s="101"/>
      <c r="E654" s="101"/>
      <c r="F654" s="101"/>
      <c r="G654" s="101"/>
      <c r="H654" s="101"/>
    </row>
    <row r="655" spans="3:8">
      <c r="C655" s="101"/>
      <c r="D655" s="101"/>
      <c r="E655" s="101"/>
      <c r="F655" s="101"/>
      <c r="G655" s="101"/>
      <c r="H655" s="101"/>
    </row>
    <row r="656" spans="3:8">
      <c r="C656" s="101"/>
      <c r="D656" s="101"/>
      <c r="E656" s="101"/>
      <c r="F656" s="101"/>
      <c r="G656" s="101"/>
      <c r="H656" s="101"/>
    </row>
    <row r="657" spans="3:8">
      <c r="C657" s="101"/>
      <c r="D657" s="101"/>
      <c r="E657" s="101"/>
      <c r="F657" s="101"/>
      <c r="G657" s="101"/>
      <c r="H657" s="101"/>
    </row>
    <row r="658" spans="3:8">
      <c r="C658" s="101"/>
      <c r="D658" s="101"/>
      <c r="E658" s="101"/>
      <c r="F658" s="101"/>
      <c r="G658" s="101"/>
      <c r="H658" s="101"/>
    </row>
    <row r="659" spans="3:8">
      <c r="C659" s="101"/>
      <c r="D659" s="101"/>
      <c r="E659" s="101"/>
      <c r="F659" s="101"/>
      <c r="G659" s="101"/>
      <c r="H659" s="101"/>
    </row>
    <row r="660" spans="3:8">
      <c r="C660" s="101"/>
      <c r="D660" s="101"/>
      <c r="E660" s="101"/>
      <c r="F660" s="101"/>
      <c r="G660" s="101"/>
      <c r="H660" s="101"/>
    </row>
    <row r="661" spans="3:8">
      <c r="C661" s="101"/>
      <c r="D661" s="101"/>
      <c r="E661" s="101"/>
      <c r="F661" s="101"/>
      <c r="G661" s="101"/>
      <c r="H661" s="101"/>
    </row>
    <row r="662" spans="3:8">
      <c r="C662" s="101"/>
      <c r="D662" s="101"/>
      <c r="E662" s="101"/>
      <c r="F662" s="101"/>
      <c r="G662" s="101"/>
      <c r="H662" s="101"/>
    </row>
    <row r="663" spans="3:8">
      <c r="C663" s="101"/>
      <c r="D663" s="101"/>
      <c r="E663" s="101"/>
      <c r="F663" s="101"/>
      <c r="G663" s="101"/>
      <c r="H663" s="101"/>
    </row>
    <row r="664" spans="3:8">
      <c r="C664" s="101"/>
      <c r="D664" s="101"/>
      <c r="E664" s="101"/>
      <c r="F664" s="101"/>
      <c r="G664" s="101"/>
      <c r="H664" s="101"/>
    </row>
    <row r="665" spans="3:8">
      <c r="C665" s="101"/>
      <c r="D665" s="101"/>
      <c r="E665" s="101"/>
      <c r="F665" s="101"/>
      <c r="G665" s="101"/>
      <c r="H665" s="101"/>
    </row>
    <row r="666" spans="3:8">
      <c r="C666" s="101"/>
      <c r="D666" s="101"/>
      <c r="E666" s="101"/>
      <c r="F666" s="101"/>
      <c r="G666" s="101"/>
      <c r="H666" s="101"/>
    </row>
    <row r="667" spans="3:8">
      <c r="C667" s="101"/>
      <c r="D667" s="101"/>
      <c r="E667" s="101"/>
      <c r="F667" s="101"/>
      <c r="G667" s="101"/>
      <c r="H667" s="101"/>
    </row>
    <row r="668" spans="3:8">
      <c r="C668" s="101"/>
      <c r="D668" s="101"/>
      <c r="E668" s="101"/>
      <c r="F668" s="101"/>
      <c r="G668" s="101"/>
      <c r="H668" s="101"/>
    </row>
    <row r="669" spans="3:8">
      <c r="C669" s="101"/>
      <c r="D669" s="101"/>
      <c r="E669" s="101"/>
      <c r="F669" s="101"/>
      <c r="G669" s="101"/>
      <c r="H669" s="101"/>
    </row>
    <row r="670" spans="3:8">
      <c r="C670" s="101"/>
      <c r="D670" s="101"/>
      <c r="E670" s="101"/>
      <c r="F670" s="101"/>
      <c r="G670" s="101"/>
      <c r="H670" s="101"/>
    </row>
    <row r="671" spans="3:8">
      <c r="C671" s="101"/>
      <c r="D671" s="101"/>
      <c r="E671" s="101"/>
      <c r="F671" s="101"/>
      <c r="G671" s="101"/>
      <c r="H671" s="101"/>
    </row>
    <row r="672" spans="3:8">
      <c r="C672" s="101"/>
      <c r="D672" s="101"/>
      <c r="E672" s="101"/>
      <c r="F672" s="101"/>
      <c r="G672" s="101"/>
      <c r="H672" s="101"/>
    </row>
    <row r="673" spans="3:8">
      <c r="C673" s="101"/>
      <c r="D673" s="101"/>
      <c r="E673" s="101"/>
      <c r="F673" s="101"/>
      <c r="G673" s="101"/>
      <c r="H673" s="101"/>
    </row>
    <row r="674" spans="3:8">
      <c r="C674" s="101"/>
      <c r="D674" s="101"/>
      <c r="E674" s="101"/>
      <c r="F674" s="101"/>
      <c r="G674" s="101"/>
      <c r="H674" s="101"/>
    </row>
    <row r="675" spans="3:8">
      <c r="C675" s="101"/>
      <c r="D675" s="101"/>
      <c r="E675" s="101"/>
      <c r="F675" s="101"/>
      <c r="G675" s="101"/>
      <c r="H675" s="101"/>
    </row>
    <row r="676" spans="3:8">
      <c r="C676" s="101"/>
      <c r="D676" s="101"/>
      <c r="E676" s="101"/>
      <c r="F676" s="101"/>
      <c r="G676" s="101"/>
      <c r="H676" s="101"/>
    </row>
    <row r="677" spans="3:8">
      <c r="C677" s="101"/>
      <c r="D677" s="101"/>
      <c r="E677" s="101"/>
      <c r="F677" s="101"/>
      <c r="G677" s="101"/>
      <c r="H677" s="101"/>
    </row>
    <row r="678" spans="3:8">
      <c r="C678" s="101"/>
      <c r="D678" s="101"/>
      <c r="E678" s="101"/>
      <c r="F678" s="101"/>
      <c r="G678" s="101"/>
      <c r="H678" s="101"/>
    </row>
    <row r="679" spans="3:8">
      <c r="C679" s="101"/>
      <c r="D679" s="101"/>
      <c r="E679" s="101"/>
      <c r="F679" s="101"/>
      <c r="G679" s="101"/>
      <c r="H679" s="101"/>
    </row>
    <row r="680" spans="3:8">
      <c r="C680" s="101"/>
      <c r="D680" s="101"/>
      <c r="E680" s="101"/>
      <c r="F680" s="101"/>
      <c r="G680" s="101"/>
      <c r="H680" s="101"/>
    </row>
    <row r="681" spans="3:8">
      <c r="C681" s="101"/>
      <c r="D681" s="101"/>
      <c r="E681" s="101"/>
      <c r="F681" s="101"/>
      <c r="G681" s="101"/>
      <c r="H681" s="101"/>
    </row>
    <row r="682" spans="3:8">
      <c r="C682" s="101"/>
      <c r="D682" s="101"/>
      <c r="E682" s="101"/>
      <c r="F682" s="101"/>
      <c r="G682" s="101"/>
      <c r="H682" s="101"/>
    </row>
    <row r="683" spans="3:8">
      <c r="C683" s="101"/>
      <c r="D683" s="101"/>
      <c r="E683" s="101"/>
      <c r="F683" s="101"/>
      <c r="G683" s="101"/>
      <c r="H683" s="101"/>
    </row>
    <row r="684" spans="3:8">
      <c r="C684" s="101"/>
      <c r="D684" s="101"/>
      <c r="E684" s="101"/>
      <c r="F684" s="101"/>
      <c r="G684" s="101"/>
      <c r="H684" s="101"/>
    </row>
    <row r="685" spans="3:8">
      <c r="C685" s="101"/>
      <c r="D685" s="101"/>
      <c r="E685" s="101"/>
      <c r="F685" s="101"/>
      <c r="G685" s="101"/>
      <c r="H685" s="101"/>
    </row>
    <row r="686" spans="3:8">
      <c r="C686" s="101"/>
      <c r="D686" s="101"/>
      <c r="E686" s="101"/>
      <c r="F686" s="101"/>
      <c r="G686" s="101"/>
      <c r="H686" s="101"/>
    </row>
    <row r="687" spans="3:8">
      <c r="C687" s="101"/>
      <c r="D687" s="101"/>
      <c r="E687" s="101"/>
      <c r="F687" s="101"/>
      <c r="G687" s="101"/>
      <c r="H687" s="101"/>
    </row>
    <row r="688" spans="3:8">
      <c r="C688" s="101"/>
      <c r="D688" s="101"/>
      <c r="E688" s="101"/>
      <c r="F688" s="101"/>
      <c r="G688" s="101"/>
      <c r="H688" s="101"/>
    </row>
    <row r="689" spans="3:8">
      <c r="C689" s="101"/>
      <c r="D689" s="101"/>
      <c r="E689" s="101"/>
      <c r="F689" s="101"/>
      <c r="G689" s="101"/>
      <c r="H689" s="101"/>
    </row>
    <row r="690" spans="3:8">
      <c r="C690" s="101"/>
      <c r="D690" s="101"/>
      <c r="E690" s="101"/>
      <c r="F690" s="101"/>
      <c r="G690" s="101"/>
      <c r="H690" s="101"/>
    </row>
    <row r="691" spans="3:8">
      <c r="C691" s="101"/>
      <c r="D691" s="101"/>
      <c r="E691" s="101"/>
      <c r="F691" s="101"/>
      <c r="G691" s="101"/>
      <c r="H691" s="101"/>
    </row>
    <row r="692" spans="3:8">
      <c r="C692" s="101"/>
      <c r="D692" s="101"/>
      <c r="E692" s="101"/>
      <c r="F692" s="101"/>
      <c r="G692" s="101"/>
      <c r="H692" s="101"/>
    </row>
    <row r="693" spans="3:8">
      <c r="C693" s="101"/>
      <c r="D693" s="101"/>
      <c r="E693" s="101"/>
      <c r="F693" s="101"/>
      <c r="G693" s="101"/>
      <c r="H693" s="101"/>
    </row>
    <row r="694" spans="3:8">
      <c r="C694" s="101"/>
      <c r="D694" s="101"/>
      <c r="E694" s="101"/>
      <c r="F694" s="101"/>
      <c r="G694" s="101"/>
      <c r="H694" s="101"/>
    </row>
    <row r="695" spans="3:8">
      <c r="C695" s="101"/>
      <c r="D695" s="101"/>
      <c r="E695" s="101"/>
      <c r="F695" s="101"/>
      <c r="G695" s="101"/>
      <c r="H695" s="101"/>
    </row>
    <row r="696" spans="3:8">
      <c r="C696" s="101"/>
      <c r="D696" s="101"/>
      <c r="E696" s="101"/>
      <c r="F696" s="101"/>
      <c r="G696" s="101"/>
      <c r="H696" s="101"/>
    </row>
    <row r="697" spans="3:8">
      <c r="C697" s="101"/>
      <c r="D697" s="101"/>
      <c r="E697" s="101"/>
      <c r="F697" s="101"/>
      <c r="G697" s="101"/>
      <c r="H697" s="101"/>
    </row>
    <row r="698" spans="3:8">
      <c r="C698" s="101"/>
      <c r="D698" s="101"/>
      <c r="E698" s="101"/>
      <c r="F698" s="101"/>
      <c r="G698" s="101"/>
      <c r="H698" s="101"/>
    </row>
    <row r="699" spans="3:8">
      <c r="C699" s="101"/>
      <c r="D699" s="101"/>
      <c r="E699" s="101"/>
      <c r="F699" s="101"/>
      <c r="G699" s="101"/>
      <c r="H699" s="101"/>
    </row>
    <row r="700" spans="3:8">
      <c r="C700" s="101"/>
      <c r="D700" s="101"/>
      <c r="E700" s="101"/>
      <c r="F700" s="101"/>
      <c r="G700" s="101"/>
      <c r="H700" s="101"/>
    </row>
    <row r="701" spans="3:8">
      <c r="C701" s="101"/>
      <c r="D701" s="101"/>
      <c r="E701" s="101"/>
      <c r="F701" s="101"/>
      <c r="G701" s="101"/>
      <c r="H701" s="101"/>
    </row>
    <row r="702" spans="3:8">
      <c r="C702" s="101"/>
      <c r="D702" s="101"/>
      <c r="E702" s="101"/>
      <c r="F702" s="101"/>
      <c r="G702" s="101"/>
      <c r="H702" s="101"/>
    </row>
    <row r="703" spans="3:8">
      <c r="C703" s="101"/>
      <c r="D703" s="101"/>
      <c r="E703" s="101"/>
      <c r="F703" s="101"/>
      <c r="G703" s="101"/>
      <c r="H703" s="101"/>
    </row>
    <row r="704" spans="3:8">
      <c r="C704" s="101"/>
      <c r="D704" s="101"/>
      <c r="E704" s="101"/>
      <c r="F704" s="101"/>
      <c r="G704" s="101"/>
      <c r="H704" s="101"/>
    </row>
    <row r="705" spans="3:8">
      <c r="C705" s="101"/>
      <c r="D705" s="101"/>
      <c r="E705" s="101"/>
      <c r="F705" s="101"/>
      <c r="G705" s="101"/>
      <c r="H705" s="101"/>
    </row>
    <row r="706" spans="3:8">
      <c r="C706" s="101"/>
      <c r="D706" s="101"/>
      <c r="E706" s="101"/>
      <c r="F706" s="101"/>
      <c r="G706" s="101"/>
      <c r="H706" s="101"/>
    </row>
    <row r="707" spans="3:8">
      <c r="C707" s="101"/>
      <c r="D707" s="101"/>
      <c r="E707" s="101"/>
      <c r="F707" s="101"/>
      <c r="G707" s="101"/>
      <c r="H707" s="101"/>
    </row>
    <row r="708" spans="3:8">
      <c r="C708" s="101"/>
      <c r="D708" s="101"/>
      <c r="E708" s="101"/>
      <c r="F708" s="101"/>
      <c r="G708" s="101"/>
      <c r="H708" s="101"/>
    </row>
    <row r="709" spans="3:8">
      <c r="C709" s="101"/>
      <c r="D709" s="101"/>
      <c r="E709" s="101"/>
      <c r="F709" s="101"/>
      <c r="G709" s="101"/>
      <c r="H709" s="101"/>
    </row>
    <row r="710" spans="3:8">
      <c r="C710" s="101"/>
      <c r="D710" s="101"/>
      <c r="E710" s="101"/>
      <c r="F710" s="101"/>
      <c r="G710" s="101"/>
      <c r="H710" s="101"/>
    </row>
    <row r="711" spans="3:8">
      <c r="C711" s="101"/>
      <c r="D711" s="101"/>
      <c r="E711" s="101"/>
      <c r="F711" s="101"/>
      <c r="G711" s="101"/>
      <c r="H711" s="101"/>
    </row>
    <row r="712" spans="3:8">
      <c r="C712" s="101"/>
      <c r="D712" s="101"/>
      <c r="E712" s="101"/>
      <c r="F712" s="101"/>
      <c r="G712" s="101"/>
      <c r="H712" s="101"/>
    </row>
    <row r="713" spans="3:8">
      <c r="C713" s="101"/>
      <c r="D713" s="101"/>
      <c r="E713" s="101"/>
      <c r="F713" s="101"/>
      <c r="G713" s="101"/>
      <c r="H713" s="101"/>
    </row>
    <row r="714" spans="3:8">
      <c r="C714" s="101"/>
      <c r="D714" s="101"/>
      <c r="E714" s="101"/>
      <c r="F714" s="101"/>
      <c r="G714" s="101"/>
      <c r="H714" s="101"/>
    </row>
    <row r="715" spans="3:8">
      <c r="C715" s="101"/>
      <c r="D715" s="101"/>
      <c r="E715" s="101"/>
      <c r="F715" s="101"/>
      <c r="G715" s="101"/>
      <c r="H715" s="101"/>
    </row>
    <row r="716" spans="3:8">
      <c r="C716" s="101"/>
      <c r="D716" s="101"/>
      <c r="E716" s="101"/>
      <c r="F716" s="101"/>
      <c r="G716" s="101"/>
      <c r="H716" s="101"/>
    </row>
    <row r="717" spans="3:8">
      <c r="C717" s="101"/>
      <c r="D717" s="101"/>
      <c r="E717" s="101"/>
      <c r="F717" s="101"/>
      <c r="G717" s="101"/>
      <c r="H717" s="101"/>
    </row>
    <row r="718" spans="3:8">
      <c r="C718" s="101"/>
      <c r="D718" s="101"/>
      <c r="E718" s="101"/>
      <c r="F718" s="101"/>
      <c r="G718" s="101"/>
      <c r="H718" s="101"/>
    </row>
    <row r="719" spans="3:8">
      <c r="C719" s="101"/>
      <c r="D719" s="101"/>
      <c r="E719" s="101"/>
      <c r="F719" s="101"/>
      <c r="G719" s="101"/>
      <c r="H719" s="101"/>
    </row>
    <row r="720" spans="3:8">
      <c r="C720" s="101"/>
      <c r="D720" s="101"/>
      <c r="E720" s="101"/>
      <c r="F720" s="101"/>
      <c r="G720" s="101"/>
      <c r="H720" s="101"/>
    </row>
    <row r="721" spans="3:8">
      <c r="C721" s="101"/>
      <c r="D721" s="101"/>
      <c r="E721" s="101"/>
      <c r="F721" s="101"/>
      <c r="G721" s="101"/>
      <c r="H721" s="101"/>
    </row>
    <row r="722" spans="3:8">
      <c r="C722" s="101"/>
      <c r="D722" s="101"/>
      <c r="E722" s="101"/>
      <c r="F722" s="101"/>
      <c r="G722" s="101"/>
      <c r="H722" s="101"/>
    </row>
    <row r="723" spans="3:8">
      <c r="C723" s="101"/>
      <c r="D723" s="101"/>
      <c r="E723" s="101"/>
      <c r="F723" s="101"/>
      <c r="G723" s="101"/>
      <c r="H723" s="101"/>
    </row>
    <row r="724" spans="3:8">
      <c r="C724" s="101"/>
      <c r="D724" s="101"/>
      <c r="E724" s="101"/>
      <c r="F724" s="101"/>
      <c r="G724" s="101"/>
      <c r="H724" s="101"/>
    </row>
    <row r="725" spans="3:8">
      <c r="C725" s="101"/>
      <c r="D725" s="101"/>
      <c r="E725" s="101"/>
      <c r="F725" s="101"/>
      <c r="G725" s="101"/>
      <c r="H725" s="101"/>
    </row>
    <row r="726" spans="3:8">
      <c r="C726" s="101"/>
      <c r="D726" s="101"/>
      <c r="E726" s="101"/>
      <c r="F726" s="101"/>
      <c r="G726" s="101"/>
      <c r="H726" s="101"/>
    </row>
    <row r="727" spans="3:8">
      <c r="C727" s="101"/>
      <c r="D727" s="101"/>
      <c r="E727" s="101"/>
      <c r="F727" s="101"/>
      <c r="G727" s="101"/>
      <c r="H727" s="101"/>
    </row>
    <row r="728" spans="3:8">
      <c r="C728" s="101"/>
      <c r="D728" s="101"/>
      <c r="E728" s="101"/>
      <c r="F728" s="101"/>
      <c r="G728" s="101"/>
      <c r="H728" s="101"/>
    </row>
    <row r="729" spans="3:8">
      <c r="C729" s="101"/>
      <c r="D729" s="101"/>
      <c r="E729" s="101"/>
      <c r="F729" s="101"/>
      <c r="G729" s="101"/>
      <c r="H729" s="101"/>
    </row>
    <row r="730" spans="3:8">
      <c r="C730" s="101"/>
      <c r="D730" s="101"/>
      <c r="E730" s="101"/>
      <c r="F730" s="101"/>
      <c r="G730" s="101"/>
      <c r="H730" s="101"/>
    </row>
    <row r="731" spans="3:8">
      <c r="C731" s="101"/>
      <c r="D731" s="101"/>
      <c r="E731" s="101"/>
      <c r="F731" s="101"/>
      <c r="G731" s="101"/>
      <c r="H731" s="101"/>
    </row>
    <row r="732" spans="3:8">
      <c r="C732" s="101"/>
      <c r="D732" s="101"/>
      <c r="E732" s="101"/>
      <c r="F732" s="101"/>
      <c r="G732" s="101"/>
      <c r="H732" s="101"/>
    </row>
    <row r="733" spans="3:8">
      <c r="C733" s="101"/>
      <c r="D733" s="101"/>
      <c r="E733" s="101"/>
      <c r="F733" s="101"/>
      <c r="G733" s="101"/>
      <c r="H733" s="101"/>
    </row>
    <row r="734" spans="3:8">
      <c r="C734" s="101"/>
      <c r="D734" s="101"/>
      <c r="E734" s="101"/>
      <c r="F734" s="101"/>
      <c r="G734" s="101"/>
      <c r="H734" s="101"/>
    </row>
    <row r="735" spans="3:8">
      <c r="C735" s="101"/>
      <c r="D735" s="101"/>
      <c r="E735" s="101"/>
      <c r="F735" s="101"/>
      <c r="G735" s="101"/>
      <c r="H735" s="101"/>
    </row>
    <row r="736" spans="3:8">
      <c r="C736" s="101"/>
      <c r="D736" s="101"/>
      <c r="E736" s="101"/>
      <c r="F736" s="101"/>
      <c r="G736" s="101"/>
      <c r="H736" s="101"/>
    </row>
    <row r="737" spans="3:8">
      <c r="C737" s="101"/>
      <c r="D737" s="101"/>
      <c r="E737" s="101"/>
      <c r="F737" s="101"/>
      <c r="G737" s="101"/>
      <c r="H737" s="101"/>
    </row>
    <row r="738" spans="3:8">
      <c r="C738" s="101"/>
      <c r="D738" s="101"/>
      <c r="E738" s="101"/>
      <c r="F738" s="101"/>
      <c r="G738" s="101"/>
      <c r="H738" s="101"/>
    </row>
    <row r="739" spans="3:8">
      <c r="C739" s="101"/>
      <c r="D739" s="101"/>
      <c r="E739" s="101"/>
      <c r="F739" s="101"/>
      <c r="G739" s="101"/>
      <c r="H739" s="101"/>
    </row>
    <row r="740" spans="3:8">
      <c r="C740" s="101"/>
      <c r="D740" s="101"/>
      <c r="E740" s="101"/>
      <c r="F740" s="101"/>
      <c r="G740" s="101"/>
      <c r="H740" s="101"/>
    </row>
    <row r="741" spans="3:8">
      <c r="C741" s="101"/>
      <c r="D741" s="101"/>
      <c r="E741" s="101"/>
      <c r="F741" s="101"/>
      <c r="G741" s="101"/>
      <c r="H741" s="101"/>
    </row>
    <row r="742" spans="3:8">
      <c r="C742" s="101"/>
      <c r="D742" s="101"/>
      <c r="E742" s="101"/>
      <c r="F742" s="101"/>
      <c r="G742" s="101"/>
      <c r="H742" s="101"/>
    </row>
    <row r="743" spans="3:8">
      <c r="C743" s="101"/>
      <c r="D743" s="101"/>
      <c r="E743" s="101"/>
      <c r="F743" s="101"/>
      <c r="G743" s="101"/>
      <c r="H743" s="101"/>
    </row>
    <row r="744" spans="3:8">
      <c r="C744" s="101"/>
      <c r="D744" s="101"/>
      <c r="E744" s="101"/>
      <c r="F744" s="101"/>
      <c r="G744" s="101"/>
      <c r="H744" s="101"/>
    </row>
    <row r="745" spans="3:8">
      <c r="C745" s="101"/>
      <c r="D745" s="101"/>
      <c r="E745" s="101"/>
      <c r="F745" s="101"/>
      <c r="G745" s="101"/>
      <c r="H745" s="101"/>
    </row>
    <row r="746" spans="3:8">
      <c r="C746" s="101"/>
      <c r="D746" s="101"/>
      <c r="E746" s="101"/>
      <c r="F746" s="101"/>
      <c r="G746" s="101"/>
      <c r="H746" s="101"/>
    </row>
    <row r="747" spans="3:8">
      <c r="C747" s="101"/>
      <c r="D747" s="101"/>
      <c r="E747" s="101"/>
      <c r="F747" s="101"/>
      <c r="G747" s="101"/>
      <c r="H747" s="101"/>
    </row>
    <row r="748" spans="3:8">
      <c r="C748" s="101"/>
      <c r="D748" s="101"/>
      <c r="E748" s="101"/>
      <c r="F748" s="101"/>
      <c r="G748" s="101"/>
      <c r="H748" s="101"/>
    </row>
    <row r="749" spans="3:8">
      <c r="C749" s="101"/>
      <c r="D749" s="101"/>
      <c r="E749" s="101"/>
      <c r="F749" s="101"/>
      <c r="G749" s="101"/>
      <c r="H749" s="101"/>
    </row>
    <row r="750" spans="3:8">
      <c r="C750" s="101"/>
      <c r="D750" s="101"/>
      <c r="E750" s="101"/>
      <c r="F750" s="101"/>
      <c r="G750" s="101"/>
      <c r="H750" s="101"/>
    </row>
    <row r="751" spans="3:8">
      <c r="C751" s="101"/>
      <c r="D751" s="101"/>
      <c r="E751" s="101"/>
      <c r="F751" s="101"/>
      <c r="G751" s="101"/>
      <c r="H751" s="101"/>
    </row>
    <row r="752" spans="3:8">
      <c r="C752" s="101"/>
      <c r="D752" s="101"/>
      <c r="E752" s="101"/>
      <c r="F752" s="101"/>
      <c r="G752" s="101"/>
      <c r="H752" s="101"/>
    </row>
    <row r="753" spans="3:8">
      <c r="C753" s="101"/>
      <c r="D753" s="101"/>
      <c r="E753" s="101"/>
      <c r="F753" s="101"/>
      <c r="G753" s="101"/>
      <c r="H753" s="101"/>
    </row>
    <row r="754" spans="3:8">
      <c r="C754" s="101"/>
      <c r="D754" s="101"/>
      <c r="E754" s="101"/>
      <c r="F754" s="101"/>
      <c r="G754" s="101"/>
      <c r="H754" s="101"/>
    </row>
    <row r="755" spans="3:8">
      <c r="C755" s="101"/>
      <c r="D755" s="101"/>
      <c r="E755" s="101"/>
      <c r="F755" s="101"/>
      <c r="G755" s="101"/>
      <c r="H755" s="101"/>
    </row>
    <row r="756" spans="3:8">
      <c r="C756" s="101"/>
      <c r="D756" s="101"/>
      <c r="E756" s="101"/>
      <c r="F756" s="101"/>
      <c r="G756" s="101"/>
      <c r="H756" s="101"/>
    </row>
    <row r="757" spans="3:8">
      <c r="C757" s="101"/>
      <c r="D757" s="101"/>
      <c r="E757" s="101"/>
      <c r="F757" s="101"/>
      <c r="G757" s="101"/>
      <c r="H757" s="101"/>
    </row>
    <row r="758" spans="3:8">
      <c r="C758" s="101"/>
      <c r="D758" s="101"/>
      <c r="E758" s="101"/>
      <c r="F758" s="101"/>
      <c r="G758" s="101"/>
      <c r="H758" s="101"/>
    </row>
    <row r="759" spans="3:8">
      <c r="C759" s="101"/>
      <c r="D759" s="101"/>
      <c r="E759" s="101"/>
      <c r="F759" s="101"/>
      <c r="G759" s="101"/>
      <c r="H759" s="101"/>
    </row>
    <row r="760" spans="3:8">
      <c r="C760" s="101"/>
      <c r="D760" s="101"/>
      <c r="E760" s="101"/>
      <c r="F760" s="101"/>
      <c r="G760" s="101"/>
      <c r="H760" s="101"/>
    </row>
    <row r="761" spans="3:8">
      <c r="C761" s="101"/>
      <c r="D761" s="101"/>
      <c r="E761" s="101"/>
      <c r="F761" s="101"/>
      <c r="G761" s="101"/>
      <c r="H761" s="101"/>
    </row>
    <row r="762" spans="3:8">
      <c r="C762" s="101"/>
      <c r="D762" s="101"/>
      <c r="E762" s="101"/>
      <c r="F762" s="101"/>
      <c r="G762" s="101"/>
      <c r="H762" s="101"/>
    </row>
    <row r="763" spans="3:8">
      <c r="C763" s="101"/>
      <c r="D763" s="101"/>
      <c r="E763" s="101"/>
      <c r="F763" s="101"/>
      <c r="G763" s="101"/>
      <c r="H763" s="101"/>
    </row>
    <row r="764" spans="3:8">
      <c r="C764" s="101"/>
      <c r="D764" s="101"/>
      <c r="E764" s="101"/>
      <c r="F764" s="101"/>
      <c r="G764" s="101"/>
      <c r="H764" s="101"/>
    </row>
    <row r="765" spans="3:8">
      <c r="C765" s="101"/>
      <c r="D765" s="101"/>
      <c r="E765" s="101"/>
      <c r="F765" s="101"/>
      <c r="G765" s="101"/>
      <c r="H765" s="101"/>
    </row>
    <row r="766" spans="3:8">
      <c r="C766" s="101"/>
      <c r="D766" s="101"/>
      <c r="E766" s="101"/>
      <c r="F766" s="101"/>
      <c r="G766" s="101"/>
      <c r="H766" s="101"/>
    </row>
    <row r="767" spans="3:8">
      <c r="C767" s="101"/>
      <c r="D767" s="101"/>
      <c r="E767" s="101"/>
      <c r="F767" s="101"/>
      <c r="G767" s="101"/>
      <c r="H767" s="101"/>
    </row>
    <row r="768" spans="3:8">
      <c r="C768" s="101"/>
      <c r="D768" s="101"/>
      <c r="E768" s="101"/>
      <c r="F768" s="101"/>
      <c r="G768" s="101"/>
      <c r="H768" s="101"/>
    </row>
    <row r="769" spans="3:8">
      <c r="C769" s="101"/>
      <c r="D769" s="101"/>
      <c r="E769" s="101"/>
      <c r="F769" s="101"/>
      <c r="G769" s="101"/>
      <c r="H769" s="101"/>
    </row>
    <row r="770" spans="3:8">
      <c r="C770" s="101"/>
      <c r="D770" s="101"/>
      <c r="E770" s="101"/>
      <c r="F770" s="101"/>
      <c r="G770" s="101"/>
      <c r="H770" s="101"/>
    </row>
    <row r="771" spans="3:8">
      <c r="C771" s="101"/>
      <c r="D771" s="101"/>
      <c r="E771" s="101"/>
      <c r="F771" s="101"/>
      <c r="G771" s="101"/>
      <c r="H771" s="101"/>
    </row>
    <row r="772" spans="3:8">
      <c r="C772" s="101"/>
      <c r="D772" s="101"/>
      <c r="E772" s="101"/>
      <c r="F772" s="101"/>
      <c r="G772" s="101"/>
      <c r="H772" s="101"/>
    </row>
    <row r="773" spans="3:8">
      <c r="C773" s="101"/>
      <c r="D773" s="101"/>
      <c r="E773" s="101"/>
      <c r="F773" s="101"/>
      <c r="G773" s="101"/>
      <c r="H773" s="101"/>
    </row>
    <row r="774" spans="3:8">
      <c r="C774" s="101"/>
      <c r="D774" s="101"/>
      <c r="E774" s="101"/>
      <c r="F774" s="101"/>
      <c r="G774" s="101"/>
      <c r="H774" s="101"/>
    </row>
    <row r="775" spans="3:8">
      <c r="C775" s="101"/>
      <c r="D775" s="101"/>
      <c r="E775" s="101"/>
      <c r="F775" s="101"/>
      <c r="G775" s="101"/>
      <c r="H775" s="101"/>
    </row>
    <row r="776" spans="3:8">
      <c r="C776" s="101"/>
      <c r="D776" s="101"/>
      <c r="E776" s="101"/>
      <c r="F776" s="101"/>
      <c r="G776" s="101"/>
      <c r="H776" s="101"/>
    </row>
    <row r="777" spans="3:8">
      <c r="C777" s="101"/>
      <c r="D777" s="101"/>
      <c r="E777" s="101"/>
      <c r="F777" s="101"/>
      <c r="G777" s="101"/>
      <c r="H777" s="101"/>
    </row>
    <row r="778" spans="3:8">
      <c r="C778" s="101"/>
      <c r="D778" s="101"/>
      <c r="E778" s="101"/>
      <c r="F778" s="101"/>
      <c r="G778" s="101"/>
      <c r="H778" s="101"/>
    </row>
    <row r="779" spans="3:8">
      <c r="C779" s="101"/>
      <c r="D779" s="101"/>
      <c r="E779" s="101"/>
      <c r="F779" s="101"/>
      <c r="G779" s="101"/>
      <c r="H779" s="101"/>
    </row>
    <row r="780" spans="3:8">
      <c r="C780" s="101"/>
      <c r="D780" s="101"/>
      <c r="E780" s="101"/>
      <c r="F780" s="101"/>
      <c r="G780" s="101"/>
      <c r="H780" s="101"/>
    </row>
    <row r="781" spans="3:8">
      <c r="C781" s="101"/>
      <c r="D781" s="101"/>
      <c r="E781" s="101"/>
      <c r="F781" s="101"/>
      <c r="G781" s="101"/>
      <c r="H781" s="101"/>
    </row>
    <row r="782" spans="3:8">
      <c r="C782" s="101"/>
      <c r="D782" s="101"/>
      <c r="E782" s="101"/>
      <c r="F782" s="101"/>
      <c r="G782" s="101"/>
      <c r="H782" s="101"/>
    </row>
    <row r="783" spans="3:8">
      <c r="C783" s="101"/>
      <c r="D783" s="101"/>
      <c r="E783" s="101"/>
      <c r="F783" s="101"/>
      <c r="G783" s="101"/>
      <c r="H783" s="101"/>
    </row>
    <row r="784" spans="3:8">
      <c r="C784" s="101"/>
      <c r="D784" s="101"/>
      <c r="E784" s="101"/>
      <c r="F784" s="101"/>
      <c r="G784" s="101"/>
      <c r="H784" s="101"/>
    </row>
    <row r="785" spans="3:8">
      <c r="C785" s="101"/>
      <c r="D785" s="101"/>
      <c r="E785" s="101"/>
      <c r="F785" s="101"/>
      <c r="G785" s="101"/>
      <c r="H785" s="101"/>
    </row>
    <row r="786" spans="3:8">
      <c r="C786" s="101"/>
      <c r="D786" s="101"/>
      <c r="E786" s="101"/>
      <c r="F786" s="101"/>
      <c r="G786" s="101"/>
      <c r="H786" s="101"/>
    </row>
    <row r="787" spans="3:8">
      <c r="C787" s="101"/>
      <c r="D787" s="101"/>
      <c r="E787" s="101"/>
      <c r="F787" s="101"/>
      <c r="G787" s="101"/>
      <c r="H787" s="101"/>
    </row>
    <row r="788" spans="3:8">
      <c r="C788" s="101"/>
      <c r="D788" s="101"/>
      <c r="E788" s="101"/>
      <c r="F788" s="101"/>
      <c r="G788" s="101"/>
      <c r="H788" s="101"/>
    </row>
    <row r="789" spans="3:8">
      <c r="C789" s="101"/>
      <c r="D789" s="101"/>
      <c r="E789" s="101"/>
      <c r="F789" s="101"/>
      <c r="G789" s="101"/>
      <c r="H789" s="101"/>
    </row>
    <row r="790" spans="3:8">
      <c r="C790" s="101"/>
      <c r="D790" s="101"/>
      <c r="E790" s="101"/>
      <c r="F790" s="101"/>
      <c r="G790" s="101"/>
      <c r="H790" s="101"/>
    </row>
    <row r="791" spans="3:8">
      <c r="C791" s="101"/>
      <c r="D791" s="101"/>
      <c r="E791" s="101"/>
      <c r="F791" s="101"/>
      <c r="G791" s="101"/>
      <c r="H791" s="101"/>
    </row>
    <row r="792" spans="3:8">
      <c r="C792" s="101"/>
      <c r="D792" s="101"/>
      <c r="E792" s="101"/>
      <c r="F792" s="101"/>
      <c r="G792" s="101"/>
      <c r="H792" s="101"/>
    </row>
    <row r="793" spans="3:8">
      <c r="C793" s="101"/>
      <c r="D793" s="101"/>
      <c r="E793" s="101"/>
      <c r="F793" s="101"/>
      <c r="G793" s="101"/>
      <c r="H793" s="101"/>
    </row>
    <row r="794" spans="3:8">
      <c r="C794" s="101"/>
      <c r="D794" s="101"/>
      <c r="E794" s="101"/>
      <c r="F794" s="101"/>
      <c r="G794" s="101"/>
      <c r="H794" s="101"/>
    </row>
    <row r="795" spans="3:8">
      <c r="C795" s="101"/>
      <c r="D795" s="101"/>
      <c r="E795" s="101"/>
      <c r="F795" s="101"/>
      <c r="G795" s="101"/>
      <c r="H795" s="101"/>
    </row>
    <row r="796" spans="3:8">
      <c r="C796" s="101"/>
      <c r="D796" s="101"/>
      <c r="E796" s="101"/>
      <c r="F796" s="101"/>
      <c r="G796" s="101"/>
      <c r="H796" s="101"/>
    </row>
    <row r="797" spans="3:8">
      <c r="C797" s="101"/>
      <c r="D797" s="101"/>
      <c r="E797" s="101"/>
      <c r="F797" s="101"/>
      <c r="G797" s="101"/>
      <c r="H797" s="101"/>
    </row>
    <row r="798" spans="3:8">
      <c r="C798" s="101"/>
      <c r="D798" s="101"/>
      <c r="E798" s="101"/>
      <c r="F798" s="101"/>
      <c r="G798" s="101"/>
      <c r="H798" s="101"/>
    </row>
    <row r="799" spans="3:8">
      <c r="C799" s="101"/>
      <c r="D799" s="101"/>
      <c r="E799" s="101"/>
      <c r="F799" s="101"/>
      <c r="G799" s="101"/>
      <c r="H799" s="101"/>
    </row>
    <row r="800" spans="3:8">
      <c r="C800" s="101"/>
      <c r="D800" s="101"/>
      <c r="E800" s="101"/>
      <c r="F800" s="101"/>
      <c r="G800" s="101"/>
      <c r="H800" s="101"/>
    </row>
    <row r="801" spans="3:8">
      <c r="C801" s="101"/>
      <c r="D801" s="101"/>
      <c r="E801" s="101"/>
      <c r="F801" s="101"/>
      <c r="G801" s="101"/>
      <c r="H801" s="101"/>
    </row>
    <row r="802" spans="3:8">
      <c r="C802" s="101"/>
      <c r="D802" s="101"/>
      <c r="E802" s="101"/>
      <c r="F802" s="101"/>
      <c r="G802" s="101"/>
      <c r="H802" s="101"/>
    </row>
    <row r="803" spans="3:8">
      <c r="C803" s="101"/>
      <c r="D803" s="101"/>
      <c r="E803" s="101"/>
      <c r="F803" s="101"/>
      <c r="G803" s="101"/>
      <c r="H803" s="101"/>
    </row>
    <row r="804" spans="3:8">
      <c r="C804" s="101"/>
      <c r="D804" s="101"/>
      <c r="E804" s="101"/>
      <c r="F804" s="101"/>
      <c r="G804" s="101"/>
      <c r="H804" s="101"/>
    </row>
    <row r="805" spans="3:8">
      <c r="C805" s="101"/>
      <c r="D805" s="101"/>
      <c r="E805" s="101"/>
      <c r="F805" s="101"/>
      <c r="G805" s="101"/>
      <c r="H805" s="101"/>
    </row>
    <row r="806" spans="3:8">
      <c r="C806" s="101"/>
      <c r="D806" s="101"/>
      <c r="E806" s="101"/>
      <c r="F806" s="101"/>
      <c r="G806" s="101"/>
      <c r="H806" s="101"/>
    </row>
    <row r="807" spans="3:8">
      <c r="C807" s="101"/>
      <c r="D807" s="101"/>
      <c r="E807" s="101"/>
      <c r="F807" s="101"/>
      <c r="G807" s="101"/>
      <c r="H807" s="101"/>
    </row>
    <row r="808" spans="3:8">
      <c r="C808" s="101"/>
      <c r="D808" s="101"/>
      <c r="E808" s="101"/>
      <c r="F808" s="101"/>
      <c r="G808" s="101"/>
      <c r="H808" s="101"/>
    </row>
    <row r="809" spans="3:8">
      <c r="C809" s="101"/>
      <c r="D809" s="101"/>
      <c r="E809" s="101"/>
      <c r="F809" s="101"/>
      <c r="G809" s="101"/>
      <c r="H809" s="101"/>
    </row>
    <row r="810" spans="3:8">
      <c r="C810" s="101"/>
      <c r="D810" s="101"/>
      <c r="E810" s="101"/>
      <c r="F810" s="101"/>
      <c r="G810" s="101"/>
      <c r="H810" s="101"/>
    </row>
    <row r="811" spans="3:8">
      <c r="C811" s="101"/>
      <c r="D811" s="101"/>
      <c r="E811" s="101"/>
      <c r="F811" s="101"/>
      <c r="G811" s="101"/>
      <c r="H811" s="101"/>
    </row>
    <row r="812" spans="3:8">
      <c r="C812" s="101"/>
      <c r="D812" s="101"/>
      <c r="E812" s="101"/>
      <c r="F812" s="101"/>
      <c r="G812" s="101"/>
      <c r="H812" s="101"/>
    </row>
    <row r="813" spans="3:8">
      <c r="C813" s="101"/>
      <c r="D813" s="101"/>
      <c r="E813" s="101"/>
      <c r="F813" s="101"/>
      <c r="G813" s="101"/>
      <c r="H813" s="101"/>
    </row>
    <row r="814" spans="3:8">
      <c r="C814" s="101"/>
      <c r="D814" s="101"/>
      <c r="E814" s="101"/>
      <c r="F814" s="101"/>
      <c r="G814" s="101"/>
      <c r="H814" s="101"/>
    </row>
    <row r="815" spans="3:8">
      <c r="C815" s="101"/>
      <c r="D815" s="101"/>
      <c r="E815" s="101"/>
      <c r="F815" s="101"/>
      <c r="G815" s="101"/>
      <c r="H815" s="101"/>
    </row>
    <row r="816" spans="3:8">
      <c r="C816" s="101"/>
      <c r="D816" s="101"/>
      <c r="E816" s="101"/>
      <c r="F816" s="101"/>
      <c r="G816" s="101"/>
      <c r="H816" s="101"/>
    </row>
    <row r="817" spans="3:8">
      <c r="C817" s="101"/>
      <c r="D817" s="101"/>
      <c r="E817" s="101"/>
      <c r="F817" s="101"/>
      <c r="G817" s="101"/>
      <c r="H817" s="101"/>
    </row>
    <row r="818" spans="3:8">
      <c r="C818" s="101"/>
      <c r="D818" s="101"/>
      <c r="E818" s="101"/>
      <c r="F818" s="101"/>
      <c r="G818" s="101"/>
      <c r="H818" s="101"/>
    </row>
    <row r="819" spans="3:8">
      <c r="C819" s="101"/>
      <c r="D819" s="101"/>
      <c r="E819" s="101"/>
      <c r="F819" s="101"/>
      <c r="G819" s="101"/>
      <c r="H819" s="101"/>
    </row>
    <row r="820" spans="3:8">
      <c r="C820" s="101"/>
      <c r="D820" s="101"/>
      <c r="E820" s="101"/>
      <c r="F820" s="101"/>
      <c r="G820" s="101"/>
      <c r="H820" s="101"/>
    </row>
    <row r="821" spans="3:8">
      <c r="C821" s="101"/>
      <c r="D821" s="101"/>
      <c r="E821" s="101"/>
      <c r="F821" s="101"/>
      <c r="G821" s="101"/>
      <c r="H821" s="101"/>
    </row>
    <row r="822" spans="3:8">
      <c r="C822" s="101"/>
      <c r="D822" s="101"/>
      <c r="E822" s="101"/>
      <c r="F822" s="101"/>
      <c r="G822" s="101"/>
      <c r="H822" s="101"/>
    </row>
    <row r="823" spans="3:8">
      <c r="C823" s="101"/>
      <c r="D823" s="101"/>
      <c r="E823" s="101"/>
      <c r="F823" s="101"/>
      <c r="G823" s="101"/>
      <c r="H823" s="101"/>
    </row>
    <row r="824" spans="3:8">
      <c r="C824" s="101"/>
      <c r="D824" s="101"/>
      <c r="E824" s="101"/>
      <c r="F824" s="101"/>
      <c r="G824" s="101"/>
      <c r="H824" s="101"/>
    </row>
    <row r="825" spans="3:8">
      <c r="C825" s="101"/>
      <c r="D825" s="101"/>
      <c r="E825" s="101"/>
      <c r="F825" s="101"/>
      <c r="G825" s="101"/>
      <c r="H825" s="101"/>
    </row>
    <row r="826" spans="3:8">
      <c r="C826" s="101"/>
      <c r="D826" s="101"/>
      <c r="E826" s="101"/>
      <c r="F826" s="101"/>
      <c r="G826" s="101"/>
      <c r="H826" s="101"/>
    </row>
    <row r="827" spans="3:8">
      <c r="C827" s="101"/>
      <c r="D827" s="101"/>
      <c r="E827" s="101"/>
      <c r="F827" s="101"/>
      <c r="G827" s="101"/>
      <c r="H827" s="101"/>
    </row>
    <row r="828" spans="3:8">
      <c r="C828" s="101"/>
      <c r="D828" s="101"/>
      <c r="E828" s="101"/>
      <c r="F828" s="101"/>
      <c r="G828" s="101"/>
      <c r="H828" s="101"/>
    </row>
    <row r="829" spans="3:8">
      <c r="C829" s="101"/>
      <c r="D829" s="101"/>
      <c r="E829" s="101"/>
      <c r="F829" s="101"/>
      <c r="G829" s="101"/>
      <c r="H829" s="101"/>
    </row>
    <row r="830" spans="3:8">
      <c r="C830" s="101"/>
      <c r="D830" s="101"/>
      <c r="E830" s="101"/>
      <c r="F830" s="101"/>
      <c r="G830" s="101"/>
      <c r="H830" s="101"/>
    </row>
    <row r="831" spans="3:8">
      <c r="C831" s="101"/>
      <c r="D831" s="101"/>
      <c r="E831" s="101"/>
      <c r="F831" s="101"/>
      <c r="G831" s="101"/>
      <c r="H831" s="101"/>
    </row>
    <row r="832" spans="3:8">
      <c r="C832" s="101"/>
      <c r="D832" s="101"/>
      <c r="E832" s="101"/>
      <c r="F832" s="101"/>
      <c r="G832" s="101"/>
      <c r="H832" s="101"/>
    </row>
    <row r="833" spans="3:8">
      <c r="C833" s="101"/>
      <c r="D833" s="101"/>
      <c r="E833" s="101"/>
      <c r="F833" s="101"/>
      <c r="G833" s="101"/>
      <c r="H833" s="101"/>
    </row>
    <row r="834" spans="3:8">
      <c r="C834" s="101"/>
      <c r="D834" s="101"/>
      <c r="E834" s="101"/>
      <c r="F834" s="101"/>
      <c r="G834" s="101"/>
      <c r="H834" s="101"/>
    </row>
    <row r="835" spans="3:8">
      <c r="C835" s="101"/>
      <c r="D835" s="101"/>
      <c r="E835" s="101"/>
      <c r="F835" s="101"/>
      <c r="G835" s="101"/>
      <c r="H835" s="101"/>
    </row>
    <row r="836" spans="3:8">
      <c r="C836" s="101"/>
      <c r="D836" s="101"/>
      <c r="E836" s="101"/>
      <c r="F836" s="101"/>
      <c r="G836" s="101"/>
      <c r="H836" s="101"/>
    </row>
    <row r="837" spans="3:8">
      <c r="C837" s="101"/>
      <c r="D837" s="101"/>
      <c r="E837" s="101"/>
      <c r="F837" s="101"/>
      <c r="G837" s="101"/>
      <c r="H837" s="101"/>
    </row>
    <row r="838" spans="3:8">
      <c r="C838" s="101"/>
      <c r="D838" s="101"/>
      <c r="E838" s="101"/>
      <c r="F838" s="101"/>
      <c r="G838" s="101"/>
      <c r="H838" s="101"/>
    </row>
    <row r="839" spans="3:8">
      <c r="C839" s="101"/>
      <c r="D839" s="101"/>
      <c r="E839" s="101"/>
      <c r="F839" s="101"/>
      <c r="G839" s="101"/>
      <c r="H839" s="101"/>
    </row>
    <row r="840" spans="3:8">
      <c r="C840" s="101"/>
      <c r="D840" s="101"/>
      <c r="E840" s="101"/>
      <c r="F840" s="101"/>
      <c r="G840" s="101"/>
      <c r="H840" s="101"/>
    </row>
    <row r="841" spans="3:8">
      <c r="C841" s="101"/>
      <c r="D841" s="101"/>
      <c r="E841" s="101"/>
      <c r="F841" s="101"/>
      <c r="G841" s="101"/>
      <c r="H841" s="101"/>
    </row>
    <row r="842" spans="3:8">
      <c r="C842" s="101"/>
      <c r="D842" s="101"/>
      <c r="E842" s="101"/>
      <c r="F842" s="101"/>
      <c r="G842" s="101"/>
      <c r="H842" s="101"/>
    </row>
    <row r="843" spans="3:8">
      <c r="C843" s="101"/>
      <c r="D843" s="101"/>
      <c r="E843" s="101"/>
      <c r="F843" s="101"/>
      <c r="G843" s="101"/>
      <c r="H843" s="101"/>
    </row>
    <row r="844" spans="3:8">
      <c r="C844" s="101"/>
      <c r="D844" s="101"/>
      <c r="E844" s="101"/>
      <c r="F844" s="101"/>
      <c r="G844" s="101"/>
      <c r="H844" s="101"/>
    </row>
    <row r="845" spans="3:8">
      <c r="C845" s="101"/>
      <c r="D845" s="101"/>
      <c r="E845" s="101"/>
      <c r="F845" s="101"/>
      <c r="G845" s="101"/>
      <c r="H845" s="101"/>
    </row>
    <row r="846" spans="3:8">
      <c r="C846" s="101"/>
      <c r="D846" s="101"/>
      <c r="E846" s="101"/>
      <c r="F846" s="101"/>
      <c r="G846" s="101"/>
      <c r="H846" s="101"/>
    </row>
    <row r="847" spans="3:8">
      <c r="C847" s="101"/>
      <c r="D847" s="101"/>
      <c r="E847" s="101"/>
      <c r="F847" s="101"/>
      <c r="G847" s="101"/>
      <c r="H847" s="101"/>
    </row>
    <row r="848" spans="3:8">
      <c r="C848" s="101"/>
      <c r="D848" s="101"/>
      <c r="E848" s="101"/>
      <c r="F848" s="101"/>
      <c r="G848" s="101"/>
      <c r="H848" s="101"/>
    </row>
    <row r="849" spans="3:8">
      <c r="C849" s="101"/>
      <c r="D849" s="101"/>
      <c r="E849" s="101"/>
      <c r="F849" s="101"/>
      <c r="G849" s="101"/>
      <c r="H849" s="101"/>
    </row>
    <row r="850" spans="3:8">
      <c r="C850" s="101"/>
      <c r="D850" s="101"/>
      <c r="E850" s="101"/>
      <c r="F850" s="101"/>
      <c r="G850" s="101"/>
      <c r="H850" s="101"/>
    </row>
    <row r="851" spans="3:8">
      <c r="C851" s="101"/>
      <c r="D851" s="101"/>
      <c r="E851" s="101"/>
      <c r="F851" s="101"/>
      <c r="G851" s="101"/>
      <c r="H851" s="101"/>
    </row>
    <row r="852" spans="3:8">
      <c r="C852" s="101"/>
      <c r="D852" s="101"/>
      <c r="E852" s="101"/>
      <c r="F852" s="101"/>
      <c r="G852" s="101"/>
      <c r="H852" s="101"/>
    </row>
    <row r="853" spans="3:8">
      <c r="C853" s="101"/>
      <c r="D853" s="101"/>
      <c r="E853" s="101"/>
      <c r="F853" s="101"/>
      <c r="G853" s="101"/>
      <c r="H853" s="101"/>
    </row>
    <row r="854" spans="3:8">
      <c r="C854" s="101"/>
      <c r="D854" s="101"/>
      <c r="E854" s="101"/>
      <c r="F854" s="101"/>
      <c r="G854" s="101"/>
      <c r="H854" s="101"/>
    </row>
    <row r="855" spans="3:8">
      <c r="C855" s="101"/>
      <c r="D855" s="101"/>
      <c r="E855" s="101"/>
      <c r="F855" s="101"/>
      <c r="G855" s="101"/>
      <c r="H855" s="101"/>
    </row>
    <row r="856" spans="3:8">
      <c r="C856" s="101"/>
      <c r="D856" s="101"/>
      <c r="E856" s="101"/>
      <c r="F856" s="101"/>
      <c r="G856" s="101"/>
      <c r="H856" s="101"/>
    </row>
    <row r="857" spans="3:8">
      <c r="C857" s="101"/>
      <c r="D857" s="101"/>
      <c r="E857" s="101"/>
      <c r="F857" s="101"/>
      <c r="G857" s="101"/>
      <c r="H857" s="101"/>
    </row>
    <row r="858" spans="3:8">
      <c r="C858" s="101"/>
      <c r="D858" s="101"/>
      <c r="E858" s="101"/>
      <c r="F858" s="101"/>
      <c r="G858" s="101"/>
      <c r="H858" s="101"/>
    </row>
    <row r="859" spans="3:8">
      <c r="C859" s="101"/>
      <c r="D859" s="101"/>
      <c r="E859" s="101"/>
      <c r="F859" s="101"/>
      <c r="G859" s="101"/>
      <c r="H859" s="101"/>
    </row>
    <row r="860" spans="3:8">
      <c r="C860" s="101"/>
      <c r="D860" s="101"/>
      <c r="E860" s="101"/>
      <c r="F860" s="101"/>
      <c r="G860" s="101"/>
      <c r="H860" s="101"/>
    </row>
    <row r="861" spans="3:8">
      <c r="C861" s="101"/>
      <c r="D861" s="101"/>
      <c r="E861" s="101"/>
      <c r="F861" s="101"/>
      <c r="G861" s="101"/>
      <c r="H861" s="101"/>
    </row>
    <row r="862" spans="3:8">
      <c r="C862" s="101"/>
      <c r="D862" s="101"/>
      <c r="E862" s="101"/>
      <c r="F862" s="101"/>
      <c r="G862" s="101"/>
      <c r="H862" s="101"/>
    </row>
    <row r="863" spans="3:8">
      <c r="C863" s="101"/>
      <c r="D863" s="101"/>
      <c r="E863" s="101"/>
      <c r="F863" s="101"/>
      <c r="G863" s="101"/>
      <c r="H863" s="101"/>
    </row>
    <row r="864" spans="3:8">
      <c r="C864" s="101"/>
      <c r="D864" s="101"/>
      <c r="E864" s="101"/>
      <c r="F864" s="101"/>
      <c r="G864" s="101"/>
      <c r="H864" s="101"/>
    </row>
    <row r="865" spans="3:8">
      <c r="C865" s="101"/>
      <c r="D865" s="101"/>
      <c r="E865" s="101"/>
      <c r="F865" s="101"/>
      <c r="G865" s="101"/>
      <c r="H865" s="101"/>
    </row>
    <row r="866" spans="3:8">
      <c r="C866" s="101"/>
      <c r="D866" s="101"/>
      <c r="E866" s="101"/>
      <c r="F866" s="101"/>
      <c r="G866" s="101"/>
      <c r="H866" s="101"/>
    </row>
    <row r="867" spans="3:8">
      <c r="C867" s="101"/>
      <c r="D867" s="101"/>
      <c r="E867" s="101"/>
      <c r="F867" s="101"/>
      <c r="G867" s="101"/>
      <c r="H867" s="101"/>
    </row>
    <row r="868" spans="3:8">
      <c r="C868" s="101"/>
      <c r="D868" s="101"/>
      <c r="E868" s="101"/>
      <c r="F868" s="101"/>
      <c r="G868" s="101"/>
      <c r="H868" s="101"/>
    </row>
    <row r="869" spans="3:8">
      <c r="C869" s="101"/>
      <c r="D869" s="101"/>
      <c r="E869" s="101"/>
      <c r="F869" s="101"/>
      <c r="G869" s="101"/>
      <c r="H869" s="101"/>
    </row>
    <row r="870" spans="3:8">
      <c r="C870" s="101"/>
      <c r="D870" s="101"/>
      <c r="E870" s="101"/>
      <c r="F870" s="101"/>
      <c r="G870" s="101"/>
      <c r="H870" s="101"/>
    </row>
    <row r="871" spans="3:8">
      <c r="C871" s="101"/>
      <c r="D871" s="101"/>
      <c r="E871" s="101"/>
      <c r="F871" s="101"/>
      <c r="G871" s="101"/>
      <c r="H871" s="101"/>
    </row>
    <row r="872" spans="3:8">
      <c r="C872" s="101"/>
      <c r="D872" s="101"/>
      <c r="E872" s="101"/>
      <c r="F872" s="101"/>
      <c r="G872" s="101"/>
      <c r="H872" s="101"/>
    </row>
    <row r="873" spans="3:8">
      <c r="C873" s="101"/>
      <c r="D873" s="101"/>
      <c r="E873" s="101"/>
      <c r="F873" s="101"/>
      <c r="G873" s="101"/>
      <c r="H873" s="101"/>
    </row>
    <row r="874" spans="3:8">
      <c r="C874" s="101"/>
      <c r="D874" s="101"/>
      <c r="E874" s="101"/>
      <c r="F874" s="101"/>
      <c r="G874" s="101"/>
      <c r="H874" s="101"/>
    </row>
    <row r="875" spans="3:8">
      <c r="C875" s="101"/>
      <c r="D875" s="101"/>
      <c r="E875" s="101"/>
      <c r="F875" s="101"/>
      <c r="G875" s="101"/>
      <c r="H875" s="101"/>
    </row>
    <row r="876" spans="3:8">
      <c r="C876" s="101"/>
      <c r="D876" s="101"/>
      <c r="E876" s="101"/>
      <c r="F876" s="101"/>
      <c r="G876" s="101"/>
      <c r="H876" s="101"/>
    </row>
    <row r="877" spans="3:8">
      <c r="C877" s="101"/>
      <c r="D877" s="101"/>
      <c r="E877" s="101"/>
      <c r="F877" s="101"/>
      <c r="G877" s="101"/>
      <c r="H877" s="101"/>
    </row>
    <row r="878" spans="3:8">
      <c r="C878" s="101"/>
      <c r="D878" s="101"/>
      <c r="E878" s="101"/>
      <c r="F878" s="101"/>
      <c r="G878" s="101"/>
      <c r="H878" s="101"/>
    </row>
    <row r="879" spans="3:8">
      <c r="C879" s="101"/>
      <c r="D879" s="101"/>
      <c r="E879" s="101"/>
      <c r="F879" s="101"/>
      <c r="G879" s="101"/>
      <c r="H879" s="101"/>
    </row>
    <row r="880" spans="3:8">
      <c r="C880" s="101"/>
      <c r="D880" s="101"/>
      <c r="E880" s="101"/>
      <c r="F880" s="101"/>
      <c r="G880" s="101"/>
      <c r="H880" s="101"/>
    </row>
    <row r="881" spans="3:8">
      <c r="C881" s="101"/>
      <c r="D881" s="101"/>
      <c r="E881" s="101"/>
      <c r="F881" s="101"/>
      <c r="G881" s="101"/>
      <c r="H881" s="101"/>
    </row>
    <row r="882" spans="3:8">
      <c r="C882" s="101"/>
      <c r="D882" s="101"/>
      <c r="E882" s="101"/>
      <c r="F882" s="101"/>
      <c r="G882" s="101"/>
      <c r="H882" s="101"/>
    </row>
    <row r="883" spans="3:8">
      <c r="C883" s="101"/>
      <c r="D883" s="101"/>
      <c r="E883" s="101"/>
      <c r="F883" s="101"/>
      <c r="G883" s="101"/>
      <c r="H883" s="101"/>
    </row>
    <row r="884" spans="3:8">
      <c r="C884" s="101"/>
      <c r="D884" s="101"/>
      <c r="E884" s="101"/>
      <c r="F884" s="101"/>
      <c r="G884" s="101"/>
      <c r="H884" s="101"/>
    </row>
    <row r="885" spans="3:8">
      <c r="C885" s="101"/>
      <c r="D885" s="101"/>
      <c r="E885" s="101"/>
      <c r="F885" s="101"/>
      <c r="G885" s="101"/>
      <c r="H885" s="101"/>
    </row>
    <row r="886" spans="3:8">
      <c r="C886" s="101"/>
      <c r="D886" s="101"/>
      <c r="E886" s="101"/>
      <c r="F886" s="101"/>
      <c r="G886" s="101"/>
      <c r="H886" s="101"/>
    </row>
    <row r="887" spans="3:8">
      <c r="C887" s="101"/>
      <c r="D887" s="101"/>
      <c r="E887" s="101"/>
      <c r="F887" s="101"/>
      <c r="G887" s="101"/>
      <c r="H887" s="101"/>
    </row>
    <row r="888" spans="3:8">
      <c r="C888" s="101"/>
      <c r="D888" s="101"/>
      <c r="E888" s="101"/>
      <c r="F888" s="101"/>
      <c r="G888" s="101"/>
      <c r="H888" s="101"/>
    </row>
    <row r="889" spans="3:8">
      <c r="C889" s="101"/>
      <c r="D889" s="101"/>
      <c r="E889" s="101"/>
      <c r="F889" s="101"/>
      <c r="G889" s="101"/>
      <c r="H889" s="101"/>
    </row>
    <row r="890" spans="3:8">
      <c r="C890" s="101"/>
      <c r="D890" s="101"/>
      <c r="E890" s="101"/>
      <c r="F890" s="101"/>
      <c r="G890" s="101"/>
      <c r="H890" s="101"/>
    </row>
    <row r="891" spans="3:8">
      <c r="C891" s="101"/>
      <c r="D891" s="101"/>
      <c r="E891" s="101"/>
      <c r="F891" s="101"/>
      <c r="G891" s="101"/>
      <c r="H891" s="101"/>
    </row>
    <row r="892" spans="3:8">
      <c r="C892" s="101"/>
      <c r="D892" s="101"/>
      <c r="E892" s="101"/>
      <c r="F892" s="101"/>
      <c r="G892" s="101"/>
      <c r="H892" s="101"/>
    </row>
    <row r="893" spans="3:8">
      <c r="C893" s="101"/>
      <c r="D893" s="101"/>
      <c r="E893" s="101"/>
      <c r="F893" s="101"/>
      <c r="G893" s="101"/>
      <c r="H893" s="101"/>
    </row>
    <row r="894" spans="3:8">
      <c r="C894" s="101"/>
      <c r="D894" s="101"/>
      <c r="E894" s="101"/>
      <c r="F894" s="101"/>
      <c r="G894" s="101"/>
      <c r="H894" s="101"/>
    </row>
    <row r="895" spans="3:8">
      <c r="C895" s="101"/>
      <c r="D895" s="101"/>
      <c r="E895" s="101"/>
      <c r="F895" s="101"/>
      <c r="G895" s="101"/>
      <c r="H895" s="101"/>
    </row>
    <row r="896" spans="3:8">
      <c r="C896" s="101"/>
      <c r="D896" s="101"/>
      <c r="E896" s="101"/>
      <c r="F896" s="101"/>
      <c r="G896" s="101"/>
      <c r="H896" s="101"/>
    </row>
    <row r="897" spans="3:8">
      <c r="C897" s="101"/>
      <c r="D897" s="101"/>
      <c r="E897" s="101"/>
      <c r="F897" s="101"/>
      <c r="G897" s="101"/>
      <c r="H897" s="101"/>
    </row>
    <row r="898" spans="3:8">
      <c r="C898" s="101"/>
      <c r="D898" s="101"/>
      <c r="E898" s="101"/>
      <c r="F898" s="101"/>
      <c r="G898" s="101"/>
      <c r="H898" s="101"/>
    </row>
    <row r="899" spans="3:8">
      <c r="C899" s="101"/>
      <c r="D899" s="101"/>
      <c r="E899" s="101"/>
      <c r="F899" s="101"/>
      <c r="G899" s="101"/>
      <c r="H899" s="101"/>
    </row>
    <row r="900" spans="3:8">
      <c r="C900" s="101"/>
      <c r="D900" s="101"/>
      <c r="E900" s="101"/>
      <c r="F900" s="101"/>
      <c r="G900" s="101"/>
      <c r="H900" s="101"/>
    </row>
    <row r="901" spans="3:8">
      <c r="C901" s="101"/>
      <c r="D901" s="101"/>
      <c r="E901" s="101"/>
      <c r="F901" s="101"/>
      <c r="G901" s="101"/>
      <c r="H901" s="101"/>
    </row>
    <row r="902" spans="3:8">
      <c r="C902" s="101"/>
      <c r="D902" s="101"/>
      <c r="E902" s="101"/>
      <c r="F902" s="101"/>
      <c r="G902" s="101"/>
      <c r="H902" s="101"/>
    </row>
    <row r="903" spans="3:8">
      <c r="C903" s="101"/>
      <c r="D903" s="101"/>
      <c r="E903" s="101"/>
      <c r="F903" s="101"/>
      <c r="G903" s="101"/>
      <c r="H903" s="101"/>
    </row>
    <row r="904" spans="3:8">
      <c r="C904" s="101"/>
      <c r="D904" s="101"/>
      <c r="E904" s="101"/>
      <c r="F904" s="101"/>
      <c r="G904" s="101"/>
      <c r="H904" s="101"/>
    </row>
    <row r="905" spans="3:8">
      <c r="C905" s="101"/>
      <c r="D905" s="101"/>
      <c r="E905" s="101"/>
      <c r="F905" s="101"/>
      <c r="G905" s="101"/>
      <c r="H905" s="101"/>
    </row>
    <row r="906" spans="3:8">
      <c r="C906" s="101"/>
      <c r="D906" s="101"/>
      <c r="E906" s="101"/>
      <c r="F906" s="101"/>
      <c r="G906" s="101"/>
      <c r="H906" s="101"/>
    </row>
    <row r="907" spans="3:8">
      <c r="C907" s="101"/>
      <c r="D907" s="101"/>
      <c r="E907" s="101"/>
      <c r="F907" s="101"/>
      <c r="G907" s="101"/>
      <c r="H907" s="101"/>
    </row>
    <row r="908" spans="3:8">
      <c r="C908" s="101"/>
      <c r="D908" s="101"/>
      <c r="E908" s="101"/>
      <c r="F908" s="101"/>
      <c r="G908" s="101"/>
      <c r="H908" s="101"/>
    </row>
    <row r="909" spans="3:8">
      <c r="C909" s="101"/>
      <c r="D909" s="101"/>
      <c r="E909" s="101"/>
      <c r="F909" s="101"/>
      <c r="G909" s="101"/>
      <c r="H909" s="101"/>
    </row>
    <row r="910" spans="3:8">
      <c r="C910" s="101"/>
      <c r="D910" s="101"/>
      <c r="E910" s="101"/>
      <c r="F910" s="101"/>
      <c r="G910" s="101"/>
      <c r="H910" s="101"/>
    </row>
    <row r="911" spans="3:8">
      <c r="C911" s="101"/>
      <c r="D911" s="101"/>
      <c r="E911" s="101"/>
      <c r="F911" s="101"/>
      <c r="G911" s="101"/>
      <c r="H911" s="101"/>
    </row>
    <row r="912" spans="3:8">
      <c r="C912" s="101"/>
      <c r="D912" s="101"/>
      <c r="E912" s="101"/>
      <c r="F912" s="101"/>
      <c r="G912" s="101"/>
      <c r="H912" s="101"/>
    </row>
    <row r="913" spans="3:8">
      <c r="C913" s="101"/>
      <c r="D913" s="101"/>
      <c r="E913" s="101"/>
      <c r="F913" s="101"/>
      <c r="G913" s="101"/>
      <c r="H913" s="101"/>
    </row>
    <row r="914" spans="3:8">
      <c r="C914" s="101"/>
      <c r="D914" s="101"/>
      <c r="E914" s="101"/>
      <c r="F914" s="101"/>
      <c r="G914" s="101"/>
      <c r="H914" s="101"/>
    </row>
    <row r="915" spans="3:8">
      <c r="C915" s="101"/>
      <c r="D915" s="101"/>
      <c r="E915" s="101"/>
      <c r="F915" s="101"/>
      <c r="G915" s="101"/>
      <c r="H915" s="101"/>
    </row>
    <row r="916" spans="3:8">
      <c r="C916" s="101"/>
      <c r="D916" s="101"/>
      <c r="E916" s="101"/>
      <c r="F916" s="101"/>
      <c r="G916" s="101"/>
      <c r="H916" s="101"/>
    </row>
    <row r="917" spans="3:8">
      <c r="C917" s="101"/>
      <c r="D917" s="101"/>
      <c r="E917" s="101"/>
      <c r="F917" s="101"/>
      <c r="G917" s="101"/>
      <c r="H917" s="101"/>
    </row>
    <row r="918" spans="3:8">
      <c r="C918" s="101"/>
      <c r="D918" s="101"/>
      <c r="E918" s="101"/>
      <c r="F918" s="101"/>
      <c r="G918" s="101"/>
      <c r="H918" s="101"/>
    </row>
    <row r="919" spans="3:8">
      <c r="C919" s="101"/>
      <c r="D919" s="101"/>
      <c r="E919" s="101"/>
      <c r="F919" s="101"/>
      <c r="G919" s="101"/>
      <c r="H919" s="101"/>
    </row>
    <row r="920" spans="3:8">
      <c r="C920" s="101"/>
      <c r="D920" s="101"/>
      <c r="E920" s="101"/>
      <c r="F920" s="101"/>
      <c r="G920" s="101"/>
      <c r="H920" s="101"/>
    </row>
    <row r="921" spans="3:8">
      <c r="C921" s="101"/>
      <c r="D921" s="101"/>
      <c r="E921" s="101"/>
      <c r="F921" s="101"/>
      <c r="G921" s="101"/>
      <c r="H921" s="101"/>
    </row>
    <row r="922" spans="3:8">
      <c r="C922" s="101"/>
      <c r="D922" s="101"/>
      <c r="E922" s="101"/>
      <c r="F922" s="101"/>
      <c r="G922" s="101"/>
      <c r="H922" s="101"/>
    </row>
    <row r="923" spans="3:8">
      <c r="C923" s="101"/>
      <c r="D923" s="101"/>
      <c r="E923" s="101"/>
      <c r="F923" s="101"/>
      <c r="G923" s="101"/>
      <c r="H923" s="101"/>
    </row>
    <row r="924" spans="3:8">
      <c r="C924" s="101"/>
      <c r="D924" s="101"/>
      <c r="E924" s="101"/>
      <c r="F924" s="101"/>
      <c r="G924" s="101"/>
      <c r="H924" s="101"/>
    </row>
    <row r="925" spans="3:8">
      <c r="C925" s="101"/>
      <c r="D925" s="101"/>
      <c r="E925" s="101"/>
      <c r="F925" s="101"/>
      <c r="G925" s="101"/>
      <c r="H925" s="101"/>
    </row>
    <row r="926" spans="3:8">
      <c r="C926" s="101"/>
      <c r="D926" s="101"/>
      <c r="E926" s="101"/>
      <c r="F926" s="101"/>
      <c r="G926" s="101"/>
      <c r="H926" s="101"/>
    </row>
    <row r="927" spans="3:8">
      <c r="C927" s="101"/>
      <c r="D927" s="101"/>
      <c r="E927" s="101"/>
      <c r="F927" s="101"/>
      <c r="G927" s="101"/>
      <c r="H927" s="101"/>
    </row>
    <row r="928" spans="3:8">
      <c r="C928" s="101"/>
      <c r="D928" s="101"/>
      <c r="E928" s="101"/>
      <c r="F928" s="101"/>
      <c r="G928" s="101"/>
      <c r="H928" s="101"/>
    </row>
    <row r="929" spans="3:8">
      <c r="C929" s="101"/>
      <c r="D929" s="101"/>
      <c r="E929" s="101"/>
      <c r="F929" s="101"/>
      <c r="G929" s="101"/>
      <c r="H929" s="101"/>
    </row>
    <row r="930" spans="3:8">
      <c r="C930" s="101"/>
      <c r="D930" s="101"/>
      <c r="E930" s="101"/>
      <c r="F930" s="101"/>
      <c r="G930" s="101"/>
      <c r="H930" s="101"/>
    </row>
    <row r="931" spans="3:8">
      <c r="C931" s="101"/>
      <c r="D931" s="101"/>
      <c r="E931" s="101"/>
      <c r="F931" s="101"/>
      <c r="G931" s="101"/>
      <c r="H931" s="101"/>
    </row>
    <row r="932" spans="3:8">
      <c r="C932" s="101"/>
      <c r="D932" s="101"/>
      <c r="E932" s="101"/>
      <c r="F932" s="101"/>
      <c r="G932" s="101"/>
      <c r="H932" s="101"/>
    </row>
    <row r="933" spans="3:8">
      <c r="C933" s="101"/>
      <c r="D933" s="101"/>
      <c r="E933" s="101"/>
      <c r="F933" s="101"/>
      <c r="G933" s="101"/>
      <c r="H933" s="101"/>
    </row>
    <row r="934" spans="3:8">
      <c r="C934" s="101"/>
      <c r="D934" s="101"/>
      <c r="E934" s="101"/>
      <c r="F934" s="101"/>
      <c r="G934" s="101"/>
      <c r="H934" s="101"/>
    </row>
    <row r="935" spans="3:8">
      <c r="C935" s="101"/>
      <c r="D935" s="101"/>
      <c r="E935" s="101"/>
      <c r="F935" s="101"/>
      <c r="G935" s="101"/>
      <c r="H935" s="101"/>
    </row>
    <row r="936" spans="3:8">
      <c r="C936" s="101"/>
      <c r="D936" s="101"/>
      <c r="E936" s="101"/>
      <c r="F936" s="101"/>
      <c r="G936" s="101"/>
      <c r="H936" s="101"/>
    </row>
    <row r="937" spans="3:8">
      <c r="C937" s="101"/>
      <c r="D937" s="101"/>
      <c r="E937" s="101"/>
      <c r="F937" s="101"/>
      <c r="G937" s="101"/>
      <c r="H937" s="101"/>
    </row>
    <row r="938" spans="3:8">
      <c r="C938" s="101"/>
      <c r="D938" s="101"/>
      <c r="E938" s="101"/>
      <c r="F938" s="101"/>
      <c r="G938" s="101"/>
      <c r="H938" s="101"/>
    </row>
    <row r="939" spans="3:8">
      <c r="C939" s="101"/>
      <c r="D939" s="101"/>
      <c r="E939" s="101"/>
      <c r="F939" s="101"/>
      <c r="G939" s="101"/>
      <c r="H939" s="101"/>
    </row>
    <row r="940" spans="3:8">
      <c r="C940" s="101"/>
      <c r="D940" s="101"/>
      <c r="E940" s="101"/>
      <c r="F940" s="101"/>
      <c r="G940" s="101"/>
      <c r="H940" s="101"/>
    </row>
    <row r="941" spans="3:8">
      <c r="C941" s="101"/>
      <c r="D941" s="101"/>
      <c r="E941" s="101"/>
      <c r="F941" s="101"/>
      <c r="G941" s="101"/>
      <c r="H941" s="101"/>
    </row>
    <row r="942" spans="3:8">
      <c r="C942" s="101"/>
      <c r="D942" s="101"/>
      <c r="E942" s="101"/>
      <c r="F942" s="101"/>
      <c r="G942" s="101"/>
      <c r="H942" s="101"/>
    </row>
    <row r="943" spans="3:8">
      <c r="C943" s="101"/>
      <c r="D943" s="101"/>
      <c r="E943" s="101"/>
      <c r="F943" s="101"/>
      <c r="G943" s="101"/>
      <c r="H943" s="101"/>
    </row>
    <row r="944" spans="3:8">
      <c r="C944" s="101"/>
      <c r="D944" s="101"/>
      <c r="E944" s="101"/>
      <c r="F944" s="101"/>
      <c r="G944" s="101"/>
      <c r="H944" s="101"/>
    </row>
    <row r="945" spans="3:8">
      <c r="C945" s="101"/>
      <c r="D945" s="101"/>
      <c r="E945" s="101"/>
      <c r="F945" s="101"/>
      <c r="G945" s="101"/>
      <c r="H945" s="101"/>
    </row>
    <row r="946" spans="3:8">
      <c r="C946" s="101"/>
      <c r="D946" s="101"/>
      <c r="E946" s="101"/>
      <c r="F946" s="101"/>
      <c r="G946" s="101"/>
      <c r="H946" s="101"/>
    </row>
    <row r="947" spans="3:8">
      <c r="C947" s="101"/>
      <c r="D947" s="101"/>
      <c r="E947" s="101"/>
      <c r="F947" s="101"/>
      <c r="G947" s="101"/>
      <c r="H947" s="101"/>
    </row>
    <row r="948" spans="3:8">
      <c r="C948" s="101"/>
      <c r="D948" s="101"/>
      <c r="E948" s="101"/>
      <c r="F948" s="101"/>
      <c r="G948" s="101"/>
      <c r="H948" s="101"/>
    </row>
    <row r="949" spans="3:8">
      <c r="C949" s="101"/>
      <c r="D949" s="101"/>
      <c r="E949" s="101"/>
      <c r="F949" s="101"/>
      <c r="G949" s="101"/>
      <c r="H949" s="101"/>
    </row>
    <row r="950" spans="3:8">
      <c r="C950" s="101"/>
      <c r="D950" s="101"/>
      <c r="E950" s="101"/>
      <c r="F950" s="101"/>
      <c r="G950" s="101"/>
      <c r="H950" s="101"/>
    </row>
    <row r="951" spans="3:8">
      <c r="C951" s="101"/>
      <c r="D951" s="101"/>
      <c r="E951" s="101"/>
      <c r="F951" s="101"/>
      <c r="G951" s="101"/>
      <c r="H951" s="101"/>
    </row>
    <row r="952" spans="3:8">
      <c r="C952" s="101"/>
      <c r="D952" s="101"/>
      <c r="E952" s="101"/>
      <c r="F952" s="101"/>
      <c r="G952" s="101"/>
      <c r="H952" s="101"/>
    </row>
    <row r="953" spans="3:8">
      <c r="C953" s="101"/>
      <c r="D953" s="101"/>
      <c r="E953" s="101"/>
      <c r="F953" s="101"/>
      <c r="G953" s="101"/>
      <c r="H953" s="101"/>
    </row>
    <row r="954" spans="3:8">
      <c r="C954" s="101"/>
      <c r="D954" s="101"/>
      <c r="E954" s="101"/>
      <c r="F954" s="101"/>
      <c r="G954" s="101"/>
      <c r="H954" s="101"/>
    </row>
    <row r="955" spans="3:8">
      <c r="C955" s="101"/>
      <c r="D955" s="101"/>
      <c r="E955" s="101"/>
      <c r="F955" s="101"/>
      <c r="G955" s="101"/>
      <c r="H955" s="101"/>
    </row>
    <row r="956" spans="3:8">
      <c r="C956" s="101"/>
      <c r="D956" s="101"/>
      <c r="E956" s="101"/>
      <c r="F956" s="101"/>
      <c r="G956" s="101"/>
      <c r="H956" s="101"/>
    </row>
    <row r="957" spans="3:8">
      <c r="C957" s="101"/>
      <c r="D957" s="101"/>
      <c r="E957" s="101"/>
      <c r="F957" s="101"/>
      <c r="G957" s="101"/>
      <c r="H957" s="101"/>
    </row>
    <row r="958" spans="3:8">
      <c r="C958" s="101"/>
      <c r="D958" s="101"/>
      <c r="E958" s="101"/>
      <c r="F958" s="101"/>
      <c r="G958" s="101"/>
      <c r="H958" s="101"/>
    </row>
    <row r="959" spans="3:8">
      <c r="C959" s="101"/>
      <c r="D959" s="101"/>
      <c r="E959" s="101"/>
      <c r="F959" s="101"/>
      <c r="G959" s="101"/>
      <c r="H959" s="101"/>
    </row>
    <row r="960" spans="3:8">
      <c r="C960" s="101"/>
      <c r="D960" s="101"/>
      <c r="E960" s="101"/>
      <c r="F960" s="101"/>
      <c r="G960" s="101"/>
      <c r="H960" s="101"/>
    </row>
    <row r="961" spans="3:8">
      <c r="C961" s="101"/>
      <c r="D961" s="101"/>
      <c r="E961" s="101"/>
      <c r="F961" s="101"/>
      <c r="G961" s="101"/>
      <c r="H961" s="101"/>
    </row>
    <row r="962" spans="3:8">
      <c r="C962" s="101"/>
      <c r="D962" s="101"/>
      <c r="E962" s="101"/>
      <c r="F962" s="101"/>
      <c r="G962" s="101"/>
      <c r="H962" s="101"/>
    </row>
    <row r="963" spans="3:8">
      <c r="C963" s="101"/>
      <c r="D963" s="101"/>
      <c r="E963" s="101"/>
      <c r="F963" s="101"/>
      <c r="G963" s="101"/>
      <c r="H963" s="101"/>
    </row>
    <row r="964" spans="3:8">
      <c r="C964" s="101"/>
      <c r="D964" s="101"/>
      <c r="E964" s="101"/>
      <c r="F964" s="101"/>
      <c r="G964" s="101"/>
      <c r="H964" s="101"/>
    </row>
    <row r="965" spans="3:8">
      <c r="C965" s="101"/>
      <c r="D965" s="101"/>
      <c r="E965" s="101"/>
      <c r="F965" s="101"/>
      <c r="G965" s="101"/>
      <c r="H965" s="101"/>
    </row>
    <row r="966" spans="3:8">
      <c r="C966" s="101"/>
      <c r="D966" s="101"/>
      <c r="E966" s="101"/>
      <c r="F966" s="101"/>
      <c r="G966" s="101"/>
      <c r="H966" s="101"/>
    </row>
    <row r="967" spans="3:8">
      <c r="C967" s="101"/>
      <c r="D967" s="101"/>
      <c r="E967" s="101"/>
      <c r="F967" s="101"/>
      <c r="G967" s="101"/>
      <c r="H967" s="101"/>
    </row>
    <row r="968" spans="3:8">
      <c r="C968" s="101"/>
      <c r="D968" s="101"/>
      <c r="E968" s="101"/>
      <c r="F968" s="101"/>
      <c r="G968" s="101"/>
      <c r="H968" s="101"/>
    </row>
    <row r="969" spans="3:8">
      <c r="C969" s="101"/>
      <c r="D969" s="101"/>
      <c r="E969" s="101"/>
      <c r="F969" s="101"/>
      <c r="G969" s="101"/>
      <c r="H969" s="101"/>
    </row>
    <row r="970" spans="3:8">
      <c r="C970" s="101"/>
      <c r="D970" s="101"/>
      <c r="E970" s="101"/>
      <c r="F970" s="101"/>
      <c r="G970" s="101"/>
      <c r="H970" s="101"/>
    </row>
    <row r="971" spans="3:8">
      <c r="C971" s="101"/>
      <c r="D971" s="101"/>
      <c r="E971" s="101"/>
      <c r="F971" s="101"/>
      <c r="G971" s="101"/>
      <c r="H971" s="101"/>
    </row>
    <row r="972" spans="3:8">
      <c r="C972" s="101"/>
      <c r="D972" s="101"/>
      <c r="E972" s="101"/>
      <c r="F972" s="101"/>
      <c r="G972" s="101"/>
      <c r="H972" s="101"/>
    </row>
    <row r="973" spans="3:8">
      <c r="C973" s="101"/>
      <c r="D973" s="101"/>
      <c r="E973" s="101"/>
      <c r="F973" s="101"/>
      <c r="G973" s="101"/>
      <c r="H973" s="101"/>
    </row>
    <row r="974" spans="3:8">
      <c r="C974" s="101"/>
      <c r="D974" s="101"/>
      <c r="E974" s="101"/>
      <c r="F974" s="101"/>
      <c r="G974" s="101"/>
      <c r="H974" s="101"/>
    </row>
    <row r="975" spans="3:8">
      <c r="C975" s="101"/>
      <c r="D975" s="101"/>
      <c r="E975" s="101"/>
      <c r="F975" s="101"/>
      <c r="G975" s="101"/>
      <c r="H975" s="101"/>
    </row>
    <row r="976" spans="3:8">
      <c r="C976" s="101"/>
      <c r="D976" s="101"/>
      <c r="E976" s="101"/>
      <c r="F976" s="101"/>
      <c r="G976" s="101"/>
      <c r="H976" s="101"/>
    </row>
    <row r="977" spans="3:8">
      <c r="C977" s="101"/>
      <c r="D977" s="101"/>
      <c r="E977" s="101"/>
      <c r="F977" s="101"/>
      <c r="G977" s="101"/>
      <c r="H977" s="101"/>
    </row>
    <row r="978" spans="3:8">
      <c r="C978" s="101"/>
      <c r="D978" s="101"/>
      <c r="E978" s="101"/>
      <c r="F978" s="101"/>
      <c r="G978" s="101"/>
      <c r="H978" s="101"/>
    </row>
    <row r="979" spans="3:8">
      <c r="C979" s="101"/>
      <c r="D979" s="101"/>
      <c r="E979" s="101"/>
      <c r="F979" s="101"/>
      <c r="G979" s="101"/>
      <c r="H979" s="101"/>
    </row>
    <row r="980" spans="3:8">
      <c r="C980" s="101"/>
      <c r="D980" s="101"/>
      <c r="E980" s="101"/>
      <c r="F980" s="101"/>
      <c r="G980" s="101"/>
      <c r="H980" s="101"/>
    </row>
    <row r="981" spans="3:8">
      <c r="C981" s="101"/>
      <c r="D981" s="101"/>
      <c r="E981" s="101"/>
      <c r="F981" s="101"/>
      <c r="G981" s="101"/>
      <c r="H981" s="101"/>
    </row>
    <row r="982" spans="3:8">
      <c r="C982" s="101"/>
      <c r="D982" s="101"/>
      <c r="E982" s="101"/>
      <c r="F982" s="101"/>
      <c r="G982" s="101"/>
      <c r="H982" s="101"/>
    </row>
    <row r="983" spans="3:8">
      <c r="C983" s="101"/>
      <c r="D983" s="101"/>
      <c r="E983" s="101"/>
      <c r="F983" s="101"/>
      <c r="G983" s="101"/>
      <c r="H983" s="101"/>
    </row>
    <row r="984" spans="3:8">
      <c r="C984" s="101"/>
      <c r="D984" s="101"/>
      <c r="E984" s="101"/>
      <c r="F984" s="101"/>
      <c r="G984" s="101"/>
      <c r="H984" s="101"/>
    </row>
    <row r="985" spans="3:8">
      <c r="C985" s="101"/>
      <c r="D985" s="101"/>
      <c r="E985" s="101"/>
      <c r="F985" s="101"/>
      <c r="G985" s="101"/>
      <c r="H985" s="101"/>
    </row>
    <row r="986" spans="3:8">
      <c r="C986" s="101"/>
      <c r="D986" s="101"/>
      <c r="E986" s="101"/>
      <c r="F986" s="101"/>
      <c r="G986" s="101"/>
      <c r="H986" s="101"/>
    </row>
    <row r="987" spans="3:8">
      <c r="C987" s="101"/>
      <c r="D987" s="101"/>
      <c r="E987" s="101"/>
      <c r="F987" s="101"/>
      <c r="G987" s="101"/>
      <c r="H987" s="101"/>
    </row>
    <row r="988" spans="3:8">
      <c r="C988" s="101"/>
      <c r="D988" s="101"/>
      <c r="E988" s="101"/>
      <c r="F988" s="101"/>
      <c r="G988" s="101"/>
      <c r="H988" s="101"/>
    </row>
    <row r="989" spans="3:8">
      <c r="C989" s="101"/>
      <c r="D989" s="101"/>
      <c r="E989" s="101"/>
      <c r="F989" s="101"/>
      <c r="G989" s="101"/>
      <c r="H989" s="101"/>
    </row>
    <row r="990" spans="3:8">
      <c r="C990" s="101"/>
      <c r="D990" s="101"/>
      <c r="E990" s="101"/>
      <c r="F990" s="101"/>
      <c r="G990" s="101"/>
      <c r="H990" s="101"/>
    </row>
    <row r="991" spans="3:8">
      <c r="C991" s="101"/>
      <c r="D991" s="101"/>
      <c r="E991" s="101"/>
      <c r="F991" s="101"/>
      <c r="G991" s="101"/>
      <c r="H991" s="101"/>
    </row>
    <row r="992" spans="3:8">
      <c r="C992" s="101"/>
      <c r="D992" s="101"/>
      <c r="E992" s="101"/>
      <c r="F992" s="101"/>
      <c r="G992" s="101"/>
      <c r="H992" s="101"/>
    </row>
    <row r="993" spans="3:8">
      <c r="C993" s="101"/>
      <c r="D993" s="101"/>
      <c r="E993" s="101"/>
      <c r="F993" s="101"/>
      <c r="G993" s="101"/>
      <c r="H993" s="101"/>
    </row>
    <row r="994" spans="3:8">
      <c r="C994" s="101"/>
      <c r="D994" s="101"/>
      <c r="E994" s="101"/>
      <c r="F994" s="101"/>
      <c r="G994" s="101"/>
      <c r="H994" s="101"/>
    </row>
    <row r="995" spans="3:8">
      <c r="C995" s="101"/>
      <c r="D995" s="101"/>
      <c r="E995" s="101"/>
      <c r="F995" s="101"/>
      <c r="G995" s="101"/>
      <c r="H995" s="101"/>
    </row>
    <row r="996" spans="3:8">
      <c r="C996" s="101"/>
      <c r="D996" s="101"/>
      <c r="E996" s="101"/>
      <c r="F996" s="101"/>
      <c r="G996" s="101"/>
      <c r="H996" s="101"/>
    </row>
    <row r="997" spans="3:8">
      <c r="C997" s="101"/>
      <c r="D997" s="101"/>
      <c r="E997" s="101"/>
      <c r="F997" s="101"/>
      <c r="G997" s="101"/>
      <c r="H997" s="101"/>
    </row>
    <row r="998" spans="3:8">
      <c r="C998" s="101"/>
      <c r="D998" s="101"/>
      <c r="E998" s="101"/>
      <c r="F998" s="101"/>
      <c r="G998" s="101"/>
      <c r="H998" s="101"/>
    </row>
    <row r="999" spans="3:8">
      <c r="C999" s="101"/>
      <c r="D999" s="101"/>
      <c r="E999" s="101"/>
      <c r="F999" s="101"/>
      <c r="G999" s="101"/>
      <c r="H999" s="101"/>
    </row>
    <row r="1000" spans="3:8">
      <c r="C1000" s="101"/>
      <c r="D1000" s="101"/>
      <c r="E1000" s="101"/>
      <c r="F1000" s="101"/>
      <c r="G1000" s="101"/>
      <c r="H1000" s="101"/>
    </row>
    <row r="1001" spans="3:8">
      <c r="C1001" s="101"/>
      <c r="D1001" s="101"/>
      <c r="E1001" s="101"/>
      <c r="F1001" s="101"/>
      <c r="G1001" s="101"/>
      <c r="H1001" s="101"/>
    </row>
    <row r="1002" spans="3:8">
      <c r="C1002" s="101"/>
      <c r="D1002" s="101"/>
      <c r="E1002" s="101"/>
      <c r="F1002" s="101"/>
      <c r="G1002" s="101"/>
      <c r="H1002" s="101"/>
    </row>
    <row r="1003" spans="3:8">
      <c r="C1003" s="101"/>
      <c r="D1003" s="101"/>
      <c r="E1003" s="101"/>
      <c r="F1003" s="101"/>
      <c r="G1003" s="101"/>
      <c r="H1003" s="101"/>
    </row>
    <row r="1004" spans="3:8">
      <c r="C1004" s="101"/>
      <c r="D1004" s="101"/>
      <c r="E1004" s="101"/>
      <c r="F1004" s="101"/>
      <c r="G1004" s="101"/>
      <c r="H1004" s="101"/>
    </row>
    <row r="1005" spans="3:8">
      <c r="C1005" s="101"/>
      <c r="D1005" s="101"/>
      <c r="E1005" s="101"/>
      <c r="F1005" s="101"/>
      <c r="G1005" s="101"/>
      <c r="H1005" s="101"/>
    </row>
    <row r="1006" spans="3:8">
      <c r="C1006" s="101"/>
      <c r="D1006" s="101"/>
      <c r="E1006" s="101"/>
      <c r="F1006" s="101"/>
      <c r="G1006" s="101"/>
      <c r="H1006" s="101"/>
    </row>
    <row r="1007" spans="3:8">
      <c r="C1007" s="101"/>
      <c r="D1007" s="101"/>
      <c r="E1007" s="101"/>
      <c r="F1007" s="101"/>
      <c r="G1007" s="101"/>
      <c r="H1007" s="101"/>
    </row>
    <row r="1008" spans="3:8">
      <c r="C1008" s="101"/>
      <c r="D1008" s="101"/>
      <c r="E1008" s="101"/>
      <c r="F1008" s="101"/>
      <c r="G1008" s="101"/>
      <c r="H1008" s="101"/>
    </row>
    <row r="1009" spans="3:8">
      <c r="C1009" s="101"/>
      <c r="D1009" s="101"/>
      <c r="E1009" s="101"/>
      <c r="F1009" s="101"/>
      <c r="G1009" s="101"/>
      <c r="H1009" s="101"/>
    </row>
    <row r="1010" spans="3:8">
      <c r="C1010" s="101"/>
      <c r="D1010" s="101"/>
      <c r="E1010" s="101"/>
      <c r="F1010" s="101"/>
      <c r="G1010" s="101"/>
      <c r="H1010" s="101"/>
    </row>
    <row r="1011" spans="3:8">
      <c r="C1011" s="101"/>
      <c r="D1011" s="101"/>
      <c r="E1011" s="101"/>
      <c r="F1011" s="101"/>
      <c r="G1011" s="101"/>
      <c r="H1011" s="101"/>
    </row>
    <row r="1012" spans="3:8">
      <c r="C1012" s="101"/>
      <c r="D1012" s="101"/>
      <c r="E1012" s="101"/>
      <c r="F1012" s="101"/>
      <c r="G1012" s="101"/>
      <c r="H1012" s="101"/>
    </row>
    <row r="1013" spans="3:8">
      <c r="C1013" s="101"/>
      <c r="D1013" s="101"/>
      <c r="E1013" s="101"/>
      <c r="F1013" s="101"/>
      <c r="G1013" s="101"/>
      <c r="H1013" s="101"/>
    </row>
    <row r="1014" spans="3:8">
      <c r="C1014" s="101"/>
      <c r="D1014" s="101"/>
      <c r="E1014" s="101"/>
      <c r="F1014" s="101"/>
      <c r="G1014" s="101"/>
      <c r="H1014" s="101"/>
    </row>
    <row r="1015" spans="3:8">
      <c r="C1015" s="101"/>
      <c r="D1015" s="101"/>
      <c r="E1015" s="101"/>
      <c r="F1015" s="101"/>
      <c r="G1015" s="101"/>
      <c r="H1015" s="101"/>
    </row>
    <row r="1016" spans="3:8">
      <c r="C1016" s="101"/>
      <c r="D1016" s="101"/>
      <c r="E1016" s="101"/>
      <c r="F1016" s="101"/>
      <c r="G1016" s="101"/>
      <c r="H1016" s="101"/>
    </row>
    <row r="1017" spans="3:8">
      <c r="C1017" s="101"/>
      <c r="D1017" s="101"/>
      <c r="E1017" s="101"/>
      <c r="F1017" s="101"/>
      <c r="G1017" s="101"/>
      <c r="H1017" s="101"/>
    </row>
    <row r="1018" spans="3:8">
      <c r="C1018" s="101"/>
      <c r="D1018" s="101"/>
      <c r="E1018" s="101"/>
      <c r="F1018" s="101"/>
      <c r="G1018" s="101"/>
      <c r="H1018" s="101"/>
    </row>
    <row r="1019" spans="3:8">
      <c r="C1019" s="101"/>
      <c r="D1019" s="101"/>
      <c r="E1019" s="101"/>
      <c r="F1019" s="101"/>
      <c r="G1019" s="101"/>
      <c r="H1019" s="101"/>
    </row>
    <row r="1020" spans="3:8">
      <c r="C1020" s="101"/>
      <c r="D1020" s="101"/>
      <c r="E1020" s="101"/>
      <c r="F1020" s="101"/>
      <c r="G1020" s="101"/>
      <c r="H1020" s="101"/>
    </row>
    <row r="1021" spans="3:8">
      <c r="C1021" s="101"/>
      <c r="D1021" s="101"/>
      <c r="E1021" s="101"/>
      <c r="F1021" s="101"/>
      <c r="G1021" s="101"/>
      <c r="H1021" s="101"/>
    </row>
    <row r="1022" spans="3:8">
      <c r="C1022" s="101"/>
      <c r="D1022" s="101"/>
      <c r="E1022" s="101"/>
      <c r="F1022" s="101"/>
      <c r="G1022" s="101"/>
      <c r="H1022" s="101"/>
    </row>
    <row r="1023" spans="3:8">
      <c r="C1023" s="101"/>
      <c r="D1023" s="101"/>
      <c r="E1023" s="101"/>
      <c r="F1023" s="101"/>
      <c r="G1023" s="101"/>
      <c r="H1023" s="101"/>
    </row>
    <row r="1024" spans="3:8">
      <c r="C1024" s="101"/>
      <c r="D1024" s="101"/>
      <c r="E1024" s="101"/>
      <c r="F1024" s="101"/>
      <c r="G1024" s="101"/>
      <c r="H1024" s="101"/>
    </row>
    <row r="1025" spans="3:8">
      <c r="C1025" s="101"/>
      <c r="D1025" s="101"/>
      <c r="E1025" s="101"/>
      <c r="F1025" s="101"/>
      <c r="G1025" s="101"/>
      <c r="H1025" s="101"/>
    </row>
    <row r="1026" spans="3:8">
      <c r="C1026" s="101"/>
      <c r="D1026" s="101"/>
      <c r="E1026" s="101"/>
      <c r="F1026" s="101"/>
      <c r="G1026" s="101"/>
      <c r="H1026" s="101"/>
    </row>
    <row r="1027" spans="3:8">
      <c r="C1027" s="101"/>
      <c r="D1027" s="101"/>
      <c r="E1027" s="101"/>
      <c r="F1027" s="101"/>
      <c r="G1027" s="101"/>
      <c r="H1027" s="101"/>
    </row>
    <row r="1028" spans="3:8">
      <c r="C1028" s="101"/>
      <c r="D1028" s="101"/>
      <c r="E1028" s="101"/>
      <c r="F1028" s="101"/>
      <c r="G1028" s="101"/>
      <c r="H1028" s="101"/>
    </row>
    <row r="1029" spans="3:8">
      <c r="C1029" s="101"/>
      <c r="D1029" s="101"/>
      <c r="E1029" s="101"/>
      <c r="F1029" s="101"/>
      <c r="G1029" s="101"/>
      <c r="H1029" s="101"/>
    </row>
    <row r="1030" spans="3:8">
      <c r="C1030" s="101"/>
      <c r="D1030" s="101"/>
      <c r="E1030" s="101"/>
      <c r="F1030" s="101"/>
      <c r="G1030" s="101"/>
      <c r="H1030" s="101"/>
    </row>
    <row r="1031" spans="3:8">
      <c r="C1031" s="101"/>
      <c r="D1031" s="101"/>
      <c r="E1031" s="101"/>
      <c r="F1031" s="101"/>
      <c r="G1031" s="101"/>
      <c r="H1031" s="101"/>
    </row>
    <row r="1032" spans="3:8">
      <c r="C1032" s="101"/>
      <c r="D1032" s="101"/>
      <c r="E1032" s="101"/>
      <c r="F1032" s="101"/>
      <c r="G1032" s="101"/>
      <c r="H1032" s="101"/>
    </row>
    <row r="1033" spans="3:8">
      <c r="C1033" s="101"/>
      <c r="D1033" s="101"/>
      <c r="E1033" s="101"/>
      <c r="F1033" s="101"/>
      <c r="G1033" s="101"/>
      <c r="H1033" s="101"/>
    </row>
    <row r="1034" spans="3:8">
      <c r="C1034" s="101"/>
      <c r="D1034" s="101"/>
      <c r="E1034" s="101"/>
      <c r="F1034" s="101"/>
      <c r="G1034" s="101"/>
      <c r="H1034" s="101"/>
    </row>
    <row r="1035" spans="3:8">
      <c r="C1035" s="101"/>
      <c r="D1035" s="101"/>
      <c r="E1035" s="101"/>
      <c r="F1035" s="101"/>
      <c r="G1035" s="101"/>
      <c r="H1035" s="101"/>
    </row>
    <row r="1036" spans="3:8">
      <c r="C1036" s="101"/>
      <c r="D1036" s="101"/>
      <c r="E1036" s="101"/>
      <c r="F1036" s="101"/>
      <c r="G1036" s="101"/>
      <c r="H1036" s="101"/>
    </row>
    <row r="1037" spans="3:8">
      <c r="C1037" s="101"/>
      <c r="D1037" s="101"/>
      <c r="E1037" s="101"/>
      <c r="F1037" s="101"/>
      <c r="G1037" s="101"/>
      <c r="H1037" s="101"/>
    </row>
    <row r="1038" spans="3:8">
      <c r="C1038" s="101"/>
      <c r="D1038" s="101"/>
      <c r="E1038" s="101"/>
      <c r="F1038" s="101"/>
      <c r="G1038" s="101"/>
      <c r="H1038" s="101"/>
    </row>
    <row r="1039" spans="3:8">
      <c r="C1039" s="101"/>
      <c r="D1039" s="101"/>
      <c r="E1039" s="101"/>
      <c r="F1039" s="101"/>
      <c r="G1039" s="101"/>
      <c r="H1039" s="101"/>
    </row>
    <row r="1040" spans="3:8">
      <c r="C1040" s="101"/>
      <c r="D1040" s="101"/>
      <c r="E1040" s="101"/>
      <c r="F1040" s="101"/>
      <c r="G1040" s="101"/>
      <c r="H1040" s="101"/>
    </row>
    <row r="1041" spans="3:8">
      <c r="C1041" s="101"/>
      <c r="D1041" s="101"/>
      <c r="E1041" s="101"/>
      <c r="F1041" s="101"/>
      <c r="G1041" s="101"/>
      <c r="H1041" s="101"/>
    </row>
    <row r="1042" spans="3:8">
      <c r="C1042" s="101"/>
      <c r="D1042" s="101"/>
      <c r="E1042" s="101"/>
      <c r="F1042" s="101"/>
      <c r="G1042" s="101"/>
      <c r="H1042" s="101"/>
    </row>
    <row r="1043" spans="3:8">
      <c r="C1043" s="101"/>
      <c r="D1043" s="101"/>
      <c r="E1043" s="101"/>
      <c r="F1043" s="101"/>
      <c r="G1043" s="101"/>
      <c r="H1043" s="101"/>
    </row>
    <row r="1044" spans="3:8">
      <c r="C1044" s="101"/>
      <c r="D1044" s="101"/>
      <c r="E1044" s="101"/>
      <c r="F1044" s="101"/>
      <c r="G1044" s="101"/>
      <c r="H1044" s="101"/>
    </row>
    <row r="1045" spans="3:8">
      <c r="C1045" s="101"/>
      <c r="D1045" s="101"/>
      <c r="E1045" s="101"/>
      <c r="F1045" s="101"/>
      <c r="G1045" s="101"/>
      <c r="H1045" s="101"/>
    </row>
    <row r="1046" spans="3:8">
      <c r="C1046" s="101"/>
      <c r="D1046" s="101"/>
      <c r="E1046" s="101"/>
      <c r="F1046" s="101"/>
      <c r="G1046" s="101"/>
      <c r="H1046" s="101"/>
    </row>
    <row r="1047" spans="3:8">
      <c r="C1047" s="101"/>
      <c r="D1047" s="101"/>
      <c r="E1047" s="101"/>
      <c r="F1047" s="101"/>
      <c r="G1047" s="101"/>
      <c r="H1047" s="101"/>
    </row>
    <row r="1048" spans="3:8">
      <c r="C1048" s="101"/>
      <c r="D1048" s="101"/>
      <c r="E1048" s="101"/>
      <c r="F1048" s="101"/>
      <c r="G1048" s="101"/>
      <c r="H1048" s="101"/>
    </row>
    <row r="1049" spans="3:8">
      <c r="C1049" s="101"/>
      <c r="D1049" s="101"/>
      <c r="E1049" s="101"/>
      <c r="F1049" s="101"/>
      <c r="G1049" s="101"/>
      <c r="H1049" s="101"/>
    </row>
    <row r="1050" spans="3:8">
      <c r="C1050" s="101"/>
      <c r="D1050" s="101"/>
      <c r="E1050" s="101"/>
      <c r="F1050" s="101"/>
      <c r="G1050" s="101"/>
      <c r="H1050" s="101"/>
    </row>
    <row r="1051" spans="3:8">
      <c r="C1051" s="101"/>
      <c r="D1051" s="101"/>
      <c r="E1051" s="101"/>
      <c r="F1051" s="101"/>
      <c r="G1051" s="101"/>
      <c r="H1051" s="101"/>
    </row>
    <row r="1052" spans="3:8">
      <c r="C1052" s="101"/>
      <c r="D1052" s="101"/>
      <c r="E1052" s="101"/>
      <c r="F1052" s="101"/>
      <c r="G1052" s="101"/>
      <c r="H1052" s="101"/>
    </row>
    <row r="1053" spans="3:8">
      <c r="C1053" s="101"/>
      <c r="D1053" s="101"/>
      <c r="E1053" s="101"/>
      <c r="F1053" s="101"/>
      <c r="G1053" s="101"/>
      <c r="H1053" s="101"/>
    </row>
    <row r="1054" spans="3:8">
      <c r="C1054" s="101"/>
      <c r="D1054" s="101"/>
      <c r="E1054" s="101"/>
      <c r="F1054" s="101"/>
      <c r="G1054" s="101"/>
      <c r="H1054" s="101"/>
    </row>
    <row r="1055" spans="3:8">
      <c r="C1055" s="101"/>
      <c r="D1055" s="101"/>
      <c r="E1055" s="101"/>
      <c r="F1055" s="101"/>
      <c r="G1055" s="101"/>
      <c r="H1055" s="101"/>
    </row>
    <row r="1056" spans="3:8">
      <c r="C1056" s="101"/>
      <c r="D1056" s="101"/>
      <c r="E1056" s="101"/>
      <c r="F1056" s="101"/>
      <c r="G1056" s="101"/>
      <c r="H1056" s="101"/>
    </row>
    <row r="1057" spans="3:8">
      <c r="C1057" s="101"/>
      <c r="D1057" s="101"/>
      <c r="E1057" s="101"/>
      <c r="F1057" s="101"/>
      <c r="G1057" s="101"/>
      <c r="H1057" s="101"/>
    </row>
    <row r="1058" spans="3:8">
      <c r="C1058" s="101"/>
      <c r="D1058" s="101"/>
      <c r="E1058" s="101"/>
      <c r="F1058" s="101"/>
      <c r="G1058" s="101"/>
      <c r="H1058" s="101"/>
    </row>
    <row r="1059" spans="3:8">
      <c r="C1059" s="101"/>
      <c r="D1059" s="101"/>
      <c r="E1059" s="101"/>
      <c r="F1059" s="101"/>
      <c r="G1059" s="101"/>
      <c r="H1059" s="101"/>
    </row>
    <row r="1060" spans="3:8">
      <c r="C1060" s="101"/>
      <c r="D1060" s="101"/>
      <c r="E1060" s="101"/>
      <c r="F1060" s="101"/>
      <c r="G1060" s="101"/>
      <c r="H1060" s="101"/>
    </row>
    <row r="1061" spans="3:8">
      <c r="C1061" s="101"/>
      <c r="D1061" s="101"/>
      <c r="E1061" s="101"/>
      <c r="F1061" s="101"/>
      <c r="G1061" s="101"/>
      <c r="H1061" s="101"/>
    </row>
    <row r="1062" spans="3:8">
      <c r="C1062" s="101"/>
      <c r="D1062" s="101"/>
      <c r="E1062" s="101"/>
      <c r="F1062" s="101"/>
      <c r="G1062" s="101"/>
      <c r="H1062" s="101"/>
    </row>
    <row r="1063" spans="3:8">
      <c r="C1063" s="101"/>
      <c r="D1063" s="101"/>
      <c r="E1063" s="101"/>
      <c r="F1063" s="101"/>
      <c r="G1063" s="101"/>
      <c r="H1063" s="101"/>
    </row>
    <row r="1064" spans="3:8">
      <c r="C1064" s="101"/>
      <c r="D1064" s="101"/>
      <c r="E1064" s="101"/>
      <c r="F1064" s="101"/>
      <c r="G1064" s="101"/>
      <c r="H1064" s="101"/>
    </row>
    <row r="1065" spans="3:8">
      <c r="C1065" s="101"/>
      <c r="D1065" s="101"/>
      <c r="E1065" s="101"/>
      <c r="F1065" s="101"/>
      <c r="G1065" s="101"/>
      <c r="H1065" s="101"/>
    </row>
    <row r="1066" spans="3:8">
      <c r="C1066" s="101"/>
      <c r="D1066" s="101"/>
      <c r="E1066" s="101"/>
      <c r="F1066" s="101"/>
      <c r="G1066" s="101"/>
      <c r="H1066" s="101"/>
    </row>
    <row r="1067" spans="3:8">
      <c r="C1067" s="101"/>
      <c r="D1067" s="101"/>
      <c r="E1067" s="101"/>
      <c r="F1067" s="101"/>
      <c r="G1067" s="101"/>
      <c r="H1067" s="101"/>
    </row>
    <row r="1068" spans="3:8">
      <c r="C1068" s="101"/>
      <c r="D1068" s="101"/>
      <c r="E1068" s="101"/>
      <c r="F1068" s="101"/>
      <c r="G1068" s="101"/>
      <c r="H1068" s="101"/>
    </row>
    <row r="1069" spans="3:8">
      <c r="C1069" s="101"/>
      <c r="D1069" s="101"/>
      <c r="E1069" s="101"/>
      <c r="F1069" s="101"/>
      <c r="G1069" s="101"/>
      <c r="H1069" s="101"/>
    </row>
    <row r="1070" spans="3:8">
      <c r="C1070" s="101"/>
      <c r="D1070" s="101"/>
      <c r="E1070" s="101"/>
      <c r="F1070" s="101"/>
      <c r="G1070" s="101"/>
      <c r="H1070" s="101"/>
    </row>
    <row r="1071" spans="3:8">
      <c r="C1071" s="101"/>
      <c r="D1071" s="101"/>
      <c r="E1071" s="101"/>
      <c r="F1071" s="101"/>
      <c r="G1071" s="101"/>
      <c r="H1071" s="101"/>
    </row>
    <row r="1072" spans="3:8">
      <c r="C1072" s="101"/>
      <c r="D1072" s="101"/>
      <c r="E1072" s="101"/>
      <c r="F1072" s="101"/>
      <c r="G1072" s="101"/>
      <c r="H1072" s="101"/>
    </row>
    <row r="1073" spans="3:8">
      <c r="C1073" s="101"/>
      <c r="D1073" s="101"/>
      <c r="E1073" s="101"/>
      <c r="F1073" s="101"/>
      <c r="G1073" s="101"/>
      <c r="H1073" s="101"/>
    </row>
    <row r="1074" spans="3:8">
      <c r="C1074" s="101"/>
      <c r="D1074" s="101"/>
      <c r="E1074" s="101"/>
      <c r="F1074" s="101"/>
      <c r="G1074" s="101"/>
      <c r="H1074" s="101"/>
    </row>
    <row r="1075" spans="3:8">
      <c r="C1075" s="101"/>
      <c r="D1075" s="101"/>
      <c r="E1075" s="101"/>
      <c r="F1075" s="101"/>
      <c r="G1075" s="101"/>
      <c r="H1075" s="101"/>
    </row>
    <row r="1076" spans="3:8">
      <c r="C1076" s="101"/>
      <c r="D1076" s="101"/>
      <c r="E1076" s="101"/>
      <c r="F1076" s="101"/>
      <c r="G1076" s="101"/>
      <c r="H1076" s="101"/>
    </row>
    <row r="1077" spans="3:8">
      <c r="C1077" s="101"/>
      <c r="D1077" s="101"/>
      <c r="E1077" s="101"/>
      <c r="F1077" s="101"/>
      <c r="G1077" s="101"/>
      <c r="H1077" s="101"/>
    </row>
    <row r="1078" spans="3:8">
      <c r="C1078" s="101"/>
      <c r="D1078" s="101"/>
      <c r="E1078" s="101"/>
      <c r="F1078" s="101"/>
      <c r="G1078" s="101"/>
      <c r="H1078" s="101"/>
    </row>
    <row r="1079" spans="3:8">
      <c r="C1079" s="101"/>
      <c r="D1079" s="101"/>
      <c r="E1079" s="101"/>
      <c r="F1079" s="101"/>
      <c r="G1079" s="101"/>
      <c r="H1079" s="101"/>
    </row>
    <row r="1080" spans="3:8">
      <c r="C1080" s="101"/>
      <c r="D1080" s="101"/>
      <c r="E1080" s="101"/>
      <c r="F1080" s="101"/>
      <c r="G1080" s="101"/>
      <c r="H1080" s="101"/>
    </row>
    <row r="1081" spans="3:8">
      <c r="C1081" s="101"/>
      <c r="D1081" s="101"/>
      <c r="E1081" s="101"/>
      <c r="F1081" s="101"/>
      <c r="G1081" s="101"/>
      <c r="H1081" s="101"/>
    </row>
    <row r="1082" spans="3:8">
      <c r="C1082" s="101"/>
      <c r="D1082" s="101"/>
      <c r="E1082" s="101"/>
      <c r="F1082" s="101"/>
      <c r="G1082" s="101"/>
      <c r="H1082" s="101"/>
    </row>
    <row r="1083" spans="3:8">
      <c r="C1083" s="101"/>
      <c r="D1083" s="101"/>
      <c r="E1083" s="101"/>
      <c r="F1083" s="101"/>
      <c r="G1083" s="101"/>
      <c r="H1083" s="101"/>
    </row>
    <row r="1084" spans="3:8">
      <c r="C1084" s="101"/>
      <c r="D1084" s="101"/>
      <c r="E1084" s="101"/>
      <c r="F1084" s="101"/>
      <c r="G1084" s="101"/>
      <c r="H1084" s="101"/>
    </row>
    <row r="1085" spans="3:8">
      <c r="C1085" s="101"/>
      <c r="D1085" s="101"/>
      <c r="E1085" s="101"/>
      <c r="F1085" s="101"/>
      <c r="G1085" s="101"/>
      <c r="H1085" s="101"/>
    </row>
    <row r="1086" spans="3:8">
      <c r="C1086" s="101"/>
      <c r="D1086" s="101"/>
      <c r="E1086" s="101"/>
      <c r="F1086" s="101"/>
      <c r="G1086" s="101"/>
      <c r="H1086" s="101"/>
    </row>
    <row r="1087" spans="3:8">
      <c r="C1087" s="101"/>
      <c r="D1087" s="101"/>
      <c r="E1087" s="101"/>
      <c r="F1087" s="101"/>
      <c r="G1087" s="101"/>
      <c r="H1087" s="101"/>
    </row>
    <row r="1088" spans="3:8">
      <c r="C1088" s="101"/>
      <c r="D1088" s="101"/>
      <c r="E1088" s="101"/>
      <c r="F1088" s="101"/>
      <c r="G1088" s="101"/>
      <c r="H1088" s="101"/>
    </row>
    <row r="1089" spans="3:8">
      <c r="C1089" s="101"/>
      <c r="D1089" s="101"/>
      <c r="E1089" s="101"/>
      <c r="F1089" s="101"/>
      <c r="G1089" s="101"/>
      <c r="H1089" s="101"/>
    </row>
    <row r="1090" spans="3:8">
      <c r="C1090" s="101"/>
      <c r="D1090" s="101"/>
      <c r="E1090" s="101"/>
      <c r="F1090" s="101"/>
      <c r="G1090" s="101"/>
      <c r="H1090" s="101"/>
    </row>
    <row r="1091" spans="3:8">
      <c r="C1091" s="101"/>
      <c r="D1091" s="101"/>
      <c r="E1091" s="101"/>
      <c r="F1091" s="101"/>
      <c r="G1091" s="101"/>
      <c r="H1091" s="101"/>
    </row>
    <row r="1092" spans="3:8">
      <c r="C1092" s="101"/>
      <c r="D1092" s="101"/>
      <c r="E1092" s="101"/>
      <c r="F1092" s="101"/>
      <c r="G1092" s="101"/>
      <c r="H1092" s="101"/>
    </row>
    <row r="1093" spans="3:8">
      <c r="C1093" s="101"/>
      <c r="D1093" s="101"/>
      <c r="E1093" s="101"/>
      <c r="F1093" s="101"/>
      <c r="G1093" s="101"/>
      <c r="H1093" s="101"/>
    </row>
    <row r="1094" spans="3:8">
      <c r="C1094" s="101"/>
      <c r="D1094" s="101"/>
      <c r="E1094" s="101"/>
      <c r="F1094" s="101"/>
      <c r="G1094" s="101"/>
      <c r="H1094" s="101"/>
    </row>
    <row r="1095" spans="3:8">
      <c r="C1095" s="101"/>
      <c r="D1095" s="101"/>
      <c r="E1095" s="101"/>
      <c r="F1095" s="101"/>
      <c r="G1095" s="101"/>
      <c r="H1095" s="101"/>
    </row>
    <row r="1096" spans="3:8">
      <c r="C1096" s="101"/>
      <c r="D1096" s="101"/>
      <c r="E1096" s="101"/>
      <c r="F1096" s="101"/>
      <c r="G1096" s="101"/>
      <c r="H1096" s="101"/>
    </row>
    <row r="1097" spans="3:8">
      <c r="C1097" s="101"/>
      <c r="D1097" s="101"/>
      <c r="E1097" s="101"/>
      <c r="F1097" s="101"/>
      <c r="G1097" s="101"/>
      <c r="H1097" s="101"/>
    </row>
    <row r="1098" spans="3:8">
      <c r="C1098" s="101"/>
      <c r="D1098" s="101"/>
      <c r="E1098" s="101"/>
      <c r="F1098" s="101"/>
      <c r="G1098" s="101"/>
      <c r="H1098" s="101"/>
    </row>
    <row r="1099" spans="3:8">
      <c r="C1099" s="101"/>
      <c r="D1099" s="101"/>
      <c r="E1099" s="101"/>
      <c r="F1099" s="101"/>
      <c r="G1099" s="101"/>
      <c r="H1099" s="101"/>
    </row>
    <row r="1100" spans="3:8">
      <c r="C1100" s="101"/>
      <c r="D1100" s="101"/>
      <c r="E1100" s="101"/>
      <c r="F1100" s="101"/>
      <c r="G1100" s="101"/>
      <c r="H1100" s="101"/>
    </row>
    <row r="1101" spans="3:8">
      <c r="C1101" s="101"/>
      <c r="D1101" s="101"/>
      <c r="E1101" s="101"/>
      <c r="F1101" s="101"/>
      <c r="G1101" s="101"/>
      <c r="H1101" s="101"/>
    </row>
    <row r="1102" spans="3:8">
      <c r="C1102" s="101"/>
      <c r="D1102" s="101"/>
      <c r="E1102" s="101"/>
      <c r="F1102" s="101"/>
      <c r="G1102" s="101"/>
      <c r="H1102" s="101"/>
    </row>
    <row r="1103" spans="3:8">
      <c r="C1103" s="101"/>
      <c r="D1103" s="101"/>
      <c r="E1103" s="101"/>
      <c r="F1103" s="101"/>
      <c r="G1103" s="101"/>
      <c r="H1103" s="101"/>
    </row>
    <row r="1104" spans="3:8">
      <c r="C1104" s="101"/>
      <c r="D1104" s="101"/>
      <c r="E1104" s="101"/>
      <c r="F1104" s="101"/>
      <c r="G1104" s="101"/>
      <c r="H1104" s="101"/>
    </row>
    <row r="1105" spans="3:8">
      <c r="C1105" s="101"/>
      <c r="D1105" s="101"/>
      <c r="E1105" s="101"/>
      <c r="F1105" s="101"/>
      <c r="G1105" s="101"/>
      <c r="H1105" s="101"/>
    </row>
    <row r="1106" spans="3:8">
      <c r="C1106" s="101"/>
      <c r="D1106" s="101"/>
      <c r="E1106" s="101"/>
      <c r="F1106" s="101"/>
      <c r="G1106" s="101"/>
      <c r="H1106" s="101"/>
    </row>
    <row r="1107" spans="3:8">
      <c r="C1107" s="101"/>
      <c r="D1107" s="101"/>
      <c r="E1107" s="101"/>
      <c r="F1107" s="101"/>
      <c r="G1107" s="101"/>
      <c r="H1107" s="101"/>
    </row>
    <row r="1108" spans="3:8">
      <c r="C1108" s="101"/>
      <c r="D1108" s="101"/>
      <c r="E1108" s="101"/>
      <c r="F1108" s="101"/>
      <c r="G1108" s="101"/>
      <c r="H1108" s="101"/>
    </row>
    <row r="1109" spans="3:8">
      <c r="C1109" s="101"/>
      <c r="D1109" s="101"/>
      <c r="E1109" s="101"/>
      <c r="F1109" s="101"/>
      <c r="G1109" s="101"/>
      <c r="H1109" s="101"/>
    </row>
    <row r="1110" spans="3:8">
      <c r="C1110" s="101"/>
      <c r="D1110" s="101"/>
      <c r="E1110" s="101"/>
      <c r="F1110" s="101"/>
      <c r="G1110" s="101"/>
      <c r="H1110" s="101"/>
    </row>
    <row r="1111" spans="3:8">
      <c r="C1111" s="101"/>
      <c r="D1111" s="101"/>
      <c r="E1111" s="101"/>
      <c r="F1111" s="101"/>
      <c r="G1111" s="101"/>
      <c r="H1111" s="101"/>
    </row>
    <row r="1112" spans="3:8">
      <c r="C1112" s="101"/>
      <c r="D1112" s="101"/>
      <c r="E1112" s="101"/>
      <c r="F1112" s="101"/>
      <c r="G1112" s="101"/>
      <c r="H1112" s="101"/>
    </row>
    <row r="1113" spans="3:8">
      <c r="C1113" s="101"/>
      <c r="D1113" s="101"/>
      <c r="E1113" s="101"/>
      <c r="F1113" s="101"/>
      <c r="G1113" s="101"/>
      <c r="H1113" s="101"/>
    </row>
    <row r="1114" spans="3:8">
      <c r="C1114" s="101"/>
      <c r="D1114" s="101"/>
      <c r="E1114" s="101"/>
      <c r="F1114" s="101"/>
      <c r="G1114" s="101"/>
      <c r="H1114" s="101"/>
    </row>
    <row r="1115" spans="3:8">
      <c r="C1115" s="101"/>
      <c r="D1115" s="101"/>
      <c r="E1115" s="101"/>
      <c r="F1115" s="101"/>
      <c r="G1115" s="101"/>
      <c r="H1115" s="101"/>
    </row>
    <row r="1116" spans="3:8">
      <c r="C1116" s="101"/>
      <c r="D1116" s="101"/>
      <c r="E1116" s="101"/>
      <c r="F1116" s="101"/>
      <c r="G1116" s="101"/>
      <c r="H1116" s="101"/>
    </row>
    <row r="1117" spans="3:8">
      <c r="C1117" s="101"/>
      <c r="D1117" s="101"/>
      <c r="E1117" s="101"/>
      <c r="F1117" s="101"/>
      <c r="G1117" s="101"/>
      <c r="H1117" s="101"/>
    </row>
    <row r="1118" spans="3:8">
      <c r="C1118" s="101"/>
      <c r="D1118" s="101"/>
      <c r="E1118" s="101"/>
      <c r="F1118" s="101"/>
      <c r="G1118" s="101"/>
      <c r="H1118" s="101"/>
    </row>
    <row r="1119" spans="3:8">
      <c r="C1119" s="101"/>
      <c r="D1119" s="101"/>
      <c r="E1119" s="101"/>
      <c r="F1119" s="101"/>
      <c r="G1119" s="101"/>
      <c r="H1119" s="101"/>
    </row>
    <row r="1120" spans="3:8">
      <c r="C1120" s="101"/>
      <c r="D1120" s="101"/>
      <c r="E1120" s="101"/>
      <c r="F1120" s="101"/>
      <c r="G1120" s="101"/>
      <c r="H1120" s="101"/>
    </row>
    <row r="1121" spans="3:8">
      <c r="C1121" s="101"/>
      <c r="D1121" s="101"/>
      <c r="E1121" s="101"/>
      <c r="F1121" s="101"/>
      <c r="G1121" s="101"/>
      <c r="H1121" s="101"/>
    </row>
    <row r="1122" spans="3:8">
      <c r="C1122" s="101"/>
      <c r="D1122" s="101"/>
      <c r="E1122" s="101"/>
      <c r="F1122" s="101"/>
      <c r="G1122" s="101"/>
      <c r="H1122" s="101"/>
    </row>
    <row r="1123" spans="3:8">
      <c r="C1123" s="101"/>
      <c r="D1123" s="101"/>
      <c r="E1123" s="101"/>
      <c r="F1123" s="101"/>
      <c r="G1123" s="101"/>
      <c r="H1123" s="101"/>
    </row>
    <row r="1124" spans="3:8">
      <c r="C1124" s="101"/>
      <c r="D1124" s="101"/>
      <c r="E1124" s="101"/>
      <c r="F1124" s="101"/>
      <c r="G1124" s="101"/>
      <c r="H1124" s="101"/>
    </row>
    <row r="1125" spans="3:8">
      <c r="C1125" s="101"/>
      <c r="D1125" s="101"/>
      <c r="E1125" s="101"/>
      <c r="F1125" s="101"/>
      <c r="G1125" s="101"/>
      <c r="H1125" s="101"/>
    </row>
    <row r="1126" spans="3:8">
      <c r="C1126" s="101"/>
      <c r="D1126" s="101"/>
      <c r="E1126" s="101"/>
      <c r="F1126" s="101"/>
      <c r="G1126" s="101"/>
      <c r="H1126" s="101"/>
    </row>
    <row r="1127" spans="3:8">
      <c r="C1127" s="101"/>
      <c r="D1127" s="101"/>
      <c r="E1127" s="101"/>
      <c r="F1127" s="101"/>
      <c r="G1127" s="101"/>
      <c r="H1127" s="101"/>
    </row>
    <row r="1128" spans="3:8">
      <c r="C1128" s="101"/>
      <c r="D1128" s="101"/>
      <c r="E1128" s="101"/>
      <c r="F1128" s="101"/>
      <c r="G1128" s="101"/>
      <c r="H1128" s="101"/>
    </row>
    <row r="1129" spans="3:8">
      <c r="C1129" s="101"/>
      <c r="D1129" s="101"/>
      <c r="E1129" s="101"/>
      <c r="F1129" s="101"/>
      <c r="G1129" s="101"/>
      <c r="H1129" s="101"/>
    </row>
    <row r="1130" spans="3:8">
      <c r="C1130" s="101"/>
      <c r="D1130" s="101"/>
      <c r="E1130" s="101"/>
      <c r="F1130" s="101"/>
      <c r="G1130" s="101"/>
      <c r="H1130" s="101"/>
    </row>
    <row r="1131" spans="3:8">
      <c r="C1131" s="101"/>
      <c r="D1131" s="101"/>
      <c r="E1131" s="101"/>
      <c r="F1131" s="101"/>
      <c r="G1131" s="101"/>
      <c r="H1131" s="101"/>
    </row>
    <row r="1132" spans="3:8">
      <c r="C1132" s="101"/>
      <c r="D1132" s="101"/>
      <c r="E1132" s="101"/>
      <c r="F1132" s="101"/>
      <c r="G1132" s="101"/>
      <c r="H1132" s="101"/>
    </row>
    <row r="1133" spans="3:8">
      <c r="C1133" s="101"/>
      <c r="D1133" s="101"/>
      <c r="E1133" s="101"/>
      <c r="F1133" s="101"/>
      <c r="G1133" s="101"/>
      <c r="H1133" s="101"/>
    </row>
    <row r="1134" spans="3:8">
      <c r="C1134" s="101"/>
      <c r="D1134" s="101"/>
      <c r="E1134" s="101"/>
      <c r="F1134" s="101"/>
      <c r="G1134" s="101"/>
      <c r="H1134" s="101"/>
    </row>
    <row r="1135" spans="3:8">
      <c r="C1135" s="101"/>
      <c r="D1135" s="101"/>
      <c r="E1135" s="101"/>
      <c r="F1135" s="101"/>
      <c r="G1135" s="101"/>
      <c r="H1135" s="101"/>
    </row>
    <row r="1136" spans="3:8">
      <c r="C1136" s="101"/>
      <c r="D1136" s="101"/>
      <c r="E1136" s="101"/>
      <c r="F1136" s="101"/>
      <c r="G1136" s="101"/>
      <c r="H1136" s="101"/>
    </row>
    <row r="1137" spans="3:8">
      <c r="C1137" s="101"/>
      <c r="D1137" s="101"/>
      <c r="E1137" s="101"/>
      <c r="F1137" s="101"/>
      <c r="G1137" s="101"/>
      <c r="H1137" s="101"/>
    </row>
    <row r="1138" spans="3:8">
      <c r="C1138" s="101"/>
      <c r="D1138" s="101"/>
      <c r="E1138" s="101"/>
      <c r="F1138" s="101"/>
      <c r="G1138" s="101"/>
      <c r="H1138" s="101"/>
    </row>
    <row r="1139" spans="3:8">
      <c r="C1139" s="101"/>
      <c r="D1139" s="101"/>
      <c r="E1139" s="101"/>
      <c r="F1139" s="101"/>
      <c r="G1139" s="101"/>
      <c r="H1139" s="101"/>
    </row>
    <row r="1140" spans="3:8">
      <c r="C1140" s="101"/>
      <c r="D1140" s="101"/>
      <c r="E1140" s="101"/>
      <c r="F1140" s="101"/>
      <c r="G1140" s="101"/>
      <c r="H1140" s="101"/>
    </row>
    <row r="1141" spans="3:8">
      <c r="C1141" s="101"/>
      <c r="D1141" s="101"/>
      <c r="E1141" s="101"/>
      <c r="F1141" s="101"/>
      <c r="G1141" s="101"/>
      <c r="H1141" s="101"/>
    </row>
    <row r="1142" spans="3:8">
      <c r="C1142" s="101"/>
      <c r="D1142" s="101"/>
      <c r="E1142" s="101"/>
      <c r="F1142" s="101"/>
      <c r="G1142" s="101"/>
      <c r="H1142" s="101"/>
    </row>
    <row r="1143" spans="3:8">
      <c r="C1143" s="101"/>
      <c r="D1143" s="101"/>
      <c r="E1143" s="101"/>
      <c r="F1143" s="101"/>
      <c r="G1143" s="101"/>
      <c r="H1143" s="101"/>
    </row>
    <row r="1144" spans="3:8">
      <c r="C1144" s="101"/>
      <c r="D1144" s="101"/>
      <c r="E1144" s="101"/>
      <c r="F1144" s="101"/>
      <c r="G1144" s="101"/>
      <c r="H1144" s="101"/>
    </row>
    <row r="1145" spans="3:8">
      <c r="C1145" s="101"/>
      <c r="D1145" s="101"/>
      <c r="E1145" s="101"/>
      <c r="F1145" s="101"/>
      <c r="G1145" s="101"/>
      <c r="H1145" s="101"/>
    </row>
    <row r="1146" spans="3:8">
      <c r="C1146" s="101"/>
      <c r="D1146" s="101"/>
      <c r="E1146" s="101"/>
      <c r="F1146" s="101"/>
      <c r="G1146" s="101"/>
      <c r="H1146" s="101"/>
    </row>
    <row r="1147" spans="3:8">
      <c r="C1147" s="101"/>
      <c r="D1147" s="101"/>
      <c r="E1147" s="101"/>
      <c r="F1147" s="101"/>
      <c r="G1147" s="101"/>
      <c r="H1147" s="101"/>
    </row>
    <row r="1148" spans="3:8">
      <c r="C1148" s="101"/>
      <c r="D1148" s="101"/>
      <c r="E1148" s="101"/>
      <c r="F1148" s="101"/>
      <c r="G1148" s="101"/>
      <c r="H1148" s="101"/>
    </row>
    <row r="1149" spans="3:8">
      <c r="C1149" s="101"/>
      <c r="D1149" s="101"/>
      <c r="E1149" s="101"/>
      <c r="F1149" s="101"/>
      <c r="G1149" s="101"/>
      <c r="H1149" s="101"/>
    </row>
    <row r="1150" spans="3:8">
      <c r="C1150" s="101"/>
      <c r="D1150" s="101"/>
      <c r="E1150" s="101"/>
      <c r="F1150" s="101"/>
      <c r="G1150" s="101"/>
      <c r="H1150" s="101"/>
    </row>
    <row r="1151" spans="3:8">
      <c r="C1151" s="101"/>
      <c r="D1151" s="101"/>
      <c r="E1151" s="101"/>
      <c r="F1151" s="101"/>
      <c r="G1151" s="101"/>
      <c r="H1151" s="101"/>
    </row>
    <row r="1152" spans="3:8">
      <c r="C1152" s="101"/>
      <c r="D1152" s="101"/>
      <c r="E1152" s="101"/>
      <c r="F1152" s="101"/>
      <c r="G1152" s="101"/>
      <c r="H1152" s="101"/>
    </row>
    <row r="1153" spans="3:8">
      <c r="C1153" s="101"/>
      <c r="D1153" s="101"/>
      <c r="E1153" s="101"/>
      <c r="F1153" s="101"/>
      <c r="G1153" s="101"/>
      <c r="H1153" s="101"/>
    </row>
    <row r="1154" spans="3:8">
      <c r="C1154" s="101"/>
      <c r="D1154" s="101"/>
      <c r="E1154" s="101"/>
      <c r="F1154" s="101"/>
      <c r="G1154" s="101"/>
      <c r="H1154" s="101"/>
    </row>
    <row r="1155" spans="3:8">
      <c r="C1155" s="101"/>
      <c r="D1155" s="101"/>
      <c r="E1155" s="101"/>
      <c r="F1155" s="101"/>
      <c r="G1155" s="101"/>
      <c r="H1155" s="101"/>
    </row>
    <row r="1156" spans="3:8">
      <c r="C1156" s="101"/>
      <c r="D1156" s="101"/>
      <c r="E1156" s="101"/>
      <c r="F1156" s="101"/>
      <c r="G1156" s="101"/>
      <c r="H1156" s="101"/>
    </row>
    <row r="1157" spans="3:8">
      <c r="C1157" s="101"/>
      <c r="D1157" s="101"/>
      <c r="E1157" s="101"/>
      <c r="F1157" s="101"/>
      <c r="G1157" s="101"/>
      <c r="H1157" s="101"/>
    </row>
    <row r="1158" spans="3:8">
      <c r="C1158" s="101"/>
      <c r="D1158" s="101"/>
      <c r="E1158" s="101"/>
      <c r="F1158" s="101"/>
      <c r="G1158" s="101"/>
      <c r="H1158" s="101"/>
    </row>
    <row r="1159" spans="3:8">
      <c r="C1159" s="101"/>
      <c r="D1159" s="101"/>
      <c r="E1159" s="101"/>
      <c r="F1159" s="101"/>
      <c r="G1159" s="101"/>
      <c r="H1159" s="101"/>
    </row>
    <row r="1160" spans="3:8">
      <c r="C1160" s="101"/>
      <c r="D1160" s="101"/>
      <c r="E1160" s="101"/>
      <c r="F1160" s="101"/>
      <c r="G1160" s="101"/>
      <c r="H1160" s="101"/>
    </row>
    <row r="1161" spans="3:8">
      <c r="C1161" s="101"/>
      <c r="D1161" s="101"/>
      <c r="E1161" s="101"/>
      <c r="F1161" s="101"/>
      <c r="G1161" s="101"/>
      <c r="H1161" s="101"/>
    </row>
    <row r="1162" spans="3:8">
      <c r="C1162" s="101"/>
      <c r="D1162" s="101"/>
      <c r="E1162" s="101"/>
      <c r="F1162" s="101"/>
      <c r="G1162" s="101"/>
      <c r="H1162" s="101"/>
    </row>
    <row r="1163" spans="3:8">
      <c r="C1163" s="101"/>
      <c r="D1163" s="101"/>
      <c r="E1163" s="101"/>
      <c r="F1163" s="101"/>
      <c r="G1163" s="101"/>
      <c r="H1163" s="101"/>
    </row>
    <row r="1164" spans="3:8">
      <c r="C1164" s="101"/>
      <c r="D1164" s="101"/>
      <c r="E1164" s="101"/>
      <c r="F1164" s="101"/>
      <c r="G1164" s="101"/>
      <c r="H1164" s="101"/>
    </row>
    <row r="1165" spans="3:8">
      <c r="C1165" s="101"/>
      <c r="D1165" s="101"/>
      <c r="E1165" s="101"/>
      <c r="F1165" s="101"/>
      <c r="G1165" s="101"/>
      <c r="H1165" s="101"/>
    </row>
    <row r="1166" spans="3:8">
      <c r="C1166" s="101"/>
      <c r="D1166" s="101"/>
      <c r="E1166" s="101"/>
      <c r="F1166" s="101"/>
      <c r="G1166" s="101"/>
      <c r="H1166" s="101"/>
    </row>
    <row r="1167" spans="3:8">
      <c r="C1167" s="101"/>
      <c r="D1167" s="101"/>
      <c r="E1167" s="101"/>
      <c r="F1167" s="101"/>
      <c r="G1167" s="101"/>
      <c r="H1167" s="101"/>
    </row>
    <row r="1168" spans="3:8">
      <c r="C1168" s="101"/>
      <c r="D1168" s="101"/>
      <c r="E1168" s="101"/>
      <c r="F1168" s="101"/>
      <c r="G1168" s="101"/>
      <c r="H1168" s="101"/>
    </row>
    <row r="1169" spans="3:8">
      <c r="C1169" s="101"/>
      <c r="D1169" s="101"/>
      <c r="E1169" s="101"/>
      <c r="F1169" s="101"/>
      <c r="G1169" s="101"/>
      <c r="H1169" s="101"/>
    </row>
    <row r="1170" spans="3:8">
      <c r="C1170" s="101"/>
      <c r="D1170" s="101"/>
      <c r="E1170" s="101"/>
      <c r="F1170" s="101"/>
      <c r="G1170" s="101"/>
      <c r="H1170" s="101"/>
    </row>
    <row r="1171" spans="3:8">
      <c r="C1171" s="101"/>
      <c r="D1171" s="101"/>
      <c r="E1171" s="101"/>
      <c r="F1171" s="101"/>
      <c r="G1171" s="101"/>
      <c r="H1171" s="101"/>
    </row>
    <row r="1172" spans="3:8">
      <c r="C1172" s="101"/>
      <c r="D1172" s="101"/>
      <c r="E1172" s="101"/>
      <c r="F1172" s="101"/>
      <c r="G1172" s="101"/>
      <c r="H1172" s="101"/>
    </row>
    <row r="1173" spans="3:8">
      <c r="C1173" s="101"/>
      <c r="D1173" s="101"/>
      <c r="E1173" s="101"/>
      <c r="F1173" s="101"/>
      <c r="G1173" s="101"/>
      <c r="H1173" s="101"/>
    </row>
    <row r="1174" spans="3:8">
      <c r="C1174" s="101"/>
      <c r="D1174" s="101"/>
      <c r="E1174" s="101"/>
      <c r="F1174" s="101"/>
      <c r="G1174" s="101"/>
      <c r="H1174" s="101"/>
    </row>
    <row r="1175" spans="3:8">
      <c r="C1175" s="101"/>
      <c r="D1175" s="101"/>
      <c r="E1175" s="101"/>
      <c r="F1175" s="101"/>
      <c r="G1175" s="101"/>
      <c r="H1175" s="101"/>
    </row>
    <row r="1176" spans="3:8">
      <c r="C1176" s="101"/>
      <c r="D1176" s="101"/>
      <c r="E1176" s="101"/>
      <c r="F1176" s="101"/>
      <c r="G1176" s="101"/>
      <c r="H1176" s="101"/>
    </row>
    <row r="1177" spans="3:8">
      <c r="C1177" s="101"/>
      <c r="D1177" s="101"/>
      <c r="E1177" s="101"/>
      <c r="F1177" s="101"/>
      <c r="G1177" s="101"/>
      <c r="H1177" s="101"/>
    </row>
    <row r="1178" spans="3:8">
      <c r="C1178" s="101"/>
      <c r="D1178" s="101"/>
      <c r="E1178" s="101"/>
      <c r="F1178" s="101"/>
      <c r="G1178" s="101"/>
      <c r="H1178" s="101"/>
    </row>
    <row r="1179" spans="3:8">
      <c r="C1179" s="101"/>
      <c r="D1179" s="101"/>
      <c r="E1179" s="101"/>
      <c r="F1179" s="101"/>
      <c r="G1179" s="101"/>
      <c r="H1179" s="101"/>
    </row>
    <row r="1180" spans="3:8">
      <c r="C1180" s="101"/>
      <c r="D1180" s="101"/>
      <c r="E1180" s="101"/>
      <c r="F1180" s="101"/>
      <c r="G1180" s="101"/>
      <c r="H1180" s="101"/>
    </row>
    <row r="1181" spans="3:8">
      <c r="C1181" s="101"/>
      <c r="D1181" s="101"/>
      <c r="E1181" s="101"/>
      <c r="F1181" s="101"/>
      <c r="G1181" s="101"/>
      <c r="H1181" s="101"/>
    </row>
    <row r="1182" spans="3:8">
      <c r="C1182" s="101"/>
      <c r="D1182" s="101"/>
      <c r="E1182" s="101"/>
      <c r="F1182" s="101"/>
      <c r="G1182" s="101"/>
      <c r="H1182" s="101"/>
    </row>
    <row r="1183" spans="3:8">
      <c r="C1183" s="101"/>
      <c r="D1183" s="101"/>
      <c r="E1183" s="101"/>
      <c r="F1183" s="101"/>
      <c r="G1183" s="101"/>
      <c r="H1183" s="101"/>
    </row>
    <row r="1184" spans="3:8">
      <c r="C1184" s="101"/>
      <c r="D1184" s="101"/>
      <c r="E1184" s="101"/>
      <c r="F1184" s="101"/>
      <c r="G1184" s="101"/>
      <c r="H1184" s="101"/>
    </row>
    <row r="1185" spans="3:8">
      <c r="C1185" s="101"/>
      <c r="D1185" s="101"/>
      <c r="E1185" s="101"/>
      <c r="F1185" s="101"/>
      <c r="G1185" s="101"/>
      <c r="H1185" s="101"/>
    </row>
    <row r="1186" spans="3:8">
      <c r="C1186" s="101"/>
      <c r="D1186" s="101"/>
      <c r="E1186" s="101"/>
      <c r="F1186" s="101"/>
      <c r="G1186" s="101"/>
      <c r="H1186" s="101"/>
    </row>
    <row r="1187" spans="3:8">
      <c r="C1187" s="101"/>
      <c r="D1187" s="101"/>
      <c r="E1187" s="101"/>
      <c r="F1187" s="101"/>
      <c r="G1187" s="101"/>
      <c r="H1187" s="101"/>
    </row>
    <row r="1188" spans="3:8">
      <c r="C1188" s="101"/>
      <c r="D1188" s="101"/>
      <c r="E1188" s="101"/>
      <c r="F1188" s="101"/>
      <c r="G1188" s="101"/>
      <c r="H1188" s="101"/>
    </row>
    <row r="1189" spans="3:8">
      <c r="C1189" s="101"/>
      <c r="D1189" s="101"/>
      <c r="E1189" s="101"/>
      <c r="F1189" s="101"/>
      <c r="G1189" s="101"/>
      <c r="H1189" s="101"/>
    </row>
    <row r="1190" spans="3:8">
      <c r="C1190" s="101"/>
      <c r="D1190" s="101"/>
      <c r="E1190" s="101"/>
      <c r="F1190" s="101"/>
      <c r="G1190" s="101"/>
      <c r="H1190" s="101"/>
    </row>
    <row r="1191" spans="3:8">
      <c r="C1191" s="101"/>
      <c r="D1191" s="101"/>
      <c r="E1191" s="101"/>
      <c r="F1191" s="101"/>
      <c r="G1191" s="101"/>
      <c r="H1191" s="101"/>
    </row>
    <row r="1192" spans="3:8">
      <c r="C1192" s="101"/>
      <c r="D1192" s="101"/>
      <c r="E1192" s="101"/>
      <c r="F1192" s="101"/>
      <c r="G1192" s="101"/>
      <c r="H1192" s="101"/>
    </row>
    <row r="1193" spans="3:8">
      <c r="C1193" s="101"/>
      <c r="D1193" s="101"/>
      <c r="E1193" s="101"/>
      <c r="F1193" s="101"/>
      <c r="G1193" s="101"/>
      <c r="H1193" s="101"/>
    </row>
    <row r="1194" spans="3:8">
      <c r="C1194" s="101"/>
      <c r="D1194" s="101"/>
      <c r="E1194" s="101"/>
      <c r="F1194" s="101"/>
      <c r="G1194" s="101"/>
      <c r="H1194" s="101"/>
    </row>
    <row r="1195" spans="3:8">
      <c r="C1195" s="101"/>
      <c r="D1195" s="101"/>
      <c r="E1195" s="101"/>
      <c r="F1195" s="101"/>
      <c r="G1195" s="101"/>
      <c r="H1195" s="101"/>
    </row>
    <row r="1196" spans="3:8">
      <c r="C1196" s="101"/>
      <c r="D1196" s="101"/>
      <c r="E1196" s="101"/>
      <c r="F1196" s="101"/>
      <c r="G1196" s="101"/>
      <c r="H1196" s="101"/>
    </row>
    <row r="1197" spans="3:8">
      <c r="C1197" s="101"/>
      <c r="D1197" s="101"/>
      <c r="E1197" s="101"/>
      <c r="F1197" s="101"/>
      <c r="G1197" s="101"/>
      <c r="H1197" s="101"/>
    </row>
    <row r="1198" spans="3:8">
      <c r="C1198" s="101"/>
      <c r="D1198" s="101"/>
      <c r="E1198" s="101"/>
      <c r="F1198" s="101"/>
      <c r="G1198" s="101"/>
      <c r="H1198" s="101"/>
    </row>
    <row r="1199" spans="3:8">
      <c r="C1199" s="101"/>
      <c r="D1199" s="101"/>
      <c r="E1199" s="101"/>
      <c r="F1199" s="101"/>
      <c r="G1199" s="101"/>
      <c r="H1199" s="101"/>
    </row>
    <row r="1200" spans="3:8">
      <c r="C1200" s="101"/>
      <c r="D1200" s="101"/>
      <c r="E1200" s="101"/>
      <c r="F1200" s="101"/>
      <c r="G1200" s="101"/>
      <c r="H1200" s="101"/>
    </row>
    <row r="1201" spans="3:8">
      <c r="C1201" s="101"/>
      <c r="D1201" s="101"/>
      <c r="E1201" s="101"/>
      <c r="F1201" s="101"/>
      <c r="G1201" s="101"/>
      <c r="H1201" s="101"/>
    </row>
    <row r="1202" spans="3:8">
      <c r="C1202" s="101"/>
      <c r="D1202" s="101"/>
      <c r="E1202" s="101"/>
      <c r="F1202" s="101"/>
      <c r="G1202" s="101"/>
      <c r="H1202" s="101"/>
    </row>
    <row r="1203" spans="3:8">
      <c r="C1203" s="101"/>
      <c r="D1203" s="101"/>
      <c r="E1203" s="101"/>
      <c r="F1203" s="101"/>
      <c r="G1203" s="101"/>
      <c r="H1203" s="101"/>
    </row>
    <row r="1204" spans="3:8">
      <c r="C1204" s="101"/>
      <c r="D1204" s="101"/>
      <c r="E1204" s="101"/>
      <c r="F1204" s="101"/>
      <c r="G1204" s="101"/>
      <c r="H1204" s="101"/>
    </row>
    <row r="1205" spans="3:8">
      <c r="C1205" s="101"/>
      <c r="D1205" s="101"/>
      <c r="E1205" s="101"/>
      <c r="F1205" s="101"/>
      <c r="G1205" s="101"/>
      <c r="H1205" s="101"/>
    </row>
    <row r="1206" spans="3:8">
      <c r="C1206" s="101"/>
      <c r="D1206" s="101"/>
      <c r="E1206" s="101"/>
      <c r="F1206" s="101"/>
      <c r="G1206" s="101"/>
      <c r="H1206" s="101"/>
    </row>
    <row r="1207" spans="3:8">
      <c r="C1207" s="101"/>
      <c r="D1207" s="101"/>
      <c r="E1207" s="101"/>
      <c r="F1207" s="101"/>
      <c r="G1207" s="101"/>
      <c r="H1207" s="101"/>
    </row>
    <row r="1208" spans="3:8">
      <c r="C1208" s="101"/>
      <c r="D1208" s="101"/>
      <c r="E1208" s="101"/>
      <c r="F1208" s="101"/>
      <c r="G1208" s="101"/>
      <c r="H1208" s="101"/>
    </row>
    <row r="1209" spans="3:8">
      <c r="C1209" s="101"/>
      <c r="D1209" s="101"/>
      <c r="E1209" s="101"/>
      <c r="F1209" s="101"/>
      <c r="G1209" s="101"/>
      <c r="H1209" s="101"/>
    </row>
    <row r="1210" spans="3:8">
      <c r="C1210" s="101"/>
      <c r="D1210" s="101"/>
      <c r="E1210" s="101"/>
      <c r="F1210" s="101"/>
      <c r="G1210" s="101"/>
      <c r="H1210" s="101"/>
    </row>
    <row r="1211" spans="3:8">
      <c r="C1211" s="101"/>
      <c r="D1211" s="101"/>
      <c r="E1211" s="101"/>
      <c r="F1211" s="101"/>
      <c r="G1211" s="101"/>
      <c r="H1211" s="101"/>
    </row>
    <row r="1212" spans="3:8">
      <c r="C1212" s="101"/>
      <c r="D1212" s="101"/>
      <c r="E1212" s="101"/>
      <c r="F1212" s="101"/>
      <c r="G1212" s="101"/>
      <c r="H1212" s="101"/>
    </row>
    <row r="1213" spans="3:8">
      <c r="C1213" s="101"/>
      <c r="D1213" s="101"/>
      <c r="E1213" s="101"/>
      <c r="F1213" s="101"/>
      <c r="G1213" s="101"/>
      <c r="H1213" s="101"/>
    </row>
    <row r="1214" spans="3:8">
      <c r="C1214" s="101"/>
      <c r="D1214" s="101"/>
      <c r="E1214" s="101"/>
      <c r="F1214" s="101"/>
      <c r="G1214" s="101"/>
      <c r="H1214" s="101"/>
    </row>
    <row r="1215" spans="3:8">
      <c r="C1215" s="101"/>
      <c r="D1215" s="101"/>
      <c r="E1215" s="101"/>
      <c r="F1215" s="101"/>
      <c r="G1215" s="101"/>
      <c r="H1215" s="101"/>
    </row>
    <row r="1216" spans="3:8">
      <c r="C1216" s="101"/>
      <c r="D1216" s="101"/>
      <c r="E1216" s="101"/>
      <c r="F1216" s="101"/>
      <c r="G1216" s="101"/>
      <c r="H1216" s="101"/>
    </row>
    <row r="1217" spans="3:8">
      <c r="C1217" s="101"/>
      <c r="D1217" s="101"/>
      <c r="E1217" s="101"/>
      <c r="F1217" s="101"/>
      <c r="G1217" s="101"/>
      <c r="H1217" s="101"/>
    </row>
    <row r="1218" spans="3:8">
      <c r="C1218" s="101"/>
      <c r="D1218" s="101"/>
      <c r="E1218" s="101"/>
      <c r="F1218" s="101"/>
      <c r="G1218" s="101"/>
      <c r="H1218" s="101"/>
    </row>
    <row r="1219" spans="3:8">
      <c r="C1219" s="101"/>
      <c r="D1219" s="101"/>
      <c r="E1219" s="101"/>
      <c r="F1219" s="101"/>
      <c r="G1219" s="101"/>
      <c r="H1219" s="101"/>
    </row>
    <row r="1220" spans="3:8">
      <c r="C1220" s="101"/>
      <c r="D1220" s="101"/>
      <c r="E1220" s="101"/>
      <c r="F1220" s="101"/>
      <c r="G1220" s="101"/>
      <c r="H1220" s="101"/>
    </row>
    <row r="1221" spans="3:8">
      <c r="C1221" s="101"/>
      <c r="D1221" s="101"/>
      <c r="E1221" s="101"/>
      <c r="F1221" s="101"/>
      <c r="G1221" s="101"/>
      <c r="H1221" s="101"/>
    </row>
    <row r="1222" spans="3:8">
      <c r="C1222" s="101"/>
      <c r="D1222" s="101"/>
      <c r="E1222" s="101"/>
      <c r="F1222" s="101"/>
      <c r="G1222" s="101"/>
      <c r="H1222" s="101"/>
    </row>
    <row r="1223" spans="3:8">
      <c r="C1223" s="101"/>
      <c r="D1223" s="101"/>
      <c r="E1223" s="101"/>
      <c r="F1223" s="101"/>
      <c r="G1223" s="101"/>
      <c r="H1223" s="101"/>
    </row>
    <row r="1224" spans="3:8">
      <c r="C1224" s="101"/>
      <c r="D1224" s="101"/>
      <c r="E1224" s="101"/>
      <c r="F1224" s="101"/>
      <c r="G1224" s="101"/>
      <c r="H1224" s="101"/>
    </row>
    <row r="1225" spans="3:8">
      <c r="C1225" s="101"/>
      <c r="D1225" s="101"/>
      <c r="E1225" s="101"/>
      <c r="F1225" s="101"/>
      <c r="G1225" s="101"/>
      <c r="H1225" s="101"/>
    </row>
    <row r="1226" spans="3:8">
      <c r="C1226" s="101"/>
      <c r="D1226" s="101"/>
      <c r="E1226" s="101"/>
      <c r="F1226" s="101"/>
      <c r="G1226" s="101"/>
      <c r="H1226" s="101"/>
    </row>
    <row r="1227" spans="3:8">
      <c r="C1227" s="101"/>
      <c r="D1227" s="101"/>
      <c r="E1227" s="101"/>
      <c r="F1227" s="101"/>
      <c r="G1227" s="101"/>
      <c r="H1227" s="101"/>
    </row>
    <row r="1228" spans="3:8">
      <c r="C1228" s="101"/>
      <c r="D1228" s="101"/>
      <c r="E1228" s="101"/>
      <c r="F1228" s="101"/>
      <c r="G1228" s="101"/>
      <c r="H1228" s="101"/>
    </row>
    <row r="1229" spans="3:8">
      <c r="C1229" s="101"/>
      <c r="D1229" s="101"/>
      <c r="E1229" s="101"/>
      <c r="F1229" s="101"/>
      <c r="G1229" s="101"/>
      <c r="H1229" s="101"/>
    </row>
    <row r="1230" spans="3:8">
      <c r="C1230" s="101"/>
      <c r="D1230" s="101"/>
      <c r="E1230" s="101"/>
      <c r="F1230" s="101"/>
      <c r="G1230" s="101"/>
      <c r="H1230" s="101"/>
    </row>
    <row r="1231" spans="3:8">
      <c r="C1231" s="101"/>
      <c r="D1231" s="101"/>
      <c r="E1231" s="101"/>
      <c r="F1231" s="101"/>
      <c r="G1231" s="101"/>
      <c r="H1231" s="101"/>
    </row>
    <row r="1232" spans="3:8">
      <c r="C1232" s="101"/>
      <c r="D1232" s="101"/>
      <c r="E1232" s="101"/>
      <c r="F1232" s="101"/>
      <c r="G1232" s="101"/>
      <c r="H1232" s="101"/>
    </row>
    <row r="1233" spans="3:8">
      <c r="C1233" s="101"/>
      <c r="D1233" s="101"/>
      <c r="E1233" s="101"/>
      <c r="F1233" s="101"/>
      <c r="G1233" s="101"/>
      <c r="H1233" s="101"/>
    </row>
    <row r="1234" spans="3:8">
      <c r="C1234" s="101"/>
      <c r="D1234" s="101"/>
      <c r="E1234" s="101"/>
      <c r="F1234" s="101"/>
      <c r="G1234" s="101"/>
      <c r="H1234" s="101"/>
    </row>
    <row r="1235" spans="3:8">
      <c r="C1235" s="101"/>
      <c r="D1235" s="101"/>
      <c r="E1235" s="101"/>
      <c r="F1235" s="101"/>
      <c r="G1235" s="101"/>
      <c r="H1235" s="101"/>
    </row>
    <row r="1236" spans="3:8">
      <c r="C1236" s="101"/>
      <c r="D1236" s="101"/>
      <c r="E1236" s="101"/>
      <c r="F1236" s="101"/>
      <c r="G1236" s="101"/>
      <c r="H1236" s="101"/>
    </row>
    <row r="1237" spans="3:8">
      <c r="C1237" s="101"/>
      <c r="D1237" s="101"/>
      <c r="E1237" s="101"/>
      <c r="F1237" s="101"/>
      <c r="G1237" s="101"/>
      <c r="H1237" s="101"/>
    </row>
    <row r="1238" spans="3:8">
      <c r="C1238" s="101"/>
      <c r="D1238" s="101"/>
      <c r="E1238" s="101"/>
      <c r="F1238" s="101"/>
      <c r="G1238" s="101"/>
      <c r="H1238" s="101"/>
    </row>
    <row r="1239" spans="3:8">
      <c r="C1239" s="101"/>
      <c r="D1239" s="101"/>
      <c r="E1239" s="101"/>
      <c r="F1239" s="101"/>
      <c r="G1239" s="101"/>
      <c r="H1239" s="101"/>
    </row>
    <row r="1240" spans="3:8">
      <c r="C1240" s="101"/>
      <c r="D1240" s="101"/>
      <c r="E1240" s="101"/>
      <c r="F1240" s="101"/>
      <c r="G1240" s="101"/>
      <c r="H1240" s="101"/>
    </row>
    <row r="1241" spans="3:8">
      <c r="C1241" s="101"/>
      <c r="D1241" s="101"/>
      <c r="E1241" s="101"/>
      <c r="F1241" s="101"/>
      <c r="G1241" s="101"/>
      <c r="H1241" s="101"/>
    </row>
    <row r="1242" spans="3:8">
      <c r="C1242" s="101"/>
      <c r="D1242" s="101"/>
      <c r="E1242" s="101"/>
      <c r="F1242" s="101"/>
      <c r="G1242" s="101"/>
      <c r="H1242" s="101"/>
    </row>
    <row r="1243" spans="3:8">
      <c r="C1243" s="101"/>
      <c r="D1243" s="101"/>
      <c r="E1243" s="101"/>
      <c r="F1243" s="101"/>
      <c r="G1243" s="101"/>
      <c r="H1243" s="101"/>
    </row>
    <row r="1244" spans="3:8">
      <c r="C1244" s="101"/>
      <c r="D1244" s="101"/>
      <c r="E1244" s="101"/>
      <c r="F1244" s="101"/>
      <c r="G1244" s="101"/>
      <c r="H1244" s="101"/>
    </row>
    <row r="1245" spans="3:8">
      <c r="C1245" s="101"/>
      <c r="D1245" s="101"/>
      <c r="E1245" s="101"/>
      <c r="F1245" s="101"/>
      <c r="G1245" s="101"/>
      <c r="H1245" s="101"/>
    </row>
    <row r="1246" spans="3:8">
      <c r="C1246" s="101"/>
      <c r="D1246" s="101"/>
      <c r="E1246" s="101"/>
      <c r="F1246" s="101"/>
      <c r="G1246" s="101"/>
      <c r="H1246" s="101"/>
    </row>
    <row r="1247" spans="3:8">
      <c r="C1247" s="101"/>
      <c r="D1247" s="101"/>
      <c r="E1247" s="101"/>
      <c r="F1247" s="101"/>
      <c r="G1247" s="101"/>
      <c r="H1247" s="101"/>
    </row>
    <row r="1248" spans="3:8">
      <c r="C1248" s="101"/>
      <c r="D1248" s="101"/>
      <c r="E1248" s="101"/>
      <c r="F1248" s="101"/>
      <c r="G1248" s="101"/>
      <c r="H1248" s="101"/>
    </row>
    <row r="1249" spans="3:8">
      <c r="C1249" s="101"/>
      <c r="D1249" s="101"/>
      <c r="E1249" s="101"/>
      <c r="F1249" s="101"/>
      <c r="G1249" s="101"/>
      <c r="H1249" s="101"/>
    </row>
    <row r="1250" spans="3:8">
      <c r="C1250" s="101"/>
      <c r="D1250" s="101"/>
      <c r="E1250" s="101"/>
      <c r="F1250" s="101"/>
      <c r="G1250" s="101"/>
      <c r="H1250" s="101"/>
    </row>
    <row r="1251" spans="3:8">
      <c r="C1251" s="101"/>
      <c r="D1251" s="101"/>
      <c r="E1251" s="101"/>
      <c r="F1251" s="101"/>
      <c r="G1251" s="101"/>
      <c r="H1251" s="101"/>
    </row>
    <row r="1252" spans="3:8">
      <c r="C1252" s="101"/>
      <c r="D1252" s="101"/>
      <c r="E1252" s="101"/>
      <c r="F1252" s="101"/>
      <c r="G1252" s="101"/>
      <c r="H1252" s="101"/>
    </row>
    <row r="1253" spans="3:8">
      <c r="C1253" s="101"/>
      <c r="D1253" s="101"/>
      <c r="E1253" s="101"/>
      <c r="F1253" s="101"/>
      <c r="G1253" s="101"/>
      <c r="H1253" s="101"/>
    </row>
    <row r="1254" spans="3:8">
      <c r="C1254" s="101"/>
      <c r="D1254" s="101"/>
      <c r="E1254" s="101"/>
      <c r="F1254" s="101"/>
      <c r="G1254" s="101"/>
      <c r="H1254" s="101"/>
    </row>
    <row r="1255" spans="3:8">
      <c r="C1255" s="101"/>
      <c r="D1255" s="101"/>
      <c r="E1255" s="101"/>
      <c r="F1255" s="101"/>
      <c r="G1255" s="101"/>
      <c r="H1255" s="101"/>
    </row>
    <row r="1256" spans="3:8">
      <c r="C1256" s="101"/>
      <c r="D1256" s="101"/>
      <c r="E1256" s="101"/>
      <c r="F1256" s="101"/>
      <c r="G1256" s="101"/>
      <c r="H1256" s="101"/>
    </row>
    <row r="1257" spans="3:8">
      <c r="C1257" s="101"/>
      <c r="D1257" s="101"/>
      <c r="E1257" s="101"/>
      <c r="F1257" s="101"/>
      <c r="G1257" s="101"/>
      <c r="H1257" s="101"/>
    </row>
    <row r="1258" spans="3:8">
      <c r="C1258" s="101"/>
      <c r="D1258" s="101"/>
      <c r="E1258" s="101"/>
      <c r="F1258" s="101"/>
      <c r="G1258" s="101"/>
      <c r="H1258" s="101"/>
    </row>
    <row r="1259" spans="3:8">
      <c r="C1259" s="101"/>
      <c r="D1259" s="101"/>
      <c r="E1259" s="101"/>
      <c r="F1259" s="101"/>
      <c r="G1259" s="101"/>
      <c r="H1259" s="101"/>
    </row>
    <row r="1260" spans="3:8">
      <c r="C1260" s="101"/>
      <c r="D1260" s="101"/>
      <c r="E1260" s="101"/>
      <c r="F1260" s="101"/>
      <c r="G1260" s="101"/>
      <c r="H1260" s="101"/>
    </row>
    <row r="1261" spans="3:8">
      <c r="C1261" s="101"/>
      <c r="D1261" s="101"/>
      <c r="E1261" s="101"/>
      <c r="F1261" s="101"/>
      <c r="G1261" s="101"/>
      <c r="H1261" s="101"/>
    </row>
    <row r="1262" spans="3:8">
      <c r="C1262" s="101"/>
      <c r="D1262" s="101"/>
      <c r="E1262" s="101"/>
      <c r="F1262" s="101"/>
      <c r="G1262" s="101"/>
      <c r="H1262" s="101"/>
    </row>
    <row r="1263" spans="3:8">
      <c r="C1263" s="101"/>
      <c r="D1263" s="101"/>
      <c r="E1263" s="101"/>
      <c r="F1263" s="101"/>
      <c r="G1263" s="101"/>
      <c r="H1263" s="101"/>
    </row>
    <row r="1264" spans="3:8">
      <c r="C1264" s="101"/>
      <c r="D1264" s="101"/>
      <c r="E1264" s="101"/>
      <c r="F1264" s="101"/>
      <c r="G1264" s="101"/>
      <c r="H1264" s="101"/>
    </row>
    <row r="1265" spans="3:8">
      <c r="C1265" s="101"/>
      <c r="D1265" s="101"/>
      <c r="E1265" s="101"/>
      <c r="F1265" s="101"/>
      <c r="G1265" s="101"/>
      <c r="H1265" s="101"/>
    </row>
    <row r="1266" spans="3:8">
      <c r="C1266" s="101"/>
      <c r="D1266" s="101"/>
      <c r="E1266" s="101"/>
      <c r="F1266" s="101"/>
      <c r="G1266" s="101"/>
      <c r="H1266" s="101"/>
    </row>
    <row r="1267" spans="3:8">
      <c r="C1267" s="101"/>
      <c r="D1267" s="101"/>
      <c r="E1267" s="101"/>
      <c r="F1267" s="101"/>
      <c r="G1267" s="101"/>
      <c r="H1267" s="101"/>
    </row>
    <row r="1268" spans="3:8">
      <c r="C1268" s="101"/>
      <c r="D1268" s="101"/>
      <c r="E1268" s="101"/>
      <c r="F1268" s="101"/>
      <c r="G1268" s="101"/>
      <c r="H1268" s="101"/>
    </row>
    <row r="1269" spans="3:8">
      <c r="C1269" s="101"/>
      <c r="D1269" s="101"/>
      <c r="E1269" s="101"/>
      <c r="F1269" s="101"/>
      <c r="G1269" s="101"/>
      <c r="H1269" s="101"/>
    </row>
    <row r="1270" spans="3:8">
      <c r="C1270" s="101"/>
      <c r="D1270" s="101"/>
      <c r="E1270" s="101"/>
      <c r="F1270" s="101"/>
      <c r="G1270" s="101"/>
      <c r="H1270" s="101"/>
    </row>
    <row r="1271" spans="3:8">
      <c r="C1271" s="101"/>
      <c r="D1271" s="101"/>
      <c r="E1271" s="101"/>
      <c r="F1271" s="101"/>
      <c r="G1271" s="101"/>
      <c r="H1271" s="101"/>
    </row>
    <row r="1272" spans="3:8">
      <c r="C1272" s="101"/>
      <c r="D1272" s="101"/>
      <c r="E1272" s="101"/>
      <c r="F1272" s="101"/>
      <c r="G1272" s="101"/>
      <c r="H1272" s="101"/>
    </row>
    <row r="1273" spans="3:8">
      <c r="C1273" s="101"/>
      <c r="D1273" s="101"/>
      <c r="E1273" s="101"/>
      <c r="F1273" s="101"/>
      <c r="G1273" s="101"/>
      <c r="H1273" s="101"/>
    </row>
    <row r="1274" spans="3:8">
      <c r="C1274" s="101"/>
      <c r="D1274" s="101"/>
      <c r="E1274" s="101"/>
      <c r="F1274" s="101"/>
      <c r="G1274" s="101"/>
      <c r="H1274" s="101"/>
    </row>
    <row r="1275" spans="3:8">
      <c r="C1275" s="101"/>
      <c r="D1275" s="101"/>
      <c r="E1275" s="101"/>
      <c r="F1275" s="101"/>
      <c r="G1275" s="101"/>
      <c r="H1275" s="101"/>
    </row>
    <row r="1276" spans="3:8">
      <c r="C1276" s="101"/>
      <c r="D1276" s="101"/>
      <c r="E1276" s="101"/>
      <c r="F1276" s="101"/>
      <c r="G1276" s="101"/>
      <c r="H1276" s="101"/>
    </row>
    <row r="1277" spans="3:8">
      <c r="C1277" s="101"/>
      <c r="D1277" s="101"/>
      <c r="E1277" s="101"/>
      <c r="F1277" s="101"/>
      <c r="G1277" s="101"/>
      <c r="H1277" s="101"/>
    </row>
    <row r="1278" spans="3:8">
      <c r="C1278" s="101"/>
      <c r="D1278" s="101"/>
      <c r="E1278" s="101"/>
      <c r="F1278" s="101"/>
      <c r="G1278" s="101"/>
      <c r="H1278" s="101"/>
    </row>
    <row r="1279" spans="3:8">
      <c r="C1279" s="101"/>
      <c r="D1279" s="101"/>
      <c r="E1279" s="101"/>
      <c r="F1279" s="101"/>
      <c r="G1279" s="101"/>
      <c r="H1279" s="101"/>
    </row>
    <row r="1280" spans="3:8">
      <c r="C1280" s="101"/>
      <c r="D1280" s="101"/>
      <c r="E1280" s="101"/>
      <c r="F1280" s="101"/>
      <c r="G1280" s="101"/>
      <c r="H1280" s="101"/>
    </row>
    <row r="1281" spans="3:8">
      <c r="C1281" s="101"/>
      <c r="D1281" s="101"/>
      <c r="E1281" s="101"/>
      <c r="F1281" s="101"/>
      <c r="G1281" s="101"/>
      <c r="H1281" s="101"/>
    </row>
    <row r="1282" spans="3:8">
      <c r="C1282" s="101"/>
      <c r="D1282" s="101"/>
      <c r="E1282" s="101"/>
      <c r="F1282" s="101"/>
      <c r="G1282" s="101"/>
      <c r="H1282" s="101"/>
    </row>
    <row r="1283" spans="3:8">
      <c r="C1283" s="101"/>
      <c r="D1283" s="101"/>
      <c r="E1283" s="101"/>
      <c r="F1283" s="101"/>
      <c r="G1283" s="101"/>
      <c r="H1283" s="101"/>
    </row>
    <row r="1284" spans="3:8">
      <c r="C1284" s="101"/>
      <c r="D1284" s="101"/>
      <c r="E1284" s="101"/>
      <c r="F1284" s="101"/>
      <c r="G1284" s="101"/>
      <c r="H1284" s="101"/>
    </row>
    <row r="1285" spans="3:8">
      <c r="C1285" s="101"/>
      <c r="D1285" s="101"/>
      <c r="E1285" s="101"/>
      <c r="F1285" s="101"/>
      <c r="G1285" s="101"/>
      <c r="H1285" s="101"/>
    </row>
    <row r="1286" spans="3:8">
      <c r="C1286" s="101"/>
      <c r="D1286" s="101"/>
      <c r="E1286" s="101"/>
      <c r="F1286" s="101"/>
      <c r="G1286" s="101"/>
      <c r="H1286" s="101"/>
    </row>
    <row r="1287" spans="3:8">
      <c r="C1287" s="101"/>
      <c r="D1287" s="101"/>
      <c r="E1287" s="101"/>
      <c r="F1287" s="101"/>
      <c r="G1287" s="101"/>
      <c r="H1287" s="101"/>
    </row>
    <row r="1288" spans="3:8">
      <c r="C1288" s="101"/>
      <c r="D1288" s="101"/>
      <c r="E1288" s="101"/>
      <c r="F1288" s="101"/>
      <c r="G1288" s="101"/>
      <c r="H1288" s="101"/>
    </row>
    <row r="1289" spans="3:8">
      <c r="C1289" s="101"/>
      <c r="D1289" s="101"/>
      <c r="E1289" s="101"/>
      <c r="F1289" s="101"/>
      <c r="G1289" s="101"/>
      <c r="H1289" s="101"/>
    </row>
    <row r="1290" spans="3:8">
      <c r="C1290" s="101"/>
      <c r="D1290" s="101"/>
      <c r="E1290" s="101"/>
      <c r="F1290" s="101"/>
      <c r="G1290" s="101"/>
      <c r="H1290" s="101"/>
    </row>
    <row r="1291" spans="3:8">
      <c r="C1291" s="101"/>
      <c r="D1291" s="101"/>
      <c r="E1291" s="101"/>
      <c r="F1291" s="101"/>
      <c r="G1291" s="101"/>
      <c r="H1291" s="101"/>
    </row>
    <row r="1292" spans="3:8">
      <c r="C1292" s="101"/>
      <c r="D1292" s="101"/>
      <c r="E1292" s="101"/>
      <c r="F1292" s="101"/>
      <c r="G1292" s="101"/>
      <c r="H1292" s="101"/>
    </row>
    <row r="1293" spans="3:8">
      <c r="C1293" s="101"/>
      <c r="D1293" s="101"/>
      <c r="E1293" s="101"/>
      <c r="F1293" s="101"/>
      <c r="G1293" s="101"/>
      <c r="H1293" s="101"/>
    </row>
    <row r="1294" spans="3:8">
      <c r="C1294" s="101"/>
      <c r="D1294" s="101"/>
      <c r="E1294" s="101"/>
      <c r="F1294" s="101"/>
      <c r="G1294" s="101"/>
      <c r="H1294" s="101"/>
    </row>
    <row r="1295" spans="3:8">
      <c r="C1295" s="101"/>
      <c r="D1295" s="101"/>
      <c r="E1295" s="101"/>
      <c r="F1295" s="101"/>
      <c r="G1295" s="101"/>
      <c r="H1295" s="101"/>
    </row>
    <row r="1296" spans="3:8">
      <c r="C1296" s="101"/>
      <c r="D1296" s="101"/>
      <c r="E1296" s="101"/>
      <c r="F1296" s="101"/>
      <c r="G1296" s="101"/>
      <c r="H1296" s="101"/>
    </row>
    <row r="1297" spans="3:8">
      <c r="C1297" s="101"/>
      <c r="D1297" s="101"/>
      <c r="E1297" s="101"/>
      <c r="F1297" s="101"/>
      <c r="G1297" s="101"/>
      <c r="H1297" s="101"/>
    </row>
    <row r="1298" spans="3:8">
      <c r="C1298" s="101"/>
      <c r="D1298" s="101"/>
      <c r="E1298" s="101"/>
      <c r="F1298" s="101"/>
      <c r="G1298" s="101"/>
      <c r="H1298" s="101"/>
    </row>
    <row r="1299" spans="3:8">
      <c r="C1299" s="101"/>
      <c r="D1299" s="101"/>
      <c r="E1299" s="101"/>
      <c r="F1299" s="101"/>
      <c r="G1299" s="101"/>
      <c r="H1299" s="101"/>
    </row>
    <row r="1300" spans="3:8">
      <c r="C1300" s="101"/>
      <c r="D1300" s="101"/>
      <c r="E1300" s="101"/>
      <c r="F1300" s="101"/>
      <c r="G1300" s="101"/>
      <c r="H1300" s="101"/>
    </row>
    <row r="1301" spans="3:8">
      <c r="C1301" s="101"/>
      <c r="D1301" s="101"/>
      <c r="E1301" s="101"/>
      <c r="F1301" s="101"/>
      <c r="G1301" s="101"/>
      <c r="H1301" s="101"/>
    </row>
    <row r="1302" spans="3:8">
      <c r="C1302" s="101"/>
      <c r="D1302" s="101"/>
      <c r="E1302" s="101"/>
      <c r="F1302" s="101"/>
      <c r="G1302" s="101"/>
      <c r="H1302" s="101"/>
    </row>
    <row r="1303" spans="3:8">
      <c r="C1303" s="101"/>
      <c r="D1303" s="101"/>
      <c r="E1303" s="101"/>
      <c r="F1303" s="101"/>
      <c r="G1303" s="101"/>
      <c r="H1303" s="101"/>
    </row>
    <row r="1304" spans="3:8">
      <c r="C1304" s="101"/>
      <c r="D1304" s="101"/>
      <c r="E1304" s="101"/>
      <c r="F1304" s="101"/>
      <c r="G1304" s="101"/>
      <c r="H1304" s="101"/>
    </row>
    <row r="1305" spans="3:8">
      <c r="C1305" s="101"/>
      <c r="D1305" s="101"/>
      <c r="E1305" s="101"/>
      <c r="F1305" s="101"/>
      <c r="G1305" s="101"/>
      <c r="H1305" s="101"/>
    </row>
    <row r="1306" spans="3:8">
      <c r="C1306" s="101"/>
      <c r="D1306" s="101"/>
      <c r="E1306" s="101"/>
      <c r="F1306" s="101"/>
      <c r="G1306" s="101"/>
      <c r="H1306" s="101"/>
    </row>
    <row r="1307" spans="3:8">
      <c r="C1307" s="101"/>
      <c r="D1307" s="101"/>
      <c r="E1307" s="101"/>
      <c r="F1307" s="101"/>
      <c r="G1307" s="101"/>
      <c r="H1307" s="101"/>
    </row>
    <row r="1308" spans="3:8">
      <c r="C1308" s="101"/>
      <c r="D1308" s="101"/>
      <c r="E1308" s="101"/>
      <c r="F1308" s="101"/>
      <c r="G1308" s="101"/>
      <c r="H1308" s="101"/>
    </row>
    <row r="1309" spans="3:8">
      <c r="C1309" s="101"/>
      <c r="D1309" s="101"/>
      <c r="E1309" s="101"/>
      <c r="F1309" s="101"/>
      <c r="G1309" s="101"/>
      <c r="H1309" s="101"/>
    </row>
    <row r="1310" spans="3:8">
      <c r="C1310" s="101"/>
      <c r="D1310" s="101"/>
      <c r="E1310" s="101"/>
      <c r="F1310" s="101"/>
      <c r="G1310" s="101"/>
      <c r="H1310" s="101"/>
    </row>
    <row r="1311" spans="3:8">
      <c r="C1311" s="101"/>
      <c r="D1311" s="101"/>
      <c r="E1311" s="101"/>
      <c r="F1311" s="101"/>
      <c r="G1311" s="101"/>
      <c r="H1311" s="101"/>
    </row>
    <row r="1312" spans="3:8">
      <c r="C1312" s="101"/>
      <c r="D1312" s="101"/>
      <c r="E1312" s="101"/>
      <c r="F1312" s="101"/>
      <c r="G1312" s="101"/>
      <c r="H1312" s="101"/>
    </row>
    <row r="1313" spans="3:8">
      <c r="C1313" s="101"/>
      <c r="D1313" s="101"/>
      <c r="E1313" s="101"/>
      <c r="F1313" s="101"/>
      <c r="G1313" s="101"/>
      <c r="H1313" s="101"/>
    </row>
    <row r="1314" spans="3:8">
      <c r="C1314" s="101"/>
      <c r="D1314" s="101"/>
      <c r="E1314" s="101"/>
      <c r="F1314" s="101"/>
      <c r="G1314" s="101"/>
      <c r="H1314" s="101"/>
    </row>
    <row r="1315" spans="3:8">
      <c r="C1315" s="101"/>
      <c r="D1315" s="101"/>
      <c r="E1315" s="101"/>
      <c r="F1315" s="101"/>
      <c r="G1315" s="101"/>
      <c r="H1315" s="101"/>
    </row>
    <row r="1316" spans="3:8">
      <c r="C1316" s="101"/>
      <c r="D1316" s="101"/>
      <c r="E1316" s="101"/>
      <c r="F1316" s="101"/>
      <c r="G1316" s="101"/>
      <c r="H1316" s="101"/>
    </row>
    <row r="1317" spans="3:8">
      <c r="C1317" s="101"/>
      <c r="D1317" s="101"/>
      <c r="E1317" s="101"/>
      <c r="F1317" s="101"/>
      <c r="G1317" s="101"/>
      <c r="H1317" s="101"/>
    </row>
    <row r="1318" spans="3:8">
      <c r="C1318" s="101"/>
      <c r="D1318" s="101"/>
      <c r="E1318" s="101"/>
      <c r="F1318" s="101"/>
      <c r="G1318" s="101"/>
      <c r="H1318" s="101"/>
    </row>
    <row r="1319" spans="3:8">
      <c r="C1319" s="101"/>
      <c r="D1319" s="101"/>
      <c r="E1319" s="101"/>
      <c r="F1319" s="101"/>
      <c r="G1319" s="101"/>
      <c r="H1319" s="101"/>
    </row>
    <row r="1320" spans="3:8">
      <c r="C1320" s="101"/>
      <c r="D1320" s="101"/>
      <c r="E1320" s="101"/>
      <c r="F1320" s="101"/>
      <c r="G1320" s="101"/>
      <c r="H1320" s="101"/>
    </row>
    <row r="1321" spans="3:8">
      <c r="C1321" s="101"/>
      <c r="D1321" s="101"/>
      <c r="E1321" s="101"/>
      <c r="F1321" s="101"/>
      <c r="G1321" s="101"/>
      <c r="H1321" s="101"/>
    </row>
    <row r="1322" spans="3:8">
      <c r="C1322" s="101"/>
      <c r="D1322" s="101"/>
      <c r="E1322" s="101"/>
      <c r="F1322" s="101"/>
      <c r="G1322" s="101"/>
      <c r="H1322" s="101"/>
    </row>
    <row r="1323" spans="3:8">
      <c r="C1323" s="101"/>
      <c r="D1323" s="101"/>
      <c r="E1323" s="101"/>
      <c r="F1323" s="101"/>
      <c r="G1323" s="101"/>
      <c r="H1323" s="101"/>
    </row>
    <row r="1324" spans="3:8">
      <c r="C1324" s="101"/>
      <c r="D1324" s="101"/>
      <c r="E1324" s="101"/>
      <c r="F1324" s="101"/>
      <c r="G1324" s="101"/>
      <c r="H1324" s="101"/>
    </row>
    <row r="1325" spans="3:8">
      <c r="C1325" s="101"/>
      <c r="D1325" s="101"/>
      <c r="E1325" s="101"/>
      <c r="F1325" s="101"/>
      <c r="G1325" s="101"/>
      <c r="H1325" s="101"/>
    </row>
    <row r="1326" spans="3:8">
      <c r="C1326" s="101"/>
      <c r="D1326" s="101"/>
      <c r="E1326" s="101"/>
      <c r="F1326" s="101"/>
      <c r="G1326" s="101"/>
      <c r="H1326" s="101"/>
    </row>
    <row r="1327" spans="3:8">
      <c r="C1327" s="101"/>
      <c r="D1327" s="101"/>
      <c r="E1327" s="101"/>
      <c r="F1327" s="101"/>
      <c r="G1327" s="101"/>
      <c r="H1327" s="101"/>
    </row>
    <row r="1328" spans="3:8">
      <c r="C1328" s="101"/>
      <c r="D1328" s="101"/>
      <c r="E1328" s="101"/>
      <c r="F1328" s="101"/>
      <c r="G1328" s="101"/>
      <c r="H1328" s="101"/>
    </row>
    <row r="1329" spans="3:8">
      <c r="C1329" s="101"/>
      <c r="D1329" s="101"/>
      <c r="E1329" s="101"/>
      <c r="F1329" s="101"/>
      <c r="G1329" s="101"/>
      <c r="H1329" s="101"/>
    </row>
    <row r="1330" spans="3:8">
      <c r="C1330" s="101"/>
      <c r="D1330" s="101"/>
      <c r="E1330" s="101"/>
      <c r="F1330" s="101"/>
      <c r="G1330" s="101"/>
      <c r="H1330" s="101"/>
    </row>
    <row r="1331" spans="3:8">
      <c r="C1331" s="101"/>
      <c r="D1331" s="101"/>
      <c r="E1331" s="101"/>
      <c r="F1331" s="101"/>
      <c r="G1331" s="101"/>
      <c r="H1331" s="101"/>
    </row>
    <row r="1332" spans="3:8">
      <c r="C1332" s="101"/>
      <c r="D1332" s="101"/>
      <c r="E1332" s="101"/>
      <c r="F1332" s="101"/>
      <c r="G1332" s="101"/>
      <c r="H1332" s="101"/>
    </row>
    <row r="1333" spans="3:8">
      <c r="C1333" s="101"/>
      <c r="D1333" s="101"/>
      <c r="E1333" s="101"/>
      <c r="F1333" s="101"/>
      <c r="G1333" s="101"/>
      <c r="H1333" s="101"/>
    </row>
    <row r="1334" spans="3:8">
      <c r="C1334" s="101"/>
      <c r="D1334" s="101"/>
      <c r="E1334" s="101"/>
      <c r="F1334" s="101"/>
      <c r="G1334" s="101"/>
      <c r="H1334" s="101"/>
    </row>
    <row r="1335" spans="3:8">
      <c r="C1335" s="101"/>
      <c r="D1335" s="101"/>
      <c r="E1335" s="101"/>
      <c r="F1335" s="101"/>
      <c r="G1335" s="101"/>
      <c r="H1335" s="101"/>
    </row>
    <row r="1336" spans="3:8">
      <c r="C1336" s="101"/>
      <c r="D1336" s="101"/>
      <c r="E1336" s="101"/>
      <c r="F1336" s="101"/>
      <c r="G1336" s="101"/>
      <c r="H1336" s="101"/>
    </row>
    <row r="1337" spans="3:8">
      <c r="C1337" s="101"/>
      <c r="D1337" s="101"/>
      <c r="E1337" s="101"/>
      <c r="F1337" s="101"/>
      <c r="G1337" s="101"/>
      <c r="H1337" s="101"/>
    </row>
    <row r="1338" spans="3:8">
      <c r="C1338" s="101"/>
      <c r="D1338" s="101"/>
      <c r="E1338" s="101"/>
      <c r="F1338" s="101"/>
      <c r="G1338" s="101"/>
      <c r="H1338" s="101"/>
    </row>
    <row r="1339" spans="3:8">
      <c r="C1339" s="101"/>
      <c r="D1339" s="101"/>
      <c r="E1339" s="101"/>
      <c r="F1339" s="101"/>
      <c r="G1339" s="101"/>
      <c r="H1339" s="101"/>
    </row>
    <row r="1340" spans="3:8">
      <c r="C1340" s="101"/>
      <c r="D1340" s="101"/>
      <c r="E1340" s="101"/>
      <c r="F1340" s="101"/>
      <c r="G1340" s="101"/>
      <c r="H1340" s="101"/>
    </row>
    <row r="1341" spans="3:8">
      <c r="C1341" s="101"/>
      <c r="D1341" s="101"/>
      <c r="E1341" s="101"/>
      <c r="F1341" s="101"/>
      <c r="G1341" s="101"/>
      <c r="H1341" s="101"/>
    </row>
    <row r="1342" spans="3:8">
      <c r="C1342" s="101"/>
      <c r="D1342" s="101"/>
      <c r="E1342" s="101"/>
      <c r="F1342" s="101"/>
      <c r="G1342" s="101"/>
      <c r="H1342" s="101"/>
    </row>
    <row r="1343" spans="3:8">
      <c r="C1343" s="101"/>
      <c r="D1343" s="101"/>
      <c r="E1343" s="101"/>
      <c r="F1343" s="101"/>
      <c r="G1343" s="101"/>
      <c r="H1343" s="101"/>
    </row>
    <row r="1344" spans="3:8">
      <c r="C1344" s="101"/>
      <c r="D1344" s="101"/>
      <c r="E1344" s="101"/>
      <c r="F1344" s="101"/>
      <c r="G1344" s="101"/>
      <c r="H1344" s="101"/>
    </row>
    <row r="1345" spans="3:8">
      <c r="C1345" s="101"/>
      <c r="D1345" s="101"/>
      <c r="E1345" s="101"/>
      <c r="F1345" s="101"/>
      <c r="G1345" s="101"/>
      <c r="H1345" s="101"/>
    </row>
    <row r="1346" spans="3:8">
      <c r="C1346" s="101"/>
      <c r="D1346" s="101"/>
      <c r="E1346" s="101"/>
      <c r="F1346" s="101"/>
      <c r="G1346" s="101"/>
      <c r="H1346" s="101"/>
    </row>
    <row r="1347" spans="3:8">
      <c r="C1347" s="101"/>
      <c r="D1347" s="101"/>
      <c r="E1347" s="101"/>
      <c r="F1347" s="101"/>
      <c r="G1347" s="101"/>
      <c r="H1347" s="101"/>
    </row>
    <row r="1348" spans="3:8">
      <c r="C1348" s="101"/>
      <c r="D1348" s="101"/>
      <c r="E1348" s="101"/>
      <c r="F1348" s="101"/>
      <c r="G1348" s="101"/>
      <c r="H1348" s="101"/>
    </row>
    <row r="1349" spans="3:8">
      <c r="C1349" s="101"/>
      <c r="D1349" s="101"/>
      <c r="E1349" s="101"/>
      <c r="F1349" s="101"/>
      <c r="G1349" s="101"/>
      <c r="H1349" s="101"/>
    </row>
    <row r="1350" spans="3:8">
      <c r="C1350" s="101"/>
      <c r="D1350" s="101"/>
      <c r="E1350" s="101"/>
      <c r="F1350" s="101"/>
      <c r="G1350" s="101"/>
      <c r="H1350" s="101"/>
    </row>
    <row r="1351" spans="3:8">
      <c r="C1351" s="101"/>
      <c r="D1351" s="101"/>
      <c r="E1351" s="101"/>
      <c r="F1351" s="101"/>
      <c r="G1351" s="101"/>
      <c r="H1351" s="101"/>
    </row>
    <row r="1352" spans="3:8">
      <c r="C1352" s="101"/>
      <c r="D1352" s="101"/>
      <c r="E1352" s="101"/>
      <c r="F1352" s="101"/>
      <c r="G1352" s="101"/>
      <c r="H1352" s="101"/>
    </row>
    <row r="1353" spans="3:8">
      <c r="C1353" s="101"/>
      <c r="D1353" s="101"/>
      <c r="E1353" s="101"/>
      <c r="F1353" s="101"/>
      <c r="G1353" s="101"/>
      <c r="H1353" s="101"/>
    </row>
    <row r="1354" spans="3:8">
      <c r="C1354" s="101"/>
      <c r="D1354" s="101"/>
      <c r="E1354" s="101"/>
      <c r="F1354" s="101"/>
      <c r="G1354" s="101"/>
      <c r="H1354" s="101"/>
    </row>
    <row r="1355" spans="3:8">
      <c r="C1355" s="101"/>
      <c r="D1355" s="101"/>
      <c r="E1355" s="101"/>
      <c r="F1355" s="101"/>
      <c r="G1355" s="101"/>
      <c r="H1355" s="101"/>
    </row>
    <row r="1356" spans="3:8">
      <c r="C1356" s="101"/>
      <c r="D1356" s="101"/>
      <c r="E1356" s="101"/>
      <c r="F1356" s="101"/>
      <c r="G1356" s="101"/>
      <c r="H1356" s="101"/>
    </row>
    <row r="1357" spans="3:8">
      <c r="C1357" s="101"/>
      <c r="D1357" s="101"/>
      <c r="E1357" s="101"/>
      <c r="F1357" s="101"/>
      <c r="G1357" s="101"/>
      <c r="H1357" s="101"/>
    </row>
    <row r="1358" spans="3:8">
      <c r="C1358" s="101"/>
      <c r="D1358" s="101"/>
      <c r="E1358" s="101"/>
      <c r="F1358" s="101"/>
      <c r="G1358" s="101"/>
      <c r="H1358" s="101"/>
    </row>
    <row r="1359" spans="3:8">
      <c r="C1359" s="101"/>
      <c r="D1359" s="101"/>
      <c r="E1359" s="101"/>
      <c r="F1359" s="101"/>
      <c r="G1359" s="101"/>
      <c r="H1359" s="101"/>
    </row>
    <row r="1360" spans="3:8">
      <c r="C1360" s="101"/>
      <c r="D1360" s="101"/>
      <c r="E1360" s="101"/>
      <c r="F1360" s="101"/>
      <c r="G1360" s="101"/>
      <c r="H1360" s="101"/>
    </row>
    <row r="1361" spans="3:8">
      <c r="C1361" s="101"/>
      <c r="D1361" s="101"/>
      <c r="E1361" s="101"/>
      <c r="F1361" s="101"/>
      <c r="G1361" s="101"/>
      <c r="H1361" s="101"/>
    </row>
    <row r="1362" spans="3:8">
      <c r="C1362" s="101"/>
      <c r="D1362" s="101"/>
      <c r="E1362" s="101"/>
      <c r="F1362" s="101"/>
      <c r="G1362" s="101"/>
      <c r="H1362" s="101"/>
    </row>
    <row r="1363" spans="3:8">
      <c r="C1363" s="101"/>
      <c r="D1363" s="101"/>
      <c r="E1363" s="101"/>
      <c r="F1363" s="101"/>
      <c r="G1363" s="101"/>
      <c r="H1363" s="101"/>
    </row>
    <row r="1364" spans="3:8">
      <c r="C1364" s="101"/>
      <c r="D1364" s="101"/>
      <c r="E1364" s="101"/>
      <c r="F1364" s="101"/>
      <c r="G1364" s="101"/>
      <c r="H1364" s="101"/>
    </row>
    <row r="1365" spans="3:8">
      <c r="C1365" s="101"/>
      <c r="D1365" s="101"/>
      <c r="E1365" s="101"/>
      <c r="F1365" s="101"/>
      <c r="G1365" s="101"/>
      <c r="H1365" s="101"/>
    </row>
    <row r="1366" spans="3:8">
      <c r="C1366" s="101"/>
      <c r="D1366" s="101"/>
      <c r="E1366" s="101"/>
      <c r="F1366" s="101"/>
      <c r="G1366" s="101"/>
      <c r="H1366" s="101"/>
    </row>
    <row r="1367" spans="3:8">
      <c r="C1367" s="101"/>
      <c r="D1367" s="101"/>
      <c r="E1367" s="101"/>
      <c r="F1367" s="101"/>
      <c r="G1367" s="101"/>
      <c r="H1367" s="101"/>
    </row>
    <row r="1368" spans="3:8">
      <c r="C1368" s="101"/>
      <c r="D1368" s="101"/>
      <c r="E1368" s="101"/>
      <c r="F1368" s="101"/>
      <c r="G1368" s="101"/>
      <c r="H1368" s="101"/>
    </row>
    <row r="1369" spans="3:8">
      <c r="C1369" s="101"/>
      <c r="D1369" s="101"/>
      <c r="E1369" s="101"/>
      <c r="F1369" s="101"/>
      <c r="G1369" s="101"/>
      <c r="H1369" s="101"/>
    </row>
    <row r="1370" spans="3:8">
      <c r="C1370" s="101"/>
      <c r="D1370" s="101"/>
      <c r="E1370" s="101"/>
      <c r="F1370" s="101"/>
      <c r="G1370" s="101"/>
      <c r="H1370" s="101"/>
    </row>
    <row r="1371" spans="3:8">
      <c r="C1371" s="101"/>
      <c r="D1371" s="101"/>
      <c r="E1371" s="101"/>
      <c r="F1371" s="101"/>
      <c r="G1371" s="101"/>
      <c r="H1371" s="101"/>
    </row>
    <row r="1372" spans="3:8">
      <c r="C1372" s="101"/>
      <c r="D1372" s="101"/>
      <c r="E1372" s="101"/>
      <c r="F1372" s="101"/>
      <c r="G1372" s="101"/>
      <c r="H1372" s="101"/>
    </row>
    <row r="1373" spans="3:8">
      <c r="C1373" s="101"/>
      <c r="D1373" s="101"/>
      <c r="E1373" s="101"/>
      <c r="F1373" s="101"/>
      <c r="G1373" s="101"/>
      <c r="H1373" s="101"/>
    </row>
    <row r="1374" spans="3:8">
      <c r="C1374" s="101"/>
      <c r="D1374" s="101"/>
      <c r="E1374" s="101"/>
      <c r="F1374" s="101"/>
      <c r="G1374" s="101"/>
      <c r="H1374" s="101"/>
    </row>
    <row r="1375" spans="3:8">
      <c r="C1375" s="101"/>
      <c r="D1375" s="101"/>
      <c r="E1375" s="101"/>
      <c r="F1375" s="101"/>
      <c r="G1375" s="101"/>
      <c r="H1375" s="101"/>
    </row>
    <row r="1376" spans="3:8">
      <c r="C1376" s="101"/>
      <c r="D1376" s="101"/>
      <c r="E1376" s="101"/>
      <c r="F1376" s="101"/>
      <c r="G1376" s="101"/>
      <c r="H1376" s="101"/>
    </row>
    <row r="1377" spans="3:8">
      <c r="C1377" s="101"/>
      <c r="D1377" s="101"/>
      <c r="E1377" s="101"/>
      <c r="F1377" s="101"/>
      <c r="G1377" s="101"/>
      <c r="H1377" s="101"/>
    </row>
    <row r="1378" spans="3:8">
      <c r="C1378" s="101"/>
      <c r="D1378" s="101"/>
      <c r="E1378" s="101"/>
      <c r="F1378" s="101"/>
      <c r="G1378" s="101"/>
      <c r="H1378" s="101"/>
    </row>
    <row r="1379" spans="3:8">
      <c r="C1379" s="101"/>
      <c r="D1379" s="101"/>
      <c r="E1379" s="101"/>
      <c r="F1379" s="101"/>
      <c r="G1379" s="101"/>
      <c r="H1379" s="101"/>
    </row>
    <row r="1380" spans="3:8">
      <c r="C1380" s="101"/>
      <c r="D1380" s="101"/>
      <c r="E1380" s="101"/>
      <c r="F1380" s="101"/>
      <c r="G1380" s="101"/>
      <c r="H1380" s="101"/>
    </row>
    <row r="1381" spans="3:8">
      <c r="C1381" s="101"/>
      <c r="D1381" s="101"/>
      <c r="E1381" s="101"/>
      <c r="F1381" s="101"/>
      <c r="G1381" s="101"/>
      <c r="H1381" s="101"/>
    </row>
    <row r="1382" spans="3:8">
      <c r="C1382" s="101"/>
      <c r="D1382" s="101"/>
      <c r="E1382" s="101"/>
      <c r="F1382" s="101"/>
      <c r="G1382" s="101"/>
      <c r="H1382" s="101"/>
    </row>
    <row r="1383" spans="3:8">
      <c r="C1383" s="101"/>
      <c r="D1383" s="101"/>
      <c r="E1383" s="101"/>
      <c r="F1383" s="101"/>
      <c r="G1383" s="101"/>
      <c r="H1383" s="101"/>
    </row>
    <row r="1384" spans="3:8">
      <c r="C1384" s="101"/>
      <c r="D1384" s="101"/>
      <c r="E1384" s="101"/>
      <c r="F1384" s="101"/>
      <c r="G1384" s="101"/>
      <c r="H1384" s="101"/>
    </row>
    <row r="1385" spans="3:8">
      <c r="C1385" s="101"/>
      <c r="D1385" s="101"/>
      <c r="E1385" s="101"/>
      <c r="F1385" s="101"/>
      <c r="G1385" s="101"/>
      <c r="H1385" s="101"/>
    </row>
    <row r="1386" spans="3:8">
      <c r="C1386" s="101"/>
      <c r="D1386" s="101"/>
      <c r="E1386" s="101"/>
      <c r="F1386" s="101"/>
      <c r="G1386" s="101"/>
      <c r="H1386" s="101"/>
    </row>
    <row r="1387" spans="3:8">
      <c r="C1387" s="101"/>
      <c r="D1387" s="101"/>
      <c r="E1387" s="101"/>
      <c r="F1387" s="101"/>
      <c r="G1387" s="101"/>
      <c r="H1387" s="101"/>
    </row>
    <row r="1388" spans="3:8">
      <c r="C1388" s="101"/>
      <c r="D1388" s="101"/>
      <c r="E1388" s="101"/>
      <c r="F1388" s="101"/>
      <c r="G1388" s="101"/>
      <c r="H1388" s="101"/>
    </row>
    <row r="1389" spans="3:8">
      <c r="C1389" s="101"/>
      <c r="D1389" s="101"/>
      <c r="E1389" s="101"/>
      <c r="F1389" s="101"/>
      <c r="G1389" s="101"/>
      <c r="H1389" s="101"/>
    </row>
    <row r="1390" spans="3:8">
      <c r="C1390" s="101"/>
      <c r="D1390" s="101"/>
      <c r="E1390" s="101"/>
      <c r="F1390" s="101"/>
      <c r="G1390" s="101"/>
      <c r="H1390" s="101"/>
    </row>
    <row r="1391" spans="3:8">
      <c r="C1391" s="101"/>
      <c r="D1391" s="101"/>
      <c r="E1391" s="101"/>
      <c r="F1391" s="101"/>
      <c r="G1391" s="101"/>
      <c r="H1391" s="101"/>
    </row>
    <row r="1392" spans="3:8">
      <c r="C1392" s="101"/>
      <c r="D1392" s="101"/>
      <c r="E1392" s="101"/>
      <c r="F1392" s="101"/>
      <c r="G1392" s="101"/>
      <c r="H1392" s="101"/>
    </row>
    <row r="1393" spans="3:8">
      <c r="C1393" s="101"/>
      <c r="D1393" s="101"/>
      <c r="E1393" s="101"/>
      <c r="F1393" s="101"/>
      <c r="G1393" s="101"/>
      <c r="H1393" s="101"/>
    </row>
    <row r="1394" spans="3:8">
      <c r="C1394" s="101"/>
      <c r="D1394" s="101"/>
      <c r="E1394" s="101"/>
      <c r="F1394" s="101"/>
      <c r="G1394" s="101"/>
      <c r="H1394" s="101"/>
    </row>
    <row r="1395" spans="3:8">
      <c r="C1395" s="101"/>
      <c r="D1395" s="101"/>
      <c r="E1395" s="101"/>
      <c r="F1395" s="101"/>
      <c r="G1395" s="101"/>
      <c r="H1395" s="101"/>
    </row>
    <row r="1396" spans="3:8">
      <c r="C1396" s="101"/>
      <c r="D1396" s="101"/>
      <c r="E1396" s="101"/>
      <c r="F1396" s="101"/>
      <c r="G1396" s="101"/>
      <c r="H1396" s="101"/>
    </row>
    <row r="1397" spans="3:8">
      <c r="C1397" s="101"/>
      <c r="D1397" s="101"/>
      <c r="E1397" s="101"/>
      <c r="F1397" s="101"/>
      <c r="G1397" s="101"/>
      <c r="H1397" s="101"/>
    </row>
    <row r="1398" spans="3:8">
      <c r="C1398" s="101"/>
      <c r="D1398" s="101"/>
      <c r="E1398" s="101"/>
      <c r="F1398" s="101"/>
      <c r="G1398" s="101"/>
      <c r="H1398" s="101"/>
    </row>
    <row r="1399" spans="3:8">
      <c r="C1399" s="101"/>
      <c r="D1399" s="101"/>
      <c r="E1399" s="101"/>
      <c r="F1399" s="101"/>
      <c r="G1399" s="101"/>
      <c r="H1399" s="101"/>
    </row>
    <row r="1400" spans="3:8">
      <c r="C1400" s="101"/>
      <c r="D1400" s="101"/>
      <c r="E1400" s="101"/>
      <c r="F1400" s="101"/>
      <c r="G1400" s="101"/>
      <c r="H1400" s="101"/>
    </row>
    <row r="1401" spans="3:8">
      <c r="C1401" s="101"/>
      <c r="D1401" s="101"/>
      <c r="E1401" s="101"/>
      <c r="F1401" s="101"/>
      <c r="G1401" s="101"/>
      <c r="H1401" s="101"/>
    </row>
    <row r="1402" spans="3:8">
      <c r="C1402" s="101"/>
      <c r="D1402" s="101"/>
      <c r="E1402" s="101"/>
      <c r="F1402" s="101"/>
      <c r="G1402" s="101"/>
      <c r="H1402" s="101"/>
    </row>
    <row r="1403" spans="3:8">
      <c r="C1403" s="101"/>
      <c r="D1403" s="101"/>
      <c r="E1403" s="101"/>
      <c r="F1403" s="101"/>
      <c r="G1403" s="101"/>
      <c r="H1403" s="101"/>
    </row>
    <row r="1404" spans="3:8">
      <c r="C1404" s="101"/>
      <c r="D1404" s="101"/>
      <c r="E1404" s="101"/>
      <c r="F1404" s="101"/>
      <c r="G1404" s="101"/>
      <c r="H1404" s="101"/>
    </row>
    <row r="1405" spans="3:8">
      <c r="C1405" s="101"/>
      <c r="D1405" s="101"/>
      <c r="E1405" s="101"/>
      <c r="F1405" s="101"/>
      <c r="G1405" s="101"/>
      <c r="H1405" s="101"/>
    </row>
    <row r="1406" spans="3:8">
      <c r="C1406" s="101"/>
      <c r="D1406" s="101"/>
      <c r="E1406" s="101"/>
      <c r="F1406" s="101"/>
      <c r="G1406" s="101"/>
      <c r="H1406" s="101"/>
    </row>
    <row r="1407" spans="3:8">
      <c r="C1407" s="101"/>
      <c r="D1407" s="101"/>
      <c r="E1407" s="101"/>
      <c r="F1407" s="101"/>
      <c r="G1407" s="101"/>
      <c r="H1407" s="101"/>
    </row>
    <row r="1408" spans="3:8">
      <c r="C1408" s="101"/>
      <c r="D1408" s="101"/>
      <c r="E1408" s="101"/>
      <c r="F1408" s="101"/>
      <c r="G1408" s="101"/>
      <c r="H1408" s="101"/>
    </row>
    <row r="1409" spans="3:8">
      <c r="C1409" s="101"/>
      <c r="D1409" s="101"/>
      <c r="E1409" s="101"/>
      <c r="F1409" s="101"/>
      <c r="G1409" s="101"/>
      <c r="H1409" s="101"/>
    </row>
    <row r="1410" spans="3:8">
      <c r="C1410" s="101"/>
      <c r="D1410" s="101"/>
      <c r="E1410" s="101"/>
      <c r="F1410" s="101"/>
      <c r="G1410" s="101"/>
      <c r="H1410" s="101"/>
    </row>
    <row r="1411" spans="3:8">
      <c r="C1411" s="101"/>
      <c r="D1411" s="101"/>
      <c r="E1411" s="101"/>
      <c r="F1411" s="101"/>
      <c r="G1411" s="101"/>
      <c r="H1411" s="101"/>
    </row>
    <row r="1412" spans="3:8">
      <c r="C1412" s="101"/>
      <c r="D1412" s="101"/>
      <c r="E1412" s="101"/>
      <c r="F1412" s="101"/>
      <c r="G1412" s="101"/>
      <c r="H1412" s="101"/>
    </row>
    <row r="1413" spans="3:8">
      <c r="C1413" s="101"/>
      <c r="D1413" s="101"/>
      <c r="E1413" s="101"/>
      <c r="F1413" s="101"/>
      <c r="G1413" s="101"/>
      <c r="H1413" s="101"/>
    </row>
    <row r="1414" spans="3:8">
      <c r="C1414" s="101"/>
      <c r="D1414" s="101"/>
      <c r="E1414" s="101"/>
      <c r="F1414" s="101"/>
      <c r="G1414" s="101"/>
      <c r="H1414" s="101"/>
    </row>
    <row r="1415" spans="3:8">
      <c r="C1415" s="101"/>
      <c r="D1415" s="101"/>
      <c r="E1415" s="101"/>
      <c r="F1415" s="101"/>
      <c r="G1415" s="101"/>
      <c r="H1415" s="101"/>
    </row>
    <row r="1416" spans="3:8">
      <c r="C1416" s="101"/>
      <c r="D1416" s="101"/>
      <c r="E1416" s="101"/>
      <c r="F1416" s="101"/>
      <c r="G1416" s="101"/>
      <c r="H1416" s="101"/>
    </row>
    <row r="1417" spans="3:8">
      <c r="C1417" s="101"/>
      <c r="D1417" s="101"/>
      <c r="E1417" s="101"/>
      <c r="F1417" s="101"/>
      <c r="G1417" s="101"/>
      <c r="H1417" s="101"/>
    </row>
    <row r="1418" spans="3:8">
      <c r="C1418" s="101"/>
      <c r="D1418" s="101"/>
      <c r="E1418" s="101"/>
      <c r="F1418" s="101"/>
      <c r="G1418" s="101"/>
      <c r="H1418" s="101"/>
    </row>
    <row r="1419" spans="3:8">
      <c r="C1419" s="101"/>
      <c r="D1419" s="101"/>
      <c r="E1419" s="101"/>
      <c r="F1419" s="101"/>
      <c r="G1419" s="101"/>
      <c r="H1419" s="101"/>
    </row>
    <row r="1420" spans="3:8">
      <c r="C1420" s="101"/>
      <c r="D1420" s="101"/>
      <c r="E1420" s="101"/>
      <c r="F1420" s="101"/>
      <c r="G1420" s="101"/>
      <c r="H1420" s="101"/>
    </row>
    <row r="1421" spans="3:8">
      <c r="C1421" s="101"/>
      <c r="D1421" s="101"/>
      <c r="E1421" s="101"/>
      <c r="F1421" s="101"/>
      <c r="G1421" s="101"/>
      <c r="H1421" s="101"/>
    </row>
    <row r="1422" spans="3:8">
      <c r="C1422" s="101"/>
      <c r="D1422" s="101"/>
      <c r="E1422" s="101"/>
      <c r="F1422" s="101"/>
      <c r="G1422" s="101"/>
      <c r="H1422" s="101"/>
    </row>
    <row r="1423" spans="3:8">
      <c r="C1423" s="101"/>
      <c r="D1423" s="101"/>
      <c r="E1423" s="101"/>
      <c r="F1423" s="101"/>
      <c r="G1423" s="101"/>
      <c r="H1423" s="101"/>
    </row>
    <row r="1424" spans="3:8">
      <c r="C1424" s="101"/>
      <c r="D1424" s="101"/>
      <c r="E1424" s="101"/>
      <c r="F1424" s="101"/>
      <c r="G1424" s="101"/>
      <c r="H1424" s="101"/>
    </row>
    <row r="1425" spans="3:8">
      <c r="C1425" s="101"/>
      <c r="D1425" s="101"/>
      <c r="E1425" s="101"/>
      <c r="F1425" s="101"/>
      <c r="G1425" s="101"/>
      <c r="H1425" s="101"/>
    </row>
    <row r="1426" spans="3:8">
      <c r="C1426" s="101"/>
      <c r="D1426" s="101"/>
      <c r="E1426" s="101"/>
      <c r="F1426" s="101"/>
      <c r="G1426" s="101"/>
      <c r="H1426" s="101"/>
    </row>
    <row r="1427" spans="3:8">
      <c r="C1427" s="101"/>
      <c r="D1427" s="101"/>
      <c r="E1427" s="101"/>
      <c r="F1427" s="101"/>
      <c r="G1427" s="101"/>
      <c r="H1427" s="101"/>
    </row>
    <row r="1428" spans="3:8">
      <c r="C1428" s="101"/>
      <c r="D1428" s="101"/>
      <c r="E1428" s="101"/>
      <c r="F1428" s="101"/>
      <c r="G1428" s="101"/>
      <c r="H1428" s="101"/>
    </row>
    <row r="1429" spans="3:8">
      <c r="C1429" s="101"/>
      <c r="D1429" s="101"/>
      <c r="E1429" s="101"/>
      <c r="F1429" s="101"/>
      <c r="G1429" s="101"/>
      <c r="H1429" s="101"/>
    </row>
    <row r="1430" spans="3:8">
      <c r="C1430" s="101"/>
      <c r="D1430" s="101"/>
      <c r="E1430" s="101"/>
      <c r="F1430" s="101"/>
      <c r="G1430" s="101"/>
      <c r="H1430" s="101"/>
    </row>
    <row r="1431" spans="3:8">
      <c r="C1431" s="101"/>
      <c r="D1431" s="101"/>
      <c r="E1431" s="101"/>
      <c r="F1431" s="101"/>
      <c r="G1431" s="101"/>
      <c r="H1431" s="101"/>
    </row>
    <row r="1432" spans="3:8">
      <c r="C1432" s="101"/>
      <c r="D1432" s="101"/>
      <c r="E1432" s="101"/>
      <c r="F1432" s="101"/>
      <c r="G1432" s="101"/>
      <c r="H1432" s="101"/>
    </row>
    <row r="1433" spans="3:8">
      <c r="C1433" s="101"/>
      <c r="D1433" s="101"/>
      <c r="E1433" s="101"/>
      <c r="F1433" s="101"/>
      <c r="G1433" s="101"/>
      <c r="H1433" s="101"/>
    </row>
    <row r="1434" spans="3:8">
      <c r="C1434" s="101"/>
      <c r="D1434" s="101"/>
      <c r="E1434" s="101"/>
      <c r="F1434" s="101"/>
      <c r="G1434" s="101"/>
      <c r="H1434" s="101"/>
    </row>
    <row r="1435" spans="3:8">
      <c r="C1435" s="101"/>
      <c r="D1435" s="101"/>
      <c r="E1435" s="101"/>
      <c r="F1435" s="101"/>
      <c r="G1435" s="101"/>
      <c r="H1435" s="101"/>
    </row>
    <row r="1436" spans="3:8">
      <c r="C1436" s="101"/>
      <c r="D1436" s="101"/>
      <c r="E1436" s="101"/>
      <c r="F1436" s="101"/>
      <c r="G1436" s="101"/>
      <c r="H1436" s="101"/>
    </row>
    <row r="1437" spans="3:8">
      <c r="C1437" s="101"/>
      <c r="D1437" s="101"/>
      <c r="E1437" s="101"/>
      <c r="F1437" s="101"/>
      <c r="G1437" s="101"/>
      <c r="H1437" s="101"/>
    </row>
    <row r="1438" spans="3:8">
      <c r="C1438" s="101"/>
      <c r="D1438" s="101"/>
      <c r="E1438" s="101"/>
      <c r="F1438" s="101"/>
      <c r="G1438" s="101"/>
      <c r="H1438" s="101"/>
    </row>
    <row r="1439" spans="3:8">
      <c r="C1439" s="101"/>
      <c r="D1439" s="101"/>
      <c r="E1439" s="101"/>
      <c r="F1439" s="101"/>
      <c r="G1439" s="101"/>
      <c r="H1439" s="101"/>
    </row>
    <row r="1440" spans="3:8">
      <c r="C1440" s="101"/>
      <c r="D1440" s="101"/>
      <c r="E1440" s="101"/>
      <c r="F1440" s="101"/>
      <c r="G1440" s="101"/>
      <c r="H1440" s="101"/>
    </row>
    <row r="1441" spans="3:8">
      <c r="C1441" s="101"/>
      <c r="D1441" s="101"/>
      <c r="E1441" s="101"/>
      <c r="F1441" s="101"/>
      <c r="G1441" s="101"/>
      <c r="H1441" s="101"/>
    </row>
    <row r="1442" spans="3:8">
      <c r="C1442" s="101"/>
      <c r="D1442" s="101"/>
      <c r="E1442" s="101"/>
      <c r="F1442" s="101"/>
      <c r="G1442" s="101"/>
      <c r="H1442" s="101"/>
    </row>
    <row r="1443" spans="3:8">
      <c r="C1443" s="101"/>
      <c r="D1443" s="101"/>
      <c r="E1443" s="101"/>
      <c r="F1443" s="101"/>
      <c r="G1443" s="101"/>
      <c r="H1443" s="101"/>
    </row>
    <row r="1444" spans="3:8">
      <c r="C1444" s="101"/>
      <c r="D1444" s="101"/>
      <c r="E1444" s="101"/>
      <c r="F1444" s="101"/>
      <c r="G1444" s="101"/>
      <c r="H1444" s="101"/>
    </row>
    <row r="1445" spans="3:8">
      <c r="C1445" s="101"/>
      <c r="D1445" s="101"/>
      <c r="E1445" s="101"/>
      <c r="F1445" s="101"/>
      <c r="G1445" s="101"/>
      <c r="H1445" s="101"/>
    </row>
    <row r="1446" spans="3:8">
      <c r="C1446" s="101"/>
      <c r="D1446" s="101"/>
      <c r="E1446" s="101"/>
      <c r="F1446" s="101"/>
      <c r="G1446" s="101"/>
      <c r="H1446" s="101"/>
    </row>
    <row r="1447" spans="3:8">
      <c r="C1447" s="101"/>
      <c r="D1447" s="101"/>
      <c r="E1447" s="101"/>
      <c r="F1447" s="101"/>
      <c r="G1447" s="101"/>
      <c r="H1447" s="101"/>
    </row>
    <row r="1448" spans="3:8">
      <c r="C1448" s="101"/>
      <c r="D1448" s="101"/>
      <c r="E1448" s="101"/>
      <c r="F1448" s="101"/>
      <c r="G1448" s="101"/>
      <c r="H1448" s="101"/>
    </row>
    <row r="1449" spans="3:8">
      <c r="C1449" s="101"/>
      <c r="D1449" s="101"/>
      <c r="E1449" s="101"/>
      <c r="F1449" s="101"/>
      <c r="G1449" s="101"/>
      <c r="H1449" s="101"/>
    </row>
    <row r="1450" spans="3:8">
      <c r="C1450" s="101"/>
      <c r="D1450" s="101"/>
      <c r="E1450" s="101"/>
      <c r="F1450" s="101"/>
      <c r="G1450" s="101"/>
      <c r="H1450" s="101"/>
    </row>
    <row r="1451" spans="3:8">
      <c r="C1451" s="101"/>
      <c r="D1451" s="101"/>
      <c r="E1451" s="101"/>
      <c r="F1451" s="101"/>
      <c r="G1451" s="101"/>
      <c r="H1451" s="101"/>
    </row>
    <row r="1452" spans="3:8">
      <c r="C1452" s="101"/>
      <c r="D1452" s="101"/>
      <c r="E1452" s="101"/>
      <c r="F1452" s="101"/>
      <c r="G1452" s="101"/>
      <c r="H1452" s="101"/>
    </row>
    <row r="1453" spans="3:8">
      <c r="C1453" s="101"/>
      <c r="D1453" s="101"/>
      <c r="E1453" s="101"/>
      <c r="F1453" s="101"/>
      <c r="G1453" s="101"/>
      <c r="H1453" s="101"/>
    </row>
    <row r="1454" spans="3:8">
      <c r="C1454" s="101"/>
      <c r="D1454" s="101"/>
      <c r="E1454" s="101"/>
      <c r="F1454" s="101"/>
      <c r="G1454" s="101"/>
      <c r="H1454" s="101"/>
    </row>
    <row r="1455" spans="3:8">
      <c r="C1455" s="101"/>
      <c r="D1455" s="101"/>
      <c r="E1455" s="101"/>
      <c r="F1455" s="101"/>
      <c r="G1455" s="101"/>
      <c r="H1455" s="101"/>
    </row>
    <row r="1456" spans="3:8">
      <c r="C1456" s="101"/>
      <c r="D1456" s="101"/>
      <c r="E1456" s="101"/>
      <c r="F1456" s="101"/>
      <c r="G1456" s="101"/>
      <c r="H1456" s="101"/>
    </row>
    <row r="1457" spans="3:8">
      <c r="C1457" s="101"/>
      <c r="D1457" s="101"/>
      <c r="E1457" s="101"/>
      <c r="F1457" s="101"/>
      <c r="G1457" s="101"/>
      <c r="H1457" s="101"/>
    </row>
    <row r="1458" spans="3:8">
      <c r="C1458" s="101"/>
      <c r="D1458" s="101"/>
      <c r="E1458" s="101"/>
      <c r="F1458" s="101"/>
      <c r="G1458" s="101"/>
      <c r="H1458" s="101"/>
    </row>
    <row r="1459" spans="3:8">
      <c r="C1459" s="101"/>
      <c r="D1459" s="101"/>
      <c r="E1459" s="101"/>
      <c r="F1459" s="101"/>
      <c r="G1459" s="101"/>
      <c r="H1459" s="101"/>
    </row>
    <row r="1460" spans="3:8">
      <c r="C1460" s="101"/>
      <c r="D1460" s="101"/>
      <c r="E1460" s="101"/>
      <c r="F1460" s="101"/>
      <c r="G1460" s="101"/>
      <c r="H1460" s="101"/>
    </row>
    <row r="1461" spans="3:8">
      <c r="C1461" s="101"/>
      <c r="D1461" s="101"/>
      <c r="E1461" s="101"/>
      <c r="F1461" s="101"/>
      <c r="G1461" s="101"/>
      <c r="H1461" s="101"/>
    </row>
    <row r="1462" spans="3:8">
      <c r="C1462" s="101"/>
      <c r="D1462" s="101"/>
      <c r="E1462" s="101"/>
      <c r="F1462" s="101"/>
      <c r="G1462" s="101"/>
      <c r="H1462" s="101"/>
    </row>
    <row r="1463" spans="3:8">
      <c r="C1463" s="101"/>
      <c r="D1463" s="101"/>
      <c r="E1463" s="101"/>
      <c r="F1463" s="101"/>
      <c r="G1463" s="101"/>
      <c r="H1463" s="101"/>
    </row>
    <row r="1464" spans="3:8">
      <c r="C1464" s="101"/>
      <c r="D1464" s="101"/>
      <c r="E1464" s="101"/>
      <c r="F1464" s="101"/>
      <c r="G1464" s="101"/>
      <c r="H1464" s="101"/>
    </row>
    <row r="1465" spans="3:8">
      <c r="C1465" s="101"/>
      <c r="D1465" s="101"/>
      <c r="E1465" s="101"/>
      <c r="F1465" s="101"/>
      <c r="G1465" s="101"/>
      <c r="H1465" s="101"/>
    </row>
    <row r="1466" spans="3:8">
      <c r="C1466" s="101"/>
      <c r="D1466" s="101"/>
      <c r="E1466" s="101"/>
      <c r="F1466" s="101"/>
      <c r="G1466" s="101"/>
      <c r="H1466" s="101"/>
    </row>
    <row r="1467" spans="3:8">
      <c r="C1467" s="101"/>
      <c r="D1467" s="101"/>
      <c r="E1467" s="101"/>
      <c r="F1467" s="101"/>
      <c r="G1467" s="101"/>
      <c r="H1467" s="101"/>
    </row>
    <row r="1468" spans="3:8">
      <c r="C1468" s="101"/>
      <c r="D1468" s="101"/>
      <c r="E1468" s="101"/>
      <c r="F1468" s="101"/>
      <c r="G1468" s="101"/>
      <c r="H1468" s="101"/>
    </row>
    <row r="1469" spans="3:8">
      <c r="C1469" s="101"/>
      <c r="D1469" s="101"/>
      <c r="E1469" s="101"/>
      <c r="F1469" s="101"/>
      <c r="G1469" s="101"/>
      <c r="H1469" s="101"/>
    </row>
    <row r="1470" spans="3:8">
      <c r="C1470" s="101"/>
      <c r="D1470" s="101"/>
      <c r="E1470" s="101"/>
      <c r="F1470" s="101"/>
      <c r="G1470" s="101"/>
      <c r="H1470" s="101"/>
    </row>
    <row r="1471" spans="3:8">
      <c r="C1471" s="101"/>
      <c r="D1471" s="101"/>
      <c r="E1471" s="101"/>
      <c r="F1471" s="101"/>
      <c r="G1471" s="101"/>
      <c r="H1471" s="101"/>
    </row>
    <row r="1472" spans="3:8">
      <c r="C1472" s="101"/>
      <c r="D1472" s="101"/>
      <c r="E1472" s="101"/>
      <c r="F1472" s="101"/>
      <c r="G1472" s="101"/>
      <c r="H1472" s="101"/>
    </row>
    <row r="1473" spans="3:8">
      <c r="C1473" s="101"/>
      <c r="D1473" s="101"/>
      <c r="E1473" s="101"/>
      <c r="F1473" s="101"/>
      <c r="G1473" s="101"/>
      <c r="H1473" s="101"/>
    </row>
    <row r="1474" spans="3:8">
      <c r="C1474" s="101"/>
      <c r="D1474" s="101"/>
      <c r="E1474" s="101"/>
      <c r="F1474" s="101"/>
      <c r="G1474" s="101"/>
      <c r="H1474" s="101"/>
    </row>
    <row r="1475" spans="3:8">
      <c r="C1475" s="101"/>
      <c r="D1475" s="101"/>
      <c r="E1475" s="101"/>
      <c r="F1475" s="101"/>
      <c r="G1475" s="101"/>
      <c r="H1475" s="101"/>
    </row>
    <row r="1476" spans="3:8">
      <c r="C1476" s="101"/>
      <c r="D1476" s="101"/>
      <c r="E1476" s="101"/>
      <c r="F1476" s="101"/>
      <c r="G1476" s="101"/>
      <c r="H1476" s="101"/>
    </row>
    <row r="1477" spans="3:8">
      <c r="C1477" s="101"/>
      <c r="D1477" s="101"/>
      <c r="E1477" s="101"/>
      <c r="F1477" s="101"/>
      <c r="G1477" s="101"/>
      <c r="H1477" s="101"/>
    </row>
    <row r="1478" spans="3:8">
      <c r="C1478" s="101"/>
      <c r="D1478" s="101"/>
      <c r="E1478" s="101"/>
      <c r="F1478" s="101"/>
      <c r="G1478" s="101"/>
      <c r="H1478" s="101"/>
    </row>
    <row r="1479" spans="3:8">
      <c r="C1479" s="101"/>
      <c r="D1479" s="101"/>
      <c r="E1479" s="101"/>
      <c r="F1479" s="101"/>
      <c r="G1479" s="101"/>
      <c r="H1479" s="101"/>
    </row>
    <row r="1480" spans="3:8">
      <c r="C1480" s="101"/>
      <c r="D1480" s="101"/>
      <c r="E1480" s="101"/>
      <c r="F1480" s="101"/>
      <c r="G1480" s="101"/>
      <c r="H1480" s="101"/>
    </row>
    <row r="1481" spans="3:8">
      <c r="C1481" s="101"/>
      <c r="D1481" s="101"/>
      <c r="E1481" s="101"/>
      <c r="F1481" s="101"/>
      <c r="G1481" s="101"/>
      <c r="H1481" s="101"/>
    </row>
    <row r="1482" spans="3:8">
      <c r="C1482" s="101"/>
      <c r="D1482" s="101"/>
      <c r="E1482" s="101"/>
      <c r="F1482" s="101"/>
      <c r="G1482" s="101"/>
      <c r="H1482" s="101"/>
    </row>
    <row r="1483" spans="3:8">
      <c r="C1483" s="101"/>
      <c r="D1483" s="101"/>
      <c r="E1483" s="101"/>
      <c r="F1483" s="101"/>
      <c r="G1483" s="101"/>
      <c r="H1483" s="101"/>
    </row>
    <row r="1484" spans="3:8">
      <c r="C1484" s="101"/>
      <c r="D1484" s="101"/>
      <c r="E1484" s="101"/>
      <c r="F1484" s="101"/>
      <c r="G1484" s="101"/>
      <c r="H1484" s="101"/>
    </row>
    <row r="1485" spans="3:8">
      <c r="C1485" s="101"/>
      <c r="D1485" s="101"/>
      <c r="E1485" s="101"/>
      <c r="F1485" s="101"/>
      <c r="G1485" s="101"/>
      <c r="H1485" s="101"/>
    </row>
    <row r="1486" spans="3:8">
      <c r="C1486" s="101"/>
      <c r="D1486" s="101"/>
      <c r="E1486" s="101"/>
      <c r="F1486" s="101"/>
      <c r="G1486" s="101"/>
      <c r="H1486" s="101"/>
    </row>
    <row r="1487" spans="3:8">
      <c r="C1487" s="101"/>
      <c r="D1487" s="101"/>
      <c r="E1487" s="101"/>
      <c r="F1487" s="101"/>
      <c r="G1487" s="101"/>
      <c r="H1487" s="101"/>
    </row>
    <row r="1488" spans="3:8">
      <c r="C1488" s="101"/>
      <c r="D1488" s="101"/>
      <c r="E1488" s="101"/>
      <c r="F1488" s="101"/>
      <c r="G1488" s="101"/>
      <c r="H1488" s="101"/>
    </row>
    <row r="1489" spans="3:8">
      <c r="C1489" s="101"/>
      <c r="D1489" s="101"/>
      <c r="E1489" s="101"/>
      <c r="F1489" s="101"/>
      <c r="G1489" s="101"/>
      <c r="H1489" s="101"/>
    </row>
    <row r="1490" spans="3:8">
      <c r="C1490" s="101"/>
      <c r="D1490" s="101"/>
      <c r="E1490" s="101"/>
      <c r="F1490" s="101"/>
      <c r="G1490" s="101"/>
      <c r="H1490" s="101"/>
    </row>
    <row r="1491" spans="3:8">
      <c r="C1491" s="101"/>
      <c r="D1491" s="101"/>
      <c r="E1491" s="101"/>
      <c r="F1491" s="101"/>
      <c r="G1491" s="101"/>
      <c r="H1491" s="101"/>
    </row>
    <row r="1492" spans="3:8">
      <c r="C1492" s="101"/>
      <c r="D1492" s="101"/>
      <c r="E1492" s="101"/>
      <c r="F1492" s="101"/>
      <c r="G1492" s="101"/>
      <c r="H1492" s="101"/>
    </row>
    <row r="1493" spans="3:8">
      <c r="C1493" s="101"/>
      <c r="D1493" s="101"/>
      <c r="E1493" s="101"/>
      <c r="F1493" s="101"/>
      <c r="G1493" s="101"/>
      <c r="H1493" s="101"/>
    </row>
    <row r="1494" spans="3:8">
      <c r="C1494" s="101"/>
      <c r="D1494" s="101"/>
      <c r="E1494" s="101"/>
      <c r="F1494" s="101"/>
      <c r="G1494" s="101"/>
      <c r="H1494" s="101"/>
    </row>
    <row r="1495" spans="3:8">
      <c r="C1495" s="101"/>
      <c r="D1495" s="101"/>
      <c r="E1495" s="101"/>
      <c r="F1495" s="101"/>
      <c r="G1495" s="101"/>
      <c r="H1495" s="101"/>
    </row>
    <row r="1496" spans="3:8">
      <c r="C1496" s="101"/>
      <c r="D1496" s="101"/>
      <c r="E1496" s="101"/>
      <c r="F1496" s="101"/>
      <c r="G1496" s="101"/>
      <c r="H1496" s="101"/>
    </row>
    <row r="1497" spans="3:8">
      <c r="C1497" s="101"/>
      <c r="D1497" s="101"/>
      <c r="E1497" s="101"/>
      <c r="F1497" s="101"/>
      <c r="G1497" s="101"/>
      <c r="H1497" s="101"/>
    </row>
    <row r="1498" spans="3:8">
      <c r="C1498" s="101"/>
      <c r="D1498" s="101"/>
      <c r="E1498" s="101"/>
      <c r="F1498" s="101"/>
      <c r="G1498" s="101"/>
      <c r="H1498" s="101"/>
    </row>
    <row r="1499" spans="3:8">
      <c r="C1499" s="101"/>
      <c r="D1499" s="101"/>
      <c r="E1499" s="101"/>
      <c r="F1499" s="101"/>
      <c r="G1499" s="101"/>
      <c r="H1499" s="101"/>
    </row>
    <row r="1500" spans="3:8">
      <c r="C1500" s="101"/>
      <c r="D1500" s="101"/>
      <c r="E1500" s="101"/>
      <c r="F1500" s="101"/>
      <c r="G1500" s="101"/>
      <c r="H1500" s="101"/>
    </row>
    <row r="1501" spans="3:8">
      <c r="C1501" s="101"/>
      <c r="D1501" s="101"/>
      <c r="E1501" s="101"/>
      <c r="F1501" s="101"/>
      <c r="G1501" s="101"/>
      <c r="H1501" s="101"/>
    </row>
    <row r="1502" spans="3:8">
      <c r="C1502" s="101"/>
      <c r="D1502" s="101"/>
      <c r="E1502" s="101"/>
      <c r="F1502" s="101"/>
      <c r="G1502" s="101"/>
      <c r="H1502" s="101"/>
    </row>
    <row r="1503" spans="3:8">
      <c r="C1503" s="101"/>
      <c r="D1503" s="101"/>
      <c r="E1503" s="101"/>
      <c r="F1503" s="101"/>
      <c r="G1503" s="101"/>
      <c r="H1503" s="101"/>
    </row>
    <row r="1504" spans="3:8">
      <c r="C1504" s="101"/>
      <c r="D1504" s="101"/>
      <c r="E1504" s="101"/>
      <c r="F1504" s="101"/>
      <c r="G1504" s="101"/>
      <c r="H1504" s="101"/>
    </row>
    <row r="1505" spans="3:8">
      <c r="C1505" s="101"/>
      <c r="D1505" s="101"/>
      <c r="E1505" s="101"/>
      <c r="F1505" s="101"/>
      <c r="G1505" s="101"/>
      <c r="H1505" s="101"/>
    </row>
    <row r="1506" spans="3:8">
      <c r="C1506" s="101"/>
      <c r="D1506" s="101"/>
      <c r="E1506" s="101"/>
      <c r="F1506" s="101"/>
      <c r="G1506" s="101"/>
      <c r="H1506" s="101"/>
    </row>
    <row r="1507" spans="3:8">
      <c r="C1507" s="101"/>
      <c r="D1507" s="101"/>
      <c r="E1507" s="101"/>
      <c r="F1507" s="101"/>
      <c r="G1507" s="101"/>
      <c r="H1507" s="101"/>
    </row>
    <row r="1508" spans="3:8">
      <c r="C1508" s="101"/>
      <c r="D1508" s="101"/>
      <c r="E1508" s="101"/>
      <c r="F1508" s="101"/>
      <c r="G1508" s="101"/>
      <c r="H1508" s="101"/>
    </row>
    <row r="1509" spans="3:8">
      <c r="C1509" s="101"/>
      <c r="D1509" s="101"/>
      <c r="E1509" s="101"/>
      <c r="F1509" s="101"/>
      <c r="G1509" s="101"/>
      <c r="H1509" s="101"/>
    </row>
    <row r="1510" spans="3:8">
      <c r="C1510" s="101"/>
      <c r="D1510" s="101"/>
      <c r="E1510" s="101"/>
      <c r="F1510" s="101"/>
      <c r="G1510" s="101"/>
      <c r="H1510" s="101"/>
    </row>
    <row r="1511" spans="3:8">
      <c r="C1511" s="101"/>
      <c r="D1511" s="101"/>
      <c r="E1511" s="101"/>
      <c r="F1511" s="101"/>
      <c r="G1511" s="101"/>
      <c r="H1511" s="101"/>
    </row>
    <row r="1512" spans="3:8">
      <c r="C1512" s="101"/>
      <c r="D1512" s="101"/>
      <c r="E1512" s="101"/>
      <c r="F1512" s="101"/>
      <c r="G1512" s="101"/>
      <c r="H1512" s="101"/>
    </row>
    <row r="1513" spans="3:8">
      <c r="C1513" s="101"/>
      <c r="D1513" s="101"/>
      <c r="E1513" s="101"/>
      <c r="F1513" s="101"/>
      <c r="G1513" s="101"/>
      <c r="H1513" s="101"/>
    </row>
    <row r="1514" spans="3:8">
      <c r="C1514" s="101"/>
      <c r="D1514" s="101"/>
      <c r="E1514" s="101"/>
      <c r="F1514" s="101"/>
      <c r="G1514" s="101"/>
      <c r="H1514" s="101"/>
    </row>
    <row r="1515" spans="3:8">
      <c r="C1515" s="101"/>
      <c r="D1515" s="101"/>
      <c r="E1515" s="101"/>
      <c r="F1515" s="101"/>
      <c r="G1515" s="101"/>
      <c r="H1515" s="101"/>
    </row>
    <row r="1516" spans="3:8">
      <c r="C1516" s="101"/>
      <c r="D1516" s="101"/>
      <c r="E1516" s="101"/>
      <c r="F1516" s="101"/>
      <c r="G1516" s="101"/>
      <c r="H1516" s="101"/>
    </row>
    <row r="1517" spans="3:8">
      <c r="C1517" s="101"/>
      <c r="D1517" s="101"/>
      <c r="E1517" s="101"/>
      <c r="F1517" s="101"/>
      <c r="G1517" s="101"/>
      <c r="H1517" s="101"/>
    </row>
    <row r="1518" spans="3:8">
      <c r="C1518" s="101"/>
      <c r="D1518" s="101"/>
      <c r="E1518" s="101"/>
      <c r="F1518" s="101"/>
      <c r="G1518" s="101"/>
      <c r="H1518" s="101"/>
    </row>
    <row r="1519" spans="3:8">
      <c r="C1519" s="101"/>
      <c r="D1519" s="101"/>
      <c r="E1519" s="101"/>
      <c r="F1519" s="101"/>
      <c r="G1519" s="101"/>
      <c r="H1519" s="101"/>
    </row>
    <row r="1520" spans="3:8">
      <c r="C1520" s="101"/>
      <c r="D1520" s="101"/>
      <c r="E1520" s="101"/>
      <c r="F1520" s="101"/>
      <c r="G1520" s="101"/>
      <c r="H1520" s="101"/>
    </row>
    <row r="1521" spans="3:8">
      <c r="C1521" s="101"/>
      <c r="D1521" s="101"/>
      <c r="E1521" s="101"/>
      <c r="F1521" s="101"/>
      <c r="G1521" s="101"/>
      <c r="H1521" s="101"/>
    </row>
    <row r="1522" spans="3:8">
      <c r="C1522" s="101"/>
      <c r="D1522" s="101"/>
      <c r="E1522" s="101"/>
      <c r="F1522" s="101"/>
      <c r="G1522" s="101"/>
      <c r="H1522" s="101"/>
    </row>
    <row r="1523" spans="3:8">
      <c r="C1523" s="101"/>
      <c r="D1523" s="101"/>
      <c r="E1523" s="101"/>
      <c r="F1523" s="101"/>
      <c r="G1523" s="101"/>
      <c r="H1523" s="101"/>
    </row>
    <row r="1524" spans="3:8">
      <c r="C1524" s="101"/>
      <c r="D1524" s="101"/>
      <c r="E1524" s="101"/>
      <c r="F1524" s="101"/>
      <c r="G1524" s="101"/>
      <c r="H1524" s="101"/>
    </row>
    <row r="1525" spans="3:8">
      <c r="C1525" s="101"/>
      <c r="D1525" s="101"/>
      <c r="E1525" s="101"/>
      <c r="F1525" s="101"/>
      <c r="G1525" s="101"/>
      <c r="H1525" s="101"/>
    </row>
    <row r="1526" spans="3:8">
      <c r="C1526" s="101"/>
      <c r="D1526" s="101"/>
      <c r="E1526" s="101"/>
      <c r="F1526" s="101"/>
      <c r="G1526" s="101"/>
      <c r="H1526" s="101"/>
    </row>
    <row r="1527" spans="3:8">
      <c r="C1527" s="101"/>
      <c r="D1527" s="101"/>
      <c r="E1527" s="101"/>
      <c r="F1527" s="101"/>
      <c r="G1527" s="101"/>
      <c r="H1527" s="101"/>
    </row>
    <row r="1528" spans="3:8">
      <c r="C1528" s="101"/>
      <c r="D1528" s="101"/>
      <c r="E1528" s="101"/>
      <c r="F1528" s="101"/>
      <c r="G1528" s="101"/>
      <c r="H1528" s="101"/>
    </row>
    <row r="1529" spans="3:8">
      <c r="C1529" s="101"/>
      <c r="D1529" s="101"/>
      <c r="E1529" s="101"/>
      <c r="F1529" s="101"/>
      <c r="G1529" s="101"/>
      <c r="H1529" s="101"/>
    </row>
    <row r="1530" spans="3:8">
      <c r="C1530" s="101"/>
      <c r="D1530" s="101"/>
      <c r="E1530" s="101"/>
      <c r="F1530" s="101"/>
      <c r="G1530" s="101"/>
      <c r="H1530" s="101"/>
    </row>
    <row r="1531" spans="3:8">
      <c r="C1531" s="101"/>
      <c r="D1531" s="101"/>
      <c r="E1531" s="101"/>
      <c r="F1531" s="101"/>
      <c r="G1531" s="101"/>
      <c r="H1531" s="101"/>
    </row>
    <row r="1532" spans="3:8">
      <c r="C1532" s="101"/>
      <c r="D1532" s="101"/>
      <c r="E1532" s="101"/>
      <c r="F1532" s="101"/>
      <c r="G1532" s="101"/>
      <c r="H1532" s="101"/>
    </row>
    <row r="1533" spans="3:8">
      <c r="C1533" s="101"/>
      <c r="D1533" s="101"/>
      <c r="E1533" s="101"/>
      <c r="F1533" s="101"/>
      <c r="G1533" s="101"/>
      <c r="H1533" s="101"/>
    </row>
    <row r="1534" spans="3:8">
      <c r="C1534" s="101"/>
      <c r="D1534" s="101"/>
      <c r="E1534" s="101"/>
      <c r="F1534" s="101"/>
      <c r="G1534" s="101"/>
      <c r="H1534" s="101"/>
    </row>
    <row r="1535" spans="3:8">
      <c r="C1535" s="101"/>
      <c r="D1535" s="101"/>
      <c r="E1535" s="101"/>
      <c r="F1535" s="101"/>
      <c r="G1535" s="101"/>
      <c r="H1535" s="101"/>
    </row>
    <row r="1536" spans="3:8">
      <c r="C1536" s="101"/>
      <c r="D1536" s="101"/>
      <c r="E1536" s="101"/>
      <c r="F1536" s="101"/>
      <c r="G1536" s="101"/>
      <c r="H1536" s="101"/>
    </row>
    <row r="1537" spans="3:8">
      <c r="C1537" s="101"/>
      <c r="D1537" s="101"/>
      <c r="E1537" s="101"/>
      <c r="F1537" s="101"/>
      <c r="G1537" s="101"/>
      <c r="H1537" s="101"/>
    </row>
    <row r="1538" spans="3:8">
      <c r="C1538" s="101"/>
      <c r="D1538" s="101"/>
      <c r="E1538" s="101"/>
      <c r="F1538" s="101"/>
      <c r="G1538" s="101"/>
      <c r="H1538" s="101"/>
    </row>
    <row r="1539" spans="3:8">
      <c r="C1539" s="101"/>
      <c r="D1539" s="101"/>
      <c r="E1539" s="101"/>
      <c r="F1539" s="101"/>
      <c r="G1539" s="101"/>
      <c r="H1539" s="101"/>
    </row>
    <row r="1540" spans="3:8">
      <c r="C1540" s="101"/>
      <c r="D1540" s="101"/>
      <c r="E1540" s="101"/>
      <c r="F1540" s="101"/>
      <c r="G1540" s="101"/>
      <c r="H1540" s="101"/>
    </row>
    <row r="1541" spans="3:8">
      <c r="C1541" s="101"/>
      <c r="D1541" s="101"/>
      <c r="E1541" s="101"/>
      <c r="F1541" s="101"/>
      <c r="G1541" s="101"/>
      <c r="H1541" s="101"/>
    </row>
    <row r="1542" spans="3:8">
      <c r="C1542" s="101"/>
      <c r="D1542" s="101"/>
      <c r="E1542" s="101"/>
      <c r="F1542" s="101"/>
      <c r="G1542" s="101"/>
      <c r="H1542" s="101"/>
    </row>
    <row r="1543" spans="3:8">
      <c r="C1543" s="101"/>
      <c r="D1543" s="101"/>
      <c r="E1543" s="101"/>
      <c r="F1543" s="101"/>
      <c r="G1543" s="101"/>
      <c r="H1543" s="101"/>
    </row>
    <row r="1544" spans="3:8">
      <c r="C1544" s="101"/>
      <c r="D1544" s="101"/>
      <c r="E1544" s="101"/>
      <c r="F1544" s="101"/>
      <c r="G1544" s="101"/>
      <c r="H1544" s="101"/>
    </row>
    <row r="1545" spans="3:8">
      <c r="C1545" s="101"/>
      <c r="D1545" s="101"/>
      <c r="E1545" s="101"/>
      <c r="F1545" s="101"/>
      <c r="G1545" s="101"/>
      <c r="H1545" s="101"/>
    </row>
    <row r="1546" spans="3:8">
      <c r="C1546" s="101"/>
      <c r="D1546" s="101"/>
      <c r="E1546" s="101"/>
      <c r="F1546" s="101"/>
      <c r="G1546" s="101"/>
      <c r="H1546" s="101"/>
    </row>
    <row r="1547" spans="3:8">
      <c r="C1547" s="101"/>
      <c r="D1547" s="101"/>
      <c r="E1547" s="101"/>
      <c r="F1547" s="101"/>
      <c r="G1547" s="101"/>
      <c r="H1547" s="101"/>
    </row>
    <row r="1548" spans="3:8">
      <c r="C1548" s="101"/>
      <c r="D1548" s="101"/>
      <c r="E1548" s="101"/>
      <c r="F1548" s="101"/>
      <c r="G1548" s="101"/>
      <c r="H1548" s="101"/>
    </row>
    <row r="1549" spans="3:8">
      <c r="C1549" s="101"/>
      <c r="D1549" s="101"/>
      <c r="E1549" s="101"/>
      <c r="F1549" s="101"/>
      <c r="G1549" s="101"/>
      <c r="H1549" s="101"/>
    </row>
    <row r="1550" spans="3:8">
      <c r="C1550" s="101"/>
      <c r="D1550" s="101"/>
      <c r="E1550" s="101"/>
      <c r="F1550" s="101"/>
      <c r="G1550" s="101"/>
      <c r="H1550" s="101"/>
    </row>
    <row r="1551" spans="3:8">
      <c r="C1551" s="101"/>
      <c r="D1551" s="101"/>
      <c r="E1551" s="101"/>
      <c r="F1551" s="101"/>
      <c r="G1551" s="101"/>
      <c r="H1551" s="101"/>
    </row>
    <row r="1552" spans="3:8">
      <c r="C1552" s="101"/>
      <c r="D1552" s="101"/>
      <c r="E1552" s="101"/>
      <c r="F1552" s="101"/>
      <c r="G1552" s="101"/>
      <c r="H1552" s="101"/>
    </row>
    <row r="1553" spans="3:8">
      <c r="C1553" s="101"/>
      <c r="D1553" s="101"/>
      <c r="E1553" s="101"/>
      <c r="F1553" s="101"/>
      <c r="G1553" s="101"/>
      <c r="H1553" s="101"/>
    </row>
    <row r="1554" spans="3:8">
      <c r="C1554" s="101"/>
      <c r="D1554" s="101"/>
      <c r="E1554" s="101"/>
      <c r="F1554" s="101"/>
      <c r="G1554" s="101"/>
      <c r="H1554" s="101"/>
    </row>
    <row r="1555" spans="3:8">
      <c r="C1555" s="101"/>
      <c r="D1555" s="101"/>
      <c r="E1555" s="101"/>
      <c r="F1555" s="101"/>
      <c r="G1555" s="101"/>
      <c r="H1555" s="101"/>
    </row>
    <row r="1556" spans="3:8">
      <c r="C1556" s="101"/>
      <c r="D1556" s="101"/>
      <c r="E1556" s="101"/>
      <c r="F1556" s="101"/>
      <c r="G1556" s="101"/>
      <c r="H1556" s="101"/>
    </row>
    <row r="1557" spans="3:8">
      <c r="C1557" s="101"/>
      <c r="D1557" s="101"/>
      <c r="E1557" s="101"/>
      <c r="F1557" s="101"/>
      <c r="G1557" s="101"/>
      <c r="H1557" s="101"/>
    </row>
    <row r="1558" spans="3:8">
      <c r="C1558" s="101"/>
      <c r="D1558" s="101"/>
      <c r="E1558" s="101"/>
      <c r="F1558" s="101"/>
      <c r="G1558" s="101"/>
      <c r="H1558" s="101"/>
    </row>
    <row r="1559" spans="3:8">
      <c r="C1559" s="101"/>
      <c r="D1559" s="101"/>
      <c r="E1559" s="101"/>
      <c r="F1559" s="101"/>
      <c r="G1559" s="101"/>
      <c r="H1559" s="101"/>
    </row>
    <row r="1560" spans="3:8">
      <c r="C1560" s="101"/>
      <c r="D1560" s="101"/>
      <c r="E1560" s="101"/>
      <c r="F1560" s="101"/>
      <c r="G1560" s="101"/>
      <c r="H1560" s="101"/>
    </row>
    <row r="1561" spans="3:8">
      <c r="C1561" s="101"/>
      <c r="D1561" s="101"/>
      <c r="E1561" s="101"/>
      <c r="F1561" s="101"/>
      <c r="G1561" s="101"/>
      <c r="H1561" s="101"/>
    </row>
    <row r="1562" spans="3:8">
      <c r="C1562" s="101"/>
      <c r="D1562" s="101"/>
      <c r="E1562" s="101"/>
      <c r="F1562" s="101"/>
      <c r="G1562" s="101"/>
      <c r="H1562" s="101"/>
    </row>
    <row r="1563" spans="3:8">
      <c r="C1563" s="101"/>
      <c r="D1563" s="101"/>
      <c r="E1563" s="101"/>
      <c r="F1563" s="101"/>
      <c r="G1563" s="101"/>
      <c r="H1563" s="101"/>
    </row>
    <row r="1564" spans="3:8">
      <c r="C1564" s="101"/>
      <c r="D1564" s="101"/>
      <c r="E1564" s="101"/>
      <c r="F1564" s="101"/>
      <c r="G1564" s="101"/>
      <c r="H1564" s="101"/>
    </row>
    <row r="1565" spans="3:8">
      <c r="C1565" s="101"/>
      <c r="D1565" s="101"/>
      <c r="E1565" s="101"/>
      <c r="F1565" s="101"/>
      <c r="G1565" s="101"/>
      <c r="H1565" s="101"/>
    </row>
    <row r="1566" spans="3:8">
      <c r="C1566" s="101"/>
      <c r="D1566" s="101"/>
      <c r="E1566" s="101"/>
      <c r="F1566" s="101"/>
      <c r="G1566" s="101"/>
      <c r="H1566" s="101"/>
    </row>
    <row r="1567" spans="3:8">
      <c r="C1567" s="101"/>
      <c r="D1567" s="101"/>
      <c r="E1567" s="101"/>
      <c r="F1567" s="101"/>
      <c r="G1567" s="101"/>
      <c r="H1567" s="101"/>
    </row>
    <row r="1568" spans="3:8">
      <c r="C1568" s="101"/>
      <c r="D1568" s="101"/>
      <c r="E1568" s="101"/>
      <c r="F1568" s="101"/>
      <c r="G1568" s="101"/>
      <c r="H1568" s="101"/>
    </row>
    <row r="1569" spans="3:8">
      <c r="C1569" s="101"/>
      <c r="D1569" s="101"/>
      <c r="E1569" s="101"/>
      <c r="F1569" s="101"/>
      <c r="G1569" s="101"/>
      <c r="H1569" s="101"/>
    </row>
    <row r="1570" spans="3:8">
      <c r="C1570" s="101"/>
      <c r="D1570" s="101"/>
      <c r="E1570" s="101"/>
      <c r="F1570" s="101"/>
      <c r="G1570" s="101"/>
      <c r="H1570" s="101"/>
    </row>
    <row r="1571" spans="3:8">
      <c r="C1571" s="101"/>
      <c r="D1571" s="101"/>
      <c r="E1571" s="101"/>
      <c r="F1571" s="101"/>
      <c r="G1571" s="101"/>
      <c r="H1571" s="101"/>
    </row>
    <row r="1572" spans="3:8">
      <c r="C1572" s="101"/>
      <c r="D1572" s="101"/>
      <c r="E1572" s="101"/>
      <c r="F1572" s="101"/>
      <c r="G1572" s="101"/>
      <c r="H1572" s="101"/>
    </row>
    <row r="1573" spans="3:8">
      <c r="C1573" s="101"/>
      <c r="D1573" s="101"/>
      <c r="E1573" s="101"/>
      <c r="F1573" s="101"/>
      <c r="G1573" s="101"/>
      <c r="H1573" s="101"/>
    </row>
    <row r="1574" spans="3:8">
      <c r="C1574" s="101"/>
      <c r="D1574" s="101"/>
      <c r="E1574" s="101"/>
      <c r="F1574" s="101"/>
      <c r="G1574" s="101"/>
      <c r="H1574" s="101"/>
    </row>
    <row r="1575" spans="3:8">
      <c r="C1575" s="101"/>
      <c r="D1575" s="101"/>
      <c r="E1575" s="101"/>
      <c r="F1575" s="101"/>
      <c r="G1575" s="101"/>
      <c r="H1575" s="101"/>
    </row>
    <row r="1576" spans="3:8">
      <c r="C1576" s="101"/>
      <c r="D1576" s="101"/>
      <c r="E1576" s="101"/>
      <c r="F1576" s="101"/>
      <c r="G1576" s="101"/>
      <c r="H1576" s="101"/>
    </row>
    <row r="1577" spans="3:8">
      <c r="C1577" s="101"/>
      <c r="D1577" s="101"/>
      <c r="E1577" s="101"/>
      <c r="F1577" s="101"/>
      <c r="G1577" s="101"/>
      <c r="H1577" s="101"/>
    </row>
    <row r="1578" spans="3:8">
      <c r="C1578" s="101"/>
      <c r="D1578" s="101"/>
      <c r="E1578" s="101"/>
      <c r="F1578" s="101"/>
      <c r="G1578" s="101"/>
      <c r="H1578" s="101"/>
    </row>
    <row r="1579" spans="3:8">
      <c r="C1579" s="101"/>
      <c r="D1579" s="101"/>
      <c r="E1579" s="101"/>
      <c r="F1579" s="101"/>
      <c r="G1579" s="101"/>
      <c r="H1579" s="101"/>
    </row>
    <row r="1580" spans="3:8">
      <c r="C1580" s="101"/>
      <c r="D1580" s="101"/>
      <c r="E1580" s="101"/>
      <c r="F1580" s="101"/>
      <c r="G1580" s="101"/>
      <c r="H1580" s="101"/>
    </row>
    <row r="1581" spans="3:8">
      <c r="C1581" s="101"/>
      <c r="D1581" s="101"/>
      <c r="E1581" s="101"/>
      <c r="F1581" s="101"/>
      <c r="G1581" s="101"/>
      <c r="H1581" s="101"/>
    </row>
    <row r="1582" spans="3:8">
      <c r="C1582" s="101"/>
      <c r="D1582" s="101"/>
      <c r="E1582" s="101"/>
      <c r="F1582" s="101"/>
      <c r="G1582" s="101"/>
      <c r="H1582" s="101"/>
    </row>
    <row r="1583" spans="3:8">
      <c r="C1583" s="101"/>
      <c r="D1583" s="101"/>
      <c r="E1583" s="101"/>
      <c r="F1583" s="101"/>
      <c r="G1583" s="101"/>
      <c r="H1583" s="101"/>
    </row>
    <row r="1584" spans="3:8">
      <c r="C1584" s="101"/>
      <c r="D1584" s="101"/>
      <c r="E1584" s="101"/>
      <c r="F1584" s="101"/>
      <c r="G1584" s="101"/>
      <c r="H1584" s="101"/>
    </row>
    <row r="1585" spans="3:8">
      <c r="C1585" s="101"/>
      <c r="D1585" s="101"/>
      <c r="E1585" s="101"/>
      <c r="F1585" s="101"/>
      <c r="G1585" s="101"/>
      <c r="H1585" s="101"/>
    </row>
    <row r="1586" spans="3:8">
      <c r="C1586" s="101"/>
      <c r="D1586" s="101"/>
      <c r="E1586" s="101"/>
      <c r="F1586" s="101"/>
      <c r="G1586" s="101"/>
      <c r="H1586" s="101"/>
    </row>
    <row r="1587" spans="3:8">
      <c r="C1587" s="101"/>
      <c r="D1587" s="101"/>
      <c r="E1587" s="101"/>
      <c r="F1587" s="101"/>
      <c r="G1587" s="101"/>
      <c r="H1587" s="101"/>
    </row>
    <row r="1588" spans="3:8">
      <c r="C1588" s="101"/>
      <c r="D1588" s="101"/>
      <c r="E1588" s="101"/>
      <c r="F1588" s="101"/>
      <c r="G1588" s="101"/>
      <c r="H1588" s="101"/>
    </row>
    <row r="1589" spans="3:8">
      <c r="C1589" s="101"/>
      <c r="D1589" s="101"/>
      <c r="E1589" s="101"/>
      <c r="F1589" s="101"/>
      <c r="G1589" s="101"/>
      <c r="H1589" s="101"/>
    </row>
    <row r="1590" spans="3:8">
      <c r="C1590" s="101"/>
      <c r="D1590" s="101"/>
      <c r="E1590" s="101"/>
      <c r="F1590" s="101"/>
      <c r="G1590" s="101"/>
      <c r="H1590" s="101"/>
    </row>
    <row r="1591" spans="3:8">
      <c r="C1591" s="101"/>
      <c r="D1591" s="101"/>
      <c r="E1591" s="101"/>
      <c r="F1591" s="101"/>
      <c r="G1591" s="101"/>
      <c r="H1591" s="101"/>
    </row>
    <row r="1592" spans="3:8">
      <c r="C1592" s="101"/>
      <c r="D1592" s="101"/>
      <c r="E1592" s="101"/>
      <c r="F1592" s="101"/>
      <c r="G1592" s="101"/>
      <c r="H1592" s="101"/>
    </row>
    <row r="1593" spans="3:8">
      <c r="C1593" s="101"/>
      <c r="D1593" s="101"/>
      <c r="E1593" s="101"/>
      <c r="F1593" s="101"/>
      <c r="G1593" s="101"/>
      <c r="H1593" s="101"/>
    </row>
    <row r="1594" spans="3:8">
      <c r="C1594" s="101"/>
      <c r="D1594" s="101"/>
      <c r="E1594" s="101"/>
      <c r="F1594" s="101"/>
      <c r="G1594" s="101"/>
      <c r="H1594" s="101"/>
    </row>
    <row r="1595" spans="3:8">
      <c r="C1595" s="101"/>
      <c r="D1595" s="101"/>
      <c r="E1595" s="101"/>
      <c r="F1595" s="101"/>
      <c r="G1595" s="101"/>
      <c r="H1595" s="101"/>
    </row>
    <row r="1596" spans="3:8">
      <c r="C1596" s="101"/>
      <c r="D1596" s="101"/>
      <c r="E1596" s="101"/>
      <c r="F1596" s="101"/>
      <c r="G1596" s="101"/>
      <c r="H1596" s="101"/>
    </row>
    <row r="1597" spans="3:8">
      <c r="C1597" s="101"/>
      <c r="D1597" s="101"/>
      <c r="E1597" s="101"/>
      <c r="F1597" s="101"/>
      <c r="G1597" s="101"/>
      <c r="H1597" s="101"/>
    </row>
    <row r="1598" spans="3:8">
      <c r="C1598" s="101"/>
      <c r="D1598" s="101"/>
      <c r="E1598" s="101"/>
      <c r="F1598" s="101"/>
      <c r="G1598" s="101"/>
      <c r="H1598" s="101"/>
    </row>
    <row r="1599" spans="3:8">
      <c r="C1599" s="101"/>
      <c r="D1599" s="101"/>
      <c r="E1599" s="101"/>
      <c r="F1599" s="101"/>
      <c r="G1599" s="101"/>
      <c r="H1599" s="101"/>
    </row>
    <row r="1600" spans="3:8">
      <c r="C1600" s="101"/>
      <c r="D1600" s="101"/>
      <c r="E1600" s="101"/>
      <c r="F1600" s="101"/>
      <c r="G1600" s="101"/>
      <c r="H1600" s="101"/>
    </row>
    <row r="1601" spans="3:8">
      <c r="C1601" s="101"/>
      <c r="D1601" s="101"/>
      <c r="E1601" s="101"/>
      <c r="F1601" s="101"/>
      <c r="G1601" s="101"/>
      <c r="H1601" s="101"/>
    </row>
    <row r="1602" spans="3:8">
      <c r="C1602" s="101"/>
      <c r="D1602" s="101"/>
      <c r="E1602" s="101"/>
      <c r="F1602" s="101"/>
      <c r="G1602" s="101"/>
      <c r="H1602" s="101"/>
    </row>
    <row r="1603" spans="3:8">
      <c r="C1603" s="101"/>
      <c r="D1603" s="101"/>
      <c r="E1603" s="101"/>
      <c r="F1603" s="101"/>
      <c r="G1603" s="101"/>
      <c r="H1603" s="101"/>
    </row>
    <row r="1604" spans="3:8">
      <c r="C1604" s="101"/>
      <c r="D1604" s="101"/>
      <c r="E1604" s="101"/>
      <c r="F1604" s="101"/>
      <c r="G1604" s="101"/>
      <c r="H1604" s="101"/>
    </row>
    <row r="1605" spans="3:8">
      <c r="C1605" s="101"/>
      <c r="D1605" s="101"/>
      <c r="E1605" s="101"/>
      <c r="F1605" s="101"/>
      <c r="G1605" s="101"/>
      <c r="H1605" s="101"/>
    </row>
    <row r="1606" spans="3:8">
      <c r="C1606" s="101"/>
      <c r="D1606" s="101"/>
      <c r="E1606" s="101"/>
      <c r="F1606" s="101"/>
      <c r="G1606" s="101"/>
      <c r="H1606" s="101"/>
    </row>
    <row r="1607" spans="3:8">
      <c r="C1607" s="101"/>
      <c r="D1607" s="101"/>
      <c r="E1607" s="101"/>
      <c r="F1607" s="101"/>
      <c r="G1607" s="101"/>
      <c r="H1607" s="101"/>
    </row>
    <row r="1608" spans="3:8">
      <c r="C1608" s="101"/>
      <c r="D1608" s="101"/>
      <c r="E1608" s="101"/>
      <c r="F1608" s="101"/>
      <c r="G1608" s="101"/>
      <c r="H1608" s="101"/>
    </row>
    <row r="1609" spans="3:8">
      <c r="C1609" s="101"/>
      <c r="D1609" s="101"/>
      <c r="E1609" s="101"/>
      <c r="F1609" s="101"/>
      <c r="G1609" s="101"/>
      <c r="H1609" s="101"/>
    </row>
    <row r="1610" spans="3:8">
      <c r="C1610" s="101"/>
      <c r="D1610" s="101"/>
      <c r="E1610" s="101"/>
      <c r="F1610" s="101"/>
      <c r="G1610" s="101"/>
      <c r="H1610" s="101"/>
    </row>
    <row r="1611" spans="3:8">
      <c r="C1611" s="101"/>
      <c r="D1611" s="101"/>
      <c r="E1611" s="101"/>
      <c r="F1611" s="101"/>
      <c r="G1611" s="101"/>
      <c r="H1611" s="101"/>
    </row>
    <row r="1612" spans="3:8">
      <c r="C1612" s="101"/>
      <c r="D1612" s="101"/>
      <c r="E1612" s="101"/>
      <c r="F1612" s="101"/>
      <c r="G1612" s="101"/>
      <c r="H1612" s="101"/>
    </row>
    <row r="1613" spans="3:8">
      <c r="C1613" s="101"/>
      <c r="D1613" s="101"/>
      <c r="E1613" s="101"/>
      <c r="F1613" s="101"/>
      <c r="G1613" s="101"/>
      <c r="H1613" s="101"/>
    </row>
    <row r="1614" spans="3:8">
      <c r="C1614" s="101"/>
      <c r="D1614" s="101"/>
      <c r="E1614" s="101"/>
      <c r="F1614" s="101"/>
      <c r="G1614" s="101"/>
      <c r="H1614" s="101"/>
    </row>
    <row r="1615" spans="3:8">
      <c r="C1615" s="101"/>
      <c r="D1615" s="101"/>
      <c r="E1615" s="101"/>
      <c r="F1615" s="101"/>
      <c r="G1615" s="101"/>
      <c r="H1615" s="101"/>
    </row>
    <row r="1616" spans="3:8">
      <c r="C1616" s="101"/>
      <c r="D1616" s="101"/>
      <c r="E1616" s="101"/>
      <c r="F1616" s="101"/>
      <c r="G1616" s="101"/>
      <c r="H1616" s="101"/>
    </row>
    <row r="1617" spans="3:8">
      <c r="C1617" s="101"/>
      <c r="D1617" s="101"/>
      <c r="E1617" s="101"/>
      <c r="F1617" s="101"/>
      <c r="G1617" s="101"/>
      <c r="H1617" s="101"/>
    </row>
    <row r="1618" spans="3:8">
      <c r="C1618" s="101"/>
      <c r="D1618" s="101"/>
      <c r="E1618" s="101"/>
      <c r="F1618" s="101"/>
      <c r="G1618" s="101"/>
      <c r="H1618" s="101"/>
    </row>
    <row r="1619" spans="3:8">
      <c r="C1619" s="101"/>
      <c r="D1619" s="101"/>
      <c r="E1619" s="101"/>
      <c r="F1619" s="101"/>
      <c r="G1619" s="101"/>
      <c r="H1619" s="101"/>
    </row>
    <row r="1620" spans="3:8">
      <c r="C1620" s="101"/>
      <c r="D1620" s="101"/>
      <c r="E1620" s="101"/>
      <c r="F1620" s="101"/>
      <c r="G1620" s="101"/>
      <c r="H1620" s="101"/>
    </row>
    <row r="1621" spans="3:8">
      <c r="C1621" s="101"/>
      <c r="D1621" s="101"/>
      <c r="E1621" s="101"/>
      <c r="F1621" s="101"/>
      <c r="G1621" s="101"/>
      <c r="H1621" s="101"/>
    </row>
    <row r="1622" spans="3:8">
      <c r="C1622" s="101"/>
      <c r="D1622" s="101"/>
      <c r="E1622" s="101"/>
      <c r="F1622" s="101"/>
      <c r="G1622" s="101"/>
      <c r="H1622" s="101"/>
    </row>
    <row r="1623" spans="3:8">
      <c r="C1623" s="101"/>
      <c r="D1623" s="101"/>
      <c r="E1623" s="101"/>
      <c r="F1623" s="101"/>
      <c r="G1623" s="101"/>
      <c r="H1623" s="101"/>
    </row>
    <row r="1624" spans="3:8">
      <c r="C1624" s="101"/>
      <c r="D1624" s="101"/>
      <c r="E1624" s="101"/>
      <c r="F1624" s="101"/>
      <c r="G1624" s="101"/>
      <c r="H1624" s="101"/>
    </row>
    <row r="1625" spans="3:8">
      <c r="C1625" s="101"/>
      <c r="D1625" s="101"/>
      <c r="E1625" s="101"/>
      <c r="F1625" s="101"/>
      <c r="G1625" s="101"/>
      <c r="H1625" s="101"/>
    </row>
    <row r="1626" spans="3:8">
      <c r="C1626" s="101"/>
      <c r="D1626" s="101"/>
      <c r="E1626" s="101"/>
      <c r="F1626" s="101"/>
      <c r="G1626" s="101"/>
      <c r="H1626" s="101"/>
    </row>
    <row r="1627" spans="3:8">
      <c r="C1627" s="101"/>
      <c r="D1627" s="101"/>
      <c r="E1627" s="101"/>
      <c r="F1627" s="101"/>
      <c r="G1627" s="101"/>
      <c r="H1627" s="101"/>
    </row>
    <row r="1628" spans="3:8">
      <c r="C1628" s="101"/>
      <c r="D1628" s="101"/>
      <c r="E1628" s="101"/>
      <c r="F1628" s="101"/>
      <c r="G1628" s="101"/>
      <c r="H1628" s="101"/>
    </row>
    <row r="1629" spans="3:8">
      <c r="C1629" s="101"/>
      <c r="D1629" s="101"/>
      <c r="E1629" s="101"/>
      <c r="F1629" s="101"/>
      <c r="G1629" s="101"/>
      <c r="H1629" s="101"/>
    </row>
    <row r="1630" spans="3:8">
      <c r="C1630" s="101"/>
      <c r="D1630" s="101"/>
      <c r="E1630" s="101"/>
      <c r="F1630" s="101"/>
      <c r="G1630" s="101"/>
      <c r="H1630" s="101"/>
    </row>
    <row r="1631" spans="3:8">
      <c r="C1631" s="101"/>
      <c r="D1631" s="101"/>
      <c r="E1631" s="101"/>
      <c r="F1631" s="101"/>
      <c r="G1631" s="101"/>
      <c r="H1631" s="101"/>
    </row>
    <row r="1632" spans="3:8">
      <c r="C1632" s="101"/>
      <c r="D1632" s="101"/>
      <c r="E1632" s="101"/>
      <c r="F1632" s="101"/>
      <c r="G1632" s="101"/>
      <c r="H1632" s="101"/>
    </row>
    <row r="1633" spans="3:8">
      <c r="C1633" s="101"/>
      <c r="D1633" s="101"/>
      <c r="E1633" s="101"/>
      <c r="F1633" s="101"/>
      <c r="G1633" s="101"/>
      <c r="H1633" s="101"/>
    </row>
    <row r="1634" spans="3:8">
      <c r="C1634" s="101"/>
      <c r="D1634" s="101"/>
      <c r="E1634" s="101"/>
      <c r="F1634" s="101"/>
      <c r="G1634" s="101"/>
      <c r="H1634" s="101"/>
    </row>
    <row r="1635" spans="3:8">
      <c r="C1635" s="101"/>
      <c r="D1635" s="101"/>
      <c r="E1635" s="101"/>
      <c r="F1635" s="101"/>
      <c r="G1635" s="101"/>
      <c r="H1635" s="101"/>
    </row>
    <row r="1636" spans="3:8">
      <c r="C1636" s="101"/>
      <c r="D1636" s="101"/>
      <c r="E1636" s="101"/>
      <c r="F1636" s="101"/>
      <c r="G1636" s="101"/>
      <c r="H1636" s="101"/>
    </row>
    <row r="1637" spans="3:8">
      <c r="C1637" s="101"/>
      <c r="D1637" s="101"/>
      <c r="E1637" s="101"/>
      <c r="F1637" s="101"/>
      <c r="G1637" s="101"/>
      <c r="H1637" s="101"/>
    </row>
    <row r="1638" spans="3:8">
      <c r="C1638" s="101"/>
      <c r="D1638" s="101"/>
      <c r="E1638" s="101"/>
      <c r="F1638" s="101"/>
      <c r="G1638" s="101"/>
      <c r="H1638" s="101"/>
    </row>
    <row r="1639" spans="3:8">
      <c r="C1639" s="101"/>
      <c r="D1639" s="101"/>
      <c r="E1639" s="101"/>
      <c r="F1639" s="101"/>
      <c r="G1639" s="101"/>
      <c r="H1639" s="101"/>
    </row>
    <row r="1640" spans="3:8">
      <c r="C1640" s="101"/>
      <c r="D1640" s="101"/>
      <c r="E1640" s="101"/>
      <c r="F1640" s="101"/>
      <c r="G1640" s="101"/>
      <c r="H1640" s="101"/>
    </row>
    <row r="1641" spans="3:8">
      <c r="C1641" s="101"/>
      <c r="D1641" s="101"/>
      <c r="E1641" s="101"/>
      <c r="F1641" s="101"/>
      <c r="G1641" s="101"/>
      <c r="H1641" s="101"/>
    </row>
    <row r="1642" spans="3:8">
      <c r="C1642" s="101"/>
      <c r="D1642" s="101"/>
      <c r="E1642" s="101"/>
      <c r="F1642" s="101"/>
      <c r="G1642" s="101"/>
      <c r="H1642" s="101"/>
    </row>
    <row r="1643" spans="3:8">
      <c r="C1643" s="101"/>
      <c r="D1643" s="101"/>
      <c r="E1643" s="101"/>
      <c r="F1643" s="101"/>
      <c r="G1643" s="101"/>
      <c r="H1643" s="101"/>
    </row>
    <row r="1644" spans="3:8">
      <c r="C1644" s="101"/>
      <c r="D1644" s="101"/>
      <c r="E1644" s="101"/>
      <c r="F1644" s="101"/>
      <c r="G1644" s="101"/>
      <c r="H1644" s="101"/>
    </row>
    <row r="1645" spans="3:8">
      <c r="C1645" s="101"/>
      <c r="D1645" s="101"/>
      <c r="E1645" s="101"/>
      <c r="F1645" s="101"/>
      <c r="G1645" s="101"/>
      <c r="H1645" s="101"/>
    </row>
    <row r="1646" spans="3:8">
      <c r="C1646" s="101"/>
      <c r="D1646" s="101"/>
      <c r="E1646" s="101"/>
      <c r="F1646" s="101"/>
      <c r="G1646" s="101"/>
      <c r="H1646" s="101"/>
    </row>
    <row r="1647" spans="3:8">
      <c r="C1647" s="101"/>
      <c r="D1647" s="101"/>
      <c r="E1647" s="101"/>
      <c r="F1647" s="101"/>
      <c r="G1647" s="101"/>
      <c r="H1647" s="101"/>
    </row>
    <row r="1648" spans="3:8">
      <c r="C1648" s="101"/>
      <c r="D1648" s="101"/>
      <c r="E1648" s="101"/>
      <c r="F1648" s="101"/>
      <c r="G1648" s="101"/>
      <c r="H1648" s="101"/>
    </row>
    <row r="1649" spans="3:8">
      <c r="C1649" s="101"/>
      <c r="D1649" s="101"/>
      <c r="E1649" s="101"/>
      <c r="F1649" s="101"/>
      <c r="G1649" s="101"/>
      <c r="H1649" s="101"/>
    </row>
    <row r="1650" spans="3:8">
      <c r="C1650" s="101"/>
      <c r="D1650" s="101"/>
      <c r="E1650" s="101"/>
      <c r="F1650" s="101"/>
      <c r="G1650" s="101"/>
      <c r="H1650" s="101"/>
    </row>
    <row r="1651" spans="3:8">
      <c r="C1651" s="101"/>
      <c r="D1651" s="101"/>
      <c r="E1651" s="101"/>
      <c r="F1651" s="101"/>
      <c r="G1651" s="101"/>
      <c r="H1651" s="101"/>
    </row>
    <row r="1652" spans="3:8">
      <c r="C1652" s="101"/>
      <c r="D1652" s="101"/>
      <c r="E1652" s="101"/>
      <c r="F1652" s="101"/>
      <c r="G1652" s="101"/>
      <c r="H1652" s="101"/>
    </row>
    <row r="1653" spans="3:8">
      <c r="C1653" s="101"/>
      <c r="D1653" s="101"/>
      <c r="E1653" s="101"/>
      <c r="F1653" s="101"/>
      <c r="G1653" s="101"/>
      <c r="H1653" s="101"/>
    </row>
    <row r="1654" spans="3:8">
      <c r="C1654" s="101"/>
      <c r="D1654" s="101"/>
      <c r="E1654" s="101"/>
      <c r="F1654" s="101"/>
      <c r="G1654" s="101"/>
      <c r="H1654" s="101"/>
    </row>
    <row r="1655" spans="3:8">
      <c r="C1655" s="101"/>
      <c r="D1655" s="101"/>
      <c r="E1655" s="101"/>
      <c r="F1655" s="101"/>
      <c r="G1655" s="101"/>
      <c r="H1655" s="101"/>
    </row>
    <row r="1656" spans="3:8">
      <c r="C1656" s="101"/>
      <c r="D1656" s="101"/>
      <c r="E1656" s="101"/>
      <c r="F1656" s="101"/>
      <c r="G1656" s="101"/>
      <c r="H1656" s="101"/>
    </row>
    <row r="1657" spans="3:8">
      <c r="C1657" s="101"/>
      <c r="D1657" s="101"/>
      <c r="E1657" s="101"/>
      <c r="F1657" s="101"/>
      <c r="G1657" s="101"/>
      <c r="H1657" s="101"/>
    </row>
    <row r="1658" spans="3:8">
      <c r="C1658" s="101"/>
      <c r="D1658" s="101"/>
      <c r="E1658" s="101"/>
      <c r="F1658" s="101"/>
      <c r="G1658" s="101"/>
      <c r="H1658" s="101"/>
    </row>
    <row r="1659" spans="3:8">
      <c r="C1659" s="101"/>
      <c r="D1659" s="101"/>
      <c r="E1659" s="101"/>
      <c r="F1659" s="101"/>
      <c r="G1659" s="101"/>
      <c r="H1659" s="101"/>
    </row>
    <row r="1660" spans="3:8">
      <c r="C1660" s="101"/>
      <c r="D1660" s="101"/>
      <c r="E1660" s="101"/>
      <c r="F1660" s="101"/>
      <c r="G1660" s="101"/>
      <c r="H1660" s="101"/>
    </row>
    <row r="1661" spans="3:8">
      <c r="C1661" s="101"/>
      <c r="D1661" s="101"/>
      <c r="E1661" s="101"/>
      <c r="F1661" s="101"/>
      <c r="G1661" s="101"/>
      <c r="H1661" s="101"/>
    </row>
    <row r="1662" spans="3:8">
      <c r="C1662" s="101"/>
      <c r="D1662" s="101"/>
      <c r="E1662" s="101"/>
      <c r="F1662" s="101"/>
      <c r="G1662" s="101"/>
      <c r="H1662" s="101"/>
    </row>
    <row r="1663" spans="3:8">
      <c r="C1663" s="101"/>
      <c r="D1663" s="101"/>
      <c r="E1663" s="101"/>
      <c r="F1663" s="101"/>
      <c r="G1663" s="101"/>
      <c r="H1663" s="101"/>
    </row>
    <row r="1664" spans="3:8">
      <c r="C1664" s="101"/>
      <c r="D1664" s="101"/>
      <c r="E1664" s="101"/>
      <c r="F1664" s="101"/>
      <c r="G1664" s="101"/>
      <c r="H1664" s="101"/>
    </row>
    <row r="1665" spans="3:8">
      <c r="C1665" s="101"/>
      <c r="D1665" s="101"/>
      <c r="E1665" s="101"/>
      <c r="F1665" s="101"/>
      <c r="G1665" s="101"/>
      <c r="H1665" s="101"/>
    </row>
    <row r="1666" spans="3:8">
      <c r="C1666" s="101"/>
      <c r="D1666" s="101"/>
      <c r="E1666" s="101"/>
      <c r="F1666" s="101"/>
      <c r="G1666" s="101"/>
      <c r="H1666" s="101"/>
    </row>
    <row r="1667" spans="3:8">
      <c r="C1667" s="101"/>
      <c r="D1667" s="101"/>
      <c r="E1667" s="101"/>
      <c r="F1667" s="101"/>
      <c r="G1667" s="101"/>
      <c r="H1667" s="101"/>
    </row>
    <row r="1668" spans="3:8">
      <c r="C1668" s="101"/>
      <c r="D1668" s="101"/>
      <c r="E1668" s="101"/>
      <c r="F1668" s="101"/>
      <c r="G1668" s="101"/>
      <c r="H1668" s="101"/>
    </row>
    <row r="1669" spans="3:8">
      <c r="C1669" s="101"/>
      <c r="D1669" s="101"/>
      <c r="E1669" s="101"/>
      <c r="F1669" s="101"/>
      <c r="G1669" s="101"/>
      <c r="H1669" s="101"/>
    </row>
    <row r="1670" spans="3:8">
      <c r="C1670" s="101"/>
      <c r="D1670" s="101"/>
      <c r="E1670" s="101"/>
      <c r="F1670" s="101"/>
      <c r="G1670" s="101"/>
      <c r="H1670" s="101"/>
    </row>
    <row r="1671" spans="3:8">
      <c r="C1671" s="101"/>
      <c r="D1671" s="101"/>
      <c r="E1671" s="101"/>
      <c r="F1671" s="101"/>
      <c r="G1671" s="101"/>
      <c r="H1671" s="101"/>
    </row>
    <row r="1672" spans="3:8">
      <c r="C1672" s="101"/>
      <c r="D1672" s="101"/>
      <c r="E1672" s="101"/>
      <c r="F1672" s="101"/>
      <c r="G1672" s="101"/>
      <c r="H1672" s="101"/>
    </row>
    <row r="1673" spans="3:8">
      <c r="C1673" s="101"/>
      <c r="D1673" s="101"/>
      <c r="E1673" s="101"/>
      <c r="F1673" s="101"/>
      <c r="G1673" s="101"/>
      <c r="H1673" s="101"/>
    </row>
    <row r="1674" spans="3:8">
      <c r="C1674" s="101"/>
      <c r="D1674" s="101"/>
      <c r="E1674" s="101"/>
      <c r="F1674" s="101"/>
      <c r="G1674" s="101"/>
      <c r="H1674" s="101"/>
    </row>
    <row r="1675" spans="3:8">
      <c r="C1675" s="101"/>
      <c r="D1675" s="101"/>
      <c r="E1675" s="101"/>
      <c r="F1675" s="101"/>
      <c r="G1675" s="101"/>
      <c r="H1675" s="101"/>
    </row>
    <row r="1676" spans="3:8">
      <c r="C1676" s="101"/>
      <c r="D1676" s="101"/>
      <c r="E1676" s="101"/>
      <c r="F1676" s="101"/>
      <c r="G1676" s="101"/>
      <c r="H1676" s="101"/>
    </row>
    <row r="1677" spans="3:8">
      <c r="C1677" s="101"/>
      <c r="D1677" s="101"/>
      <c r="E1677" s="101"/>
      <c r="F1677" s="101"/>
      <c r="G1677" s="101"/>
      <c r="H1677" s="101"/>
    </row>
    <row r="1678" spans="3:8">
      <c r="C1678" s="101"/>
      <c r="D1678" s="101"/>
      <c r="E1678" s="101"/>
      <c r="F1678" s="101"/>
      <c r="G1678" s="101"/>
      <c r="H1678" s="101"/>
    </row>
    <row r="1679" spans="3:8">
      <c r="C1679" s="101"/>
      <c r="D1679" s="101"/>
      <c r="E1679" s="101"/>
      <c r="F1679" s="101"/>
      <c r="G1679" s="101"/>
      <c r="H1679" s="101"/>
    </row>
    <row r="1680" spans="3:8">
      <c r="C1680" s="101"/>
      <c r="D1680" s="101"/>
      <c r="E1680" s="101"/>
      <c r="F1680" s="101"/>
      <c r="G1680" s="101"/>
      <c r="H1680" s="101"/>
    </row>
    <row r="1681" spans="3:8">
      <c r="C1681" s="101"/>
      <c r="D1681" s="101"/>
      <c r="E1681" s="101"/>
      <c r="F1681" s="101"/>
      <c r="G1681" s="101"/>
      <c r="H1681" s="101"/>
    </row>
    <row r="1682" spans="3:8">
      <c r="C1682" s="101"/>
      <c r="D1682" s="101"/>
      <c r="E1682" s="101"/>
      <c r="F1682" s="101"/>
      <c r="G1682" s="101"/>
      <c r="H1682" s="101"/>
    </row>
    <row r="1683" spans="3:8">
      <c r="C1683" s="101"/>
      <c r="D1683" s="101"/>
      <c r="E1683" s="101"/>
      <c r="F1683" s="101"/>
      <c r="G1683" s="101"/>
      <c r="H1683" s="101"/>
    </row>
    <row r="1684" spans="3:8">
      <c r="C1684" s="101"/>
      <c r="D1684" s="101"/>
      <c r="E1684" s="101"/>
      <c r="F1684" s="101"/>
      <c r="G1684" s="101"/>
      <c r="H1684" s="101"/>
    </row>
    <row r="1685" spans="3:8">
      <c r="C1685" s="101"/>
      <c r="D1685" s="101"/>
      <c r="E1685" s="101"/>
      <c r="F1685" s="101"/>
      <c r="G1685" s="101"/>
      <c r="H1685" s="101"/>
    </row>
    <row r="1686" spans="3:8">
      <c r="C1686" s="101"/>
      <c r="D1686" s="101"/>
      <c r="E1686" s="101"/>
      <c r="F1686" s="101"/>
      <c r="G1686" s="101"/>
      <c r="H1686" s="101"/>
    </row>
    <row r="1687" spans="3:8">
      <c r="C1687" s="101"/>
      <c r="D1687" s="101"/>
      <c r="E1687" s="101"/>
      <c r="F1687" s="101"/>
      <c r="G1687" s="101"/>
      <c r="H1687" s="101"/>
    </row>
    <row r="1688" spans="3:8">
      <c r="C1688" s="101"/>
      <c r="D1688" s="101"/>
      <c r="E1688" s="101"/>
      <c r="F1688" s="101"/>
      <c r="G1688" s="101"/>
      <c r="H1688" s="101"/>
    </row>
    <row r="1689" spans="3:8">
      <c r="C1689" s="101"/>
      <c r="D1689" s="101"/>
      <c r="E1689" s="101"/>
      <c r="F1689" s="101"/>
      <c r="G1689" s="101"/>
      <c r="H1689" s="101"/>
    </row>
    <row r="1690" spans="3:8">
      <c r="C1690" s="101"/>
      <c r="D1690" s="101"/>
      <c r="E1690" s="101"/>
      <c r="F1690" s="101"/>
      <c r="G1690" s="101"/>
      <c r="H1690" s="101"/>
    </row>
    <row r="1691" spans="3:8">
      <c r="C1691" s="101"/>
      <c r="D1691" s="101"/>
      <c r="E1691" s="101"/>
      <c r="F1691" s="101"/>
      <c r="G1691" s="101"/>
      <c r="H1691" s="101"/>
    </row>
    <row r="1692" spans="3:8">
      <c r="C1692" s="101"/>
      <c r="D1692" s="101"/>
      <c r="E1692" s="101"/>
      <c r="F1692" s="101"/>
      <c r="G1692" s="101"/>
      <c r="H1692" s="101"/>
    </row>
    <row r="1693" spans="3:8">
      <c r="C1693" s="101"/>
      <c r="D1693" s="101"/>
      <c r="E1693" s="101"/>
      <c r="F1693" s="101"/>
      <c r="G1693" s="101"/>
      <c r="H1693" s="101"/>
    </row>
    <row r="1694" spans="3:8">
      <c r="C1694" s="101"/>
      <c r="D1694" s="101"/>
      <c r="E1694" s="101"/>
      <c r="F1694" s="101"/>
      <c r="G1694" s="101"/>
      <c r="H1694" s="101"/>
    </row>
    <row r="1695" spans="3:8">
      <c r="C1695" s="101"/>
      <c r="D1695" s="101"/>
      <c r="E1695" s="101"/>
      <c r="F1695" s="101"/>
      <c r="G1695" s="101"/>
      <c r="H1695" s="101"/>
    </row>
    <row r="1696" spans="3:8">
      <c r="C1696" s="101"/>
      <c r="D1696" s="101"/>
      <c r="E1696" s="101"/>
      <c r="F1696" s="101"/>
      <c r="G1696" s="101"/>
      <c r="H1696" s="101"/>
    </row>
    <row r="1697" spans="3:8">
      <c r="C1697" s="101"/>
      <c r="D1697" s="101"/>
      <c r="E1697" s="101"/>
      <c r="F1697" s="101"/>
      <c r="G1697" s="101"/>
      <c r="H1697" s="101"/>
    </row>
    <row r="1698" spans="3:8">
      <c r="C1698" s="101"/>
      <c r="D1698" s="101"/>
      <c r="E1698" s="101"/>
      <c r="F1698" s="101"/>
      <c r="G1698" s="101"/>
      <c r="H1698" s="101"/>
    </row>
    <row r="1699" spans="3:8">
      <c r="C1699" s="101"/>
      <c r="D1699" s="101"/>
      <c r="E1699" s="101"/>
      <c r="F1699" s="101"/>
      <c r="G1699" s="101"/>
      <c r="H1699" s="101"/>
    </row>
    <row r="1700" spans="3:8">
      <c r="C1700" s="101"/>
      <c r="D1700" s="101"/>
      <c r="E1700" s="101"/>
      <c r="F1700" s="101"/>
      <c r="G1700" s="101"/>
      <c r="H1700" s="101"/>
    </row>
    <row r="1701" spans="3:8">
      <c r="C1701" s="101"/>
      <c r="D1701" s="101"/>
      <c r="E1701" s="101"/>
      <c r="F1701" s="101"/>
      <c r="G1701" s="101"/>
      <c r="H1701" s="101"/>
    </row>
    <row r="1702" spans="3:8">
      <c r="C1702" s="101"/>
      <c r="D1702" s="101"/>
      <c r="E1702" s="101"/>
      <c r="F1702" s="101"/>
      <c r="G1702" s="101"/>
      <c r="H1702" s="101"/>
    </row>
    <row r="1703" spans="3:8">
      <c r="C1703" s="101"/>
      <c r="D1703" s="101"/>
      <c r="E1703" s="101"/>
      <c r="F1703" s="101"/>
      <c r="G1703" s="101"/>
      <c r="H1703" s="101"/>
    </row>
    <row r="1704" spans="3:8">
      <c r="C1704" s="101"/>
      <c r="D1704" s="101"/>
      <c r="E1704" s="101"/>
      <c r="F1704" s="101"/>
      <c r="G1704" s="101"/>
      <c r="H1704" s="101"/>
    </row>
    <row r="1705" spans="3:8">
      <c r="C1705" s="101"/>
      <c r="D1705" s="101"/>
      <c r="E1705" s="101"/>
      <c r="F1705" s="101"/>
      <c r="G1705" s="101"/>
      <c r="H1705" s="101"/>
    </row>
    <row r="1706" spans="3:8">
      <c r="C1706" s="101"/>
      <c r="D1706" s="101"/>
      <c r="E1706" s="101"/>
      <c r="F1706" s="101"/>
      <c r="G1706" s="101"/>
      <c r="H1706" s="101"/>
    </row>
    <row r="1707" spans="3:8">
      <c r="C1707" s="101"/>
      <c r="D1707" s="101"/>
      <c r="E1707" s="101"/>
      <c r="F1707" s="101"/>
      <c r="G1707" s="101"/>
      <c r="H1707" s="101"/>
    </row>
    <row r="1708" spans="3:8">
      <c r="C1708" s="101"/>
      <c r="D1708" s="101"/>
      <c r="E1708" s="101"/>
      <c r="F1708" s="101"/>
      <c r="G1708" s="101"/>
      <c r="H1708" s="101"/>
    </row>
    <row r="1709" spans="3:8">
      <c r="C1709" s="101"/>
      <c r="D1709" s="101"/>
      <c r="E1709" s="101"/>
      <c r="F1709" s="101"/>
      <c r="G1709" s="101"/>
      <c r="H1709" s="101"/>
    </row>
    <row r="1710" spans="3:8">
      <c r="C1710" s="101"/>
      <c r="D1710" s="101"/>
      <c r="E1710" s="101"/>
      <c r="F1710" s="101"/>
      <c r="G1710" s="101"/>
      <c r="H1710" s="101"/>
    </row>
    <row r="1711" spans="3:8">
      <c r="C1711" s="101"/>
      <c r="D1711" s="101"/>
      <c r="E1711" s="101"/>
      <c r="F1711" s="101"/>
      <c r="G1711" s="101"/>
      <c r="H1711" s="101"/>
    </row>
    <row r="1712" spans="3:8">
      <c r="C1712" s="101"/>
      <c r="D1712" s="101"/>
      <c r="E1712" s="101"/>
      <c r="F1712" s="101"/>
      <c r="G1712" s="101"/>
      <c r="H1712" s="101"/>
    </row>
    <row r="1713" spans="3:8">
      <c r="C1713" s="101"/>
      <c r="D1713" s="101"/>
      <c r="E1713" s="101"/>
      <c r="F1713" s="101"/>
      <c r="G1713" s="101"/>
      <c r="H1713" s="101"/>
    </row>
    <row r="1714" spans="3:8">
      <c r="C1714" s="101"/>
      <c r="D1714" s="101"/>
      <c r="E1714" s="101"/>
      <c r="F1714" s="101"/>
      <c r="G1714" s="101"/>
      <c r="H1714" s="101"/>
    </row>
    <row r="1715" spans="3:8">
      <c r="C1715" s="101"/>
      <c r="D1715" s="101"/>
      <c r="E1715" s="101"/>
      <c r="F1715" s="101"/>
      <c r="G1715" s="101"/>
      <c r="H1715" s="101"/>
    </row>
    <row r="1716" spans="3:8">
      <c r="C1716" s="101"/>
      <c r="D1716" s="101"/>
      <c r="E1716" s="101"/>
      <c r="F1716" s="101"/>
      <c r="G1716" s="101"/>
      <c r="H1716" s="101"/>
    </row>
    <row r="1717" spans="3:8">
      <c r="C1717" s="101"/>
      <c r="D1717" s="101"/>
      <c r="E1717" s="101"/>
      <c r="F1717" s="101"/>
      <c r="G1717" s="101"/>
      <c r="H1717" s="101"/>
    </row>
    <row r="1718" spans="3:8">
      <c r="C1718" s="101"/>
      <c r="D1718" s="101"/>
      <c r="E1718" s="101"/>
      <c r="F1718" s="101"/>
      <c r="G1718" s="101"/>
      <c r="H1718" s="101"/>
    </row>
    <row r="1719" spans="3:8">
      <c r="C1719" s="101"/>
      <c r="D1719" s="101"/>
      <c r="E1719" s="101"/>
      <c r="F1719" s="101"/>
      <c r="G1719" s="101"/>
      <c r="H1719" s="101"/>
    </row>
    <row r="1720" spans="3:8">
      <c r="C1720" s="101"/>
      <c r="D1720" s="101"/>
      <c r="E1720" s="101"/>
      <c r="F1720" s="101"/>
      <c r="G1720" s="101"/>
      <c r="H1720" s="101"/>
    </row>
    <row r="1721" spans="3:8">
      <c r="C1721" s="101"/>
      <c r="D1721" s="101"/>
      <c r="E1721" s="101"/>
      <c r="F1721" s="101"/>
      <c r="G1721" s="101"/>
      <c r="H1721" s="101"/>
    </row>
    <row r="1722" spans="3:8">
      <c r="C1722" s="101"/>
      <c r="D1722" s="101"/>
      <c r="E1722" s="101"/>
      <c r="F1722" s="101"/>
      <c r="G1722" s="101"/>
      <c r="H1722" s="101"/>
    </row>
    <row r="1723" spans="3:8">
      <c r="C1723" s="101"/>
      <c r="D1723" s="101"/>
      <c r="E1723" s="101"/>
      <c r="F1723" s="101"/>
      <c r="G1723" s="101"/>
      <c r="H1723" s="101"/>
    </row>
    <row r="1724" spans="3:8">
      <c r="C1724" s="101"/>
      <c r="D1724" s="101"/>
      <c r="E1724" s="101"/>
      <c r="F1724" s="101"/>
      <c r="G1724" s="101"/>
      <c r="H1724" s="101"/>
    </row>
    <row r="1725" spans="3:8">
      <c r="C1725" s="101"/>
      <c r="D1725" s="101"/>
      <c r="E1725" s="101"/>
      <c r="F1725" s="101"/>
      <c r="G1725" s="101"/>
      <c r="H1725" s="101"/>
    </row>
    <row r="1726" spans="3:8">
      <c r="C1726" s="101"/>
      <c r="D1726" s="101"/>
      <c r="E1726" s="101"/>
      <c r="F1726" s="101"/>
      <c r="G1726" s="101"/>
      <c r="H1726" s="101"/>
    </row>
    <row r="1727" spans="3:8">
      <c r="C1727" s="101"/>
      <c r="D1727" s="101"/>
      <c r="E1727" s="101"/>
      <c r="F1727" s="101"/>
      <c r="G1727" s="101"/>
      <c r="H1727" s="101"/>
    </row>
    <row r="1728" spans="3:8">
      <c r="C1728" s="101"/>
      <c r="D1728" s="101"/>
      <c r="E1728" s="101"/>
      <c r="F1728" s="101"/>
      <c r="G1728" s="101"/>
      <c r="H1728" s="101"/>
    </row>
    <row r="1729" spans="3:8">
      <c r="C1729" s="101"/>
      <c r="D1729" s="101"/>
      <c r="E1729" s="101"/>
      <c r="F1729" s="101"/>
      <c r="G1729" s="101"/>
      <c r="H1729" s="101"/>
    </row>
    <row r="1730" spans="3:8">
      <c r="C1730" s="101"/>
      <c r="D1730" s="101"/>
      <c r="E1730" s="101"/>
      <c r="F1730" s="101"/>
      <c r="G1730" s="101"/>
      <c r="H1730" s="101"/>
    </row>
    <row r="1731" spans="3:8">
      <c r="C1731" s="101"/>
      <c r="D1731" s="101"/>
      <c r="E1731" s="101"/>
      <c r="F1731" s="101"/>
      <c r="G1731" s="101"/>
      <c r="H1731" s="101"/>
    </row>
    <row r="1732" spans="3:8">
      <c r="C1732" s="101"/>
      <c r="D1732" s="101"/>
      <c r="E1732" s="101"/>
      <c r="F1732" s="101"/>
      <c r="G1732" s="101"/>
      <c r="H1732" s="101"/>
    </row>
    <row r="1733" spans="3:8">
      <c r="C1733" s="101"/>
      <c r="D1733" s="101"/>
      <c r="E1733" s="101"/>
      <c r="F1733" s="101"/>
      <c r="G1733" s="101"/>
      <c r="H1733" s="101"/>
    </row>
    <row r="1734" spans="3:8">
      <c r="C1734" s="101"/>
      <c r="D1734" s="101"/>
      <c r="E1734" s="101"/>
      <c r="F1734" s="101"/>
      <c r="G1734" s="101"/>
      <c r="H1734" s="101"/>
    </row>
    <row r="1735" spans="3:8">
      <c r="C1735" s="101"/>
      <c r="D1735" s="101"/>
      <c r="E1735" s="101"/>
      <c r="F1735" s="101"/>
      <c r="G1735" s="101"/>
      <c r="H1735" s="101"/>
    </row>
    <row r="1736" spans="3:8">
      <c r="C1736" s="101"/>
      <c r="D1736" s="101"/>
      <c r="E1736" s="101"/>
      <c r="F1736" s="101"/>
      <c r="G1736" s="101"/>
      <c r="H1736" s="101"/>
    </row>
    <row r="1737" spans="3:8">
      <c r="C1737" s="101"/>
      <c r="D1737" s="101"/>
      <c r="E1737" s="101"/>
      <c r="F1737" s="101"/>
      <c r="G1737" s="101"/>
      <c r="H1737" s="101"/>
    </row>
    <row r="1738" spans="3:8">
      <c r="C1738" s="101"/>
      <c r="D1738" s="101"/>
      <c r="E1738" s="101"/>
      <c r="F1738" s="101"/>
      <c r="G1738" s="101"/>
      <c r="H1738" s="101"/>
    </row>
    <row r="1739" spans="3:8">
      <c r="C1739" s="101"/>
      <c r="D1739" s="101"/>
    </row>
    <row r="1740" spans="3:8">
      <c r="C1740" s="101"/>
      <c r="D1740" s="101"/>
    </row>
    <row r="1741" spans="3:8">
      <c r="C1741" s="101"/>
      <c r="D1741" s="101"/>
    </row>
    <row r="1742" spans="3:8">
      <c r="C1742" s="101"/>
      <c r="D1742" s="101"/>
    </row>
    <row r="1743" spans="3:8">
      <c r="C1743" s="101"/>
      <c r="D1743" s="101"/>
    </row>
    <row r="1744" spans="3:8">
      <c r="C1744" s="101"/>
      <c r="D1744" s="101"/>
    </row>
    <row r="1745" spans="3:4">
      <c r="C1745" s="101"/>
      <c r="D1745" s="101"/>
    </row>
    <row r="1746" spans="3:4">
      <c r="C1746" s="101"/>
      <c r="D1746" s="101"/>
    </row>
    <row r="1747" spans="3:4">
      <c r="C1747" s="101"/>
      <c r="D1747" s="101"/>
    </row>
    <row r="1748" spans="3:4">
      <c r="C1748" s="101"/>
      <c r="D1748" s="101"/>
    </row>
    <row r="1749" spans="3:4">
      <c r="C1749" s="101"/>
      <c r="D1749" s="101"/>
    </row>
    <row r="1750" spans="3:4">
      <c r="C1750" s="101"/>
      <c r="D1750" s="101"/>
    </row>
    <row r="1751" spans="3:4">
      <c r="C1751" s="101"/>
      <c r="D1751" s="101"/>
    </row>
    <row r="1752" spans="3:4">
      <c r="C1752" s="101"/>
      <c r="D1752" s="101"/>
    </row>
    <row r="1753" spans="3:4">
      <c r="C1753" s="101"/>
      <c r="D1753" s="101"/>
    </row>
    <row r="1754" spans="3:4">
      <c r="C1754" s="101"/>
      <c r="D1754" s="101"/>
    </row>
    <row r="1755" spans="3:4">
      <c r="C1755" s="101"/>
      <c r="D1755" s="101"/>
    </row>
    <row r="1756" spans="3:4">
      <c r="C1756" s="101"/>
      <c r="D1756" s="101"/>
    </row>
    <row r="1757" spans="3:4">
      <c r="C1757" s="101"/>
      <c r="D1757" s="101"/>
    </row>
    <row r="1758" spans="3:4">
      <c r="C1758" s="101"/>
      <c r="D1758" s="101"/>
    </row>
    <row r="1759" spans="3:4">
      <c r="C1759" s="101"/>
      <c r="D1759" s="101"/>
    </row>
    <row r="1760" spans="3:4">
      <c r="C1760" s="101"/>
      <c r="D1760" s="101"/>
    </row>
    <row r="1761" spans="3:4">
      <c r="C1761" s="101"/>
      <c r="D1761" s="101"/>
    </row>
    <row r="1762" spans="3:4">
      <c r="C1762" s="101"/>
      <c r="D1762" s="101"/>
    </row>
    <row r="1763" spans="3:4">
      <c r="C1763" s="101"/>
      <c r="D1763" s="101"/>
    </row>
    <row r="1764" spans="3:4">
      <c r="C1764" s="101"/>
      <c r="D1764" s="101"/>
    </row>
    <row r="1765" spans="3:4">
      <c r="C1765" s="101"/>
      <c r="D1765" s="101"/>
    </row>
    <row r="1766" spans="3:4">
      <c r="C1766" s="101"/>
      <c r="D1766" s="101"/>
    </row>
    <row r="1767" spans="3:4">
      <c r="C1767" s="101"/>
      <c r="D1767" s="101"/>
    </row>
    <row r="1768" spans="3:4">
      <c r="C1768" s="101"/>
      <c r="D1768" s="101"/>
    </row>
    <row r="1769" spans="3:4">
      <c r="C1769" s="101"/>
      <c r="D1769" s="101"/>
    </row>
    <row r="1770" spans="3:4">
      <c r="C1770" s="101"/>
      <c r="D1770" s="101"/>
    </row>
    <row r="1771" spans="3:4">
      <c r="C1771" s="101"/>
      <c r="D1771" s="101"/>
    </row>
    <row r="1772" spans="3:4">
      <c r="C1772" s="101"/>
      <c r="D1772" s="101"/>
    </row>
    <row r="1773" spans="3:4">
      <c r="C1773" s="101"/>
      <c r="D1773" s="101"/>
    </row>
    <row r="1774" spans="3:4">
      <c r="C1774" s="101"/>
      <c r="D1774" s="101"/>
    </row>
    <row r="1775" spans="3:4">
      <c r="C1775" s="101"/>
      <c r="D1775" s="101"/>
    </row>
    <row r="1776" spans="3:4">
      <c r="C1776" s="101"/>
      <c r="D1776" s="101"/>
    </row>
    <row r="1777" spans="3:4">
      <c r="C1777" s="101"/>
      <c r="D1777" s="101"/>
    </row>
    <row r="1778" spans="3:4">
      <c r="C1778" s="101"/>
      <c r="D1778" s="101"/>
    </row>
    <row r="1779" spans="3:4">
      <c r="C1779" s="101"/>
      <c r="D1779" s="101"/>
    </row>
    <row r="1780" spans="3:4">
      <c r="C1780" s="101"/>
      <c r="D1780" s="101"/>
    </row>
    <row r="1781" spans="3:4">
      <c r="C1781" s="101"/>
      <c r="D1781" s="101"/>
    </row>
    <row r="1782" spans="3:4">
      <c r="C1782" s="101"/>
      <c r="D1782" s="101"/>
    </row>
    <row r="1783" spans="3:4">
      <c r="C1783" s="101"/>
      <c r="D1783" s="101"/>
    </row>
    <row r="1784" spans="3:4">
      <c r="C1784" s="101"/>
      <c r="D1784" s="101"/>
    </row>
    <row r="1785" spans="3:4">
      <c r="C1785" s="101"/>
      <c r="D1785" s="101"/>
    </row>
    <row r="1786" spans="3:4">
      <c r="C1786" s="101"/>
      <c r="D1786" s="101"/>
    </row>
    <row r="1787" spans="3:4">
      <c r="C1787" s="101"/>
      <c r="D1787" s="101"/>
    </row>
    <row r="1788" spans="3:4">
      <c r="C1788" s="101"/>
      <c r="D1788" s="101"/>
    </row>
    <row r="1789" spans="3:4">
      <c r="C1789" s="101"/>
      <c r="D1789" s="101"/>
    </row>
    <row r="1790" spans="3:4">
      <c r="C1790" s="101"/>
      <c r="D1790" s="101"/>
    </row>
    <row r="1791" spans="3:4">
      <c r="C1791" s="101"/>
      <c r="D1791" s="101"/>
    </row>
    <row r="1792" spans="3:4">
      <c r="C1792" s="101"/>
      <c r="D1792" s="101"/>
    </row>
    <row r="1793" spans="3:4">
      <c r="C1793" s="101"/>
      <c r="D1793" s="101"/>
    </row>
    <row r="1794" spans="3:4">
      <c r="C1794" s="101"/>
      <c r="D1794" s="101"/>
    </row>
    <row r="1795" spans="3:4">
      <c r="C1795" s="101"/>
      <c r="D1795" s="101"/>
    </row>
    <row r="1796" spans="3:4">
      <c r="C1796" s="101"/>
      <c r="D1796" s="101"/>
    </row>
    <row r="1797" spans="3:4">
      <c r="C1797" s="101"/>
      <c r="D1797" s="101"/>
    </row>
    <row r="1798" spans="3:4">
      <c r="C1798" s="101"/>
      <c r="D1798" s="101"/>
    </row>
    <row r="1799" spans="3:4">
      <c r="C1799" s="101"/>
      <c r="D1799" s="101"/>
    </row>
    <row r="1800" spans="3:4">
      <c r="C1800" s="101"/>
      <c r="D1800" s="101"/>
    </row>
    <row r="1801" spans="3:4">
      <c r="C1801" s="101"/>
      <c r="D1801" s="101"/>
    </row>
    <row r="1802" spans="3:4">
      <c r="C1802" s="101"/>
      <c r="D1802" s="101"/>
    </row>
    <row r="1803" spans="3:4">
      <c r="C1803" s="101"/>
      <c r="D1803" s="101"/>
    </row>
    <row r="1804" spans="3:4">
      <c r="C1804" s="101"/>
      <c r="D1804" s="101"/>
    </row>
    <row r="1805" spans="3:4">
      <c r="C1805" s="101"/>
      <c r="D1805" s="101"/>
    </row>
    <row r="1806" spans="3:4">
      <c r="C1806" s="101"/>
      <c r="D1806" s="101"/>
    </row>
    <row r="1807" spans="3:4">
      <c r="C1807" s="101"/>
      <c r="D1807" s="101"/>
    </row>
    <row r="1808" spans="3:4">
      <c r="C1808" s="101"/>
      <c r="D1808" s="101"/>
    </row>
    <row r="1809" spans="3:4">
      <c r="C1809" s="101"/>
      <c r="D1809" s="101"/>
    </row>
    <row r="1810" spans="3:4">
      <c r="C1810" s="101"/>
      <c r="D1810" s="101"/>
    </row>
    <row r="1811" spans="3:4">
      <c r="C1811" s="101"/>
      <c r="D1811" s="101"/>
    </row>
    <row r="1812" spans="3:4">
      <c r="C1812" s="101"/>
      <c r="D1812" s="101"/>
    </row>
    <row r="1813" spans="3:4">
      <c r="C1813" s="101"/>
      <c r="D1813" s="101"/>
    </row>
    <row r="1814" spans="3:4">
      <c r="C1814" s="101"/>
      <c r="D1814" s="101"/>
    </row>
    <row r="1815" spans="3:4">
      <c r="C1815" s="101"/>
      <c r="D1815" s="101"/>
    </row>
    <row r="1816" spans="3:4">
      <c r="C1816" s="101"/>
      <c r="D1816" s="101"/>
    </row>
    <row r="1817" spans="3:4">
      <c r="C1817" s="101"/>
      <c r="D1817" s="101"/>
    </row>
    <row r="1818" spans="3:4">
      <c r="C1818" s="101"/>
      <c r="D1818" s="101"/>
    </row>
    <row r="1819" spans="3:4">
      <c r="C1819" s="101"/>
      <c r="D1819" s="101"/>
    </row>
    <row r="1820" spans="3:4">
      <c r="C1820" s="101"/>
      <c r="D1820" s="101"/>
    </row>
    <row r="1821" spans="3:4">
      <c r="C1821" s="101"/>
      <c r="D1821" s="101"/>
    </row>
    <row r="1822" spans="3:4">
      <c r="C1822" s="101"/>
      <c r="D1822" s="101"/>
    </row>
    <row r="1823" spans="3:4">
      <c r="C1823" s="101"/>
      <c r="D1823" s="101"/>
    </row>
    <row r="1824" spans="3:4">
      <c r="C1824" s="101"/>
      <c r="D1824" s="101"/>
    </row>
    <row r="1825" spans="3:4">
      <c r="C1825" s="101"/>
      <c r="D1825" s="101"/>
    </row>
    <row r="1826" spans="3:4">
      <c r="C1826" s="101"/>
      <c r="D1826" s="101"/>
    </row>
    <row r="1827" spans="3:4">
      <c r="C1827" s="101"/>
      <c r="D1827" s="101"/>
    </row>
    <row r="1828" spans="3:4">
      <c r="C1828" s="101"/>
      <c r="D1828" s="101"/>
    </row>
    <row r="1829" spans="3:4">
      <c r="C1829" s="101"/>
      <c r="D1829" s="101"/>
    </row>
    <row r="1830" spans="3:4">
      <c r="C1830" s="101"/>
      <c r="D1830" s="101"/>
    </row>
    <row r="1831" spans="3:4">
      <c r="C1831" s="101"/>
      <c r="D1831" s="101"/>
    </row>
    <row r="1832" spans="3:4">
      <c r="C1832" s="101"/>
      <c r="D1832" s="101"/>
    </row>
    <row r="1833" spans="3:4">
      <c r="C1833" s="101"/>
      <c r="D1833" s="101"/>
    </row>
    <row r="1834" spans="3:4">
      <c r="C1834" s="101"/>
      <c r="D1834" s="101"/>
    </row>
    <row r="1835" spans="3:4">
      <c r="C1835" s="101"/>
      <c r="D1835" s="101"/>
    </row>
    <row r="1836" spans="3:4">
      <c r="C1836" s="101"/>
      <c r="D1836" s="101"/>
    </row>
    <row r="1837" spans="3:4">
      <c r="C1837" s="101"/>
      <c r="D1837" s="101"/>
    </row>
    <row r="1838" spans="3:4">
      <c r="C1838" s="101"/>
      <c r="D1838" s="101"/>
    </row>
    <row r="1839" spans="3:4">
      <c r="C1839" s="101"/>
      <c r="D1839" s="101"/>
    </row>
    <row r="1840" spans="3:4">
      <c r="C1840" s="101"/>
      <c r="D1840" s="101"/>
    </row>
    <row r="1841" spans="3:4">
      <c r="C1841" s="101"/>
      <c r="D1841" s="101"/>
    </row>
    <row r="1842" spans="3:4">
      <c r="C1842" s="101"/>
      <c r="D1842" s="101"/>
    </row>
    <row r="1843" spans="3:4">
      <c r="C1843" s="101"/>
      <c r="D1843" s="101"/>
    </row>
    <row r="1844" spans="3:4">
      <c r="C1844" s="101"/>
      <c r="D1844" s="101"/>
    </row>
    <row r="1845" spans="3:4">
      <c r="C1845" s="101"/>
      <c r="D1845" s="101"/>
    </row>
    <row r="1846" spans="3:4">
      <c r="C1846" s="101"/>
      <c r="D1846" s="101"/>
    </row>
    <row r="1847" spans="3:4">
      <c r="C1847" s="101"/>
      <c r="D1847" s="101"/>
    </row>
    <row r="1848" spans="3:4">
      <c r="C1848" s="101"/>
      <c r="D1848" s="101"/>
    </row>
    <row r="1849" spans="3:4">
      <c r="C1849" s="101"/>
      <c r="D1849" s="101"/>
    </row>
    <row r="1850" spans="3:4">
      <c r="C1850" s="101"/>
      <c r="D1850" s="101"/>
    </row>
    <row r="1851" spans="3:4">
      <c r="C1851" s="101"/>
      <c r="D1851" s="101"/>
    </row>
    <row r="1852" spans="3:4">
      <c r="C1852" s="101"/>
      <c r="D1852" s="101"/>
    </row>
    <row r="1853" spans="3:4">
      <c r="C1853" s="101"/>
      <c r="D1853" s="101"/>
    </row>
    <row r="1854" spans="3:4">
      <c r="C1854" s="101"/>
      <c r="D1854" s="101"/>
    </row>
    <row r="1855" spans="3:4">
      <c r="C1855" s="101"/>
      <c r="D1855" s="101"/>
    </row>
    <row r="1856" spans="3:4">
      <c r="C1856" s="101"/>
      <c r="D1856" s="101"/>
    </row>
    <row r="1857" spans="3:4">
      <c r="C1857" s="101"/>
      <c r="D1857" s="101"/>
    </row>
    <row r="1858" spans="3:4">
      <c r="C1858" s="101"/>
      <c r="D1858" s="101"/>
    </row>
    <row r="1859" spans="3:4">
      <c r="C1859" s="101"/>
      <c r="D1859" s="101"/>
    </row>
    <row r="1860" spans="3:4">
      <c r="C1860" s="101"/>
      <c r="D1860" s="101"/>
    </row>
    <row r="1861" spans="3:4">
      <c r="C1861" s="101"/>
      <c r="D1861" s="101"/>
    </row>
    <row r="1862" spans="3:4">
      <c r="C1862" s="101"/>
      <c r="D1862" s="101"/>
    </row>
    <row r="1863" spans="3:4">
      <c r="C1863" s="101"/>
      <c r="D1863" s="101"/>
    </row>
    <row r="1864" spans="3:4">
      <c r="C1864" s="101"/>
      <c r="D1864" s="101"/>
    </row>
    <row r="1865" spans="3:4">
      <c r="C1865" s="101"/>
      <c r="D1865" s="101"/>
    </row>
    <row r="1866" spans="3:4">
      <c r="C1866" s="101"/>
      <c r="D1866" s="101"/>
    </row>
    <row r="1867" spans="3:4">
      <c r="C1867" s="101"/>
      <c r="D1867" s="101"/>
    </row>
    <row r="1868" spans="3:4">
      <c r="C1868" s="101"/>
      <c r="D1868" s="101"/>
    </row>
    <row r="1869" spans="3:4">
      <c r="C1869" s="101"/>
      <c r="D1869" s="101"/>
    </row>
    <row r="1870" spans="3:4">
      <c r="C1870" s="101"/>
      <c r="D1870" s="101"/>
    </row>
    <row r="1871" spans="3:4">
      <c r="C1871" s="101"/>
      <c r="D1871" s="101"/>
    </row>
    <row r="1872" spans="3:4">
      <c r="C1872" s="101"/>
      <c r="D1872" s="101"/>
    </row>
    <row r="1873" spans="3:4">
      <c r="C1873" s="101"/>
      <c r="D1873" s="101"/>
    </row>
    <row r="1874" spans="3:4">
      <c r="C1874" s="101"/>
      <c r="D1874" s="101"/>
    </row>
    <row r="1875" spans="3:4">
      <c r="C1875" s="101"/>
      <c r="D1875" s="101"/>
    </row>
    <row r="1876" spans="3:4">
      <c r="C1876" s="101"/>
      <c r="D1876" s="101"/>
    </row>
    <row r="1877" spans="3:4">
      <c r="C1877" s="101"/>
      <c r="D1877" s="101"/>
    </row>
    <row r="1878" spans="3:4">
      <c r="C1878" s="101"/>
      <c r="D1878" s="101"/>
    </row>
    <row r="1879" spans="3:4">
      <c r="C1879" s="101"/>
      <c r="D1879" s="101"/>
    </row>
    <row r="1880" spans="3:4">
      <c r="C1880" s="101"/>
      <c r="D1880" s="101"/>
    </row>
    <row r="1881" spans="3:4">
      <c r="C1881" s="101"/>
      <c r="D1881" s="101"/>
    </row>
    <row r="1882" spans="3:4">
      <c r="C1882" s="101"/>
      <c r="D1882" s="101"/>
    </row>
    <row r="1883" spans="3:4">
      <c r="C1883" s="101"/>
      <c r="D1883" s="101"/>
    </row>
    <row r="1884" spans="3:4">
      <c r="C1884" s="101"/>
      <c r="D1884" s="101"/>
    </row>
    <row r="1885" spans="3:4">
      <c r="C1885" s="101"/>
      <c r="D1885" s="101"/>
    </row>
    <row r="1886" spans="3:4">
      <c r="C1886" s="101"/>
      <c r="D1886" s="101"/>
    </row>
    <row r="1887" spans="3:4">
      <c r="C1887" s="101"/>
      <c r="D1887" s="101"/>
    </row>
    <row r="1888" spans="3:4">
      <c r="C1888" s="101"/>
      <c r="D1888" s="101"/>
    </row>
    <row r="1889" spans="3:4">
      <c r="C1889" s="101"/>
      <c r="D1889" s="101"/>
    </row>
    <row r="1890" spans="3:4">
      <c r="C1890" s="101"/>
      <c r="D1890" s="101"/>
    </row>
    <row r="1891" spans="3:4">
      <c r="C1891" s="101"/>
      <c r="D1891" s="101"/>
    </row>
    <row r="1892" spans="3:4">
      <c r="C1892" s="101"/>
      <c r="D1892" s="101"/>
    </row>
    <row r="1893" spans="3:4">
      <c r="C1893" s="101"/>
      <c r="D1893" s="101"/>
    </row>
    <row r="1894" spans="3:4">
      <c r="C1894" s="101"/>
      <c r="D1894" s="101"/>
    </row>
    <row r="1895" spans="3:4">
      <c r="C1895" s="101"/>
      <c r="D1895" s="101"/>
    </row>
    <row r="1896" spans="3:4">
      <c r="C1896" s="101"/>
      <c r="D1896" s="101"/>
    </row>
    <row r="1897" spans="3:4">
      <c r="C1897" s="101"/>
      <c r="D1897" s="101"/>
    </row>
    <row r="1898" spans="3:4">
      <c r="C1898" s="101"/>
      <c r="D1898" s="101"/>
    </row>
    <row r="1899" spans="3:4">
      <c r="C1899" s="101"/>
      <c r="D1899" s="101"/>
    </row>
    <row r="1900" spans="3:4">
      <c r="C1900" s="101"/>
      <c r="D1900" s="101"/>
    </row>
    <row r="1901" spans="3:4">
      <c r="C1901" s="101"/>
      <c r="D1901" s="101"/>
    </row>
    <row r="1902" spans="3:4">
      <c r="C1902" s="101"/>
      <c r="D1902" s="101"/>
    </row>
    <row r="1903" spans="3:4">
      <c r="C1903" s="101"/>
      <c r="D1903" s="101"/>
    </row>
    <row r="1904" spans="3:4">
      <c r="C1904" s="101"/>
      <c r="D1904" s="101"/>
    </row>
    <row r="1905" spans="3:4">
      <c r="C1905" s="101"/>
      <c r="D1905" s="101"/>
    </row>
    <row r="1906" spans="3:4">
      <c r="C1906" s="101"/>
      <c r="D1906" s="101"/>
    </row>
    <row r="1907" spans="3:4">
      <c r="C1907" s="101"/>
      <c r="D1907" s="101"/>
    </row>
    <row r="1908" spans="3:4">
      <c r="C1908" s="101"/>
      <c r="D1908" s="101"/>
    </row>
    <row r="1909" spans="3:4">
      <c r="C1909" s="101"/>
      <c r="D1909" s="101"/>
    </row>
    <row r="1910" spans="3:4">
      <c r="C1910" s="101"/>
      <c r="D1910" s="101"/>
    </row>
    <row r="1911" spans="3:4">
      <c r="C1911" s="101"/>
      <c r="D1911" s="101"/>
    </row>
    <row r="1912" spans="3:4">
      <c r="C1912" s="101"/>
      <c r="D1912" s="101"/>
    </row>
    <row r="1913" spans="3:4">
      <c r="C1913" s="101"/>
      <c r="D1913" s="101"/>
    </row>
    <row r="1914" spans="3:4">
      <c r="C1914" s="101"/>
      <c r="D1914" s="101"/>
    </row>
    <row r="1915" spans="3:4">
      <c r="C1915" s="101"/>
      <c r="D1915" s="101"/>
    </row>
    <row r="1916" spans="3:4">
      <c r="C1916" s="101"/>
      <c r="D1916" s="101"/>
    </row>
    <row r="1917" spans="3:4">
      <c r="C1917" s="101"/>
      <c r="D1917" s="101"/>
    </row>
    <row r="1918" spans="3:4">
      <c r="C1918" s="101"/>
      <c r="D1918" s="101"/>
    </row>
    <row r="1919" spans="3:4">
      <c r="C1919" s="101"/>
      <c r="D1919" s="101"/>
    </row>
    <row r="1920" spans="3:4">
      <c r="C1920" s="101"/>
      <c r="D1920" s="101"/>
    </row>
    <row r="1921" spans="3:4">
      <c r="C1921" s="101"/>
      <c r="D1921" s="101"/>
    </row>
    <row r="1922" spans="3:4">
      <c r="C1922" s="101"/>
      <c r="D1922" s="101"/>
    </row>
    <row r="1923" spans="3:4">
      <c r="C1923" s="101"/>
      <c r="D1923" s="101"/>
    </row>
    <row r="1924" spans="3:4">
      <c r="C1924" s="101"/>
      <c r="D1924" s="101"/>
    </row>
    <row r="1925" spans="3:4">
      <c r="C1925" s="101"/>
      <c r="D1925" s="101"/>
    </row>
    <row r="1926" spans="3:4">
      <c r="C1926" s="101"/>
      <c r="D1926" s="101"/>
    </row>
    <row r="1927" spans="3:4">
      <c r="C1927" s="101"/>
      <c r="D1927" s="101"/>
    </row>
    <row r="1928" spans="3:4">
      <c r="C1928" s="101"/>
      <c r="D1928" s="101"/>
    </row>
    <row r="1929" spans="3:4">
      <c r="C1929" s="101"/>
      <c r="D1929" s="101"/>
    </row>
    <row r="1930" spans="3:4">
      <c r="C1930" s="101"/>
      <c r="D1930" s="101"/>
    </row>
    <row r="1931" spans="3:4">
      <c r="C1931" s="101"/>
      <c r="D1931" s="101"/>
    </row>
    <row r="1932" spans="3:4">
      <c r="C1932" s="101"/>
      <c r="D1932" s="101"/>
    </row>
    <row r="1933" spans="3:4">
      <c r="C1933" s="101"/>
      <c r="D1933" s="101"/>
    </row>
    <row r="1934" spans="3:4">
      <c r="C1934" s="101"/>
      <c r="D1934" s="101"/>
    </row>
    <row r="1935" spans="3:4">
      <c r="C1935" s="101"/>
      <c r="D1935" s="101"/>
    </row>
    <row r="1936" spans="3:4">
      <c r="C1936" s="101"/>
      <c r="D1936" s="101"/>
    </row>
    <row r="1937" spans="3:4">
      <c r="C1937" s="101"/>
      <c r="D1937" s="101"/>
    </row>
    <row r="1938" spans="3:4">
      <c r="C1938" s="101"/>
      <c r="D1938" s="101"/>
    </row>
    <row r="1939" spans="3:4">
      <c r="C1939" s="101"/>
      <c r="D1939" s="101"/>
    </row>
    <row r="1940" spans="3:4">
      <c r="C1940" s="101"/>
      <c r="D1940" s="101"/>
    </row>
    <row r="1941" spans="3:4">
      <c r="C1941" s="101"/>
      <c r="D1941" s="101"/>
    </row>
    <row r="1942" spans="3:4">
      <c r="C1942" s="101"/>
      <c r="D1942" s="101"/>
    </row>
    <row r="1943" spans="3:4">
      <c r="C1943" s="101"/>
      <c r="D1943" s="101"/>
    </row>
    <row r="1944" spans="3:4">
      <c r="C1944" s="101"/>
      <c r="D1944" s="101"/>
    </row>
    <row r="1945" spans="3:4">
      <c r="C1945" s="101"/>
      <c r="D1945" s="101"/>
    </row>
    <row r="1946" spans="3:4">
      <c r="C1946" s="101"/>
      <c r="D1946" s="101"/>
    </row>
    <row r="1947" spans="3:4">
      <c r="C1947" s="101"/>
      <c r="D1947" s="101"/>
    </row>
    <row r="1948" spans="3:4">
      <c r="C1948" s="101"/>
      <c r="D1948" s="101"/>
    </row>
    <row r="1949" spans="3:4">
      <c r="C1949" s="101"/>
      <c r="D1949" s="101"/>
    </row>
    <row r="1950" spans="3:4">
      <c r="C1950" s="101"/>
      <c r="D1950" s="101"/>
    </row>
    <row r="1951" spans="3:4">
      <c r="C1951" s="101"/>
      <c r="D1951" s="101"/>
    </row>
    <row r="1952" spans="3:4">
      <c r="C1952" s="101"/>
      <c r="D1952" s="101"/>
    </row>
    <row r="1953" spans="3:4">
      <c r="C1953" s="101"/>
      <c r="D1953" s="101"/>
    </row>
    <row r="1954" spans="3:4">
      <c r="C1954" s="101"/>
      <c r="D1954" s="101"/>
    </row>
    <row r="1955" spans="3:4">
      <c r="C1955" s="101"/>
      <c r="D1955" s="101"/>
    </row>
    <row r="1956" spans="3:4">
      <c r="C1956" s="101"/>
      <c r="D1956" s="101"/>
    </row>
    <row r="1957" spans="3:4">
      <c r="C1957" s="101"/>
      <c r="D1957" s="101"/>
    </row>
    <row r="1958" spans="3:4">
      <c r="C1958" s="101"/>
      <c r="D1958" s="101"/>
    </row>
    <row r="1959" spans="3:4">
      <c r="C1959" s="101"/>
      <c r="D1959" s="101"/>
    </row>
    <row r="1960" spans="3:4">
      <c r="C1960" s="101"/>
      <c r="D1960" s="101"/>
    </row>
    <row r="1961" spans="3:4">
      <c r="C1961" s="101"/>
      <c r="D1961" s="101"/>
    </row>
    <row r="1962" spans="3:4">
      <c r="C1962" s="101"/>
      <c r="D1962" s="101"/>
    </row>
    <row r="1963" spans="3:4">
      <c r="C1963" s="101"/>
      <c r="D1963" s="101"/>
    </row>
    <row r="1964" spans="3:4">
      <c r="C1964" s="101"/>
      <c r="D1964" s="101"/>
    </row>
    <row r="1965" spans="3:4">
      <c r="C1965" s="101"/>
      <c r="D1965" s="101"/>
    </row>
    <row r="1966" spans="3:4">
      <c r="C1966" s="101"/>
      <c r="D1966" s="101"/>
    </row>
    <row r="1967" spans="3:4">
      <c r="C1967" s="101"/>
      <c r="D1967" s="101"/>
    </row>
    <row r="1968" spans="3:4">
      <c r="C1968" s="101"/>
      <c r="D1968" s="101"/>
    </row>
    <row r="1969" spans="3:4">
      <c r="C1969" s="101"/>
      <c r="D1969" s="101"/>
    </row>
    <row r="1970" spans="3:4">
      <c r="C1970" s="101"/>
      <c r="D1970" s="101"/>
    </row>
    <row r="1971" spans="3:4">
      <c r="C1971" s="101"/>
      <c r="D1971" s="101"/>
    </row>
    <row r="1972" spans="3:4">
      <c r="C1972" s="101"/>
      <c r="D1972" s="101"/>
    </row>
    <row r="1973" spans="3:4">
      <c r="C1973" s="101"/>
      <c r="D1973" s="101"/>
    </row>
    <row r="1974" spans="3:4">
      <c r="C1974" s="101"/>
      <c r="D1974" s="101"/>
    </row>
    <row r="1975" spans="3:4">
      <c r="C1975" s="101"/>
      <c r="D1975" s="101"/>
    </row>
    <row r="1976" spans="3:4">
      <c r="C1976" s="101"/>
      <c r="D1976" s="101"/>
    </row>
    <row r="1977" spans="3:4">
      <c r="C1977" s="101"/>
      <c r="D1977" s="101"/>
    </row>
    <row r="1978" spans="3:4">
      <c r="C1978" s="101"/>
      <c r="D1978" s="101"/>
    </row>
    <row r="1979" spans="3:4">
      <c r="C1979" s="101"/>
      <c r="D1979" s="101"/>
    </row>
    <row r="1980" spans="3:4">
      <c r="C1980" s="101"/>
      <c r="D1980" s="101"/>
    </row>
    <row r="1981" spans="3:4">
      <c r="C1981" s="101"/>
      <c r="D1981" s="101"/>
    </row>
    <row r="1982" spans="3:4">
      <c r="C1982" s="101"/>
      <c r="D1982" s="101"/>
    </row>
    <row r="1983" spans="3:4">
      <c r="C1983" s="101"/>
      <c r="D1983" s="101"/>
    </row>
    <row r="1984" spans="3:4">
      <c r="C1984" s="101"/>
      <c r="D1984" s="101"/>
    </row>
    <row r="1985" spans="3:4">
      <c r="C1985" s="101"/>
      <c r="D1985" s="101"/>
    </row>
    <row r="1986" spans="3:4">
      <c r="C1986" s="101"/>
      <c r="D1986" s="101"/>
    </row>
    <row r="1987" spans="3:4">
      <c r="C1987" s="101"/>
      <c r="D1987" s="101"/>
    </row>
    <row r="1988" spans="3:4">
      <c r="C1988" s="101"/>
      <c r="D1988" s="101"/>
    </row>
    <row r="1989" spans="3:4">
      <c r="C1989" s="101"/>
      <c r="D1989" s="101"/>
    </row>
    <row r="1990" spans="3:4">
      <c r="C1990" s="101"/>
      <c r="D1990" s="101"/>
    </row>
    <row r="1991" spans="3:4">
      <c r="C1991" s="101"/>
      <c r="D1991" s="101"/>
    </row>
    <row r="1992" spans="3:4">
      <c r="C1992" s="101"/>
      <c r="D1992" s="101"/>
    </row>
    <row r="1993" spans="3:4">
      <c r="C1993" s="101"/>
      <c r="D1993" s="101"/>
    </row>
    <row r="1994" spans="3:4">
      <c r="C1994" s="101"/>
      <c r="D1994" s="101"/>
    </row>
    <row r="1995" spans="3:4">
      <c r="C1995" s="101"/>
      <c r="D1995" s="101"/>
    </row>
    <row r="1996" spans="3:4">
      <c r="C1996" s="101"/>
      <c r="D1996" s="101"/>
    </row>
    <row r="1997" spans="3:4">
      <c r="C1997" s="101"/>
      <c r="D1997" s="101"/>
    </row>
    <row r="1998" spans="3:4">
      <c r="C1998" s="101"/>
      <c r="D1998" s="101"/>
    </row>
    <row r="1999" spans="3:4">
      <c r="C1999" s="101"/>
      <c r="D1999" s="101"/>
    </row>
    <row r="2000" spans="3:4">
      <c r="C2000" s="101"/>
      <c r="D2000" s="101"/>
    </row>
    <row r="2001" spans="3:4">
      <c r="C2001" s="101"/>
      <c r="D2001" s="101"/>
    </row>
    <row r="2002" spans="3:4">
      <c r="C2002" s="101"/>
      <c r="D2002" s="101"/>
    </row>
    <row r="2003" spans="3:4">
      <c r="C2003" s="101"/>
      <c r="D2003" s="101"/>
    </row>
    <row r="2004" spans="3:4">
      <c r="C2004" s="101"/>
      <c r="D2004" s="101"/>
    </row>
    <row r="2005" spans="3:4">
      <c r="C2005" s="101"/>
      <c r="D2005" s="101"/>
    </row>
    <row r="2006" spans="3:4">
      <c r="C2006" s="101"/>
      <c r="D2006" s="101"/>
    </row>
    <row r="2007" spans="3:4">
      <c r="C2007" s="101"/>
      <c r="D2007" s="101"/>
    </row>
    <row r="2008" spans="3:4">
      <c r="C2008" s="101"/>
      <c r="D2008" s="101"/>
    </row>
    <row r="2009" spans="3:4">
      <c r="C2009" s="101"/>
      <c r="D2009" s="101"/>
    </row>
    <row r="2010" spans="3:4">
      <c r="C2010" s="101"/>
      <c r="D2010" s="101"/>
    </row>
    <row r="2011" spans="3:4">
      <c r="C2011" s="101"/>
      <c r="D2011" s="101"/>
    </row>
    <row r="2012" spans="3:4">
      <c r="C2012" s="101"/>
      <c r="D2012" s="101"/>
    </row>
    <row r="2013" spans="3:4">
      <c r="C2013" s="101"/>
      <c r="D2013" s="101"/>
    </row>
    <row r="2014" spans="3:4">
      <c r="C2014" s="101"/>
      <c r="D2014" s="101"/>
    </row>
    <row r="2015" spans="3:4">
      <c r="C2015" s="101"/>
      <c r="D2015" s="101"/>
    </row>
    <row r="2016" spans="3:4">
      <c r="C2016" s="101"/>
      <c r="D2016" s="101"/>
    </row>
    <row r="2017" spans="3:4">
      <c r="C2017" s="101"/>
      <c r="D2017" s="101"/>
    </row>
    <row r="2018" spans="3:4">
      <c r="C2018" s="101"/>
      <c r="D2018" s="101"/>
    </row>
    <row r="2019" spans="3:4">
      <c r="C2019" s="101"/>
      <c r="D2019" s="101"/>
    </row>
    <row r="2020" spans="3:4">
      <c r="C2020" s="101"/>
      <c r="D2020" s="101"/>
    </row>
    <row r="2021" spans="3:4">
      <c r="C2021" s="101"/>
      <c r="D2021" s="101"/>
    </row>
    <row r="2022" spans="3:4">
      <c r="C2022" s="101"/>
      <c r="D2022" s="101"/>
    </row>
    <row r="2023" spans="3:4">
      <c r="C2023" s="101"/>
      <c r="D2023" s="101"/>
    </row>
    <row r="2024" spans="3:4">
      <c r="C2024" s="101"/>
      <c r="D2024" s="101"/>
    </row>
    <row r="2025" spans="3:4">
      <c r="C2025" s="101"/>
      <c r="D2025" s="101"/>
    </row>
    <row r="2026" spans="3:4">
      <c r="C2026" s="101"/>
      <c r="D2026" s="101"/>
    </row>
    <row r="2027" spans="3:4">
      <c r="C2027" s="101"/>
      <c r="D2027" s="101"/>
    </row>
    <row r="2028" spans="3:4">
      <c r="C2028" s="101"/>
      <c r="D2028" s="101"/>
    </row>
    <row r="2029" spans="3:4">
      <c r="C2029" s="101"/>
      <c r="D2029" s="101"/>
    </row>
    <row r="2030" spans="3:4">
      <c r="C2030" s="101"/>
      <c r="D2030" s="101"/>
    </row>
    <row r="2031" spans="3:4">
      <c r="C2031" s="101"/>
      <c r="D2031" s="101"/>
    </row>
    <row r="2032" spans="3:4">
      <c r="C2032" s="101"/>
      <c r="D2032" s="101"/>
    </row>
    <row r="2033" spans="3:4">
      <c r="C2033" s="101"/>
      <c r="D2033" s="101"/>
    </row>
    <row r="2034" spans="3:4">
      <c r="C2034" s="101"/>
      <c r="D2034" s="101"/>
    </row>
    <row r="2035" spans="3:4">
      <c r="C2035" s="101"/>
      <c r="D2035" s="101"/>
    </row>
    <row r="2036" spans="3:4">
      <c r="C2036" s="101"/>
      <c r="D2036" s="101"/>
    </row>
    <row r="2037" spans="3:4">
      <c r="C2037" s="101"/>
      <c r="D2037" s="101"/>
    </row>
    <row r="2038" spans="3:4">
      <c r="C2038" s="101"/>
      <c r="D2038" s="101"/>
    </row>
    <row r="2039" spans="3:4">
      <c r="C2039" s="101"/>
      <c r="D2039" s="101"/>
    </row>
    <row r="2040" spans="3:4">
      <c r="C2040" s="101"/>
      <c r="D2040" s="101"/>
    </row>
    <row r="2041" spans="3:4">
      <c r="C2041" s="101"/>
      <c r="D2041" s="101"/>
    </row>
    <row r="2042" spans="3:4">
      <c r="C2042" s="101"/>
      <c r="D2042" s="101"/>
    </row>
    <row r="2043" spans="3:4">
      <c r="C2043" s="101"/>
      <c r="D2043" s="101"/>
    </row>
    <row r="2044" spans="3:4">
      <c r="C2044" s="101"/>
      <c r="D2044" s="101"/>
    </row>
    <row r="2045" spans="3:4">
      <c r="C2045" s="101"/>
      <c r="D2045" s="101"/>
    </row>
    <row r="2046" spans="3:4">
      <c r="C2046" s="101"/>
      <c r="D2046" s="101"/>
    </row>
    <row r="2047" spans="3:4">
      <c r="C2047" s="101"/>
      <c r="D2047" s="101"/>
    </row>
    <row r="2048" spans="3:4">
      <c r="C2048" s="101"/>
      <c r="D2048" s="101"/>
    </row>
    <row r="2049" spans="3:4">
      <c r="C2049" s="101"/>
      <c r="D2049" s="101"/>
    </row>
    <row r="2050" spans="3:4">
      <c r="C2050" s="101"/>
      <c r="D2050" s="101"/>
    </row>
    <row r="2051" spans="3:4">
      <c r="C2051" s="101"/>
      <c r="D2051" s="101"/>
    </row>
    <row r="2052" spans="3:4">
      <c r="C2052" s="101"/>
      <c r="D2052" s="101"/>
    </row>
    <row r="2053" spans="3:4">
      <c r="C2053" s="101"/>
      <c r="D2053" s="101"/>
    </row>
    <row r="2054" spans="3:4">
      <c r="C2054" s="101"/>
      <c r="D2054" s="101"/>
    </row>
    <row r="2055" spans="3:4">
      <c r="C2055" s="101"/>
      <c r="D2055" s="101"/>
    </row>
    <row r="2056" spans="3:4">
      <c r="C2056" s="101"/>
      <c r="D2056" s="101"/>
    </row>
    <row r="2057" spans="3:4">
      <c r="C2057" s="101"/>
      <c r="D2057" s="101"/>
    </row>
    <row r="2058" spans="3:4">
      <c r="C2058" s="101"/>
      <c r="D2058" s="101"/>
    </row>
    <row r="2059" spans="3:4">
      <c r="C2059" s="101"/>
      <c r="D2059" s="101"/>
    </row>
    <row r="2060" spans="3:4">
      <c r="C2060" s="101"/>
      <c r="D2060" s="101"/>
    </row>
    <row r="2061" spans="3:4">
      <c r="C2061" s="101"/>
      <c r="D2061" s="101"/>
    </row>
    <row r="2062" spans="3:4">
      <c r="C2062" s="101"/>
      <c r="D2062" s="101"/>
    </row>
    <row r="2063" spans="3:4">
      <c r="C2063" s="101"/>
      <c r="D2063" s="101"/>
    </row>
    <row r="2064" spans="3:4">
      <c r="C2064" s="101"/>
      <c r="D2064" s="101"/>
    </row>
    <row r="2065" spans="3:4">
      <c r="C2065" s="101"/>
      <c r="D2065" s="101"/>
    </row>
    <row r="2066" spans="3:4">
      <c r="C2066" s="101"/>
      <c r="D2066" s="101"/>
    </row>
    <row r="2067" spans="3:4">
      <c r="C2067" s="101"/>
      <c r="D2067" s="101"/>
    </row>
    <row r="2068" spans="3:4">
      <c r="C2068" s="101"/>
      <c r="D2068" s="101"/>
    </row>
    <row r="2069" spans="3:4">
      <c r="C2069" s="101"/>
      <c r="D2069" s="101"/>
    </row>
    <row r="2070" spans="3:4">
      <c r="C2070" s="101"/>
      <c r="D2070" s="101"/>
    </row>
    <row r="2071" spans="3:4">
      <c r="C2071" s="101"/>
      <c r="D2071" s="101"/>
    </row>
    <row r="2072" spans="3:4">
      <c r="C2072" s="101"/>
      <c r="D2072" s="101"/>
    </row>
    <row r="2073" spans="3:4">
      <c r="C2073" s="101"/>
      <c r="D2073" s="101"/>
    </row>
    <row r="2074" spans="3:4">
      <c r="C2074" s="101"/>
      <c r="D2074" s="101"/>
    </row>
    <row r="2075" spans="3:4">
      <c r="C2075" s="101"/>
      <c r="D2075" s="101"/>
    </row>
    <row r="2076" spans="3:4">
      <c r="C2076" s="101"/>
      <c r="D2076" s="101"/>
    </row>
    <row r="2077" spans="3:4">
      <c r="C2077" s="101"/>
      <c r="D2077" s="101"/>
    </row>
    <row r="2078" spans="3:4">
      <c r="C2078" s="101"/>
      <c r="D2078" s="101"/>
    </row>
    <row r="2079" spans="3:4">
      <c r="C2079" s="101"/>
      <c r="D2079" s="101"/>
    </row>
    <row r="2080" spans="3:4">
      <c r="C2080" s="101"/>
      <c r="D2080" s="101"/>
    </row>
    <row r="2081" spans="3:4">
      <c r="C2081" s="101"/>
      <c r="D2081" s="101"/>
    </row>
    <row r="2082" spans="3:4">
      <c r="C2082" s="101"/>
      <c r="D2082" s="101"/>
    </row>
    <row r="2083" spans="3:4">
      <c r="C2083" s="101"/>
      <c r="D2083" s="101"/>
    </row>
    <row r="2084" spans="3:4">
      <c r="C2084" s="101"/>
      <c r="D2084" s="101"/>
    </row>
    <row r="2085" spans="3:4">
      <c r="C2085" s="101"/>
      <c r="D2085" s="101"/>
    </row>
    <row r="2086" spans="3:4">
      <c r="C2086" s="101"/>
      <c r="D2086" s="101"/>
    </row>
    <row r="2087" spans="3:4">
      <c r="C2087" s="101"/>
      <c r="D2087" s="101"/>
    </row>
    <row r="2088" spans="3:4">
      <c r="C2088" s="101"/>
      <c r="D2088" s="101"/>
    </row>
    <row r="2089" spans="3:4">
      <c r="C2089" s="101"/>
      <c r="D2089" s="101"/>
    </row>
    <row r="2090" spans="3:4">
      <c r="C2090" s="101"/>
      <c r="D2090" s="101"/>
    </row>
    <row r="2091" spans="3:4">
      <c r="C2091" s="101"/>
      <c r="D2091" s="101"/>
    </row>
    <row r="2092" spans="3:4">
      <c r="C2092" s="101"/>
      <c r="D2092" s="101"/>
    </row>
    <row r="2093" spans="3:4">
      <c r="C2093" s="101"/>
      <c r="D2093" s="101"/>
    </row>
    <row r="2094" spans="3:4">
      <c r="C2094" s="101"/>
      <c r="D2094" s="101"/>
    </row>
    <row r="2095" spans="3:4">
      <c r="C2095" s="101"/>
      <c r="D2095" s="101"/>
    </row>
    <row r="2096" spans="3:4">
      <c r="C2096" s="101"/>
      <c r="D2096" s="101"/>
    </row>
    <row r="2097" spans="3:4">
      <c r="C2097" s="101"/>
      <c r="D2097" s="101"/>
    </row>
    <row r="2098" spans="3:4">
      <c r="C2098" s="101"/>
      <c r="D2098" s="101"/>
    </row>
    <row r="2099" spans="3:4">
      <c r="C2099" s="101"/>
      <c r="D2099" s="101"/>
    </row>
    <row r="2100" spans="3:4">
      <c r="C2100" s="101"/>
      <c r="D2100" s="101"/>
    </row>
    <row r="2101" spans="3:4">
      <c r="C2101" s="101"/>
      <c r="D2101" s="101"/>
    </row>
    <row r="2102" spans="3:4">
      <c r="C2102" s="101"/>
      <c r="D2102" s="101"/>
    </row>
    <row r="2103" spans="3:4">
      <c r="C2103" s="101"/>
      <c r="D2103" s="101"/>
    </row>
    <row r="2104" spans="3:4">
      <c r="C2104" s="101"/>
      <c r="D2104" s="101"/>
    </row>
    <row r="2105" spans="3:4">
      <c r="C2105" s="101"/>
      <c r="D2105" s="101"/>
    </row>
    <row r="2106" spans="3:4">
      <c r="C2106" s="101"/>
      <c r="D2106" s="101"/>
    </row>
    <row r="2107" spans="3:4">
      <c r="C2107" s="101"/>
      <c r="D2107" s="101"/>
    </row>
    <row r="2108" spans="3:4">
      <c r="C2108" s="101"/>
      <c r="D2108" s="101"/>
    </row>
    <row r="2109" spans="3:4">
      <c r="C2109" s="101"/>
      <c r="D2109" s="101"/>
    </row>
    <row r="2110" spans="3:4">
      <c r="C2110" s="101"/>
      <c r="D2110" s="101"/>
    </row>
    <row r="2111" spans="3:4">
      <c r="C2111" s="101"/>
      <c r="D2111" s="101"/>
    </row>
    <row r="2112" spans="3:4">
      <c r="C2112" s="101"/>
      <c r="D2112" s="101"/>
    </row>
    <row r="2113" spans="3:4">
      <c r="C2113" s="101"/>
      <c r="D2113" s="101"/>
    </row>
    <row r="2114" spans="3:4">
      <c r="C2114" s="101"/>
      <c r="D2114" s="101"/>
    </row>
    <row r="2115" spans="3:4">
      <c r="C2115" s="101"/>
      <c r="D2115" s="101"/>
    </row>
    <row r="2116" spans="3:4">
      <c r="C2116" s="101"/>
      <c r="D2116" s="101"/>
    </row>
    <row r="2117" spans="3:4">
      <c r="C2117" s="101"/>
      <c r="D2117" s="101"/>
    </row>
    <row r="2118" spans="3:4">
      <c r="C2118" s="101"/>
      <c r="D2118" s="101"/>
    </row>
    <row r="2119" spans="3:4">
      <c r="C2119" s="101"/>
      <c r="D2119" s="101"/>
    </row>
    <row r="2120" spans="3:4">
      <c r="C2120" s="101"/>
      <c r="D2120" s="101"/>
    </row>
    <row r="2121" spans="3:4">
      <c r="C2121" s="101"/>
      <c r="D2121" s="101"/>
    </row>
    <row r="2122" spans="3:4">
      <c r="C2122" s="101"/>
      <c r="D2122" s="101"/>
    </row>
    <row r="2123" spans="3:4">
      <c r="C2123" s="101"/>
      <c r="D2123" s="101"/>
    </row>
    <row r="2124" spans="3:4">
      <c r="C2124" s="101"/>
      <c r="D2124" s="101"/>
    </row>
    <row r="2125" spans="3:4">
      <c r="C2125" s="101"/>
      <c r="D2125" s="101"/>
    </row>
    <row r="2126" spans="3:4">
      <c r="C2126" s="101"/>
      <c r="D2126" s="101"/>
    </row>
    <row r="2127" spans="3:4">
      <c r="C2127" s="101"/>
      <c r="D2127" s="101"/>
    </row>
    <row r="2128" spans="3:4">
      <c r="C2128" s="101"/>
      <c r="D2128" s="101"/>
    </row>
    <row r="2129" spans="3:4">
      <c r="C2129" s="101"/>
      <c r="D2129" s="101"/>
    </row>
    <row r="2130" spans="3:4">
      <c r="C2130" s="101"/>
      <c r="D2130" s="101"/>
    </row>
    <row r="2131" spans="3:4">
      <c r="C2131" s="101"/>
      <c r="D2131" s="101"/>
    </row>
    <row r="2132" spans="3:4">
      <c r="C2132" s="101"/>
      <c r="D2132" s="101"/>
    </row>
    <row r="2133" spans="3:4">
      <c r="C2133" s="101"/>
      <c r="D2133" s="101"/>
    </row>
    <row r="2134" spans="3:4">
      <c r="C2134" s="101"/>
      <c r="D2134" s="101"/>
    </row>
    <row r="2135" spans="3:4">
      <c r="C2135" s="101"/>
      <c r="D2135" s="101"/>
    </row>
    <row r="2136" spans="3:4">
      <c r="C2136" s="101"/>
      <c r="D2136" s="101"/>
    </row>
    <row r="2137" spans="3:4">
      <c r="C2137" s="101"/>
      <c r="D2137" s="101"/>
    </row>
    <row r="2138" spans="3:4">
      <c r="C2138" s="101"/>
      <c r="D2138" s="101"/>
    </row>
    <row r="2139" spans="3:4">
      <c r="C2139" s="101"/>
      <c r="D2139" s="101"/>
    </row>
    <row r="2140" spans="3:4">
      <c r="C2140" s="101"/>
      <c r="D2140" s="101"/>
    </row>
    <row r="2141" spans="3:4">
      <c r="C2141" s="101"/>
      <c r="D2141" s="101"/>
    </row>
    <row r="2142" spans="3:4">
      <c r="C2142" s="101"/>
      <c r="D2142" s="101"/>
    </row>
    <row r="2143" spans="3:4">
      <c r="C2143" s="101"/>
      <c r="D2143" s="101"/>
    </row>
    <row r="2144" spans="3:4">
      <c r="C2144" s="101"/>
      <c r="D2144" s="101"/>
    </row>
    <row r="2145" spans="3:4">
      <c r="C2145" s="101"/>
      <c r="D2145" s="101"/>
    </row>
    <row r="2146" spans="3:4">
      <c r="C2146" s="101"/>
      <c r="D2146" s="101"/>
    </row>
    <row r="2147" spans="3:4">
      <c r="C2147" s="101"/>
      <c r="D2147" s="101"/>
    </row>
    <row r="2148" spans="3:4">
      <c r="C2148" s="101"/>
      <c r="D2148" s="101"/>
    </row>
    <row r="2149" spans="3:4">
      <c r="C2149" s="101"/>
      <c r="D2149" s="101"/>
    </row>
    <row r="2150" spans="3:4">
      <c r="C2150" s="101"/>
      <c r="D2150" s="101"/>
    </row>
    <row r="2151" spans="3:4">
      <c r="C2151" s="101"/>
      <c r="D2151" s="101"/>
    </row>
    <row r="2152" spans="3:4">
      <c r="C2152" s="101"/>
      <c r="D2152" s="101"/>
    </row>
    <row r="2153" spans="3:4">
      <c r="C2153" s="101"/>
      <c r="D2153" s="101"/>
    </row>
    <row r="2154" spans="3:4">
      <c r="C2154" s="101"/>
      <c r="D2154" s="101"/>
    </row>
    <row r="2155" spans="3:4">
      <c r="C2155" s="101"/>
      <c r="D2155" s="101"/>
    </row>
    <row r="2156" spans="3:4">
      <c r="C2156" s="101"/>
      <c r="D2156" s="101"/>
    </row>
    <row r="2157" spans="3:4">
      <c r="C2157" s="101"/>
      <c r="D2157" s="101"/>
    </row>
    <row r="2158" spans="3:4">
      <c r="C2158" s="101"/>
      <c r="D2158" s="101"/>
    </row>
    <row r="2159" spans="3:4">
      <c r="C2159" s="101"/>
      <c r="D2159" s="101"/>
    </row>
    <row r="2160" spans="3:4">
      <c r="C2160" s="101"/>
      <c r="D2160" s="101"/>
    </row>
    <row r="2161" spans="3:4">
      <c r="C2161" s="101"/>
      <c r="D2161" s="101"/>
    </row>
    <row r="2162" spans="3:4">
      <c r="C2162" s="101"/>
      <c r="D2162" s="101"/>
    </row>
    <row r="2163" spans="3:4">
      <c r="C2163" s="101"/>
      <c r="D2163" s="101"/>
    </row>
    <row r="2164" spans="3:4">
      <c r="C2164" s="101"/>
      <c r="D2164" s="101"/>
    </row>
    <row r="2165" spans="3:4">
      <c r="C2165" s="101"/>
      <c r="D2165" s="101"/>
    </row>
    <row r="2166" spans="3:4">
      <c r="C2166" s="101"/>
      <c r="D2166" s="101"/>
    </row>
    <row r="2167" spans="3:4">
      <c r="C2167" s="101"/>
      <c r="D2167" s="101"/>
    </row>
    <row r="2168" spans="3:4">
      <c r="C2168" s="101"/>
      <c r="D2168" s="101"/>
    </row>
    <row r="2169" spans="3:4">
      <c r="C2169" s="101"/>
      <c r="D2169" s="101"/>
    </row>
    <row r="2170" spans="3:4">
      <c r="C2170" s="101"/>
      <c r="D2170" s="101"/>
    </row>
    <row r="2171" spans="3:4">
      <c r="C2171" s="101"/>
      <c r="D2171" s="101"/>
    </row>
    <row r="2172" spans="3:4">
      <c r="C2172" s="101"/>
      <c r="D2172" s="101"/>
    </row>
    <row r="2173" spans="3:4">
      <c r="C2173" s="101"/>
      <c r="D2173" s="101"/>
    </row>
    <row r="2174" spans="3:4">
      <c r="C2174" s="101"/>
      <c r="D2174" s="101"/>
    </row>
    <row r="2175" spans="3:4">
      <c r="C2175" s="101"/>
      <c r="D2175" s="101"/>
    </row>
    <row r="2176" spans="3:4">
      <c r="C2176" s="101"/>
      <c r="D2176" s="101"/>
    </row>
    <row r="2177" spans="3:4">
      <c r="C2177" s="101"/>
      <c r="D2177" s="101"/>
    </row>
    <row r="2178" spans="3:4">
      <c r="C2178" s="101"/>
      <c r="D2178" s="101"/>
    </row>
    <row r="2179" spans="3:4">
      <c r="C2179" s="101"/>
      <c r="D2179" s="101"/>
    </row>
    <row r="2180" spans="3:4">
      <c r="C2180" s="101"/>
      <c r="D2180" s="101"/>
    </row>
    <row r="2181" spans="3:4">
      <c r="C2181" s="101"/>
      <c r="D2181" s="101"/>
    </row>
    <row r="2182" spans="3:4">
      <c r="C2182" s="101"/>
      <c r="D2182" s="101"/>
    </row>
    <row r="2183" spans="3:4">
      <c r="C2183" s="101"/>
      <c r="D2183" s="101"/>
    </row>
    <row r="2184" spans="3:4">
      <c r="C2184" s="101"/>
      <c r="D2184" s="101"/>
    </row>
    <row r="2185" spans="3:4">
      <c r="C2185" s="101"/>
      <c r="D2185" s="101"/>
    </row>
    <row r="2186" spans="3:4">
      <c r="C2186" s="101"/>
      <c r="D2186" s="101"/>
    </row>
    <row r="2187" spans="3:4">
      <c r="C2187" s="101"/>
      <c r="D2187" s="101"/>
    </row>
    <row r="2188" spans="3:4">
      <c r="C2188" s="101"/>
      <c r="D2188" s="101"/>
    </row>
    <row r="2189" spans="3:4">
      <c r="C2189" s="101"/>
      <c r="D2189" s="101"/>
    </row>
    <row r="2190" spans="3:4">
      <c r="C2190" s="101"/>
      <c r="D2190" s="101"/>
    </row>
    <row r="2191" spans="3:4">
      <c r="C2191" s="101"/>
      <c r="D2191" s="101"/>
    </row>
    <row r="2192" spans="3:4">
      <c r="C2192" s="101"/>
      <c r="D2192" s="101"/>
    </row>
    <row r="2193" spans="3:4">
      <c r="C2193" s="101"/>
      <c r="D2193" s="101"/>
    </row>
    <row r="2194" spans="3:4">
      <c r="C2194" s="101"/>
      <c r="D2194" s="101"/>
    </row>
    <row r="2195" spans="3:4">
      <c r="C2195" s="101"/>
      <c r="D2195" s="101"/>
    </row>
    <row r="2196" spans="3:4">
      <c r="C2196" s="101"/>
      <c r="D2196" s="101"/>
    </row>
    <row r="2197" spans="3:4">
      <c r="C2197" s="101"/>
      <c r="D2197" s="101"/>
    </row>
    <row r="2198" spans="3:4">
      <c r="C2198" s="101"/>
      <c r="D2198" s="101"/>
    </row>
    <row r="2199" spans="3:4">
      <c r="C2199" s="101"/>
      <c r="D2199" s="101"/>
    </row>
    <row r="2200" spans="3:4">
      <c r="C2200" s="101"/>
      <c r="D2200" s="101"/>
    </row>
    <row r="2201" spans="3:4">
      <c r="C2201" s="101"/>
      <c r="D2201" s="101"/>
    </row>
    <row r="2202" spans="3:4">
      <c r="C2202" s="101"/>
      <c r="D2202" s="101"/>
    </row>
    <row r="2203" spans="3:4">
      <c r="C2203" s="101"/>
      <c r="D2203" s="101"/>
    </row>
    <row r="2204" spans="3:4">
      <c r="C2204" s="101"/>
      <c r="D2204" s="101"/>
    </row>
    <row r="2205" spans="3:4">
      <c r="C2205" s="101"/>
      <c r="D2205" s="101"/>
    </row>
    <row r="2206" spans="3:4">
      <c r="C2206" s="101"/>
      <c r="D2206" s="101"/>
    </row>
    <row r="2207" spans="3:4">
      <c r="C2207" s="101"/>
      <c r="D2207" s="101"/>
    </row>
    <row r="2208" spans="3:4">
      <c r="C2208" s="101"/>
      <c r="D2208" s="101"/>
    </row>
    <row r="2209" spans="3:4">
      <c r="C2209" s="101"/>
      <c r="D2209" s="101"/>
    </row>
    <row r="2210" spans="3:4">
      <c r="C2210" s="101"/>
      <c r="D2210" s="101"/>
    </row>
    <row r="2211" spans="3:4">
      <c r="C2211" s="101"/>
      <c r="D2211" s="101"/>
    </row>
    <row r="2212" spans="3:4">
      <c r="C2212" s="101"/>
      <c r="D2212" s="101"/>
    </row>
    <row r="2213" spans="3:4">
      <c r="C2213" s="101"/>
      <c r="D2213" s="101"/>
    </row>
    <row r="2214" spans="3:4">
      <c r="C2214" s="101"/>
      <c r="D2214" s="101"/>
    </row>
    <row r="2215" spans="3:4">
      <c r="C2215" s="101"/>
      <c r="D2215" s="101"/>
    </row>
    <row r="2216" spans="3:4">
      <c r="C2216" s="101"/>
      <c r="D2216" s="101"/>
    </row>
    <row r="2217" spans="3:4">
      <c r="C2217" s="101"/>
      <c r="D2217" s="101"/>
    </row>
    <row r="2218" spans="3:4">
      <c r="C2218" s="101"/>
      <c r="D2218" s="101"/>
    </row>
    <row r="2219" spans="3:4">
      <c r="C2219" s="101"/>
      <c r="D2219" s="101"/>
    </row>
    <row r="2220" spans="3:4">
      <c r="C2220" s="101"/>
      <c r="D2220" s="101"/>
    </row>
    <row r="2221" spans="3:4">
      <c r="C2221" s="101"/>
      <c r="D2221" s="101"/>
    </row>
    <row r="2222" spans="3:4">
      <c r="C2222" s="101"/>
      <c r="D2222" s="101"/>
    </row>
    <row r="2223" spans="3:4">
      <c r="C2223" s="101"/>
      <c r="D2223" s="101"/>
    </row>
    <row r="2224" spans="3:4">
      <c r="C2224" s="101"/>
      <c r="D2224" s="101"/>
    </row>
    <row r="2225" spans="3:4">
      <c r="C2225" s="101"/>
      <c r="D2225" s="101"/>
    </row>
    <row r="2226" spans="3:4">
      <c r="C2226" s="101"/>
      <c r="D2226" s="101"/>
    </row>
    <row r="2227" spans="3:4">
      <c r="C2227" s="101"/>
      <c r="D2227" s="101"/>
    </row>
    <row r="2228" spans="3:4">
      <c r="C2228" s="101"/>
      <c r="D2228" s="101"/>
    </row>
    <row r="2229" spans="3:4">
      <c r="C2229" s="101"/>
      <c r="D2229" s="101"/>
    </row>
    <row r="2230" spans="3:4">
      <c r="C2230" s="101"/>
      <c r="D2230" s="101"/>
    </row>
    <row r="2231" spans="3:4">
      <c r="C2231" s="101"/>
      <c r="D2231" s="101"/>
    </row>
    <row r="2232" spans="3:4">
      <c r="C2232" s="101"/>
      <c r="D2232" s="101"/>
    </row>
    <row r="2233" spans="3:4">
      <c r="C2233" s="101"/>
      <c r="D2233" s="101"/>
    </row>
    <row r="2234" spans="3:4">
      <c r="C2234" s="101"/>
      <c r="D2234" s="101"/>
    </row>
    <row r="2235" spans="3:4">
      <c r="C2235" s="101"/>
      <c r="D2235" s="101"/>
    </row>
    <row r="2236" spans="3:4">
      <c r="C2236" s="101"/>
      <c r="D2236" s="101"/>
    </row>
    <row r="2237" spans="3:4">
      <c r="C2237" s="101"/>
      <c r="D2237" s="101"/>
    </row>
    <row r="2238" spans="3:4">
      <c r="C2238" s="101"/>
      <c r="D2238" s="101"/>
    </row>
    <row r="2239" spans="3:4">
      <c r="C2239" s="101"/>
      <c r="D2239" s="101"/>
    </row>
    <row r="2240" spans="3:4">
      <c r="C2240" s="101"/>
      <c r="D2240" s="101"/>
    </row>
    <row r="2241" spans="3:4">
      <c r="C2241" s="101"/>
      <c r="D2241" s="101"/>
    </row>
    <row r="2242" spans="3:4">
      <c r="C2242" s="101"/>
      <c r="D2242" s="101"/>
    </row>
    <row r="2243" spans="3:4">
      <c r="C2243" s="101"/>
      <c r="D2243" s="101"/>
    </row>
    <row r="2244" spans="3:4">
      <c r="C2244" s="101"/>
      <c r="D2244" s="101"/>
    </row>
    <row r="2245" spans="3:4">
      <c r="C2245" s="101"/>
      <c r="D2245" s="101"/>
    </row>
    <row r="2246" spans="3:4">
      <c r="C2246" s="101"/>
      <c r="D2246" s="101"/>
    </row>
    <row r="2247" spans="3:4">
      <c r="C2247" s="101"/>
      <c r="D2247" s="101"/>
    </row>
    <row r="2248" spans="3:4">
      <c r="C2248" s="101"/>
      <c r="D2248" s="101"/>
    </row>
    <row r="2249" spans="3:4">
      <c r="C2249" s="101"/>
      <c r="D2249" s="101"/>
    </row>
    <row r="2250" spans="3:4">
      <c r="C2250" s="101"/>
      <c r="D2250" s="101"/>
    </row>
    <row r="2251" spans="3:4">
      <c r="C2251" s="101"/>
      <c r="D2251" s="101"/>
    </row>
    <row r="2252" spans="3:4">
      <c r="C2252" s="101"/>
      <c r="D2252" s="101"/>
    </row>
    <row r="2253" spans="3:4">
      <c r="C2253" s="101"/>
      <c r="D2253" s="101"/>
    </row>
    <row r="2254" spans="3:4">
      <c r="C2254" s="101"/>
      <c r="D2254" s="101"/>
    </row>
    <row r="2255" spans="3:4">
      <c r="C2255" s="101"/>
      <c r="D2255" s="101"/>
    </row>
    <row r="2256" spans="3:4">
      <c r="C2256" s="101"/>
      <c r="D2256" s="101"/>
    </row>
    <row r="2257" spans="3:4">
      <c r="C2257" s="101"/>
      <c r="D2257" s="101"/>
    </row>
    <row r="2258" spans="3:4">
      <c r="C2258" s="101"/>
      <c r="D2258" s="101"/>
    </row>
    <row r="2259" spans="3:4">
      <c r="C2259" s="101"/>
      <c r="D2259" s="101"/>
    </row>
    <row r="2260" spans="3:4">
      <c r="C2260" s="101"/>
      <c r="D2260" s="101"/>
    </row>
    <row r="2261" spans="3:4">
      <c r="C2261" s="101"/>
      <c r="D2261" s="101"/>
    </row>
    <row r="2262" spans="3:4">
      <c r="C2262" s="101"/>
      <c r="D2262" s="101"/>
    </row>
    <row r="2263" spans="3:4">
      <c r="C2263" s="101"/>
      <c r="D2263" s="101"/>
    </row>
    <row r="2264" spans="3:4">
      <c r="C2264" s="101"/>
      <c r="D2264" s="101"/>
    </row>
    <row r="2265" spans="3:4">
      <c r="C2265" s="101"/>
      <c r="D2265" s="101"/>
    </row>
    <row r="2266" spans="3:4">
      <c r="C2266" s="101"/>
      <c r="D2266" s="101"/>
    </row>
    <row r="2267" spans="3:4">
      <c r="C2267" s="101"/>
      <c r="D2267" s="101"/>
    </row>
    <row r="2268" spans="3:4">
      <c r="C2268" s="101"/>
      <c r="D2268" s="101"/>
    </row>
    <row r="2269" spans="3:4">
      <c r="C2269" s="101"/>
      <c r="D2269" s="101"/>
    </row>
    <row r="2270" spans="3:4">
      <c r="C2270" s="101"/>
      <c r="D2270" s="101"/>
    </row>
    <row r="2271" spans="3:4">
      <c r="C2271" s="101"/>
      <c r="D2271" s="101"/>
    </row>
    <row r="2272" spans="3:4">
      <c r="C2272" s="101"/>
      <c r="D2272" s="101"/>
    </row>
    <row r="2273" spans="3:4">
      <c r="C2273" s="101"/>
      <c r="D2273" s="101"/>
    </row>
    <row r="2274" spans="3:4">
      <c r="C2274" s="101"/>
      <c r="D2274" s="101"/>
    </row>
    <row r="2275" spans="3:4">
      <c r="C2275" s="101"/>
      <c r="D2275" s="101"/>
    </row>
    <row r="2276" spans="3:4">
      <c r="C2276" s="101"/>
      <c r="D2276" s="101"/>
    </row>
    <row r="2277" spans="3:4">
      <c r="C2277" s="101"/>
      <c r="D2277" s="101"/>
    </row>
    <row r="2278" spans="3:4">
      <c r="C2278" s="101"/>
      <c r="D2278" s="101"/>
    </row>
    <row r="2279" spans="3:4">
      <c r="C2279" s="101"/>
      <c r="D2279" s="101"/>
    </row>
    <row r="2280" spans="3:4">
      <c r="C2280" s="101"/>
      <c r="D2280" s="101"/>
    </row>
    <row r="2281" spans="3:4">
      <c r="C2281" s="101"/>
      <c r="D2281" s="101"/>
    </row>
    <row r="2282" spans="3:4">
      <c r="C2282" s="101"/>
      <c r="D2282" s="101"/>
    </row>
    <row r="2283" spans="3:4">
      <c r="C2283" s="101"/>
      <c r="D2283" s="101"/>
    </row>
    <row r="2284" spans="3:4">
      <c r="C2284" s="101"/>
      <c r="D2284" s="101"/>
    </row>
    <row r="2285" spans="3:4">
      <c r="C2285" s="101"/>
      <c r="D2285" s="101"/>
    </row>
    <row r="2286" spans="3:4">
      <c r="C2286" s="101"/>
      <c r="D2286" s="101"/>
    </row>
    <row r="2287" spans="3:4">
      <c r="C2287" s="101"/>
      <c r="D2287" s="101"/>
    </row>
    <row r="2288" spans="3:4">
      <c r="C2288" s="101"/>
      <c r="D2288" s="101"/>
    </row>
    <row r="2289" spans="3:4">
      <c r="C2289" s="101"/>
      <c r="D2289" s="101"/>
    </row>
    <row r="2290" spans="3:4">
      <c r="C2290" s="101"/>
      <c r="D2290" s="101"/>
    </row>
    <row r="2291" spans="3:4">
      <c r="C2291" s="101"/>
      <c r="D2291" s="101"/>
    </row>
    <row r="2292" spans="3:4">
      <c r="C2292" s="101"/>
      <c r="D2292" s="101"/>
    </row>
    <row r="2293" spans="3:4">
      <c r="C2293" s="101"/>
      <c r="D2293" s="101"/>
    </row>
    <row r="2294" spans="3:4">
      <c r="C2294" s="101"/>
      <c r="D2294" s="101"/>
    </row>
    <row r="2295" spans="3:4">
      <c r="C2295" s="101"/>
      <c r="D2295" s="101"/>
    </row>
    <row r="2296" spans="3:4">
      <c r="C2296" s="101"/>
      <c r="D2296" s="101"/>
    </row>
    <row r="2297" spans="3:4">
      <c r="C2297" s="101"/>
      <c r="D2297" s="101"/>
    </row>
    <row r="2298" spans="3:4">
      <c r="C2298" s="101"/>
      <c r="D2298" s="101"/>
    </row>
    <row r="2299" spans="3:4">
      <c r="C2299" s="101"/>
      <c r="D2299" s="101"/>
    </row>
    <row r="2300" spans="3:4">
      <c r="C2300" s="101"/>
      <c r="D2300" s="101"/>
    </row>
    <row r="2301" spans="3:4">
      <c r="C2301" s="101"/>
      <c r="D2301" s="101"/>
    </row>
    <row r="2302" spans="3:4">
      <c r="C2302" s="101"/>
      <c r="D2302" s="101"/>
    </row>
    <row r="2303" spans="3:4">
      <c r="C2303" s="101"/>
      <c r="D2303" s="101"/>
    </row>
    <row r="2304" spans="3:4">
      <c r="C2304" s="101"/>
      <c r="D2304" s="101"/>
    </row>
    <row r="2305" spans="3:4">
      <c r="C2305" s="101"/>
      <c r="D2305" s="101"/>
    </row>
    <row r="2306" spans="3:4">
      <c r="C2306" s="101"/>
      <c r="D2306" s="101"/>
    </row>
    <row r="2307" spans="3:4">
      <c r="C2307" s="101"/>
      <c r="D2307" s="101"/>
    </row>
    <row r="2308" spans="3:4">
      <c r="C2308" s="101"/>
      <c r="D2308" s="101"/>
    </row>
    <row r="2309" spans="3:4">
      <c r="C2309" s="101"/>
      <c r="D2309" s="101"/>
    </row>
    <row r="2310" spans="3:4">
      <c r="C2310" s="101"/>
      <c r="D2310" s="101"/>
    </row>
    <row r="2311" spans="3:4">
      <c r="C2311" s="101"/>
      <c r="D2311" s="101"/>
    </row>
    <row r="2312" spans="3:4">
      <c r="C2312" s="101"/>
      <c r="D2312" s="101"/>
    </row>
    <row r="2313" spans="3:4">
      <c r="C2313" s="101"/>
      <c r="D2313" s="101"/>
    </row>
    <row r="2314" spans="3:4">
      <c r="C2314" s="101"/>
      <c r="D2314" s="101"/>
    </row>
    <row r="2315" spans="3:4">
      <c r="C2315" s="101"/>
      <c r="D2315" s="101"/>
    </row>
    <row r="2316" spans="3:4">
      <c r="C2316" s="101"/>
      <c r="D2316" s="101"/>
    </row>
    <row r="2317" spans="3:4">
      <c r="C2317" s="101"/>
      <c r="D2317" s="101"/>
    </row>
    <row r="2318" spans="3:4">
      <c r="C2318" s="101"/>
      <c r="D2318" s="101"/>
    </row>
    <row r="2319" spans="3:4">
      <c r="C2319" s="101"/>
      <c r="D2319" s="101"/>
    </row>
    <row r="2320" spans="3:4">
      <c r="C2320" s="101"/>
      <c r="D2320" s="101"/>
    </row>
    <row r="2321" spans="3:4">
      <c r="C2321" s="101"/>
      <c r="D2321" s="101"/>
    </row>
    <row r="2322" spans="3:4">
      <c r="C2322" s="101"/>
      <c r="D2322" s="101"/>
    </row>
    <row r="2323" spans="3:4">
      <c r="C2323" s="101"/>
      <c r="D2323" s="101"/>
    </row>
    <row r="2324" spans="3:4">
      <c r="C2324" s="101"/>
      <c r="D2324" s="101"/>
    </row>
    <row r="2325" spans="3:4">
      <c r="C2325" s="101"/>
      <c r="D2325" s="101"/>
    </row>
    <row r="2326" spans="3:4">
      <c r="C2326" s="101"/>
      <c r="D2326" s="101"/>
    </row>
    <row r="2327" spans="3:4">
      <c r="C2327" s="101"/>
      <c r="D2327" s="101"/>
    </row>
    <row r="2328" spans="3:4">
      <c r="C2328" s="101"/>
      <c r="D2328" s="101"/>
    </row>
    <row r="2329" spans="3:4">
      <c r="C2329" s="101"/>
      <c r="D2329" s="101"/>
    </row>
    <row r="2330" spans="3:4">
      <c r="C2330" s="101"/>
      <c r="D2330" s="101"/>
    </row>
    <row r="2331" spans="3:4">
      <c r="C2331" s="101"/>
      <c r="D2331" s="101"/>
    </row>
    <row r="2332" spans="3:4">
      <c r="C2332" s="101"/>
      <c r="D2332" s="101"/>
    </row>
    <row r="2333" spans="3:4">
      <c r="C2333" s="101"/>
      <c r="D2333" s="101"/>
    </row>
    <row r="2334" spans="3:4">
      <c r="C2334" s="101"/>
      <c r="D2334" s="101"/>
    </row>
    <row r="2335" spans="3:4">
      <c r="C2335" s="101"/>
      <c r="D2335" s="101"/>
    </row>
    <row r="2336" spans="3:4">
      <c r="C2336" s="101"/>
      <c r="D2336" s="101"/>
    </row>
    <row r="2337" spans="3:4">
      <c r="C2337" s="101"/>
      <c r="D2337" s="101"/>
    </row>
    <row r="2338" spans="3:4">
      <c r="C2338" s="101"/>
      <c r="D2338" s="101"/>
    </row>
    <row r="2339" spans="3:4">
      <c r="C2339" s="101"/>
      <c r="D2339" s="101"/>
    </row>
    <row r="2340" spans="3:4">
      <c r="C2340" s="101"/>
      <c r="D2340" s="101"/>
    </row>
    <row r="2341" spans="3:4">
      <c r="C2341" s="101"/>
      <c r="D2341" s="101"/>
    </row>
    <row r="2342" spans="3:4">
      <c r="C2342" s="101"/>
      <c r="D2342" s="101"/>
    </row>
    <row r="2343" spans="3:4">
      <c r="C2343" s="101"/>
      <c r="D2343" s="101"/>
    </row>
    <row r="2344" spans="3:4">
      <c r="C2344" s="101"/>
      <c r="D2344" s="101"/>
    </row>
    <row r="2345" spans="3:4">
      <c r="C2345" s="101"/>
      <c r="D2345" s="101"/>
    </row>
    <row r="2346" spans="3:4">
      <c r="C2346" s="101"/>
      <c r="D2346" s="101"/>
    </row>
    <row r="2347" spans="3:4">
      <c r="C2347" s="101"/>
      <c r="D2347" s="101"/>
    </row>
    <row r="2348" spans="3:4">
      <c r="C2348" s="101"/>
      <c r="D2348" s="101"/>
    </row>
    <row r="2349" spans="3:4">
      <c r="C2349" s="101"/>
      <c r="D2349" s="101"/>
    </row>
    <row r="2350" spans="3:4">
      <c r="C2350" s="101"/>
      <c r="D2350" s="101"/>
    </row>
    <row r="2351" spans="3:4">
      <c r="C2351" s="101"/>
      <c r="D2351" s="101"/>
    </row>
    <row r="2352" spans="3:4">
      <c r="C2352" s="101"/>
      <c r="D2352" s="101"/>
    </row>
    <row r="2353" spans="3:4">
      <c r="C2353" s="101"/>
      <c r="D2353" s="101"/>
    </row>
    <row r="2354" spans="3:4">
      <c r="C2354" s="101"/>
      <c r="D2354" s="101"/>
    </row>
    <row r="2355" spans="3:4">
      <c r="C2355" s="101"/>
      <c r="D2355" s="101"/>
    </row>
    <row r="2356" spans="3:4">
      <c r="C2356" s="101"/>
      <c r="D2356" s="101"/>
    </row>
    <row r="2357" spans="3:4">
      <c r="C2357" s="101"/>
      <c r="D2357" s="101"/>
    </row>
    <row r="2358" spans="3:4">
      <c r="C2358" s="101"/>
      <c r="D2358" s="101"/>
    </row>
    <row r="2359" spans="3:4">
      <c r="C2359" s="101"/>
      <c r="D2359" s="101"/>
    </row>
    <row r="2360" spans="3:4">
      <c r="C2360" s="101"/>
      <c r="D2360" s="101"/>
    </row>
    <row r="2361" spans="3:4">
      <c r="C2361" s="101"/>
      <c r="D2361" s="101"/>
    </row>
    <row r="2362" spans="3:4">
      <c r="C2362" s="101"/>
      <c r="D2362" s="101"/>
    </row>
    <row r="2363" spans="3:4">
      <c r="C2363" s="101"/>
      <c r="D2363" s="101"/>
    </row>
    <row r="2364" spans="3:4">
      <c r="C2364" s="101"/>
      <c r="D2364" s="101"/>
    </row>
    <row r="2365" spans="3:4">
      <c r="C2365" s="101"/>
      <c r="D2365" s="101"/>
    </row>
    <row r="2366" spans="3:4">
      <c r="C2366" s="101"/>
      <c r="D2366" s="101"/>
    </row>
    <row r="2367" spans="3:4">
      <c r="C2367" s="101"/>
      <c r="D2367" s="101"/>
    </row>
    <row r="2368" spans="3:4">
      <c r="C2368" s="101"/>
      <c r="D2368" s="101"/>
    </row>
    <row r="2369" spans="3:4">
      <c r="C2369" s="101"/>
      <c r="D2369" s="101"/>
    </row>
    <row r="2370" spans="3:4">
      <c r="C2370" s="101"/>
      <c r="D2370" s="101"/>
    </row>
    <row r="2371" spans="3:4">
      <c r="C2371" s="101"/>
      <c r="D2371" s="101"/>
    </row>
    <row r="2372" spans="3:4">
      <c r="C2372" s="101"/>
      <c r="D2372" s="101"/>
    </row>
    <row r="2373" spans="3:4">
      <c r="C2373" s="101"/>
      <c r="D2373" s="101"/>
    </row>
    <row r="2374" spans="3:4">
      <c r="C2374" s="101"/>
      <c r="D2374" s="101"/>
    </row>
    <row r="2375" spans="3:4">
      <c r="C2375" s="101"/>
      <c r="D2375" s="101"/>
    </row>
    <row r="2376" spans="3:4">
      <c r="C2376" s="101"/>
      <c r="D2376" s="101"/>
    </row>
    <row r="2377" spans="3:4">
      <c r="C2377" s="101"/>
      <c r="D2377" s="101"/>
    </row>
    <row r="2378" spans="3:4">
      <c r="C2378" s="101"/>
      <c r="D2378" s="101"/>
    </row>
    <row r="2379" spans="3:4">
      <c r="C2379" s="101"/>
      <c r="D2379" s="101"/>
    </row>
    <row r="2380" spans="3:4">
      <c r="C2380" s="101"/>
      <c r="D2380" s="101"/>
    </row>
    <row r="2381" spans="3:4">
      <c r="C2381" s="101"/>
      <c r="D2381" s="101"/>
    </row>
    <row r="2382" spans="3:4">
      <c r="C2382" s="101"/>
      <c r="D2382" s="101"/>
    </row>
    <row r="2383" spans="3:4">
      <c r="C2383" s="101"/>
      <c r="D2383" s="101"/>
    </row>
    <row r="2384" spans="3:4">
      <c r="C2384" s="101"/>
      <c r="D2384" s="101"/>
    </row>
    <row r="2385" spans="3:4">
      <c r="C2385" s="101"/>
      <c r="D2385" s="101"/>
    </row>
    <row r="2386" spans="3:4">
      <c r="C2386" s="101"/>
      <c r="D2386" s="101"/>
    </row>
    <row r="2387" spans="3:4">
      <c r="C2387" s="101"/>
      <c r="D2387" s="101"/>
    </row>
    <row r="2388" spans="3:4">
      <c r="C2388" s="101"/>
      <c r="D2388" s="101"/>
    </row>
    <row r="2389" spans="3:4">
      <c r="C2389" s="101"/>
      <c r="D2389" s="101"/>
    </row>
    <row r="2390" spans="3:4">
      <c r="C2390" s="101"/>
      <c r="D2390" s="101"/>
    </row>
    <row r="2391" spans="3:4">
      <c r="C2391" s="101"/>
      <c r="D2391" s="101"/>
    </row>
    <row r="2392" spans="3:4">
      <c r="C2392" s="101"/>
      <c r="D2392" s="101"/>
    </row>
    <row r="2393" spans="3:4">
      <c r="C2393" s="101"/>
      <c r="D2393" s="101"/>
    </row>
    <row r="2394" spans="3:4">
      <c r="C2394" s="101"/>
      <c r="D2394" s="101"/>
    </row>
    <row r="2395" spans="3:4">
      <c r="C2395" s="101"/>
      <c r="D2395" s="101"/>
    </row>
    <row r="2396" spans="3:4">
      <c r="C2396" s="101"/>
      <c r="D2396" s="101"/>
    </row>
    <row r="2397" spans="3:4">
      <c r="C2397" s="101"/>
      <c r="D2397" s="101"/>
    </row>
    <row r="2398" spans="3:4">
      <c r="C2398" s="101"/>
      <c r="D2398" s="101"/>
    </row>
    <row r="2399" spans="3:4">
      <c r="C2399" s="101"/>
      <c r="D2399" s="101"/>
    </row>
    <row r="2400" spans="3:4">
      <c r="C2400" s="101"/>
      <c r="D2400" s="101"/>
    </row>
    <row r="2401" spans="3:4">
      <c r="C2401" s="101"/>
      <c r="D2401" s="101"/>
    </row>
    <row r="2402" spans="3:4">
      <c r="C2402" s="101"/>
      <c r="D2402" s="101"/>
    </row>
    <row r="2403" spans="3:4">
      <c r="C2403" s="101"/>
      <c r="D2403" s="101"/>
    </row>
    <row r="2404" spans="3:4">
      <c r="C2404" s="101"/>
      <c r="D2404" s="101"/>
    </row>
    <row r="2405" spans="3:4">
      <c r="C2405" s="101"/>
      <c r="D2405" s="101"/>
    </row>
    <row r="2406" spans="3:4">
      <c r="C2406" s="101"/>
      <c r="D2406" s="101"/>
    </row>
    <row r="2407" spans="3:4">
      <c r="C2407" s="101"/>
      <c r="D2407" s="101"/>
    </row>
    <row r="2408" spans="3:4">
      <c r="C2408" s="101"/>
      <c r="D2408" s="101"/>
    </row>
    <row r="2409" spans="3:4">
      <c r="C2409" s="101"/>
      <c r="D2409" s="101"/>
    </row>
    <row r="2410" spans="3:4">
      <c r="C2410" s="101"/>
      <c r="D2410" s="101"/>
    </row>
    <row r="2411" spans="3:4">
      <c r="C2411" s="101"/>
      <c r="D2411" s="101"/>
    </row>
    <row r="2412" spans="3:4">
      <c r="C2412" s="101"/>
      <c r="D2412" s="101"/>
    </row>
    <row r="2413" spans="3:4">
      <c r="C2413" s="101"/>
      <c r="D2413" s="101"/>
    </row>
    <row r="2414" spans="3:4">
      <c r="C2414" s="101"/>
      <c r="D2414" s="101"/>
    </row>
    <row r="2415" spans="3:4">
      <c r="C2415" s="101"/>
      <c r="D2415" s="101"/>
    </row>
    <row r="2416" spans="3:4">
      <c r="C2416" s="101"/>
      <c r="D2416" s="101"/>
    </row>
    <row r="2417" spans="3:4">
      <c r="C2417" s="101"/>
      <c r="D2417" s="101"/>
    </row>
    <row r="2418" spans="3:4">
      <c r="C2418" s="101"/>
      <c r="D2418" s="101"/>
    </row>
    <row r="2419" spans="3:4">
      <c r="C2419" s="101"/>
      <c r="D2419" s="101"/>
    </row>
    <row r="2420" spans="3:4">
      <c r="C2420" s="101"/>
      <c r="D2420" s="101"/>
    </row>
    <row r="2421" spans="3:4">
      <c r="C2421" s="101"/>
      <c r="D2421" s="101"/>
    </row>
    <row r="2422" spans="3:4">
      <c r="C2422" s="101"/>
      <c r="D2422" s="101"/>
    </row>
    <row r="2423" spans="3:4">
      <c r="C2423" s="101"/>
      <c r="D2423" s="101"/>
    </row>
    <row r="2424" spans="3:4">
      <c r="C2424" s="101"/>
      <c r="D2424" s="101"/>
    </row>
    <row r="2425" spans="3:4">
      <c r="C2425" s="101"/>
      <c r="D2425" s="101"/>
    </row>
    <row r="2426" spans="3:4">
      <c r="C2426" s="101"/>
      <c r="D2426" s="101"/>
    </row>
    <row r="2427" spans="3:4">
      <c r="C2427" s="101"/>
      <c r="D2427" s="101"/>
    </row>
    <row r="2428" spans="3:4">
      <c r="C2428" s="101"/>
      <c r="D2428" s="101"/>
    </row>
    <row r="2429" spans="3:4">
      <c r="C2429" s="101"/>
      <c r="D2429" s="101"/>
    </row>
    <row r="2430" spans="3:4">
      <c r="C2430" s="101"/>
      <c r="D2430" s="101"/>
    </row>
    <row r="2431" spans="3:4">
      <c r="C2431" s="101"/>
      <c r="D2431" s="101"/>
    </row>
    <row r="2432" spans="3:4">
      <c r="C2432" s="101"/>
      <c r="D2432" s="101"/>
    </row>
    <row r="2433" spans="3:4">
      <c r="C2433" s="101"/>
      <c r="D2433" s="101"/>
    </row>
    <row r="2434" spans="3:4">
      <c r="C2434" s="101"/>
      <c r="D2434" s="101"/>
    </row>
    <row r="2435" spans="3:4">
      <c r="C2435" s="101"/>
      <c r="D2435" s="101"/>
    </row>
    <row r="2436" spans="3:4">
      <c r="C2436" s="101"/>
      <c r="D2436" s="101"/>
    </row>
    <row r="2437" spans="3:4">
      <c r="C2437" s="101"/>
      <c r="D2437" s="101"/>
    </row>
    <row r="2438" spans="3:4">
      <c r="C2438" s="101"/>
      <c r="D2438" s="101"/>
    </row>
    <row r="2439" spans="3:4">
      <c r="C2439" s="101"/>
      <c r="D2439" s="101"/>
    </row>
    <row r="2440" spans="3:4">
      <c r="C2440" s="101"/>
      <c r="D2440" s="101"/>
    </row>
    <row r="2441" spans="3:4">
      <c r="C2441" s="101"/>
      <c r="D2441" s="101"/>
    </row>
    <row r="2442" spans="3:4">
      <c r="C2442" s="101"/>
      <c r="D2442" s="101"/>
    </row>
    <row r="2443" spans="3:4">
      <c r="C2443" s="101"/>
      <c r="D2443" s="101"/>
    </row>
    <row r="2444" spans="3:4">
      <c r="C2444" s="101"/>
      <c r="D2444" s="101"/>
    </row>
    <row r="2445" spans="3:4">
      <c r="C2445" s="101"/>
      <c r="D2445" s="101"/>
    </row>
    <row r="2446" spans="3:4">
      <c r="C2446" s="101"/>
      <c r="D2446" s="101"/>
    </row>
    <row r="2447" spans="3:4">
      <c r="C2447" s="101"/>
      <c r="D2447" s="101"/>
    </row>
    <row r="2448" spans="3:4">
      <c r="C2448" s="101"/>
      <c r="D2448" s="101"/>
    </row>
    <row r="2449" spans="3:4">
      <c r="C2449" s="101"/>
      <c r="D2449" s="101"/>
    </row>
    <row r="2450" spans="3:4">
      <c r="C2450" s="101"/>
      <c r="D2450" s="101"/>
    </row>
    <row r="2451" spans="3:4">
      <c r="C2451" s="101"/>
      <c r="D2451" s="101"/>
    </row>
    <row r="2452" spans="3:4">
      <c r="C2452" s="101"/>
      <c r="D2452" s="101"/>
    </row>
    <row r="2453" spans="3:4">
      <c r="C2453" s="101"/>
      <c r="D2453" s="101"/>
    </row>
    <row r="2454" spans="3:4">
      <c r="C2454" s="101"/>
      <c r="D2454" s="101"/>
    </row>
    <row r="2455" spans="3:4">
      <c r="C2455" s="101"/>
      <c r="D2455" s="101"/>
    </row>
    <row r="2456" spans="3:4">
      <c r="C2456" s="101"/>
      <c r="D2456" s="101"/>
    </row>
    <row r="2457" spans="3:4">
      <c r="C2457" s="101"/>
      <c r="D2457" s="101"/>
    </row>
    <row r="2458" spans="3:4">
      <c r="C2458" s="101"/>
      <c r="D2458" s="101"/>
    </row>
    <row r="2459" spans="3:4">
      <c r="C2459" s="101"/>
      <c r="D2459" s="101"/>
    </row>
    <row r="2460" spans="3:4">
      <c r="C2460" s="101"/>
      <c r="D2460" s="101"/>
    </row>
    <row r="2461" spans="3:4">
      <c r="C2461" s="101"/>
      <c r="D2461" s="101"/>
    </row>
    <row r="2462" spans="3:4">
      <c r="C2462" s="101"/>
      <c r="D2462" s="101"/>
    </row>
    <row r="2463" spans="3:4">
      <c r="C2463" s="101"/>
      <c r="D2463" s="101"/>
    </row>
    <row r="2464" spans="3:4">
      <c r="C2464" s="101"/>
      <c r="D2464" s="101"/>
    </row>
    <row r="2465" spans="3:4">
      <c r="C2465" s="101"/>
      <c r="D2465" s="101"/>
    </row>
    <row r="2466" spans="3:4">
      <c r="C2466" s="101"/>
      <c r="D2466" s="101"/>
    </row>
    <row r="2467" spans="3:4">
      <c r="C2467" s="101"/>
      <c r="D2467" s="101"/>
    </row>
    <row r="2468" spans="3:4">
      <c r="C2468" s="101"/>
      <c r="D2468" s="101"/>
    </row>
    <row r="2469" spans="3:4">
      <c r="C2469" s="101"/>
      <c r="D2469" s="101"/>
    </row>
    <row r="2470" spans="3:4">
      <c r="C2470" s="101"/>
      <c r="D2470" s="101"/>
    </row>
    <row r="2471" spans="3:4">
      <c r="C2471" s="101"/>
      <c r="D2471" s="101"/>
    </row>
    <row r="2472" spans="3:4">
      <c r="C2472" s="101"/>
      <c r="D2472" s="101"/>
    </row>
    <row r="2473" spans="3:4">
      <c r="C2473" s="101"/>
      <c r="D2473" s="101"/>
    </row>
    <row r="2474" spans="3:4">
      <c r="C2474" s="101"/>
      <c r="D2474" s="101"/>
    </row>
    <row r="2475" spans="3:4">
      <c r="C2475" s="101"/>
      <c r="D2475" s="101"/>
    </row>
    <row r="2476" spans="3:4">
      <c r="C2476" s="101"/>
      <c r="D2476" s="101"/>
    </row>
    <row r="2477" spans="3:4">
      <c r="C2477" s="101"/>
      <c r="D2477" s="101"/>
    </row>
    <row r="2478" spans="3:4">
      <c r="C2478" s="101"/>
      <c r="D2478" s="101"/>
    </row>
    <row r="2479" spans="3:4">
      <c r="C2479" s="101"/>
      <c r="D2479" s="101"/>
    </row>
    <row r="2480" spans="3:4">
      <c r="C2480" s="101"/>
      <c r="D2480" s="101"/>
    </row>
    <row r="2481" spans="3:4">
      <c r="C2481" s="101"/>
      <c r="D2481" s="101"/>
    </row>
    <row r="2482" spans="3:4">
      <c r="C2482" s="101"/>
      <c r="D2482" s="101"/>
    </row>
    <row r="2483" spans="3:4">
      <c r="C2483" s="101"/>
      <c r="D2483" s="101"/>
    </row>
    <row r="2484" spans="3:4">
      <c r="C2484" s="101"/>
      <c r="D2484" s="101"/>
    </row>
    <row r="2485" spans="3:4">
      <c r="C2485" s="101"/>
      <c r="D2485" s="101"/>
    </row>
    <row r="2486" spans="3:4">
      <c r="C2486" s="101"/>
      <c r="D2486" s="101"/>
    </row>
    <row r="2487" spans="3:4">
      <c r="C2487" s="101"/>
      <c r="D2487" s="101"/>
    </row>
    <row r="2488" spans="3:4">
      <c r="C2488" s="101"/>
      <c r="D2488" s="101"/>
    </row>
    <row r="2489" spans="3:4">
      <c r="C2489" s="101"/>
      <c r="D2489" s="101"/>
    </row>
    <row r="2490" spans="3:4">
      <c r="C2490" s="101"/>
      <c r="D2490" s="101"/>
    </row>
    <row r="2491" spans="3:4">
      <c r="C2491" s="101"/>
      <c r="D2491" s="101"/>
    </row>
    <row r="2492" spans="3:4">
      <c r="C2492" s="101"/>
      <c r="D2492" s="101"/>
    </row>
    <row r="2493" spans="3:4">
      <c r="C2493" s="101"/>
      <c r="D2493" s="101"/>
    </row>
    <row r="2494" spans="3:4">
      <c r="C2494" s="101"/>
      <c r="D2494" s="101"/>
    </row>
    <row r="2495" spans="3:4">
      <c r="C2495" s="101"/>
      <c r="D2495" s="101"/>
    </row>
    <row r="2496" spans="3:4">
      <c r="C2496" s="101"/>
      <c r="D2496" s="101"/>
    </row>
    <row r="2497" spans="3:4">
      <c r="C2497" s="101"/>
      <c r="D2497" s="101"/>
    </row>
    <row r="2498" spans="3:4">
      <c r="C2498" s="101"/>
      <c r="D2498" s="101"/>
    </row>
    <row r="2499" spans="3:4">
      <c r="C2499" s="101"/>
      <c r="D2499" s="101"/>
    </row>
    <row r="2500" spans="3:4">
      <c r="C2500" s="101"/>
      <c r="D2500" s="101"/>
    </row>
    <row r="2501" spans="3:4">
      <c r="C2501" s="101"/>
      <c r="D2501" s="101"/>
    </row>
    <row r="2502" spans="3:4">
      <c r="C2502" s="101"/>
      <c r="D2502" s="101"/>
    </row>
    <row r="2503" spans="3:4">
      <c r="C2503" s="101"/>
      <c r="D2503" s="101"/>
    </row>
    <row r="2504" spans="3:4">
      <c r="C2504" s="101"/>
      <c r="D2504" s="101"/>
    </row>
    <row r="2505" spans="3:4">
      <c r="C2505" s="101"/>
      <c r="D2505" s="101"/>
    </row>
    <row r="2506" spans="3:4">
      <c r="C2506" s="101"/>
      <c r="D2506" s="101"/>
    </row>
    <row r="2507" spans="3:4">
      <c r="C2507" s="101"/>
      <c r="D2507" s="101"/>
    </row>
    <row r="2508" spans="3:4">
      <c r="C2508" s="101"/>
      <c r="D2508" s="101"/>
    </row>
    <row r="2509" spans="3:4">
      <c r="C2509" s="101"/>
      <c r="D2509" s="101"/>
    </row>
    <row r="2510" spans="3:4">
      <c r="C2510" s="101"/>
      <c r="D2510" s="101"/>
    </row>
    <row r="2511" spans="3:4">
      <c r="C2511" s="101"/>
      <c r="D2511" s="101"/>
    </row>
    <row r="2512" spans="3:4">
      <c r="C2512" s="101"/>
      <c r="D2512" s="101"/>
    </row>
    <row r="2513" spans="3:4">
      <c r="C2513" s="101"/>
      <c r="D2513" s="101"/>
    </row>
    <row r="2514" spans="3:4">
      <c r="C2514" s="101"/>
      <c r="D2514" s="101"/>
    </row>
    <row r="2515" spans="3:4">
      <c r="C2515" s="101"/>
      <c r="D2515" s="101"/>
    </row>
    <row r="2516" spans="3:4">
      <c r="C2516" s="101"/>
      <c r="D2516" s="101"/>
    </row>
    <row r="2517" spans="3:4">
      <c r="C2517" s="101"/>
      <c r="D2517" s="101"/>
    </row>
    <row r="2518" spans="3:4">
      <c r="C2518" s="101"/>
      <c r="D2518" s="101"/>
    </row>
    <row r="2519" spans="3:4">
      <c r="C2519" s="101"/>
      <c r="D2519" s="101"/>
    </row>
    <row r="2520" spans="3:4">
      <c r="C2520" s="101"/>
      <c r="D2520" s="101"/>
    </row>
    <row r="2521" spans="3:4">
      <c r="C2521" s="101"/>
      <c r="D2521" s="101"/>
    </row>
    <row r="2522" spans="3:4">
      <c r="C2522" s="101"/>
      <c r="D2522" s="101"/>
    </row>
    <row r="2523" spans="3:4">
      <c r="C2523" s="101"/>
      <c r="D2523" s="101"/>
    </row>
    <row r="2524" spans="3:4">
      <c r="C2524" s="101"/>
      <c r="D2524" s="101"/>
    </row>
    <row r="2525" spans="3:4">
      <c r="C2525" s="101"/>
      <c r="D2525" s="101"/>
    </row>
    <row r="2526" spans="3:4">
      <c r="C2526" s="101"/>
      <c r="D2526" s="101"/>
    </row>
    <row r="2527" spans="3:4">
      <c r="C2527" s="101"/>
      <c r="D2527" s="101"/>
    </row>
    <row r="2528" spans="3:4">
      <c r="C2528" s="101"/>
      <c r="D2528" s="101"/>
    </row>
    <row r="2529" spans="3:4">
      <c r="C2529" s="101"/>
      <c r="D2529" s="101"/>
    </row>
    <row r="2530" spans="3:4">
      <c r="C2530" s="101"/>
      <c r="D2530" s="101"/>
    </row>
    <row r="2531" spans="3:4">
      <c r="C2531" s="101"/>
      <c r="D2531" s="101"/>
    </row>
    <row r="2532" spans="3:4">
      <c r="C2532" s="101"/>
      <c r="D2532" s="101"/>
    </row>
    <row r="2533" spans="3:4">
      <c r="C2533" s="101"/>
      <c r="D2533" s="101"/>
    </row>
    <row r="2534" spans="3:4">
      <c r="C2534" s="101"/>
      <c r="D2534" s="101"/>
    </row>
    <row r="2535" spans="3:4">
      <c r="C2535" s="101"/>
      <c r="D2535" s="101"/>
    </row>
    <row r="2536" spans="3:4">
      <c r="C2536" s="101"/>
      <c r="D2536" s="101"/>
    </row>
    <row r="2537" spans="3:4">
      <c r="C2537" s="101"/>
      <c r="D2537" s="101"/>
    </row>
    <row r="2538" spans="3:4">
      <c r="C2538" s="101"/>
      <c r="D2538" s="101"/>
    </row>
    <row r="2539" spans="3:4">
      <c r="C2539" s="101"/>
      <c r="D2539" s="101"/>
    </row>
    <row r="2540" spans="3:4">
      <c r="C2540" s="101"/>
      <c r="D2540" s="101"/>
    </row>
    <row r="2541" spans="3:4">
      <c r="C2541" s="101"/>
      <c r="D2541" s="101"/>
    </row>
    <row r="2542" spans="3:4">
      <c r="C2542" s="101"/>
      <c r="D2542" s="101"/>
    </row>
    <row r="2543" spans="3:4">
      <c r="C2543" s="101"/>
      <c r="D2543" s="101"/>
    </row>
    <row r="2544" spans="3:4">
      <c r="C2544" s="101"/>
      <c r="D2544" s="101"/>
    </row>
    <row r="2545" spans="3:4">
      <c r="C2545" s="101"/>
      <c r="D2545" s="101"/>
    </row>
    <row r="2546" spans="3:4">
      <c r="C2546" s="101"/>
      <c r="D2546" s="101"/>
    </row>
    <row r="2547" spans="3:4">
      <c r="C2547" s="101"/>
      <c r="D2547" s="101"/>
    </row>
    <row r="2548" spans="3:4">
      <c r="C2548" s="101"/>
      <c r="D2548" s="101"/>
    </row>
    <row r="2549" spans="3:4">
      <c r="C2549" s="101"/>
      <c r="D2549" s="101"/>
    </row>
    <row r="2550" spans="3:4">
      <c r="C2550" s="101"/>
      <c r="D2550" s="101"/>
    </row>
    <row r="2551" spans="3:4">
      <c r="C2551" s="101"/>
      <c r="D2551" s="101"/>
    </row>
    <row r="2552" spans="3:4">
      <c r="C2552" s="101"/>
      <c r="D2552" s="101"/>
    </row>
    <row r="2553" spans="3:4">
      <c r="C2553" s="101"/>
      <c r="D2553" s="101"/>
    </row>
    <row r="2554" spans="3:4">
      <c r="C2554" s="101"/>
      <c r="D2554" s="101"/>
    </row>
    <row r="2555" spans="3:4">
      <c r="C2555" s="101"/>
      <c r="D2555" s="101"/>
    </row>
    <row r="2556" spans="3:4">
      <c r="C2556" s="101"/>
      <c r="D2556" s="101"/>
    </row>
    <row r="2557" spans="3:4">
      <c r="C2557" s="101"/>
      <c r="D2557" s="101"/>
    </row>
    <row r="2558" spans="3:4">
      <c r="C2558" s="101"/>
      <c r="D2558" s="101"/>
    </row>
    <row r="2559" spans="3:4">
      <c r="C2559" s="101"/>
      <c r="D2559" s="101"/>
    </row>
    <row r="2560" spans="3:4">
      <c r="C2560" s="101"/>
      <c r="D2560" s="101"/>
    </row>
    <row r="2561" spans="3:4">
      <c r="C2561" s="101"/>
      <c r="D2561" s="101"/>
    </row>
    <row r="2562" spans="3:4">
      <c r="C2562" s="101"/>
      <c r="D2562" s="101"/>
    </row>
    <row r="2563" spans="3:4">
      <c r="C2563" s="101"/>
      <c r="D2563" s="101"/>
    </row>
    <row r="2564" spans="3:4">
      <c r="C2564" s="101"/>
      <c r="D2564" s="101"/>
    </row>
    <row r="2565" spans="3:4">
      <c r="C2565" s="101"/>
      <c r="D2565" s="101"/>
    </row>
    <row r="2566" spans="3:4">
      <c r="C2566" s="101"/>
      <c r="D2566" s="101"/>
    </row>
    <row r="2567" spans="3:4">
      <c r="C2567" s="101"/>
      <c r="D2567" s="101"/>
    </row>
    <row r="2568" spans="3:4">
      <c r="C2568" s="101"/>
      <c r="D2568" s="101"/>
    </row>
    <row r="2569" spans="3:4">
      <c r="C2569" s="101"/>
      <c r="D2569" s="101"/>
    </row>
    <row r="2570" spans="3:4">
      <c r="C2570" s="101"/>
      <c r="D2570" s="101"/>
    </row>
    <row r="2571" spans="3:4">
      <c r="C2571" s="101"/>
      <c r="D2571" s="101"/>
    </row>
    <row r="2572" spans="3:4">
      <c r="C2572" s="101"/>
      <c r="D2572" s="101"/>
    </row>
    <row r="2573" spans="3:4">
      <c r="C2573" s="101"/>
      <c r="D2573" s="101"/>
    </row>
    <row r="2574" spans="3:4">
      <c r="C2574" s="101"/>
      <c r="D2574" s="101"/>
    </row>
    <row r="2575" spans="3:4">
      <c r="C2575" s="101"/>
      <c r="D2575" s="101"/>
    </row>
    <row r="2576" spans="3:4">
      <c r="C2576" s="101"/>
      <c r="D2576" s="101"/>
    </row>
    <row r="2577" spans="3:4">
      <c r="C2577" s="101"/>
      <c r="D2577" s="101"/>
    </row>
    <row r="2578" spans="3:4">
      <c r="C2578" s="101"/>
      <c r="D2578" s="101"/>
    </row>
    <row r="2579" spans="3:4">
      <c r="C2579" s="101"/>
      <c r="D2579" s="101"/>
    </row>
    <row r="2580" spans="3:4">
      <c r="C2580" s="101"/>
      <c r="D2580" s="101"/>
    </row>
    <row r="2581" spans="3:4">
      <c r="C2581" s="101"/>
      <c r="D2581" s="101"/>
    </row>
    <row r="2582" spans="3:4">
      <c r="C2582" s="101"/>
      <c r="D2582" s="101"/>
    </row>
  </sheetData>
  <mergeCells count="2">
    <mergeCell ref="S51:T51"/>
    <mergeCell ref="W51:X51"/>
  </mergeCells>
  <conditionalFormatting pivot="1" sqref="E11:G24">
    <cfRule type="iconSet" priority="17">
      <iconSet reverse="1">
        <cfvo type="percent" val="0"/>
        <cfvo type="percent" val="0" gte="0"/>
        <cfvo type="percent" val="30"/>
      </iconSet>
    </cfRule>
  </conditionalFormatting>
  <conditionalFormatting pivot="1" sqref="L11:N12">
    <cfRule type="iconSet" priority="13">
      <iconSet reverse="1">
        <cfvo type="percent" val="0"/>
        <cfvo type="percent" val="0" gte="0"/>
        <cfvo type="percent" val="30"/>
      </iconSet>
    </cfRule>
  </conditionalFormatting>
  <conditionalFormatting pivot="1" sqref="D81:D93">
    <cfRule type="iconSet" priority="8">
      <iconSet reverse="1">
        <cfvo type="percent" val="0"/>
        <cfvo type="num" val="0" gte="0"/>
        <cfvo type="num" val="0.3"/>
      </iconSet>
    </cfRule>
  </conditionalFormatting>
  <conditionalFormatting pivot="1" sqref="D102:D110">
    <cfRule type="iconSet" priority="7">
      <iconSet reverse="1">
        <cfvo type="percent" val="0"/>
        <cfvo type="num" val="0" gte="0"/>
        <cfvo type="num" val="0.3"/>
      </iconSet>
    </cfRule>
  </conditionalFormatting>
  <conditionalFormatting pivot="1" sqref="D188:D200">
    <cfRule type="iconSet" priority="6">
      <iconSet>
        <cfvo type="percent" val="0"/>
        <cfvo type="num" val="0" gte="0"/>
        <cfvo type="num" val="0.3"/>
      </iconSet>
    </cfRule>
  </conditionalFormatting>
  <conditionalFormatting pivot="1" sqref="L189:L197">
    <cfRule type="iconSet" priority="5">
      <iconSet reverse="1">
        <cfvo type="percent" val="0"/>
        <cfvo type="num" val="0" gte="0"/>
        <cfvo type="num" val="0.3"/>
      </iconSet>
    </cfRule>
  </conditionalFormatting>
  <conditionalFormatting pivot="1" sqref="D268:D280">
    <cfRule type="iconSet" priority="4">
      <iconSet reverse="1">
        <cfvo type="percent" val="0"/>
        <cfvo type="num" val="0" gte="0"/>
        <cfvo type="num" val="0.3"/>
      </iconSet>
    </cfRule>
  </conditionalFormatting>
  <conditionalFormatting pivot="1" sqref="M267:M275">
    <cfRule type="iconSet" priority="3">
      <iconSet reverse="1">
        <cfvo type="percent" val="0"/>
        <cfvo type="num" val="0" gte="0"/>
        <cfvo type="num" val="0.3"/>
      </iconSet>
    </cfRule>
  </conditionalFormatting>
  <pageMargins left="0.7" right="0.7" top="0.75" bottom="0.75" header="0.3" footer="0.3"/>
  <pageSetup orientation="portrait" r:id="rId34"/>
  <drawing r:id="rId35"/>
  <extLst>
    <ext xmlns:x14="http://schemas.microsoft.com/office/spreadsheetml/2009/9/main" uri="{78C0D931-6437-407d-A8EE-F0AAD7539E65}">
      <x14:conditionalFormattings>
        <x14:conditionalFormatting xmlns:xm="http://schemas.microsoft.com/office/excel/2006/main">
          <x14:cfRule type="iconSet" priority="12373"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L26:N26</xm:sqref>
        </x14:conditionalFormatting>
      </x14:conditionalFormattings>
    </ext>
    <ext xmlns:x14="http://schemas.microsoft.com/office/spreadsheetml/2009/9/main" uri="{A8765BA9-456A-4dab-B4F3-ACF838C121DE}">
      <x14:slicerList>
        <x14:slicer r:id="rId3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1:N94"/>
  <sheetViews>
    <sheetView workbookViewId="0">
      <selection activeCell="C42" sqref="C42"/>
    </sheetView>
  </sheetViews>
  <sheetFormatPr defaultRowHeight="15.6"/>
  <cols>
    <col min="1" max="1" width="25.59765625" customWidth="1"/>
    <col min="2" max="3" width="27.296875" bestFit="1" customWidth="1"/>
    <col min="4" max="4" width="4.09765625" bestFit="1" customWidth="1"/>
    <col min="5" max="5" width="10.19921875" bestFit="1" customWidth="1"/>
    <col min="6" max="6" width="13.19921875" bestFit="1" customWidth="1"/>
    <col min="7" max="7" width="11.19921875" bestFit="1" customWidth="1"/>
    <col min="8" max="8" width="13" bestFit="1" customWidth="1"/>
    <col min="9" max="9" width="12.19921875" bestFit="1" customWidth="1"/>
    <col min="10" max="10" width="6.09765625" bestFit="1" customWidth="1"/>
    <col min="11" max="11" width="4.09765625" bestFit="1" customWidth="1"/>
    <col min="12" max="12" width="10.19921875" bestFit="1" customWidth="1"/>
    <col min="13" max="14" width="25" bestFit="1" customWidth="1"/>
  </cols>
  <sheetData>
    <row r="1" spans="1:14">
      <c r="A1" s="427" t="s">
        <v>20</v>
      </c>
      <c r="B1" s="421" t="s">
        <v>2786</v>
      </c>
    </row>
    <row r="2" spans="1:14">
      <c r="A2" s="427" t="s">
        <v>34</v>
      </c>
      <c r="B2" s="421" t="s">
        <v>34</v>
      </c>
      <c r="C2" s="421"/>
      <c r="D2" s="421"/>
      <c r="E2" s="421"/>
    </row>
    <row r="3" spans="1:14">
      <c r="A3" s="427" t="s">
        <v>134</v>
      </c>
      <c r="B3" s="421" t="s">
        <v>1476</v>
      </c>
      <c r="C3" s="421"/>
      <c r="D3" s="421"/>
      <c r="E3" s="421"/>
    </row>
    <row r="4" spans="1:14">
      <c r="A4" s="427" t="s">
        <v>21</v>
      </c>
      <c r="B4" s="421" t="s">
        <v>37</v>
      </c>
      <c r="C4" s="421"/>
      <c r="D4" s="421"/>
      <c r="E4" s="421"/>
    </row>
    <row r="5" spans="1:14">
      <c r="E5" s="164" t="s">
        <v>21</v>
      </c>
      <c r="F5" s="164" t="s">
        <v>22</v>
      </c>
      <c r="G5" s="164" t="s">
        <v>1767</v>
      </c>
      <c r="H5" t="s">
        <v>2223</v>
      </c>
      <c r="I5" t="s">
        <v>2224</v>
      </c>
      <c r="J5" t="s">
        <v>2225</v>
      </c>
      <c r="K5" t="s">
        <v>2226</v>
      </c>
      <c r="L5" t="s">
        <v>2227</v>
      </c>
      <c r="M5" t="s">
        <v>2228</v>
      </c>
      <c r="N5" t="s">
        <v>2229</v>
      </c>
    </row>
    <row r="6" spans="1:14">
      <c r="A6" s="427" t="s">
        <v>22</v>
      </c>
      <c r="B6" s="427" t="s">
        <v>1765</v>
      </c>
      <c r="C6" s="427" t="s">
        <v>1767</v>
      </c>
      <c r="E6" s="159" t="s">
        <v>37</v>
      </c>
      <c r="F6" s="159" t="s">
        <v>195</v>
      </c>
      <c r="G6" s="421" t="s">
        <v>141</v>
      </c>
      <c r="H6" s="421" t="s">
        <v>141</v>
      </c>
      <c r="I6" s="421" t="s">
        <v>192</v>
      </c>
      <c r="J6" s="421" t="s">
        <v>276</v>
      </c>
      <c r="K6" s="421"/>
      <c r="L6" s="421"/>
      <c r="M6" t="str">
        <f>Table4[[#This Row],[Column1]]&amp;", "&amp;Table4[[#This Row],[Column2]]&amp;", "&amp;Table4[[#This Row],[Column3]]&amp;", "&amp;Table4[[#This Row],[Column4]]&amp;", "&amp;Table4[[#This Row],[Column5]]</f>
        <v xml:space="preserve">KBC, Metta, SI, , </v>
      </c>
      <c r="N6" t="s">
        <v>2230</v>
      </c>
    </row>
    <row r="7" spans="1:14">
      <c r="A7" s="421" t="s">
        <v>195</v>
      </c>
      <c r="B7" s="421" t="s">
        <v>141</v>
      </c>
      <c r="C7" s="421" t="s">
        <v>141</v>
      </c>
      <c r="E7" s="159"/>
      <c r="F7" s="159" t="s">
        <v>195</v>
      </c>
      <c r="G7" s="421" t="s">
        <v>192</v>
      </c>
      <c r="H7" s="421"/>
      <c r="I7" s="421"/>
      <c r="J7" s="421"/>
      <c r="M7" t="str">
        <f>Table4[[#This Row],[Column1]]&amp;", "&amp;Table4[[#This Row],[Column2]]&amp;", "&amp;Table4[[#This Row],[Column3]]&amp;", "&amp;Table4[[#This Row],[Column4]]&amp;", "&amp;Table4[[#This Row],[Column5]]</f>
        <v xml:space="preserve">, , , , </v>
      </c>
      <c r="N7" t="s">
        <v>1526</v>
      </c>
    </row>
    <row r="8" spans="1:14">
      <c r="A8" s="421" t="s">
        <v>195</v>
      </c>
      <c r="B8" s="421" t="s">
        <v>276</v>
      </c>
      <c r="C8" s="421" t="s">
        <v>276</v>
      </c>
      <c r="E8" s="159"/>
      <c r="F8" s="159" t="s">
        <v>195</v>
      </c>
      <c r="G8" s="421" t="s">
        <v>276</v>
      </c>
      <c r="H8" s="421"/>
      <c r="I8" s="421"/>
      <c r="J8" s="421"/>
      <c r="M8" t="str">
        <f>Table4[[#This Row],[Column1]]&amp;", "&amp;Table4[[#This Row],[Column2]]&amp;", "&amp;Table4[[#This Row],[Column3]]&amp;", "&amp;Table4[[#This Row],[Column4]]&amp;", "&amp;Table4[[#This Row],[Column5]]</f>
        <v xml:space="preserve">, , , , </v>
      </c>
      <c r="N8" t="s">
        <v>1526</v>
      </c>
    </row>
    <row r="9" spans="1:14">
      <c r="A9" s="421" t="s">
        <v>146</v>
      </c>
      <c r="B9" s="421" t="s">
        <v>2082</v>
      </c>
      <c r="C9" s="421" t="s">
        <v>141</v>
      </c>
      <c r="E9" s="159"/>
      <c r="F9" s="159" t="s">
        <v>195</v>
      </c>
      <c r="G9" s="421" t="s">
        <v>2439</v>
      </c>
      <c r="H9" s="421"/>
      <c r="I9" s="421"/>
      <c r="J9" s="421"/>
      <c r="K9" s="421"/>
      <c r="L9" s="421"/>
      <c r="M9" t="str">
        <f>Table4[[#This Row],[Column1]]&amp;", "&amp;Table4[[#This Row],[Column2]]&amp;", "&amp;Table4[[#This Row],[Column3]]&amp;", "&amp;Table4[[#This Row],[Column4]]&amp;", "&amp;Table4[[#This Row],[Column5]]</f>
        <v xml:space="preserve">, , , , </v>
      </c>
      <c r="N9" t="s">
        <v>1526</v>
      </c>
    </row>
    <row r="10" spans="1:14">
      <c r="A10" s="421" t="s">
        <v>146</v>
      </c>
      <c r="B10" s="421" t="s">
        <v>242</v>
      </c>
      <c r="C10" s="421" t="s">
        <v>242</v>
      </c>
      <c r="E10" s="159"/>
      <c r="F10" s="159" t="s">
        <v>195</v>
      </c>
      <c r="G10" s="421" t="s">
        <v>2440</v>
      </c>
      <c r="H10" s="421"/>
      <c r="I10" s="421"/>
      <c r="M10" t="str">
        <f>Table4[[#This Row],[Column1]]&amp;", "&amp;Table4[[#This Row],[Column2]]&amp;", "&amp;Table4[[#This Row],[Column3]]&amp;", "&amp;Table4[[#This Row],[Column4]]&amp;", "&amp;Table4[[#This Row],[Column5]]</f>
        <v xml:space="preserve">, , , , </v>
      </c>
      <c r="N10" t="s">
        <v>1526</v>
      </c>
    </row>
    <row r="11" spans="1:14">
      <c r="A11" s="421" t="s">
        <v>148</v>
      </c>
      <c r="B11" s="421" t="s">
        <v>36</v>
      </c>
      <c r="C11" s="421" t="s">
        <v>36</v>
      </c>
      <c r="E11" s="159"/>
      <c r="F11" s="159" t="s">
        <v>146</v>
      </c>
      <c r="G11" s="421" t="s">
        <v>141</v>
      </c>
      <c r="H11" s="421" t="s">
        <v>141</v>
      </c>
      <c r="I11" s="421" t="s">
        <v>36</v>
      </c>
      <c r="J11" s="421" t="s">
        <v>242</v>
      </c>
      <c r="M11" t="str">
        <f>Table4[[#This Row],[Column1]]&amp;", "&amp;Table4[[#This Row],[Column2]]&amp;", "&amp;Table4[[#This Row],[Column3]]&amp;", "&amp;Table4[[#This Row],[Column4]]&amp;", "&amp;Table4[[#This Row],[Column5]]</f>
        <v xml:space="preserve">KBC, KMSS, Shalom, , </v>
      </c>
      <c r="N11" s="421" t="s">
        <v>2231</v>
      </c>
    </row>
    <row r="12" spans="1:14">
      <c r="A12" s="421" t="s">
        <v>148</v>
      </c>
      <c r="B12" s="421" t="s">
        <v>3097</v>
      </c>
      <c r="C12" s="421" t="s">
        <v>141</v>
      </c>
      <c r="E12" s="159"/>
      <c r="F12" s="159" t="s">
        <v>146</v>
      </c>
      <c r="G12" s="421" t="s">
        <v>36</v>
      </c>
      <c r="H12" s="421"/>
      <c r="I12" s="421"/>
      <c r="J12" s="421"/>
      <c r="K12" s="421"/>
      <c r="L12" s="421"/>
      <c r="M12" t="str">
        <f>Table4[[#This Row],[Column1]]&amp;", "&amp;Table4[[#This Row],[Column2]]&amp;", "&amp;Table4[[#This Row],[Column3]]&amp;", "&amp;Table4[[#This Row],[Column4]]&amp;", "&amp;Table4[[#This Row],[Column5]]</f>
        <v xml:space="preserve">, , , , </v>
      </c>
      <c r="N12" t="s">
        <v>1526</v>
      </c>
    </row>
    <row r="13" spans="1:14">
      <c r="A13" s="421" t="s">
        <v>148</v>
      </c>
      <c r="B13" s="421" t="s">
        <v>242</v>
      </c>
      <c r="C13" s="421" t="s">
        <v>242</v>
      </c>
      <c r="E13" s="159"/>
      <c r="F13" s="159" t="s">
        <v>146</v>
      </c>
      <c r="G13" s="421" t="s">
        <v>242</v>
      </c>
      <c r="H13" s="421"/>
      <c r="I13" s="421"/>
      <c r="J13" s="421"/>
      <c r="K13" s="421"/>
      <c r="M13" t="str">
        <f>Table4[[#This Row],[Column1]]&amp;", "&amp;Table4[[#This Row],[Column2]]&amp;", "&amp;Table4[[#This Row],[Column3]]&amp;", "&amp;Table4[[#This Row],[Column4]]&amp;", "&amp;Table4[[#This Row],[Column5]]</f>
        <v xml:space="preserve">, , , , </v>
      </c>
      <c r="N13" t="s">
        <v>1526</v>
      </c>
    </row>
    <row r="14" spans="1:14">
      <c r="A14" s="421" t="s">
        <v>587</v>
      </c>
      <c r="B14" s="421" t="s">
        <v>2697</v>
      </c>
      <c r="C14" s="421" t="s">
        <v>2697</v>
      </c>
      <c r="E14" s="159"/>
      <c r="F14" s="159" t="s">
        <v>148</v>
      </c>
      <c r="G14" s="421" t="s">
        <v>141</v>
      </c>
      <c r="H14" s="421" t="s">
        <v>141</v>
      </c>
      <c r="I14" s="421" t="s">
        <v>36</v>
      </c>
      <c r="J14" s="421" t="s">
        <v>242</v>
      </c>
      <c r="M14" t="str">
        <f>Table4[[#This Row],[Column1]]&amp;", "&amp;Table4[[#This Row],[Column2]]&amp;", "&amp;Table4[[#This Row],[Column3]]&amp;", "&amp;Table4[[#This Row],[Column4]]&amp;", "&amp;Table4[[#This Row],[Column5]]</f>
        <v xml:space="preserve">KBC, KMSS, Shalom, , </v>
      </c>
      <c r="N14" t="s">
        <v>2231</v>
      </c>
    </row>
    <row r="15" spans="1:14">
      <c r="A15" s="421" t="s">
        <v>38</v>
      </c>
      <c r="B15" s="421" t="s">
        <v>2828</v>
      </c>
      <c r="C15" s="421" t="s">
        <v>141</v>
      </c>
      <c r="E15" s="159"/>
      <c r="F15" s="159" t="s">
        <v>148</v>
      </c>
      <c r="G15" s="421" t="s">
        <v>36</v>
      </c>
      <c r="H15" s="421"/>
      <c r="I15" s="421"/>
      <c r="M15" t="str">
        <f>Table4[[#This Row],[Column1]]&amp;", "&amp;Table4[[#This Row],[Column2]]&amp;", "&amp;Table4[[#This Row],[Column3]]&amp;", "&amp;Table4[[#This Row],[Column4]]&amp;", "&amp;Table4[[#This Row],[Column5]]</f>
        <v xml:space="preserve">, , , , </v>
      </c>
      <c r="N15" t="s">
        <v>1526</v>
      </c>
    </row>
    <row r="16" spans="1:14">
      <c r="A16" s="421" t="s">
        <v>38</v>
      </c>
      <c r="B16" s="421" t="s">
        <v>36</v>
      </c>
      <c r="C16" s="421" t="s">
        <v>36</v>
      </c>
      <c r="E16" s="159"/>
      <c r="F16" s="159" t="s">
        <v>148</v>
      </c>
      <c r="G16" s="421" t="s">
        <v>242</v>
      </c>
      <c r="H16" s="421"/>
      <c r="M16" t="str">
        <f>Table4[[#This Row],[Column1]]&amp;", "&amp;Table4[[#This Row],[Column2]]&amp;", "&amp;Table4[[#This Row],[Column3]]&amp;", "&amp;Table4[[#This Row],[Column4]]&amp;", "&amp;Table4[[#This Row],[Column5]]</f>
        <v xml:space="preserve">, , , , </v>
      </c>
      <c r="N16" s="421" t="s">
        <v>1526</v>
      </c>
    </row>
    <row r="17" spans="1:14">
      <c r="A17" s="421" t="s">
        <v>38</v>
      </c>
      <c r="B17" s="421" t="s">
        <v>2752</v>
      </c>
      <c r="C17" s="421" t="s">
        <v>2752</v>
      </c>
      <c r="E17" s="159"/>
      <c r="F17" s="159" t="s">
        <v>38</v>
      </c>
      <c r="G17" s="421" t="s">
        <v>36</v>
      </c>
      <c r="H17" s="421" t="s">
        <v>36</v>
      </c>
      <c r="I17" s="421" t="s">
        <v>192</v>
      </c>
      <c r="J17" s="421" t="s">
        <v>2437</v>
      </c>
      <c r="K17" s="421" t="s">
        <v>291</v>
      </c>
      <c r="L17" s="421"/>
      <c r="M17" t="str">
        <f>Table4[[#This Row],[Column1]]&amp;", "&amp;Table4[[#This Row],[Column2]]&amp;", "&amp;Table4[[#This Row],[Column3]]&amp;", "&amp;Table4[[#This Row],[Column4]]&amp;", "&amp;Table4[[#This Row],[Column5]]</f>
        <v xml:space="preserve">KMSS, Metta, KBC,HPA, WPN, </v>
      </c>
      <c r="N17" t="s">
        <v>2602</v>
      </c>
    </row>
    <row r="18" spans="1:14">
      <c r="A18" s="421" t="s">
        <v>38</v>
      </c>
      <c r="B18" s="421" t="s">
        <v>192</v>
      </c>
      <c r="C18" s="421" t="s">
        <v>3138</v>
      </c>
      <c r="E18" s="159"/>
      <c r="F18" s="159" t="s">
        <v>38</v>
      </c>
      <c r="G18" s="421" t="s">
        <v>192</v>
      </c>
      <c r="H18" s="421"/>
      <c r="I18" s="421"/>
      <c r="M18" t="str">
        <f>Table4[[#This Row],[Column1]]&amp;", "&amp;Table4[[#This Row],[Column2]]&amp;", "&amp;Table4[[#This Row],[Column3]]&amp;", "&amp;Table4[[#This Row],[Column4]]&amp;", "&amp;Table4[[#This Row],[Column5]]</f>
        <v xml:space="preserve">, , , , </v>
      </c>
      <c r="N18" t="s">
        <v>1526</v>
      </c>
    </row>
    <row r="19" spans="1:14">
      <c r="A19" s="421" t="s">
        <v>38</v>
      </c>
      <c r="B19" s="421" t="s">
        <v>276</v>
      </c>
      <c r="C19" s="421" t="s">
        <v>276</v>
      </c>
      <c r="E19" s="159"/>
      <c r="F19" s="159" t="s">
        <v>38</v>
      </c>
      <c r="G19" s="421" t="s">
        <v>2437</v>
      </c>
      <c r="H19" s="421"/>
      <c r="I19" s="421"/>
      <c r="M19" t="str">
        <f>Table4[[#This Row],[Column1]]&amp;", "&amp;Table4[[#This Row],[Column2]]&amp;", "&amp;Table4[[#This Row],[Column3]]&amp;", "&amp;Table4[[#This Row],[Column4]]&amp;", "&amp;Table4[[#This Row],[Column5]]</f>
        <v xml:space="preserve">, , , , </v>
      </c>
      <c r="N19" t="s">
        <v>1526</v>
      </c>
    </row>
    <row r="20" spans="1:14">
      <c r="A20" s="421" t="s">
        <v>38</v>
      </c>
      <c r="B20" s="421" t="s">
        <v>291</v>
      </c>
      <c r="C20" s="421" t="s">
        <v>291</v>
      </c>
      <c r="E20" s="159"/>
      <c r="F20" s="159" t="s">
        <v>38</v>
      </c>
      <c r="G20" s="421" t="s">
        <v>291</v>
      </c>
      <c r="H20" s="421"/>
      <c r="M20" t="str">
        <f>Table4[[#This Row],[Column1]]&amp;", "&amp;Table4[[#This Row],[Column2]]&amp;", "&amp;Table4[[#This Row],[Column3]]&amp;", "&amp;Table4[[#This Row],[Column4]]&amp;", "&amp;Table4[[#This Row],[Column5]]</f>
        <v xml:space="preserve">, , , , </v>
      </c>
      <c r="N20" t="s">
        <v>1526</v>
      </c>
    </row>
    <row r="21" spans="1:14">
      <c r="A21" s="421" t="s">
        <v>152</v>
      </c>
      <c r="B21" s="421" t="s">
        <v>919</v>
      </c>
      <c r="C21" s="421" t="s">
        <v>141</v>
      </c>
      <c r="E21" s="159"/>
      <c r="F21" s="421" t="s">
        <v>152</v>
      </c>
      <c r="G21" s="421" t="s">
        <v>141</v>
      </c>
      <c r="H21" s="421" t="s">
        <v>141</v>
      </c>
      <c r="I21" s="421" t="s">
        <v>36</v>
      </c>
      <c r="J21" s="421"/>
      <c r="K21" s="421"/>
      <c r="M21" t="str">
        <f>Table4[[#This Row],[Column1]]&amp;", "&amp;Table4[[#This Row],[Column2]]&amp;", "&amp;Table4[[#This Row],[Column3]]&amp;", "&amp;Table4[[#This Row],[Column4]]&amp;", "&amp;Table4[[#This Row],[Column5]]</f>
        <v xml:space="preserve">KBC, KMSS, , , </v>
      </c>
      <c r="N21" t="s">
        <v>2606</v>
      </c>
    </row>
    <row r="22" spans="1:14">
      <c r="A22" s="421" t="s">
        <v>152</v>
      </c>
      <c r="B22" s="421" t="s">
        <v>3101</v>
      </c>
      <c r="C22" s="421" t="s">
        <v>141</v>
      </c>
      <c r="E22" s="159"/>
      <c r="F22" s="421" t="s">
        <v>152</v>
      </c>
      <c r="G22" s="421" t="s">
        <v>36</v>
      </c>
      <c r="H22" s="421"/>
      <c r="I22" s="421"/>
      <c r="M22" t="str">
        <f>Table4[[#This Row],[Column1]]&amp;", "&amp;Table4[[#This Row],[Column2]]&amp;", "&amp;Table4[[#This Row],[Column3]]&amp;", "&amp;Table4[[#This Row],[Column4]]&amp;", "&amp;Table4[[#This Row],[Column5]]</f>
        <v xml:space="preserve">, , , , </v>
      </c>
      <c r="N22" t="s">
        <v>1526</v>
      </c>
    </row>
    <row r="23" spans="1:14">
      <c r="A23" s="421" t="s">
        <v>152</v>
      </c>
      <c r="B23" s="421" t="s">
        <v>36</v>
      </c>
      <c r="C23" s="421" t="s">
        <v>36</v>
      </c>
      <c r="E23" s="159"/>
      <c r="F23" s="421" t="s">
        <v>157</v>
      </c>
      <c r="G23" s="421" t="s">
        <v>141</v>
      </c>
      <c r="H23" s="421" t="s">
        <v>141</v>
      </c>
      <c r="I23" s="421" t="s">
        <v>36</v>
      </c>
      <c r="J23" s="421"/>
      <c r="K23" s="421"/>
      <c r="M23" t="str">
        <f>Table4[[#This Row],[Column1]]&amp;", "&amp;Table4[[#This Row],[Column2]]&amp;", "&amp;Table4[[#This Row],[Column3]]&amp;", "&amp;Table4[[#This Row],[Column4]]&amp;", "&amp;Table4[[#This Row],[Column5]]</f>
        <v xml:space="preserve">KBC, KMSS, , , </v>
      </c>
      <c r="N23" s="421" t="s">
        <v>2606</v>
      </c>
    </row>
    <row r="24" spans="1:14">
      <c r="A24" s="421" t="s">
        <v>157</v>
      </c>
      <c r="B24" s="421" t="s">
        <v>919</v>
      </c>
      <c r="C24" s="421" t="s">
        <v>141</v>
      </c>
      <c r="E24" s="159"/>
      <c r="F24" s="421" t="s">
        <v>157</v>
      </c>
      <c r="G24" s="421" t="s">
        <v>36</v>
      </c>
      <c r="H24" s="421"/>
      <c r="M24" t="str">
        <f>Table4[[#This Row],[Column1]]&amp;", "&amp;Table4[[#This Row],[Column2]]&amp;", "&amp;Table4[[#This Row],[Column3]]&amp;", "&amp;Table4[[#This Row],[Column4]]&amp;", "&amp;Table4[[#This Row],[Column5]]</f>
        <v xml:space="preserve">, , , , </v>
      </c>
      <c r="N24" s="421" t="s">
        <v>1526</v>
      </c>
    </row>
    <row r="25" spans="1:14">
      <c r="A25" s="421" t="s">
        <v>157</v>
      </c>
      <c r="B25" s="421" t="s">
        <v>36</v>
      </c>
      <c r="C25" s="421" t="s">
        <v>36</v>
      </c>
      <c r="D25" s="421"/>
      <c r="E25" s="159"/>
      <c r="F25" s="159" t="s">
        <v>205</v>
      </c>
      <c r="G25" s="421" t="s">
        <v>141</v>
      </c>
      <c r="H25" s="421" t="s">
        <v>141</v>
      </c>
      <c r="I25" s="421" t="s">
        <v>36</v>
      </c>
      <c r="J25" s="421" t="s">
        <v>192</v>
      </c>
      <c r="K25" s="421" t="s">
        <v>276</v>
      </c>
      <c r="L25" s="421" t="s">
        <v>291</v>
      </c>
      <c r="M25" t="str">
        <f>Table4[[#This Row],[Column1]]&amp;", "&amp;Table4[[#This Row],[Column2]]&amp;", "&amp;Table4[[#This Row],[Column3]]&amp;", "&amp;Table4[[#This Row],[Column4]]&amp;", "&amp;Table4[[#This Row],[Column5]]</f>
        <v>KBC, KMSS, Metta, SI, WPN</v>
      </c>
      <c r="N25" t="s">
        <v>2169</v>
      </c>
    </row>
    <row r="26" spans="1:14">
      <c r="A26" s="421" t="s">
        <v>205</v>
      </c>
      <c r="B26" s="421" t="s">
        <v>141</v>
      </c>
      <c r="C26" s="421" t="s">
        <v>141</v>
      </c>
      <c r="D26" s="421"/>
      <c r="E26" s="163"/>
      <c r="F26" s="159" t="s">
        <v>205</v>
      </c>
      <c r="G26" s="421" t="s">
        <v>36</v>
      </c>
      <c r="H26" s="421"/>
      <c r="M26" t="str">
        <f>Table4[[#This Row],[Column1]]&amp;", "&amp;Table4[[#This Row],[Column2]]&amp;", "&amp;Table4[[#This Row],[Column3]]&amp;", "&amp;Table4[[#This Row],[Column4]]&amp;", "&amp;Table4[[#This Row],[Column5]]</f>
        <v xml:space="preserve">, , , , </v>
      </c>
      <c r="N26" s="421" t="s">
        <v>1526</v>
      </c>
    </row>
    <row r="27" spans="1:14">
      <c r="A27" s="421" t="s">
        <v>205</v>
      </c>
      <c r="B27" s="421" t="s">
        <v>36</v>
      </c>
      <c r="C27" s="421" t="s">
        <v>36</v>
      </c>
      <c r="D27" s="421"/>
      <c r="E27" s="159"/>
      <c r="F27" s="159" t="s">
        <v>205</v>
      </c>
      <c r="G27" t="s">
        <v>192</v>
      </c>
      <c r="M27" s="420" t="str">
        <f>Table4[[#This Row],[Column1]]&amp;", "&amp;Table4[[#This Row],[Column2]]&amp;", "&amp;Table4[[#This Row],[Column3]]&amp;", "&amp;Table4[[#This Row],[Column4]]&amp;", "&amp;Table4[[#This Row],[Column5]]</f>
        <v xml:space="preserve">, , , , </v>
      </c>
      <c r="N27" s="420" t="s">
        <v>1526</v>
      </c>
    </row>
    <row r="28" spans="1:14">
      <c r="A28" s="421" t="s">
        <v>205</v>
      </c>
      <c r="B28" s="421" t="s">
        <v>192</v>
      </c>
      <c r="C28" s="421" t="s">
        <v>192</v>
      </c>
      <c r="D28" s="421"/>
      <c r="E28" s="159"/>
      <c r="F28" s="159" t="s">
        <v>205</v>
      </c>
      <c r="G28" t="s">
        <v>276</v>
      </c>
      <c r="M28" s="420" t="str">
        <f>Table4[[#This Row],[Column1]]&amp;", "&amp;Table4[[#This Row],[Column2]]&amp;", "&amp;Table4[[#This Row],[Column3]]&amp;", "&amp;Table4[[#This Row],[Column4]]&amp;", "&amp;Table4[[#This Row],[Column5]]</f>
        <v xml:space="preserve">, , , , </v>
      </c>
      <c r="N28" s="420" t="s">
        <v>1526</v>
      </c>
    </row>
    <row r="29" spans="1:14">
      <c r="A29" s="421" t="s">
        <v>205</v>
      </c>
      <c r="B29" s="421" t="s">
        <v>2082</v>
      </c>
      <c r="C29" s="421" t="s">
        <v>141</v>
      </c>
      <c r="D29" s="421"/>
      <c r="E29" s="159"/>
      <c r="F29" s="159" t="s">
        <v>205</v>
      </c>
      <c r="G29" s="421" t="s">
        <v>291</v>
      </c>
      <c r="M29" s="420" t="str">
        <f>Table4[[#This Row],[Column1]]&amp;", "&amp;Table4[[#This Row],[Column2]]&amp;", "&amp;Table4[[#This Row],[Column3]]&amp;", "&amp;Table4[[#This Row],[Column4]]&amp;", "&amp;Table4[[#This Row],[Column5]]</f>
        <v xml:space="preserve">, , , , </v>
      </c>
      <c r="N29" s="420" t="s">
        <v>1526</v>
      </c>
    </row>
    <row r="30" spans="1:14">
      <c r="A30" s="421" t="s">
        <v>205</v>
      </c>
      <c r="B30" s="421" t="s">
        <v>276</v>
      </c>
      <c r="C30" s="421" t="s">
        <v>276</v>
      </c>
      <c r="D30" s="421"/>
      <c r="E30" s="648"/>
      <c r="F30" s="159" t="s">
        <v>159</v>
      </c>
      <c r="G30" s="421" t="s">
        <v>141</v>
      </c>
      <c r="H30" s="421" t="s">
        <v>141</v>
      </c>
      <c r="I30" s="421" t="s">
        <v>36</v>
      </c>
      <c r="J30" s="421" t="s">
        <v>242</v>
      </c>
      <c r="M30" s="420" t="str">
        <f>Table4[[#This Row],[Column1]]&amp;", "&amp;Table4[[#This Row],[Column2]]&amp;", "&amp;Table4[[#This Row],[Column3]]&amp;", "&amp;Table4[[#This Row],[Column4]]&amp;", "&amp;Table4[[#This Row],[Column5]]</f>
        <v xml:space="preserve">KBC, KMSS, Shalom, , </v>
      </c>
      <c r="N30" s="420" t="s">
        <v>2231</v>
      </c>
    </row>
    <row r="31" spans="1:14">
      <c r="A31" s="421" t="s">
        <v>205</v>
      </c>
      <c r="B31" s="421" t="s">
        <v>291</v>
      </c>
      <c r="C31" s="421" t="s">
        <v>291</v>
      </c>
      <c r="D31" s="421"/>
      <c r="E31" s="648"/>
      <c r="F31" s="159" t="s">
        <v>159</v>
      </c>
      <c r="G31" s="421" t="s">
        <v>36</v>
      </c>
      <c r="M31" s="420" t="str">
        <f>Table4[[#This Row],[Column1]]&amp;", "&amp;Table4[[#This Row],[Column2]]&amp;", "&amp;Table4[[#This Row],[Column3]]&amp;", "&amp;Table4[[#This Row],[Column4]]&amp;", "&amp;Table4[[#This Row],[Column5]]</f>
        <v xml:space="preserve">, , , , </v>
      </c>
      <c r="N31" s="420" t="s">
        <v>1526</v>
      </c>
    </row>
    <row r="32" spans="1:14">
      <c r="A32" s="421" t="s">
        <v>159</v>
      </c>
      <c r="B32" s="421" t="s">
        <v>36</v>
      </c>
      <c r="C32" s="421" t="s">
        <v>36</v>
      </c>
      <c r="D32" s="421"/>
      <c r="E32" s="648"/>
      <c r="F32" s="159" t="s">
        <v>159</v>
      </c>
      <c r="G32" s="421" t="s">
        <v>242</v>
      </c>
      <c r="M32" s="420" t="str">
        <f>Table4[[#This Row],[Column1]]&amp;", "&amp;Table4[[#This Row],[Column2]]&amp;", "&amp;Table4[[#This Row],[Column3]]&amp;", "&amp;Table4[[#This Row],[Column4]]&amp;", "&amp;Table4[[#This Row],[Column5]]</f>
        <v xml:space="preserve">, , , , </v>
      </c>
      <c r="N32" s="420" t="s">
        <v>1526</v>
      </c>
    </row>
    <row r="33" spans="1:14">
      <c r="A33" s="421" t="s">
        <v>159</v>
      </c>
      <c r="B33" s="421" t="s">
        <v>3097</v>
      </c>
      <c r="C33" s="421" t="s">
        <v>141</v>
      </c>
      <c r="D33" s="492"/>
      <c r="E33" s="494"/>
      <c r="F33" s="159" t="s">
        <v>173</v>
      </c>
      <c r="G33" s="421" t="s">
        <v>141</v>
      </c>
      <c r="H33" s="421" t="s">
        <v>141</v>
      </c>
      <c r="M33" s="420" t="str">
        <f>Table4[[#This Row],[Column1]]&amp;", "&amp;Table4[[#This Row],[Column2]]&amp;", "&amp;Table4[[#This Row],[Column3]]&amp;", "&amp;Table4[[#This Row],[Column4]]&amp;", "&amp;Table4[[#This Row],[Column5]]</f>
        <v xml:space="preserve">KBC, , , , </v>
      </c>
      <c r="N33" s="420" t="s">
        <v>2604</v>
      </c>
    </row>
    <row r="34" spans="1:14">
      <c r="A34" s="421" t="s">
        <v>159</v>
      </c>
      <c r="B34" s="421" t="s">
        <v>3106</v>
      </c>
      <c r="D34" s="492"/>
      <c r="E34" s="159"/>
      <c r="F34" s="159" t="s">
        <v>214</v>
      </c>
      <c r="G34" s="421" t="s">
        <v>141</v>
      </c>
      <c r="H34" s="421" t="s">
        <v>141</v>
      </c>
      <c r="I34" s="421" t="s">
        <v>192</v>
      </c>
      <c r="M34" s="420" t="str">
        <f>Table4[[#This Row],[Column1]]&amp;", "&amp;Table4[[#This Row],[Column2]]&amp;", "&amp;Table4[[#This Row],[Column3]]&amp;", "&amp;Table4[[#This Row],[Column4]]&amp;", "&amp;Table4[[#This Row],[Column5]]</f>
        <v xml:space="preserve">KBC, Metta, , , </v>
      </c>
      <c r="N34" s="420" t="s">
        <v>2605</v>
      </c>
    </row>
    <row r="35" spans="1:14">
      <c r="A35" s="421" t="s">
        <v>159</v>
      </c>
      <c r="B35" s="421" t="s">
        <v>242</v>
      </c>
      <c r="C35" s="421" t="s">
        <v>242</v>
      </c>
      <c r="D35" s="492"/>
      <c r="E35" s="159"/>
      <c r="F35" s="159" t="s">
        <v>214</v>
      </c>
      <c r="G35" s="421" t="s">
        <v>192</v>
      </c>
      <c r="M35" s="420" t="str">
        <f>Table4[[#This Row],[Column1]]&amp;", "&amp;Table4[[#This Row],[Column2]]&amp;", "&amp;Table4[[#This Row],[Column3]]&amp;", "&amp;Table4[[#This Row],[Column4]]&amp;", "&amp;Table4[[#This Row],[Column5]]</f>
        <v xml:space="preserve">, , , , </v>
      </c>
      <c r="N35" s="420" t="s">
        <v>1526</v>
      </c>
    </row>
    <row r="36" spans="1:14">
      <c r="A36" s="421" t="s">
        <v>214</v>
      </c>
      <c r="B36" s="421" t="s">
        <v>2831</v>
      </c>
      <c r="C36" s="421" t="s">
        <v>141</v>
      </c>
      <c r="D36" s="492"/>
      <c r="E36" s="159"/>
      <c r="F36" s="159" t="s">
        <v>184</v>
      </c>
      <c r="G36" t="s">
        <v>141</v>
      </c>
      <c r="H36" s="421" t="s">
        <v>141</v>
      </c>
      <c r="M36" s="421" t="s">
        <v>141</v>
      </c>
      <c r="N36" s="420" t="s">
        <v>141</v>
      </c>
    </row>
    <row r="37" spans="1:14">
      <c r="A37" s="421" t="s">
        <v>214</v>
      </c>
      <c r="B37" s="421" t="s">
        <v>3065</v>
      </c>
      <c r="C37" s="421" t="s">
        <v>3066</v>
      </c>
      <c r="D37" s="492"/>
      <c r="E37" s="159"/>
      <c r="F37" s="159" t="s">
        <v>863</v>
      </c>
      <c r="G37" t="s">
        <v>36</v>
      </c>
      <c r="H37" s="421" t="s">
        <v>36</v>
      </c>
      <c r="M37" s="421" t="s">
        <v>36</v>
      </c>
      <c r="N37" s="420" t="s">
        <v>36</v>
      </c>
    </row>
    <row r="38" spans="1:14">
      <c r="A38" s="421" t="s">
        <v>214</v>
      </c>
      <c r="B38" s="421" t="s">
        <v>276</v>
      </c>
      <c r="C38" s="421" t="s">
        <v>276</v>
      </c>
      <c r="D38" s="492"/>
      <c r="E38" s="159"/>
      <c r="F38" s="159" t="s">
        <v>142</v>
      </c>
      <c r="G38" t="s">
        <v>141</v>
      </c>
      <c r="H38" s="421" t="s">
        <v>141</v>
      </c>
      <c r="I38" s="421" t="s">
        <v>36</v>
      </c>
      <c r="J38" s="421" t="s">
        <v>192</v>
      </c>
      <c r="K38" s="421" t="s">
        <v>242</v>
      </c>
      <c r="M38" s="420" t="str">
        <f>Table4[[#This Row],[Column1]]&amp;", "&amp;Table4[[#This Row],[Column2]]&amp;", "&amp;Table4[[#This Row],[Column3]]&amp;", "&amp;Table4[[#This Row],[Column4]]&amp;", "&amp;Table4[[#This Row],[Column5]]</f>
        <v xml:space="preserve">KBC, KMSS, Metta, Shalom, </v>
      </c>
      <c r="N38" s="420" t="s">
        <v>2603</v>
      </c>
    </row>
    <row r="39" spans="1:14">
      <c r="A39" s="421" t="s">
        <v>184</v>
      </c>
      <c r="B39" s="421" t="s">
        <v>2082</v>
      </c>
      <c r="C39" s="421" t="s">
        <v>141</v>
      </c>
      <c r="D39" s="492"/>
      <c r="E39" s="159"/>
      <c r="F39" s="159" t="s">
        <v>142</v>
      </c>
      <c r="G39" t="s">
        <v>36</v>
      </c>
      <c r="M39" s="420" t="str">
        <f>Table4[[#This Row],[Column1]]&amp;", "&amp;Table4[[#This Row],[Column2]]&amp;", "&amp;Table4[[#This Row],[Column3]]&amp;", "&amp;Table4[[#This Row],[Column4]]&amp;", "&amp;Table4[[#This Row],[Column5]]</f>
        <v xml:space="preserve">, , , , </v>
      </c>
      <c r="N39" s="420" t="s">
        <v>1526</v>
      </c>
    </row>
    <row r="40" spans="1:14">
      <c r="A40" s="421" t="s">
        <v>863</v>
      </c>
      <c r="B40" s="421" t="s">
        <v>36</v>
      </c>
      <c r="C40" s="421" t="s">
        <v>36</v>
      </c>
      <c r="D40" s="492"/>
      <c r="E40" s="159"/>
      <c r="F40" s="159" t="s">
        <v>142</v>
      </c>
      <c r="G40" t="s">
        <v>192</v>
      </c>
      <c r="M40" s="420" t="str">
        <f>Table4[[#This Row],[Column1]]&amp;", "&amp;Table4[[#This Row],[Column2]]&amp;", "&amp;Table4[[#This Row],[Column3]]&amp;", "&amp;Table4[[#This Row],[Column4]]&amp;", "&amp;Table4[[#This Row],[Column5]]</f>
        <v xml:space="preserve">, , , , </v>
      </c>
      <c r="N40" s="420" t="s">
        <v>1526</v>
      </c>
    </row>
    <row r="41" spans="1:14">
      <c r="A41" s="421" t="s">
        <v>863</v>
      </c>
      <c r="B41" s="421" t="s">
        <v>2082</v>
      </c>
      <c r="C41" s="421" t="s">
        <v>141</v>
      </c>
      <c r="D41" s="492"/>
      <c r="E41" s="159"/>
      <c r="F41" s="159" t="s">
        <v>142</v>
      </c>
      <c r="G41" t="s">
        <v>242</v>
      </c>
      <c r="M41" s="420" t="str">
        <f>Table4[[#This Row],[Column1]]&amp;", "&amp;Table4[[#This Row],[Column2]]&amp;", "&amp;Table4[[#This Row],[Column3]]&amp;", "&amp;Table4[[#This Row],[Column4]]&amp;", "&amp;Table4[[#This Row],[Column5]]</f>
        <v xml:space="preserve">, , , , </v>
      </c>
      <c r="N41" s="420" t="s">
        <v>1526</v>
      </c>
    </row>
    <row r="42" spans="1:14">
      <c r="A42" s="421" t="s">
        <v>142</v>
      </c>
      <c r="B42" s="421" t="s">
        <v>36</v>
      </c>
      <c r="C42" s="421" t="s">
        <v>36</v>
      </c>
      <c r="D42" s="492"/>
    </row>
    <row r="43" spans="1:14">
      <c r="A43" s="421" t="s">
        <v>142</v>
      </c>
      <c r="B43" s="421" t="s">
        <v>192</v>
      </c>
      <c r="C43" s="421" t="s">
        <v>192</v>
      </c>
      <c r="D43" s="492"/>
    </row>
    <row r="44" spans="1:14">
      <c r="A44" s="421" t="s">
        <v>142</v>
      </c>
      <c r="B44" s="421" t="s">
        <v>2082</v>
      </c>
      <c r="C44" s="421" t="s">
        <v>141</v>
      </c>
      <c r="D44" s="492"/>
    </row>
    <row r="45" spans="1:14">
      <c r="A45" s="421" t="s">
        <v>142</v>
      </c>
      <c r="B45" s="421" t="s">
        <v>3097</v>
      </c>
      <c r="C45" s="421" t="s">
        <v>141</v>
      </c>
    </row>
    <row r="46" spans="1:14">
      <c r="A46" s="421" t="s">
        <v>142</v>
      </c>
      <c r="B46" s="421" t="s">
        <v>3106</v>
      </c>
    </row>
    <row r="47" spans="1:14">
      <c r="A47" s="421" t="s">
        <v>142</v>
      </c>
      <c r="B47" s="421" t="s">
        <v>242</v>
      </c>
      <c r="C47" s="421" t="s">
        <v>242</v>
      </c>
    </row>
    <row r="48" spans="1:14">
      <c r="A48" s="421" t="s">
        <v>142</v>
      </c>
      <c r="B48" s="421" t="s">
        <v>2697</v>
      </c>
      <c r="C48" s="421" t="s">
        <v>2697</v>
      </c>
    </row>
    <row r="94" spans="1:2">
      <c r="A94" s="427"/>
      <c r="B94" s="427"/>
    </row>
  </sheetData>
  <phoneticPr fontId="148" type="noConversion"/>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L80"/>
  <sheetViews>
    <sheetView topLeftCell="E1" workbookViewId="0">
      <selection activeCell="K1" sqref="K1:L1048576"/>
    </sheetView>
  </sheetViews>
  <sheetFormatPr defaultRowHeight="15.6"/>
  <cols>
    <col min="2" max="2" width="18.296875" customWidth="1"/>
    <col min="3" max="3" width="18.19921875" customWidth="1"/>
    <col min="4" max="4" width="10.69921875" customWidth="1"/>
    <col min="6" max="6" width="28.69921875" bestFit="1" customWidth="1"/>
    <col min="7" max="7" width="24.8984375" bestFit="1" customWidth="1"/>
    <col min="9" max="9" width="11.8984375" bestFit="1" customWidth="1"/>
    <col min="10" max="10" width="24.796875" bestFit="1" customWidth="1"/>
  </cols>
  <sheetData>
    <row r="1" spans="2:12">
      <c r="B1" t="s">
        <v>21</v>
      </c>
      <c r="C1" t="s">
        <v>2959</v>
      </c>
      <c r="D1" t="s">
        <v>2960</v>
      </c>
      <c r="F1" s="427" t="s">
        <v>21</v>
      </c>
      <c r="G1" s="427" t="s">
        <v>2959</v>
      </c>
      <c r="I1" s="164" t="s">
        <v>21</v>
      </c>
      <c r="J1" s="164" t="s">
        <v>2959</v>
      </c>
    </row>
    <row r="2" spans="2:12">
      <c r="B2" s="159" t="s">
        <v>37</v>
      </c>
      <c r="C2" s="421" t="s">
        <v>141</v>
      </c>
      <c r="D2" t="s">
        <v>2711</v>
      </c>
      <c r="F2" s="421" t="s">
        <v>2771</v>
      </c>
      <c r="G2" s="421" t="s">
        <v>311</v>
      </c>
      <c r="I2" s="159" t="s">
        <v>2773</v>
      </c>
      <c r="J2" s="421" t="s">
        <v>2961</v>
      </c>
      <c r="K2" s="159"/>
      <c r="L2" s="421"/>
    </row>
    <row r="3" spans="2:12">
      <c r="B3" s="159" t="s">
        <v>37</v>
      </c>
      <c r="C3" s="421" t="s">
        <v>36</v>
      </c>
      <c r="D3" s="421" t="s">
        <v>2711</v>
      </c>
      <c r="F3" s="421" t="s">
        <v>2771</v>
      </c>
      <c r="G3" s="421" t="s">
        <v>2950</v>
      </c>
      <c r="I3" s="917" t="s">
        <v>2773</v>
      </c>
      <c r="J3" s="421" t="s">
        <v>241</v>
      </c>
      <c r="K3" s="163"/>
      <c r="L3" s="421"/>
    </row>
    <row r="4" spans="2:12">
      <c r="B4" s="159" t="s">
        <v>37</v>
      </c>
      <c r="C4" s="421" t="s">
        <v>192</v>
      </c>
      <c r="D4" s="421" t="s">
        <v>2711</v>
      </c>
      <c r="F4" s="421" t="s">
        <v>2771</v>
      </c>
      <c r="G4" s="421" t="s">
        <v>2943</v>
      </c>
      <c r="I4" s="159" t="s">
        <v>613</v>
      </c>
      <c r="J4" s="421" t="s">
        <v>311</v>
      </c>
      <c r="K4" s="159"/>
      <c r="L4" s="421"/>
    </row>
    <row r="5" spans="2:12">
      <c r="B5" s="159" t="s">
        <v>37</v>
      </c>
      <c r="C5" s="421" t="s">
        <v>242</v>
      </c>
      <c r="D5" s="421" t="s">
        <v>2711</v>
      </c>
      <c r="F5" s="421" t="s">
        <v>2771</v>
      </c>
      <c r="G5" s="421" t="s">
        <v>2942</v>
      </c>
      <c r="I5" s="163" t="s">
        <v>613</v>
      </c>
      <c r="J5" s="421" t="s">
        <v>2958</v>
      </c>
      <c r="K5" s="917"/>
      <c r="L5" s="421"/>
    </row>
    <row r="6" spans="2:12">
      <c r="B6" s="159" t="s">
        <v>37</v>
      </c>
      <c r="C6" s="421" t="s">
        <v>276</v>
      </c>
      <c r="D6" s="421" t="s">
        <v>2711</v>
      </c>
      <c r="F6" s="421" t="s">
        <v>2773</v>
      </c>
      <c r="G6" s="421" t="s">
        <v>2943</v>
      </c>
      <c r="I6" s="159" t="s">
        <v>613</v>
      </c>
      <c r="J6" s="421" t="s">
        <v>36</v>
      </c>
      <c r="K6" s="917"/>
      <c r="L6" s="421"/>
    </row>
    <row r="7" spans="2:12">
      <c r="B7" s="159" t="s">
        <v>37</v>
      </c>
      <c r="C7" s="421" t="s">
        <v>291</v>
      </c>
      <c r="D7" s="421" t="s">
        <v>2711</v>
      </c>
      <c r="F7" s="421" t="s">
        <v>2773</v>
      </c>
      <c r="G7" s="421" t="s">
        <v>2942</v>
      </c>
      <c r="I7" s="163" t="s">
        <v>613</v>
      </c>
      <c r="J7" s="421" t="s">
        <v>2955</v>
      </c>
      <c r="K7" s="917"/>
      <c r="L7" s="421"/>
    </row>
    <row r="8" spans="2:12">
      <c r="B8" s="159" t="s">
        <v>37</v>
      </c>
      <c r="C8" s="421" t="s">
        <v>2938</v>
      </c>
      <c r="D8" s="421" t="s">
        <v>2711</v>
      </c>
      <c r="F8" s="421" t="s">
        <v>613</v>
      </c>
      <c r="G8" s="421" t="s">
        <v>311</v>
      </c>
      <c r="I8" s="159" t="s">
        <v>613</v>
      </c>
      <c r="J8" s="421" t="s">
        <v>2082</v>
      </c>
      <c r="K8" s="917"/>
      <c r="L8" s="421"/>
    </row>
    <row r="9" spans="2:12">
      <c r="B9" s="163" t="s">
        <v>37</v>
      </c>
      <c r="C9" s="421" t="s">
        <v>2697</v>
      </c>
      <c r="D9" s="421" t="s">
        <v>2711</v>
      </c>
      <c r="F9" s="421" t="s">
        <v>613</v>
      </c>
      <c r="G9" s="421" t="s">
        <v>2958</v>
      </c>
      <c r="I9" s="917" t="s">
        <v>613</v>
      </c>
      <c r="J9" s="421" t="s">
        <v>2954</v>
      </c>
      <c r="K9" s="917"/>
      <c r="L9" s="421"/>
    </row>
    <row r="10" spans="2:12">
      <c r="B10" s="159" t="s">
        <v>515</v>
      </c>
      <c r="C10" s="421" t="s">
        <v>2162</v>
      </c>
      <c r="D10" s="421" t="s">
        <v>2711</v>
      </c>
      <c r="F10" s="421" t="s">
        <v>613</v>
      </c>
      <c r="G10" s="421" t="s">
        <v>36</v>
      </c>
      <c r="I10" s="917" t="s">
        <v>613</v>
      </c>
      <c r="J10" s="421" t="s">
        <v>241</v>
      </c>
      <c r="K10" s="163"/>
      <c r="L10" s="421"/>
    </row>
    <row r="11" spans="2:12">
      <c r="B11" s="159" t="s">
        <v>515</v>
      </c>
      <c r="C11" s="421" t="s">
        <v>192</v>
      </c>
      <c r="D11" s="421" t="s">
        <v>2711</v>
      </c>
      <c r="F11" s="421" t="s">
        <v>613</v>
      </c>
      <c r="G11" s="421" t="s">
        <v>2955</v>
      </c>
      <c r="I11" s="159" t="s">
        <v>37</v>
      </c>
      <c r="J11" s="421" t="s">
        <v>2938</v>
      </c>
      <c r="K11" s="159"/>
      <c r="L11" s="421"/>
    </row>
    <row r="12" spans="2:12">
      <c r="B12" s="159" t="s">
        <v>515</v>
      </c>
      <c r="C12" s="421" t="s">
        <v>36</v>
      </c>
      <c r="D12" s="421" t="s">
        <v>2711</v>
      </c>
      <c r="F12" s="421" t="s">
        <v>613</v>
      </c>
      <c r="G12" s="421" t="s">
        <v>2082</v>
      </c>
      <c r="I12" s="159" t="s">
        <v>37</v>
      </c>
      <c r="J12" s="421" t="s">
        <v>939</v>
      </c>
      <c r="K12" s="917"/>
      <c r="L12" s="421"/>
    </row>
    <row r="13" spans="2:12">
      <c r="B13" s="163" t="s">
        <v>37</v>
      </c>
      <c r="C13" s="421" t="s">
        <v>2082</v>
      </c>
      <c r="D13" t="s">
        <v>2940</v>
      </c>
      <c r="F13" s="421" t="s">
        <v>613</v>
      </c>
      <c r="G13" s="421" t="s">
        <v>2954</v>
      </c>
      <c r="I13" s="159" t="s">
        <v>37</v>
      </c>
      <c r="J13" s="421" t="s">
        <v>141</v>
      </c>
      <c r="K13" s="917"/>
      <c r="L13" s="421"/>
    </row>
    <row r="14" spans="2:12">
      <c r="B14" s="159" t="s">
        <v>304</v>
      </c>
      <c r="C14" s="421" t="s">
        <v>369</v>
      </c>
      <c r="D14" s="421" t="s">
        <v>2940</v>
      </c>
      <c r="F14" s="421" t="s">
        <v>37</v>
      </c>
      <c r="G14" s="421" t="s">
        <v>2938</v>
      </c>
      <c r="I14" s="163" t="s">
        <v>37</v>
      </c>
      <c r="J14" s="421" t="s">
        <v>36</v>
      </c>
      <c r="K14" s="917"/>
      <c r="L14" s="421"/>
    </row>
    <row r="15" spans="2:12">
      <c r="B15" s="159" t="s">
        <v>304</v>
      </c>
      <c r="C15" s="421" t="s">
        <v>2939</v>
      </c>
      <c r="D15" s="421" t="s">
        <v>2940</v>
      </c>
      <c r="F15" s="421" t="s">
        <v>37</v>
      </c>
      <c r="G15" s="421" t="s">
        <v>939</v>
      </c>
      <c r="I15" s="159" t="s">
        <v>37</v>
      </c>
      <c r="J15" s="421" t="s">
        <v>192</v>
      </c>
      <c r="K15" s="917"/>
      <c r="L15" s="421"/>
    </row>
    <row r="16" spans="2:12">
      <c r="B16" s="159" t="s">
        <v>304</v>
      </c>
      <c r="C16" s="421" t="s">
        <v>303</v>
      </c>
      <c r="D16" s="421" t="s">
        <v>2940</v>
      </c>
      <c r="F16" s="421" t="s">
        <v>37</v>
      </c>
      <c r="G16" s="421" t="s">
        <v>141</v>
      </c>
      <c r="I16" s="159" t="s">
        <v>37</v>
      </c>
      <c r="J16" s="421" t="s">
        <v>2082</v>
      </c>
      <c r="K16" s="917"/>
      <c r="L16" s="421"/>
    </row>
    <row r="17" spans="2:12">
      <c r="B17" s="159" t="s">
        <v>304</v>
      </c>
      <c r="C17" s="421" t="s">
        <v>1758</v>
      </c>
      <c r="D17" s="421" t="s">
        <v>2940</v>
      </c>
      <c r="F17" s="421" t="s">
        <v>37</v>
      </c>
      <c r="G17" s="421" t="s">
        <v>36</v>
      </c>
      <c r="I17" s="159" t="s">
        <v>37</v>
      </c>
      <c r="J17" s="421" t="s">
        <v>242</v>
      </c>
      <c r="K17" s="917"/>
      <c r="L17" s="421"/>
    </row>
    <row r="18" spans="2:12">
      <c r="B18" s="159" t="s">
        <v>304</v>
      </c>
      <c r="C18" s="421" t="s">
        <v>2082</v>
      </c>
      <c r="D18" s="421" t="s">
        <v>2940</v>
      </c>
      <c r="F18" s="421" t="s">
        <v>37</v>
      </c>
      <c r="G18" s="421" t="s">
        <v>192</v>
      </c>
      <c r="I18" s="159" t="s">
        <v>37</v>
      </c>
      <c r="J18" s="421" t="s">
        <v>276</v>
      </c>
      <c r="K18" s="917"/>
      <c r="L18" s="421"/>
    </row>
    <row r="19" spans="2:12">
      <c r="B19" s="159" t="s">
        <v>304</v>
      </c>
      <c r="C19" s="421" t="s">
        <v>297</v>
      </c>
      <c r="D19" s="421" t="s">
        <v>2940</v>
      </c>
      <c r="F19" s="421" t="s">
        <v>37</v>
      </c>
      <c r="G19" s="421" t="s">
        <v>2082</v>
      </c>
      <c r="I19" s="159" t="s">
        <v>37</v>
      </c>
      <c r="J19" s="421" t="s">
        <v>2697</v>
      </c>
      <c r="K19" s="917"/>
      <c r="L19" s="421"/>
    </row>
    <row r="20" spans="2:12">
      <c r="B20" s="163" t="s">
        <v>304</v>
      </c>
      <c r="C20" s="421" t="s">
        <v>276</v>
      </c>
      <c r="D20" s="421" t="s">
        <v>2940</v>
      </c>
      <c r="F20" s="421" t="s">
        <v>37</v>
      </c>
      <c r="G20" s="421" t="s">
        <v>242</v>
      </c>
      <c r="I20" s="917" t="s">
        <v>37</v>
      </c>
      <c r="J20" s="421" t="s">
        <v>291</v>
      </c>
      <c r="K20" s="917"/>
      <c r="L20" s="421"/>
    </row>
    <row r="21" spans="2:12">
      <c r="B21" s="159" t="s">
        <v>515</v>
      </c>
      <c r="C21" s="421" t="s">
        <v>36</v>
      </c>
      <c r="D21" s="421" t="s">
        <v>2940</v>
      </c>
      <c r="F21" s="421" t="s">
        <v>37</v>
      </c>
      <c r="G21" s="421" t="s">
        <v>276</v>
      </c>
      <c r="I21" s="917" t="s">
        <v>37</v>
      </c>
      <c r="J21" s="421" t="s">
        <v>241</v>
      </c>
      <c r="K21" s="917"/>
      <c r="L21" s="421"/>
    </row>
    <row r="22" spans="2:12">
      <c r="B22" s="163" t="s">
        <v>515</v>
      </c>
      <c r="C22" s="421" t="s">
        <v>2754</v>
      </c>
      <c r="D22" s="421" t="s">
        <v>2940</v>
      </c>
      <c r="F22" s="421" t="s">
        <v>37</v>
      </c>
      <c r="G22" s="421" t="s">
        <v>2697</v>
      </c>
      <c r="I22" s="917" t="s">
        <v>2775</v>
      </c>
      <c r="J22" s="421" t="s">
        <v>2964</v>
      </c>
      <c r="K22" s="917"/>
      <c r="L22" s="421"/>
    </row>
    <row r="23" spans="2:12">
      <c r="B23" s="163" t="s">
        <v>613</v>
      </c>
      <c r="C23" s="421" t="s">
        <v>2082</v>
      </c>
      <c r="D23" s="421" t="s">
        <v>2940</v>
      </c>
      <c r="F23" s="421" t="s">
        <v>37</v>
      </c>
      <c r="G23" s="421" t="s">
        <v>291</v>
      </c>
      <c r="I23" s="159" t="s">
        <v>2775</v>
      </c>
      <c r="J23" s="421" t="s">
        <v>36</v>
      </c>
      <c r="K23" s="917"/>
      <c r="L23" s="421"/>
    </row>
    <row r="24" spans="2:12">
      <c r="B24" s="159" t="s">
        <v>304</v>
      </c>
      <c r="C24" s="421" t="s">
        <v>1757</v>
      </c>
      <c r="D24" s="421" t="s">
        <v>2711</v>
      </c>
      <c r="F24" s="421" t="s">
        <v>2775</v>
      </c>
      <c r="G24" s="421" t="s">
        <v>2945</v>
      </c>
      <c r="I24" s="159" t="s">
        <v>2775</v>
      </c>
      <c r="J24" s="421" t="s">
        <v>2963</v>
      </c>
      <c r="K24" s="163"/>
      <c r="L24" s="421"/>
    </row>
    <row r="25" spans="2:12">
      <c r="B25" s="159" t="s">
        <v>304</v>
      </c>
      <c r="C25" s="421" t="s">
        <v>2941</v>
      </c>
      <c r="D25" s="421" t="s">
        <v>2711</v>
      </c>
      <c r="F25" s="421" t="s">
        <v>2775</v>
      </c>
      <c r="G25" s="421" t="s">
        <v>2944</v>
      </c>
      <c r="I25" s="159" t="s">
        <v>2775</v>
      </c>
      <c r="J25" s="421" t="s">
        <v>241</v>
      </c>
      <c r="K25" s="159"/>
      <c r="L25" s="421"/>
    </row>
    <row r="26" spans="2:12">
      <c r="B26" s="159" t="s">
        <v>304</v>
      </c>
      <c r="C26" s="421" t="s">
        <v>1758</v>
      </c>
      <c r="D26" s="421" t="s">
        <v>2711</v>
      </c>
      <c r="F26" s="421" t="s">
        <v>2775</v>
      </c>
      <c r="G26" s="421" t="s">
        <v>2946</v>
      </c>
      <c r="I26" s="163" t="s">
        <v>2361</v>
      </c>
      <c r="J26" s="421" t="s">
        <v>2962</v>
      </c>
      <c r="K26" s="917"/>
      <c r="L26" s="421"/>
    </row>
    <row r="27" spans="2:12">
      <c r="B27" s="159" t="s">
        <v>304</v>
      </c>
      <c r="C27" s="421" t="s">
        <v>358</v>
      </c>
      <c r="D27" s="421" t="s">
        <v>2711</v>
      </c>
      <c r="F27" s="421" t="s">
        <v>2361</v>
      </c>
      <c r="G27" s="421" t="s">
        <v>2948</v>
      </c>
      <c r="I27" s="159" t="s">
        <v>2361</v>
      </c>
      <c r="J27" s="421" t="s">
        <v>36</v>
      </c>
      <c r="K27" s="917"/>
      <c r="L27" s="421"/>
    </row>
    <row r="28" spans="2:12">
      <c r="B28" s="159" t="s">
        <v>304</v>
      </c>
      <c r="C28" s="421" t="s">
        <v>297</v>
      </c>
      <c r="D28" s="421" t="s">
        <v>2711</v>
      </c>
      <c r="F28" s="421" t="s">
        <v>2361</v>
      </c>
      <c r="G28" s="421" t="s">
        <v>2945</v>
      </c>
      <c r="I28" s="159" t="s">
        <v>2361</v>
      </c>
      <c r="J28" s="421" t="s">
        <v>2963</v>
      </c>
      <c r="K28" s="917"/>
      <c r="L28" s="421"/>
    </row>
    <row r="29" spans="2:12">
      <c r="B29" s="163" t="s">
        <v>304</v>
      </c>
      <c r="C29" s="421" t="s">
        <v>276</v>
      </c>
      <c r="D29" s="421" t="s">
        <v>2711</v>
      </c>
      <c r="F29" s="421" t="s">
        <v>2361</v>
      </c>
      <c r="G29" s="421" t="s">
        <v>2944</v>
      </c>
      <c r="I29" s="163" t="s">
        <v>2361</v>
      </c>
      <c r="J29" s="421" t="s">
        <v>2961</v>
      </c>
      <c r="K29" s="917"/>
      <c r="L29" s="421"/>
    </row>
    <row r="30" spans="2:12">
      <c r="B30" s="163" t="s">
        <v>2771</v>
      </c>
      <c r="C30" s="159" t="s">
        <v>2942</v>
      </c>
      <c r="D30" s="421" t="s">
        <v>2949</v>
      </c>
      <c r="F30" s="421" t="s">
        <v>2361</v>
      </c>
      <c r="G30" s="421" t="s">
        <v>2943</v>
      </c>
      <c r="I30" s="917" t="s">
        <v>2361</v>
      </c>
      <c r="J30" s="421" t="s">
        <v>2965</v>
      </c>
      <c r="K30" s="163"/>
      <c r="L30" s="421"/>
    </row>
    <row r="31" spans="2:12" s="421" customFormat="1">
      <c r="B31" s="163" t="s">
        <v>2771</v>
      </c>
      <c r="C31" s="421" t="s">
        <v>2943</v>
      </c>
      <c r="D31" s="421" t="s">
        <v>2949</v>
      </c>
      <c r="F31" s="421" t="s">
        <v>2361</v>
      </c>
      <c r="G31" s="421" t="s">
        <v>2942</v>
      </c>
      <c r="I31" s="159" t="s">
        <v>2361</v>
      </c>
      <c r="J31" s="421" t="s">
        <v>241</v>
      </c>
      <c r="K31" s="159"/>
    </row>
    <row r="32" spans="2:12">
      <c r="B32" s="163" t="s">
        <v>2773</v>
      </c>
      <c r="C32" s="159" t="s">
        <v>2942</v>
      </c>
      <c r="D32" s="421" t="s">
        <v>2949</v>
      </c>
      <c r="F32" s="421" t="s">
        <v>2361</v>
      </c>
      <c r="G32" s="421" t="s">
        <v>2947</v>
      </c>
      <c r="I32" s="159" t="s">
        <v>2776</v>
      </c>
      <c r="J32" s="421" t="s">
        <v>36</v>
      </c>
      <c r="K32" s="917"/>
      <c r="L32" s="421"/>
    </row>
    <row r="33" spans="2:12" s="421" customFormat="1">
      <c r="B33" s="163" t="s">
        <v>2773</v>
      </c>
      <c r="C33" s="421" t="s">
        <v>2943</v>
      </c>
      <c r="D33" s="421" t="s">
        <v>2949</v>
      </c>
      <c r="F33" s="421" t="s">
        <v>2776</v>
      </c>
      <c r="G33" s="421" t="s">
        <v>36</v>
      </c>
      <c r="I33" s="917" t="s">
        <v>2776</v>
      </c>
      <c r="J33" s="421" t="s">
        <v>2955</v>
      </c>
      <c r="K33" s="917"/>
    </row>
    <row r="34" spans="2:12">
      <c r="B34" s="159" t="s">
        <v>2775</v>
      </c>
      <c r="C34" s="159" t="s">
        <v>2944</v>
      </c>
      <c r="D34" s="421" t="s">
        <v>2949</v>
      </c>
      <c r="F34" s="421" t="s">
        <v>2776</v>
      </c>
      <c r="G34" s="421" t="s">
        <v>2955</v>
      </c>
      <c r="I34" s="159" t="s">
        <v>2771</v>
      </c>
      <c r="J34" s="421" t="s">
        <v>311</v>
      </c>
      <c r="K34" s="917"/>
      <c r="L34" s="421"/>
    </row>
    <row r="35" spans="2:12" s="421" customFormat="1">
      <c r="B35" s="159" t="s">
        <v>2775</v>
      </c>
      <c r="C35" s="421" t="s">
        <v>2945</v>
      </c>
      <c r="D35" s="421" t="s">
        <v>2949</v>
      </c>
      <c r="F35" s="421" t="s">
        <v>304</v>
      </c>
      <c r="G35" s="421" t="s">
        <v>1757</v>
      </c>
      <c r="I35" s="163" t="s">
        <v>2771</v>
      </c>
      <c r="J35" s="421" t="s">
        <v>2950</v>
      </c>
      <c r="K35" s="917"/>
    </row>
    <row r="36" spans="2:12">
      <c r="B36" s="163" t="s">
        <v>2775</v>
      </c>
      <c r="C36" s="421" t="s">
        <v>2946</v>
      </c>
      <c r="D36" s="421" t="s">
        <v>2949</v>
      </c>
      <c r="F36" s="421" t="s">
        <v>304</v>
      </c>
      <c r="G36" s="421" t="s">
        <v>323</v>
      </c>
      <c r="I36" s="159" t="s">
        <v>2771</v>
      </c>
      <c r="J36" s="421" t="s">
        <v>2961</v>
      </c>
      <c r="K36" s="917"/>
      <c r="L36" s="421"/>
    </row>
    <row r="37" spans="2:12">
      <c r="B37" s="159" t="s">
        <v>2361</v>
      </c>
      <c r="C37" s="159" t="s">
        <v>2944</v>
      </c>
      <c r="D37" s="421" t="s">
        <v>2949</v>
      </c>
      <c r="F37" s="421" t="s">
        <v>304</v>
      </c>
      <c r="G37" s="421" t="s">
        <v>2956</v>
      </c>
      <c r="I37" s="163" t="s">
        <v>2771</v>
      </c>
      <c r="J37" s="421" t="s">
        <v>241</v>
      </c>
      <c r="K37" s="163"/>
      <c r="L37" s="421"/>
    </row>
    <row r="38" spans="2:12" s="421" customFormat="1">
      <c r="B38" s="159" t="s">
        <v>2361</v>
      </c>
      <c r="C38" s="421" t="s">
        <v>2945</v>
      </c>
      <c r="D38" s="421" t="s">
        <v>2949</v>
      </c>
      <c r="F38" s="421" t="s">
        <v>304</v>
      </c>
      <c r="G38" s="421" t="s">
        <v>369</v>
      </c>
      <c r="I38" s="159" t="s">
        <v>304</v>
      </c>
      <c r="J38" s="421" t="s">
        <v>1757</v>
      </c>
      <c r="K38" s="159"/>
    </row>
    <row r="39" spans="2:12">
      <c r="B39" s="159" t="s">
        <v>2361</v>
      </c>
      <c r="C39" s="421" t="s">
        <v>2947</v>
      </c>
      <c r="D39" s="421" t="s">
        <v>2949</v>
      </c>
      <c r="F39" s="421" t="s">
        <v>304</v>
      </c>
      <c r="G39" s="421" t="s">
        <v>919</v>
      </c>
      <c r="I39" s="159" t="s">
        <v>304</v>
      </c>
      <c r="J39" s="421" t="s">
        <v>323</v>
      </c>
      <c r="K39" s="163"/>
      <c r="L39" s="421"/>
    </row>
    <row r="40" spans="2:12">
      <c r="B40" s="159" t="s">
        <v>2361</v>
      </c>
      <c r="C40" s="159" t="s">
        <v>2942</v>
      </c>
      <c r="D40" s="421" t="s">
        <v>2949</v>
      </c>
      <c r="F40" s="421" t="s">
        <v>304</v>
      </c>
      <c r="G40" s="421" t="s">
        <v>2939</v>
      </c>
      <c r="I40" s="159" t="s">
        <v>304</v>
      </c>
      <c r="J40" s="421" t="s">
        <v>2956</v>
      </c>
      <c r="K40" s="159"/>
      <c r="L40" s="421"/>
    </row>
    <row r="41" spans="2:12" s="421" customFormat="1">
      <c r="B41" s="159" t="s">
        <v>2361</v>
      </c>
      <c r="C41" s="421" t="s">
        <v>2948</v>
      </c>
      <c r="D41" s="421" t="s">
        <v>2949</v>
      </c>
      <c r="F41" s="421" t="s">
        <v>304</v>
      </c>
      <c r="G41" s="421" t="s">
        <v>2957</v>
      </c>
      <c r="I41" s="159" t="s">
        <v>304</v>
      </c>
      <c r="J41" s="421" t="s">
        <v>369</v>
      </c>
      <c r="K41" s="917"/>
    </row>
    <row r="42" spans="2:12">
      <c r="B42" s="163" t="s">
        <v>2361</v>
      </c>
      <c r="C42" s="421" t="s">
        <v>2943</v>
      </c>
      <c r="D42" s="421" t="s">
        <v>2949</v>
      </c>
      <c r="F42" s="421" t="s">
        <v>304</v>
      </c>
      <c r="G42" s="421" t="s">
        <v>303</v>
      </c>
      <c r="I42" s="159" t="s">
        <v>304</v>
      </c>
      <c r="J42" s="421" t="s">
        <v>919</v>
      </c>
      <c r="K42" s="917"/>
      <c r="L42" s="421"/>
    </row>
    <row r="43" spans="2:12">
      <c r="B43" s="163" t="s">
        <v>2710</v>
      </c>
      <c r="C43" s="159" t="s">
        <v>2944</v>
      </c>
      <c r="D43" s="421" t="s">
        <v>2949</v>
      </c>
      <c r="F43" s="421" t="s">
        <v>304</v>
      </c>
      <c r="G43" s="421" t="s">
        <v>2941</v>
      </c>
      <c r="I43" s="159" t="s">
        <v>304</v>
      </c>
      <c r="J43" s="421" t="s">
        <v>2939</v>
      </c>
      <c r="K43" s="163"/>
      <c r="L43" s="421"/>
    </row>
    <row r="44" spans="2:12">
      <c r="B44" s="163" t="s">
        <v>2710</v>
      </c>
      <c r="C44" s="421" t="s">
        <v>2946</v>
      </c>
      <c r="D44" s="421" t="s">
        <v>2949</v>
      </c>
      <c r="F44" s="421" t="s">
        <v>304</v>
      </c>
      <c r="G44" s="421" t="s">
        <v>1758</v>
      </c>
      <c r="I44" s="159" t="s">
        <v>304</v>
      </c>
      <c r="J44" s="421" t="s">
        <v>2957</v>
      </c>
      <c r="K44" s="159"/>
      <c r="L44" s="421"/>
    </row>
    <row r="45" spans="2:12">
      <c r="B45" s="163" t="s">
        <v>2771</v>
      </c>
      <c r="C45" s="159" t="s">
        <v>311</v>
      </c>
      <c r="D45" s="421" t="s">
        <v>2949</v>
      </c>
      <c r="F45" s="421" t="s">
        <v>304</v>
      </c>
      <c r="G45" s="421" t="s">
        <v>2082</v>
      </c>
      <c r="I45" s="159" t="s">
        <v>304</v>
      </c>
      <c r="J45" s="421" t="s">
        <v>303</v>
      </c>
      <c r="K45" s="917"/>
      <c r="L45" s="421"/>
    </row>
    <row r="46" spans="2:12" s="421" customFormat="1">
      <c r="B46" s="163" t="s">
        <v>2771</v>
      </c>
      <c r="C46" s="421" t="s">
        <v>2950</v>
      </c>
      <c r="D46" s="421" t="s">
        <v>2949</v>
      </c>
      <c r="F46" s="421" t="s">
        <v>304</v>
      </c>
      <c r="G46" s="421" t="s">
        <v>358</v>
      </c>
      <c r="I46" s="159" t="s">
        <v>304</v>
      </c>
      <c r="J46" s="421" t="s">
        <v>2941</v>
      </c>
      <c r="K46" s="917"/>
    </row>
    <row r="47" spans="2:12">
      <c r="B47" s="159" t="s">
        <v>37</v>
      </c>
      <c r="C47" s="421" t="s">
        <v>939</v>
      </c>
      <c r="D47" s="421" t="s">
        <v>2949</v>
      </c>
      <c r="F47" s="421" t="s">
        <v>304</v>
      </c>
      <c r="G47" s="421" t="s">
        <v>297</v>
      </c>
      <c r="I47" s="159" t="s">
        <v>304</v>
      </c>
      <c r="J47" s="421" t="s">
        <v>1758</v>
      </c>
      <c r="K47" s="917"/>
      <c r="L47" s="421"/>
    </row>
    <row r="48" spans="2:12">
      <c r="B48" s="163" t="s">
        <v>37</v>
      </c>
      <c r="C48" s="421" t="s">
        <v>2697</v>
      </c>
      <c r="D48" s="421" t="s">
        <v>2949</v>
      </c>
      <c r="F48" s="421" t="s">
        <v>304</v>
      </c>
      <c r="G48" s="421" t="s">
        <v>276</v>
      </c>
      <c r="I48" s="159" t="s">
        <v>304</v>
      </c>
      <c r="J48" s="421" t="s">
        <v>2082</v>
      </c>
      <c r="K48" s="917"/>
      <c r="L48" s="421"/>
    </row>
    <row r="49" spans="2:12">
      <c r="B49" s="159" t="s">
        <v>515</v>
      </c>
      <c r="C49" s="159" t="s">
        <v>311</v>
      </c>
      <c r="D49" s="421" t="s">
        <v>2949</v>
      </c>
      <c r="F49" s="421" t="s">
        <v>304</v>
      </c>
      <c r="G49" s="421" t="s">
        <v>241</v>
      </c>
      <c r="I49" s="159" t="s">
        <v>304</v>
      </c>
      <c r="J49" s="421" t="s">
        <v>358</v>
      </c>
      <c r="K49" s="917"/>
      <c r="L49" s="421"/>
    </row>
    <row r="50" spans="2:12" s="421" customFormat="1">
      <c r="B50" s="159" t="s">
        <v>515</v>
      </c>
      <c r="C50" s="421" t="s">
        <v>2951</v>
      </c>
      <c r="D50" s="421" t="s">
        <v>2949</v>
      </c>
      <c r="F50" s="421" t="s">
        <v>2779</v>
      </c>
      <c r="G50" s="421" t="s">
        <v>241</v>
      </c>
      <c r="I50" s="159" t="s">
        <v>304</v>
      </c>
      <c r="J50" s="421" t="s">
        <v>297</v>
      </c>
      <c r="K50" s="917"/>
    </row>
    <row r="51" spans="2:12">
      <c r="B51" s="159" t="s">
        <v>515</v>
      </c>
      <c r="C51" s="421" t="s">
        <v>2952</v>
      </c>
      <c r="D51" s="421" t="s">
        <v>2949</v>
      </c>
      <c r="F51" s="421" t="s">
        <v>515</v>
      </c>
      <c r="G51" s="421" t="s">
        <v>311</v>
      </c>
      <c r="I51" s="159" t="s">
        <v>304</v>
      </c>
      <c r="J51" s="421" t="s">
        <v>276</v>
      </c>
      <c r="K51" s="917"/>
      <c r="L51" s="421"/>
    </row>
    <row r="52" spans="2:12">
      <c r="B52" s="159" t="s">
        <v>515</v>
      </c>
      <c r="C52" s="421" t="s">
        <v>2953</v>
      </c>
      <c r="D52" s="421" t="s">
        <v>2949</v>
      </c>
      <c r="F52" s="421" t="s">
        <v>515</v>
      </c>
      <c r="G52" s="421" t="s">
        <v>2938</v>
      </c>
      <c r="I52" s="163" t="s">
        <v>304</v>
      </c>
      <c r="J52" s="421" t="s">
        <v>241</v>
      </c>
      <c r="K52" s="917"/>
      <c r="L52" s="421"/>
    </row>
    <row r="53" spans="2:12">
      <c r="B53" s="159" t="s">
        <v>515</v>
      </c>
      <c r="C53" s="421" t="s">
        <v>939</v>
      </c>
      <c r="D53" s="421" t="s">
        <v>2949</v>
      </c>
      <c r="F53" s="421" t="s">
        <v>515</v>
      </c>
      <c r="G53" s="421" t="s">
        <v>939</v>
      </c>
      <c r="I53" s="163" t="s">
        <v>2779</v>
      </c>
      <c r="J53" s="421" t="s">
        <v>241</v>
      </c>
      <c r="K53" s="917"/>
      <c r="L53" s="421"/>
    </row>
    <row r="54" spans="2:12" s="421" customFormat="1">
      <c r="B54" s="163" t="s">
        <v>515</v>
      </c>
      <c r="C54" s="421" t="s">
        <v>241</v>
      </c>
      <c r="D54" s="421" t="s">
        <v>2949</v>
      </c>
      <c r="F54" s="421" t="s">
        <v>515</v>
      </c>
      <c r="G54" s="421" t="s">
        <v>36</v>
      </c>
      <c r="I54" s="159" t="s">
        <v>515</v>
      </c>
      <c r="J54" s="421" t="s">
        <v>311</v>
      </c>
      <c r="K54" s="917"/>
    </row>
    <row r="55" spans="2:12">
      <c r="B55" s="159" t="s">
        <v>2710</v>
      </c>
      <c r="C55" s="159" t="s">
        <v>311</v>
      </c>
      <c r="D55" s="421" t="s">
        <v>2949</v>
      </c>
      <c r="F55" s="421" t="s">
        <v>515</v>
      </c>
      <c r="G55" s="421" t="s">
        <v>2754</v>
      </c>
      <c r="I55" s="159" t="s">
        <v>515</v>
      </c>
      <c r="J55" s="421" t="s">
        <v>2162</v>
      </c>
      <c r="K55" s="917"/>
      <c r="L55" s="421"/>
    </row>
    <row r="56" spans="2:12">
      <c r="B56" s="159" t="s">
        <v>2710</v>
      </c>
      <c r="C56" s="421" t="s">
        <v>297</v>
      </c>
      <c r="D56" s="421" t="s">
        <v>2949</v>
      </c>
      <c r="F56" s="421" t="s">
        <v>515</v>
      </c>
      <c r="G56" s="421" t="s">
        <v>2951</v>
      </c>
      <c r="I56" s="159" t="s">
        <v>515</v>
      </c>
      <c r="J56" s="421" t="s">
        <v>939</v>
      </c>
      <c r="K56" s="917"/>
      <c r="L56" s="421"/>
    </row>
    <row r="57" spans="2:12">
      <c r="B57" s="159" t="s">
        <v>613</v>
      </c>
      <c r="C57" s="159" t="s">
        <v>311</v>
      </c>
      <c r="D57" s="421" t="s">
        <v>2949</v>
      </c>
      <c r="F57" s="421" t="s">
        <v>515</v>
      </c>
      <c r="G57" s="421" t="s">
        <v>192</v>
      </c>
      <c r="I57" s="159" t="s">
        <v>515</v>
      </c>
      <c r="J57" s="421" t="s">
        <v>36</v>
      </c>
      <c r="K57" s="917"/>
      <c r="L57" s="421"/>
    </row>
    <row r="58" spans="2:12">
      <c r="B58" s="159" t="s">
        <v>613</v>
      </c>
      <c r="C58" s="159" t="s">
        <v>2958</v>
      </c>
      <c r="D58" s="421" t="s">
        <v>2949</v>
      </c>
      <c r="F58" s="421" t="s">
        <v>515</v>
      </c>
      <c r="G58" s="421" t="s">
        <v>2952</v>
      </c>
      <c r="I58" s="159" t="s">
        <v>515</v>
      </c>
      <c r="J58" s="421" t="s">
        <v>2754</v>
      </c>
      <c r="K58" s="917"/>
      <c r="L58" s="421"/>
    </row>
    <row r="59" spans="2:12">
      <c r="B59" s="159" t="s">
        <v>613</v>
      </c>
      <c r="C59" s="159" t="s">
        <v>36</v>
      </c>
      <c r="D59" s="421" t="s">
        <v>2949</v>
      </c>
      <c r="F59" s="421" t="s">
        <v>515</v>
      </c>
      <c r="G59" s="421" t="s">
        <v>2953</v>
      </c>
      <c r="I59" s="159" t="s">
        <v>515</v>
      </c>
      <c r="J59" s="421" t="s">
        <v>192</v>
      </c>
      <c r="K59" s="917"/>
      <c r="L59" s="421"/>
    </row>
    <row r="60" spans="2:12">
      <c r="B60" s="159" t="s">
        <v>613</v>
      </c>
      <c r="C60" s="159" t="s">
        <v>2955</v>
      </c>
      <c r="D60" s="421" t="s">
        <v>2949</v>
      </c>
      <c r="F60" s="421" t="s">
        <v>515</v>
      </c>
      <c r="G60" s="421" t="s">
        <v>241</v>
      </c>
      <c r="I60" s="159" t="s">
        <v>515</v>
      </c>
      <c r="J60" s="421" t="s">
        <v>297</v>
      </c>
      <c r="K60" s="917"/>
      <c r="L60" s="421"/>
    </row>
    <row r="61" spans="2:12">
      <c r="B61" s="159" t="s">
        <v>613</v>
      </c>
      <c r="C61" s="159" t="s">
        <v>2082</v>
      </c>
      <c r="D61" s="421" t="s">
        <v>2949</v>
      </c>
      <c r="F61" s="421" t="s">
        <v>2710</v>
      </c>
      <c r="G61" s="421" t="s">
        <v>311</v>
      </c>
      <c r="I61" s="163" t="s">
        <v>515</v>
      </c>
      <c r="J61" s="421" t="s">
        <v>241</v>
      </c>
      <c r="K61" s="917"/>
      <c r="L61" s="421"/>
    </row>
    <row r="62" spans="2:12">
      <c r="B62" s="159" t="s">
        <v>613</v>
      </c>
      <c r="C62" s="159" t="s">
        <v>2954</v>
      </c>
      <c r="D62" s="421" t="s">
        <v>2949</v>
      </c>
      <c r="F62" s="421" t="s">
        <v>2710</v>
      </c>
      <c r="G62" s="421" t="s">
        <v>297</v>
      </c>
      <c r="I62" s="159" t="s">
        <v>2710</v>
      </c>
      <c r="J62" s="421" t="s">
        <v>311</v>
      </c>
      <c r="K62" s="917"/>
      <c r="L62" s="421"/>
    </row>
    <row r="63" spans="2:12">
      <c r="B63" s="159" t="s">
        <v>2776</v>
      </c>
      <c r="C63" s="159" t="s">
        <v>36</v>
      </c>
      <c r="D63" s="421" t="s">
        <v>2949</v>
      </c>
      <c r="F63" s="421" t="s">
        <v>2710</v>
      </c>
      <c r="G63" s="421" t="s">
        <v>2944</v>
      </c>
      <c r="I63" s="917" t="s">
        <v>2710</v>
      </c>
      <c r="J63" s="421" t="s">
        <v>2964</v>
      </c>
      <c r="K63" s="163"/>
      <c r="L63" s="421"/>
    </row>
    <row r="64" spans="2:12">
      <c r="B64" s="159" t="s">
        <v>2776</v>
      </c>
      <c r="C64" s="159" t="s">
        <v>2955</v>
      </c>
      <c r="D64" s="421" t="s">
        <v>2949</v>
      </c>
      <c r="F64" s="421" t="s">
        <v>2710</v>
      </c>
      <c r="G64" s="421" t="s">
        <v>2946</v>
      </c>
      <c r="I64" s="159" t="s">
        <v>2710</v>
      </c>
      <c r="J64" s="421" t="s">
        <v>2963</v>
      </c>
      <c r="K64" s="159"/>
      <c r="L64" s="421"/>
    </row>
    <row r="65" spans="2:12">
      <c r="B65" s="159" t="s">
        <v>304</v>
      </c>
      <c r="C65" s="159" t="s">
        <v>323</v>
      </c>
      <c r="D65" s="421" t="s">
        <v>2949</v>
      </c>
      <c r="F65" s="421" t="s">
        <v>1285</v>
      </c>
      <c r="I65" s="163" t="s">
        <v>2710</v>
      </c>
      <c r="J65" s="421" t="s">
        <v>297</v>
      </c>
      <c r="K65" s="917"/>
      <c r="L65" s="421"/>
    </row>
    <row r="66" spans="2:12">
      <c r="B66" s="159" t="s">
        <v>304</v>
      </c>
      <c r="C66" s="159" t="s">
        <v>2956</v>
      </c>
      <c r="D66" s="421" t="s">
        <v>2949</v>
      </c>
      <c r="K66" s="917"/>
      <c r="L66" s="421"/>
    </row>
    <row r="67" spans="2:12">
      <c r="B67" s="159" t="s">
        <v>304</v>
      </c>
      <c r="C67" s="159" t="s">
        <v>2082</v>
      </c>
      <c r="D67" s="421" t="s">
        <v>2949</v>
      </c>
      <c r="K67" s="163"/>
      <c r="L67" s="421"/>
    </row>
    <row r="68" spans="2:12">
      <c r="B68" s="159" t="s">
        <v>304</v>
      </c>
      <c r="C68" s="159" t="s">
        <v>241</v>
      </c>
      <c r="D68" s="421" t="s">
        <v>2949</v>
      </c>
      <c r="K68" s="159"/>
      <c r="L68" s="421"/>
    </row>
    <row r="69" spans="2:12">
      <c r="B69" s="159" t="s">
        <v>304</v>
      </c>
      <c r="C69" s="159" t="s">
        <v>919</v>
      </c>
      <c r="D69" s="421" t="s">
        <v>2949</v>
      </c>
      <c r="K69" s="917"/>
      <c r="L69" s="421"/>
    </row>
    <row r="70" spans="2:12">
      <c r="B70" s="159" t="s">
        <v>304</v>
      </c>
      <c r="C70" s="159" t="s">
        <v>358</v>
      </c>
      <c r="D70" s="421" t="s">
        <v>2949</v>
      </c>
      <c r="K70" s="917"/>
      <c r="L70" s="421"/>
    </row>
    <row r="71" spans="2:12">
      <c r="B71" s="159" t="s">
        <v>304</v>
      </c>
      <c r="C71" s="159" t="s">
        <v>369</v>
      </c>
      <c r="D71" s="421" t="s">
        <v>2949</v>
      </c>
      <c r="K71" s="917"/>
      <c r="L71" s="421"/>
    </row>
    <row r="72" spans="2:12">
      <c r="B72" s="159" t="s">
        <v>304</v>
      </c>
      <c r="C72" s="159" t="s">
        <v>2957</v>
      </c>
      <c r="D72" s="421" t="s">
        <v>2949</v>
      </c>
      <c r="K72" s="917"/>
      <c r="L72" s="421"/>
    </row>
    <row r="73" spans="2:12">
      <c r="B73" s="159" t="s">
        <v>304</v>
      </c>
      <c r="C73" s="159" t="s">
        <v>276</v>
      </c>
      <c r="D73" s="421" t="s">
        <v>2949</v>
      </c>
      <c r="K73" s="917"/>
      <c r="L73" s="421"/>
    </row>
    <row r="74" spans="2:12">
      <c r="B74" s="163" t="s">
        <v>2779</v>
      </c>
      <c r="C74" s="159" t="s">
        <v>241</v>
      </c>
      <c r="D74" s="421" t="s">
        <v>2949</v>
      </c>
      <c r="K74" s="917"/>
      <c r="L74" s="421"/>
    </row>
    <row r="75" spans="2:12">
      <c r="K75" s="917"/>
      <c r="L75" s="421"/>
    </row>
    <row r="76" spans="2:12">
      <c r="K76" s="163"/>
      <c r="L76" s="421"/>
    </row>
    <row r="77" spans="2:12">
      <c r="K77" s="159"/>
      <c r="L77" s="421"/>
    </row>
    <row r="78" spans="2:12">
      <c r="K78" s="917"/>
      <c r="L78" s="421"/>
    </row>
    <row r="79" spans="2:12">
      <c r="K79" s="917"/>
      <c r="L79" s="421"/>
    </row>
    <row r="80" spans="2:12">
      <c r="K80" s="163"/>
      <c r="L80" s="421"/>
    </row>
  </sheetData>
  <autoFilter ref="I1:J65" xr:uid="{72DD36C4-AE06-41BE-AFE9-612752854A0B}">
    <sortState xmlns:xlrd2="http://schemas.microsoft.com/office/spreadsheetml/2017/richdata2" ref="I2:J65">
      <sortCondition ref="I2:I65"/>
      <sortCondition ref="J2:J65"/>
    </sortState>
  </autoFilter>
  <pageMargins left="0.7" right="0.7" top="0.75" bottom="0.75" header="0.3" footer="0.3"/>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98CFD-A465-4CB5-BC57-26DE2B21377E}">
  <dimension ref="A1:O100"/>
  <sheetViews>
    <sheetView workbookViewId="0">
      <selection activeCell="I64" sqref="I64"/>
    </sheetView>
  </sheetViews>
  <sheetFormatPr defaultRowHeight="15.6"/>
  <cols>
    <col min="2" max="2" width="11.8984375" bestFit="1" customWidth="1"/>
    <col min="3" max="3" width="14.19921875" bestFit="1" customWidth="1"/>
    <col min="4" max="4" width="13.296875" customWidth="1"/>
    <col min="6" max="6" width="15.8984375" bestFit="1" customWidth="1"/>
    <col min="7" max="7" width="10.69921875" bestFit="1" customWidth="1"/>
    <col min="9" max="9" width="12.796875" bestFit="1" customWidth="1"/>
    <col min="11" max="11" width="10.5" customWidth="1"/>
    <col min="12" max="12" width="22" bestFit="1" customWidth="1"/>
    <col min="14" max="14" width="15.59765625" bestFit="1" customWidth="1"/>
    <col min="15" max="15" width="16.3984375" bestFit="1" customWidth="1"/>
    <col min="16" max="16" width="16.59765625" bestFit="1" customWidth="1"/>
    <col min="17" max="17" width="12.8984375" bestFit="1" customWidth="1"/>
    <col min="18" max="18" width="16.59765625" bestFit="1" customWidth="1"/>
    <col min="19" max="19" width="12.8984375" bestFit="1" customWidth="1"/>
    <col min="20" max="20" width="16.59765625" bestFit="1" customWidth="1"/>
    <col min="21" max="21" width="12.8984375" bestFit="1" customWidth="1"/>
    <col min="22" max="22" width="16.59765625" bestFit="1" customWidth="1"/>
    <col min="23" max="23" width="12.8984375" bestFit="1" customWidth="1"/>
    <col min="24" max="24" width="16.59765625" bestFit="1" customWidth="1"/>
    <col min="25" max="25" width="12.8984375" bestFit="1" customWidth="1"/>
    <col min="26" max="26" width="16.59765625" bestFit="1" customWidth="1"/>
    <col min="27" max="27" width="12.8984375" bestFit="1" customWidth="1"/>
    <col min="28" max="28" width="16.59765625" bestFit="1" customWidth="1"/>
    <col min="29" max="29" width="12.8984375" bestFit="1" customWidth="1"/>
    <col min="30" max="30" width="16.59765625" bestFit="1" customWidth="1"/>
    <col min="31" max="31" width="12.8984375" bestFit="1" customWidth="1"/>
    <col min="32" max="32" width="16.59765625" bestFit="1" customWidth="1"/>
    <col min="33" max="33" width="12.8984375" bestFit="1" customWidth="1"/>
    <col min="34" max="34" width="16.59765625" bestFit="1" customWidth="1"/>
    <col min="35" max="35" width="12.8984375" bestFit="1" customWidth="1"/>
    <col min="36" max="36" width="16.59765625" bestFit="1" customWidth="1"/>
    <col min="37" max="37" width="12.8984375" bestFit="1" customWidth="1"/>
    <col min="38" max="38" width="16.59765625" bestFit="1" customWidth="1"/>
    <col min="39" max="39" width="12.8984375" bestFit="1" customWidth="1"/>
    <col min="40" max="40" width="16.59765625" bestFit="1" customWidth="1"/>
    <col min="41" max="41" width="12.8984375" bestFit="1" customWidth="1"/>
    <col min="42" max="42" width="16.59765625" bestFit="1" customWidth="1"/>
    <col min="43" max="43" width="12.8984375" bestFit="1" customWidth="1"/>
    <col min="44" max="44" width="16.59765625" bestFit="1" customWidth="1"/>
    <col min="45" max="45" width="12.8984375" bestFit="1" customWidth="1"/>
    <col min="46" max="46" width="16.59765625" bestFit="1" customWidth="1"/>
    <col min="47" max="47" width="12.8984375" bestFit="1" customWidth="1"/>
    <col min="48" max="48" width="16.59765625" bestFit="1" customWidth="1"/>
    <col min="49" max="49" width="12.8984375" bestFit="1" customWidth="1"/>
    <col min="50" max="50" width="16.59765625" bestFit="1" customWidth="1"/>
    <col min="51" max="51" width="12.8984375" bestFit="1" customWidth="1"/>
    <col min="52" max="52" width="16.59765625" bestFit="1" customWidth="1"/>
    <col min="53" max="53" width="12.8984375" bestFit="1" customWidth="1"/>
    <col min="54" max="54" width="16.59765625" bestFit="1" customWidth="1"/>
    <col min="55" max="55" width="12.8984375" bestFit="1" customWidth="1"/>
    <col min="56" max="56" width="16.59765625" bestFit="1" customWidth="1"/>
    <col min="57" max="57" width="12.8984375" bestFit="1" customWidth="1"/>
    <col min="58" max="58" width="16.59765625" bestFit="1" customWidth="1"/>
    <col min="59" max="59" width="12.8984375" bestFit="1" customWidth="1"/>
    <col min="60" max="60" width="16.59765625" bestFit="1" customWidth="1"/>
    <col min="61" max="61" width="12.8984375" bestFit="1" customWidth="1"/>
    <col min="62" max="62" width="16.59765625" bestFit="1" customWidth="1"/>
    <col min="63" max="63" width="12.8984375" bestFit="1" customWidth="1"/>
    <col min="64" max="64" width="16.59765625" bestFit="1" customWidth="1"/>
    <col min="65" max="65" width="12.8984375" bestFit="1" customWidth="1"/>
    <col min="66" max="66" width="16.59765625" bestFit="1" customWidth="1"/>
    <col min="67" max="67" width="12.8984375" bestFit="1" customWidth="1"/>
    <col min="68" max="68" width="16.59765625" bestFit="1" customWidth="1"/>
    <col min="69" max="69" width="12.8984375" bestFit="1" customWidth="1"/>
    <col min="70" max="70" width="16.59765625" bestFit="1" customWidth="1"/>
    <col min="71" max="71" width="12.8984375" bestFit="1" customWidth="1"/>
    <col min="72" max="72" width="16.59765625" bestFit="1" customWidth="1"/>
    <col min="73" max="73" width="12.8984375" bestFit="1" customWidth="1"/>
    <col min="74" max="74" width="16.59765625" bestFit="1" customWidth="1"/>
    <col min="75" max="75" width="12.8984375" bestFit="1" customWidth="1"/>
    <col min="76" max="76" width="16.59765625" bestFit="1" customWidth="1"/>
    <col min="77" max="77" width="12.8984375" bestFit="1" customWidth="1"/>
    <col min="78" max="78" width="16.59765625" bestFit="1" customWidth="1"/>
    <col min="79" max="79" width="12.8984375" bestFit="1" customWidth="1"/>
    <col min="80" max="80" width="16.59765625" bestFit="1" customWidth="1"/>
    <col min="81" max="81" width="12.8984375" bestFit="1" customWidth="1"/>
    <col min="82" max="82" width="16.59765625" bestFit="1" customWidth="1"/>
    <col min="83" max="83" width="12.8984375" bestFit="1" customWidth="1"/>
    <col min="84" max="84" width="16.59765625" bestFit="1" customWidth="1"/>
    <col min="85" max="85" width="12.8984375" bestFit="1" customWidth="1"/>
    <col min="86" max="86" width="16.59765625" bestFit="1" customWidth="1"/>
    <col min="87" max="87" width="12.8984375" bestFit="1" customWidth="1"/>
    <col min="88" max="88" width="16.59765625" bestFit="1" customWidth="1"/>
    <col min="89" max="89" width="12.8984375" bestFit="1" customWidth="1"/>
    <col min="90" max="90" width="16.59765625" bestFit="1" customWidth="1"/>
    <col min="91" max="91" width="12.8984375" bestFit="1" customWidth="1"/>
    <col min="92" max="92" width="16.59765625" bestFit="1" customWidth="1"/>
    <col min="93" max="93" width="12.8984375" bestFit="1" customWidth="1"/>
    <col min="94" max="94" width="16.59765625" bestFit="1" customWidth="1"/>
    <col min="95" max="95" width="12.8984375" bestFit="1" customWidth="1"/>
    <col min="96" max="96" width="16.59765625" bestFit="1" customWidth="1"/>
    <col min="97" max="97" width="12.8984375" bestFit="1" customWidth="1"/>
    <col min="98" max="98" width="16.59765625" bestFit="1" customWidth="1"/>
    <col min="99" max="99" width="12.8984375" bestFit="1" customWidth="1"/>
    <col min="100" max="100" width="16.59765625" bestFit="1" customWidth="1"/>
    <col min="101" max="101" width="12.8984375" bestFit="1" customWidth="1"/>
    <col min="102" max="102" width="16.59765625" bestFit="1" customWidth="1"/>
    <col min="103" max="103" width="12.8984375" bestFit="1" customWidth="1"/>
    <col min="104" max="104" width="16.59765625" bestFit="1" customWidth="1"/>
    <col min="105" max="105" width="18" bestFit="1" customWidth="1"/>
    <col min="106" max="106" width="21.69921875" bestFit="1" customWidth="1"/>
  </cols>
  <sheetData>
    <row r="1" spans="1:15">
      <c r="B1" s="984" t="s">
        <v>21</v>
      </c>
      <c r="C1" s="985" t="s">
        <v>2959</v>
      </c>
      <c r="D1" s="986" t="s">
        <v>2960</v>
      </c>
    </row>
    <row r="2" spans="1:15">
      <c r="A2" s="159"/>
      <c r="B2" s="976" t="s">
        <v>2773</v>
      </c>
      <c r="C2" s="987" t="s">
        <v>2961</v>
      </c>
      <c r="D2" s="988" t="s">
        <v>2949</v>
      </c>
      <c r="F2" s="427" t="s">
        <v>21</v>
      </c>
      <c r="G2" s="427" t="s">
        <v>2959</v>
      </c>
      <c r="I2" s="427" t="s">
        <v>1283</v>
      </c>
      <c r="K2" s="975" t="s">
        <v>2959</v>
      </c>
      <c r="L2" s="975" t="s">
        <v>3154</v>
      </c>
    </row>
    <row r="3" spans="1:15">
      <c r="A3" s="159"/>
      <c r="B3" s="976" t="s">
        <v>2773</v>
      </c>
      <c r="C3" s="987" t="s">
        <v>241</v>
      </c>
      <c r="D3" s="988" t="s">
        <v>2949</v>
      </c>
      <c r="F3" s="421" t="s">
        <v>2773</v>
      </c>
      <c r="G3" s="421" t="s">
        <v>2961</v>
      </c>
      <c r="I3" s="492" t="s">
        <v>319</v>
      </c>
      <c r="K3" s="994" t="s">
        <v>3147</v>
      </c>
      <c r="L3" s="994" t="s">
        <v>3158</v>
      </c>
      <c r="N3" s="427" t="s">
        <v>1283</v>
      </c>
      <c r="O3" t="s">
        <v>3161</v>
      </c>
    </row>
    <row r="4" spans="1:15">
      <c r="A4" s="159"/>
      <c r="B4" s="976" t="s">
        <v>613</v>
      </c>
      <c r="C4" s="987" t="s">
        <v>311</v>
      </c>
      <c r="D4" s="988" t="s">
        <v>2949</v>
      </c>
      <c r="F4" s="421" t="s">
        <v>2773</v>
      </c>
      <c r="G4" s="421" t="s">
        <v>241</v>
      </c>
      <c r="I4" s="492" t="s">
        <v>2962</v>
      </c>
      <c r="K4" s="994" t="s">
        <v>2958</v>
      </c>
      <c r="L4" s="994" t="s">
        <v>3158</v>
      </c>
      <c r="N4" s="492" t="s">
        <v>3158</v>
      </c>
      <c r="O4" s="420">
        <v>5</v>
      </c>
    </row>
    <row r="5" spans="1:15">
      <c r="A5" s="159"/>
      <c r="B5" s="976" t="s">
        <v>613</v>
      </c>
      <c r="C5" s="987" t="s">
        <v>2958</v>
      </c>
      <c r="D5" s="988" t="s">
        <v>2949</v>
      </c>
      <c r="F5" s="421" t="s">
        <v>613</v>
      </c>
      <c r="G5" s="421" t="s">
        <v>311</v>
      </c>
      <c r="I5" s="492" t="s">
        <v>3147</v>
      </c>
      <c r="K5" s="994" t="s">
        <v>3145</v>
      </c>
      <c r="L5" s="994" t="s">
        <v>3158</v>
      </c>
      <c r="N5" s="492" t="s">
        <v>3156</v>
      </c>
      <c r="O5" s="420">
        <v>23</v>
      </c>
    </row>
    <row r="6" spans="1:15">
      <c r="A6" s="159"/>
      <c r="B6" s="976" t="s">
        <v>613</v>
      </c>
      <c r="C6" s="987" t="s">
        <v>36</v>
      </c>
      <c r="D6" s="988" t="s">
        <v>2949</v>
      </c>
      <c r="F6" s="421" t="s">
        <v>613</v>
      </c>
      <c r="G6" s="421" t="s">
        <v>2958</v>
      </c>
      <c r="I6" s="492" t="s">
        <v>311</v>
      </c>
      <c r="K6" s="994" t="s">
        <v>3144</v>
      </c>
      <c r="L6" s="994" t="s">
        <v>3158</v>
      </c>
      <c r="N6" s="492" t="s">
        <v>3155</v>
      </c>
      <c r="O6" s="420">
        <v>14</v>
      </c>
    </row>
    <row r="7" spans="1:15">
      <c r="A7" s="159"/>
      <c r="B7" s="976" t="s">
        <v>613</v>
      </c>
      <c r="C7" s="987" t="s">
        <v>2955</v>
      </c>
      <c r="D7" s="988" t="s">
        <v>2949</v>
      </c>
      <c r="F7" s="421" t="s">
        <v>613</v>
      </c>
      <c r="G7" s="421" t="s">
        <v>36</v>
      </c>
      <c r="I7" s="492" t="s">
        <v>1757</v>
      </c>
      <c r="K7" s="994" t="s">
        <v>3150</v>
      </c>
      <c r="L7" s="994" t="s">
        <v>3158</v>
      </c>
      <c r="N7" s="492" t="s">
        <v>3159</v>
      </c>
      <c r="O7" s="420">
        <v>1</v>
      </c>
    </row>
    <row r="8" spans="1:15">
      <c r="A8" s="159"/>
      <c r="B8" s="976" t="s">
        <v>613</v>
      </c>
      <c r="C8" s="987" t="s">
        <v>2082</v>
      </c>
      <c r="D8" s="988" t="s">
        <v>2949</v>
      </c>
      <c r="F8" s="421" t="s">
        <v>613</v>
      </c>
      <c r="G8" s="421" t="s">
        <v>2955</v>
      </c>
      <c r="I8" s="492" t="s">
        <v>323</v>
      </c>
      <c r="K8" s="994" t="s">
        <v>319</v>
      </c>
      <c r="L8" s="994" t="s">
        <v>3156</v>
      </c>
      <c r="N8" s="492" t="s">
        <v>3160</v>
      </c>
      <c r="O8" s="420">
        <v>2</v>
      </c>
    </row>
    <row r="9" spans="1:15">
      <c r="A9" s="159"/>
      <c r="B9" s="976" t="s">
        <v>613</v>
      </c>
      <c r="C9" s="987" t="s">
        <v>2954</v>
      </c>
      <c r="D9" s="988" t="s">
        <v>2949</v>
      </c>
      <c r="F9" s="421" t="s">
        <v>613</v>
      </c>
      <c r="G9" s="421" t="s">
        <v>2082</v>
      </c>
      <c r="I9" s="492" t="s">
        <v>2956</v>
      </c>
      <c r="K9" s="994" t="s">
        <v>2962</v>
      </c>
      <c r="L9" s="994" t="s">
        <v>3156</v>
      </c>
      <c r="N9" s="492" t="s">
        <v>1285</v>
      </c>
      <c r="O9" s="420">
        <v>45</v>
      </c>
    </row>
    <row r="10" spans="1:15">
      <c r="A10" s="159"/>
      <c r="B10" s="976" t="s">
        <v>613</v>
      </c>
      <c r="C10" s="987" t="s">
        <v>241</v>
      </c>
      <c r="D10" s="988" t="s">
        <v>2949</v>
      </c>
      <c r="F10" s="421" t="s">
        <v>613</v>
      </c>
      <c r="G10" s="421" t="s">
        <v>2954</v>
      </c>
      <c r="I10" s="492" t="s">
        <v>2958</v>
      </c>
      <c r="K10" s="994" t="s">
        <v>311</v>
      </c>
      <c r="L10" s="994" t="s">
        <v>3156</v>
      </c>
    </row>
    <row r="11" spans="1:15">
      <c r="A11" s="159"/>
      <c r="B11" s="982" t="s">
        <v>37</v>
      </c>
      <c r="C11" s="989" t="s">
        <v>939</v>
      </c>
      <c r="D11" s="988" t="s">
        <v>2949</v>
      </c>
      <c r="F11" s="421" t="s">
        <v>613</v>
      </c>
      <c r="G11" s="421" t="s">
        <v>241</v>
      </c>
      <c r="I11" s="492" t="s">
        <v>3145</v>
      </c>
      <c r="K11" s="994" t="s">
        <v>323</v>
      </c>
      <c r="L11" s="994" t="s">
        <v>3156</v>
      </c>
    </row>
    <row r="12" spans="1:15">
      <c r="A12" s="159"/>
      <c r="B12" s="976" t="s">
        <v>37</v>
      </c>
      <c r="C12" s="987" t="s">
        <v>36</v>
      </c>
      <c r="D12" s="988" t="s">
        <v>2949</v>
      </c>
      <c r="F12" s="421" t="s">
        <v>37</v>
      </c>
      <c r="G12" s="421" t="s">
        <v>2162</v>
      </c>
      <c r="I12" s="492" t="s">
        <v>369</v>
      </c>
      <c r="K12" s="994" t="s">
        <v>2956</v>
      </c>
      <c r="L12" s="994" t="s">
        <v>3156</v>
      </c>
    </row>
    <row r="13" spans="1:15">
      <c r="A13" s="163"/>
      <c r="B13" s="976" t="s">
        <v>37</v>
      </c>
      <c r="C13" s="987" t="s">
        <v>2697</v>
      </c>
      <c r="D13" s="988" t="s">
        <v>2949</v>
      </c>
      <c r="F13" s="421" t="s">
        <v>37</v>
      </c>
      <c r="G13" s="421" t="s">
        <v>939</v>
      </c>
      <c r="I13" s="492" t="s">
        <v>3152</v>
      </c>
      <c r="K13" s="994" t="s">
        <v>369</v>
      </c>
      <c r="L13" s="994" t="s">
        <v>3156</v>
      </c>
    </row>
    <row r="14" spans="1:15">
      <c r="A14" s="159"/>
      <c r="B14" s="977" t="s">
        <v>37</v>
      </c>
      <c r="C14" s="987" t="s">
        <v>241</v>
      </c>
      <c r="D14" s="990" t="s">
        <v>2949</v>
      </c>
      <c r="F14" s="421" t="s">
        <v>37</v>
      </c>
      <c r="G14" s="421" t="s">
        <v>919</v>
      </c>
      <c r="I14" s="492" t="s">
        <v>2162</v>
      </c>
      <c r="K14" s="994" t="s">
        <v>2162</v>
      </c>
      <c r="L14" s="994" t="s">
        <v>3156</v>
      </c>
    </row>
    <row r="15" spans="1:15">
      <c r="A15" s="159"/>
      <c r="B15" s="976" t="s">
        <v>2775</v>
      </c>
      <c r="C15" s="987" t="s">
        <v>311</v>
      </c>
      <c r="D15" s="990" t="s">
        <v>2949</v>
      </c>
      <c r="F15" s="421" t="s">
        <v>37</v>
      </c>
      <c r="G15" s="421" t="s">
        <v>141</v>
      </c>
      <c r="I15" s="492" t="s">
        <v>939</v>
      </c>
      <c r="K15" s="994" t="s">
        <v>919</v>
      </c>
      <c r="L15" s="994" t="s">
        <v>3156</v>
      </c>
    </row>
    <row r="16" spans="1:15">
      <c r="A16" s="159"/>
      <c r="B16" s="976" t="s">
        <v>2775</v>
      </c>
      <c r="C16" s="987" t="s">
        <v>36</v>
      </c>
      <c r="D16" s="990" t="s">
        <v>2949</v>
      </c>
      <c r="F16" s="421" t="s">
        <v>37</v>
      </c>
      <c r="G16" s="421" t="s">
        <v>36</v>
      </c>
      <c r="I16" s="492" t="s">
        <v>919</v>
      </c>
      <c r="K16" s="994" t="s">
        <v>2939</v>
      </c>
      <c r="L16" s="994" t="s">
        <v>3156</v>
      </c>
    </row>
    <row r="17" spans="1:12">
      <c r="A17" s="163"/>
      <c r="B17" s="976" t="s">
        <v>2775</v>
      </c>
      <c r="C17" s="987" t="s">
        <v>3142</v>
      </c>
      <c r="D17" s="990" t="s">
        <v>2949</v>
      </c>
      <c r="F17" s="421" t="s">
        <v>37</v>
      </c>
      <c r="G17" s="421" t="s">
        <v>192</v>
      </c>
      <c r="I17" s="492" t="s">
        <v>2939</v>
      </c>
      <c r="K17" s="994" t="s">
        <v>2957</v>
      </c>
      <c r="L17" s="994" t="s">
        <v>3156</v>
      </c>
    </row>
    <row r="18" spans="1:12">
      <c r="B18" s="976" t="s">
        <v>2775</v>
      </c>
      <c r="C18" s="987" t="s">
        <v>3141</v>
      </c>
      <c r="D18" s="990" t="s">
        <v>2949</v>
      </c>
      <c r="F18" s="421" t="s">
        <v>37</v>
      </c>
      <c r="G18" s="421" t="s">
        <v>2082</v>
      </c>
      <c r="I18" s="492" t="s">
        <v>141</v>
      </c>
      <c r="K18" s="994" t="s">
        <v>315</v>
      </c>
      <c r="L18" s="994" t="s">
        <v>3156</v>
      </c>
    </row>
    <row r="19" spans="1:12">
      <c r="B19" s="976" t="s">
        <v>2775</v>
      </c>
      <c r="C19" s="987" t="s">
        <v>241</v>
      </c>
      <c r="D19" s="990" t="s">
        <v>2949</v>
      </c>
      <c r="F19" s="421" t="s">
        <v>37</v>
      </c>
      <c r="G19" s="421" t="s">
        <v>242</v>
      </c>
      <c r="I19" s="492" t="s">
        <v>36</v>
      </c>
      <c r="K19" s="994" t="s">
        <v>2955</v>
      </c>
      <c r="L19" s="994" t="s">
        <v>3156</v>
      </c>
    </row>
    <row r="20" spans="1:12">
      <c r="B20" s="976" t="s">
        <v>2775</v>
      </c>
      <c r="C20" s="987" t="s">
        <v>3140</v>
      </c>
      <c r="D20" s="990" t="s">
        <v>2949</v>
      </c>
      <c r="F20" s="421" t="s">
        <v>37</v>
      </c>
      <c r="G20" s="421" t="s">
        <v>276</v>
      </c>
      <c r="I20" s="492" t="s">
        <v>3142</v>
      </c>
      <c r="K20" s="994" t="s">
        <v>3141</v>
      </c>
      <c r="L20" s="994" t="s">
        <v>3156</v>
      </c>
    </row>
    <row r="21" spans="1:12">
      <c r="B21" s="976" t="s">
        <v>2361</v>
      </c>
      <c r="C21" s="987" t="s">
        <v>2962</v>
      </c>
      <c r="D21" s="990" t="s">
        <v>2949</v>
      </c>
      <c r="F21" s="421" t="s">
        <v>37</v>
      </c>
      <c r="G21" s="421" t="s">
        <v>2697</v>
      </c>
      <c r="I21" s="492" t="s">
        <v>2957</v>
      </c>
      <c r="K21" s="994" t="s">
        <v>3148</v>
      </c>
      <c r="L21" s="994" t="s">
        <v>3156</v>
      </c>
    </row>
    <row r="22" spans="1:12">
      <c r="B22" s="976" t="s">
        <v>2361</v>
      </c>
      <c r="C22" s="987" t="s">
        <v>3145</v>
      </c>
      <c r="D22" s="990" t="s">
        <v>2949</v>
      </c>
      <c r="F22" s="421" t="s">
        <v>37</v>
      </c>
      <c r="G22" s="421" t="s">
        <v>241</v>
      </c>
      <c r="I22" s="492" t="s">
        <v>315</v>
      </c>
      <c r="K22" s="994" t="s">
        <v>2082</v>
      </c>
      <c r="L22" s="994" t="s">
        <v>3156</v>
      </c>
    </row>
    <row r="23" spans="1:12">
      <c r="B23" s="976" t="s">
        <v>2361</v>
      </c>
      <c r="C23" s="987" t="s">
        <v>36</v>
      </c>
      <c r="D23" s="990" t="s">
        <v>2949</v>
      </c>
      <c r="F23" s="421" t="s">
        <v>37</v>
      </c>
      <c r="G23" s="421" t="s">
        <v>3139</v>
      </c>
      <c r="I23" s="492" t="s">
        <v>2955</v>
      </c>
      <c r="K23" s="994" t="s">
        <v>2961</v>
      </c>
      <c r="L23" s="994" t="s">
        <v>3156</v>
      </c>
    </row>
    <row r="24" spans="1:12">
      <c r="B24" s="976" t="s">
        <v>2361</v>
      </c>
      <c r="C24" s="987" t="s">
        <v>3141</v>
      </c>
      <c r="D24" s="990" t="s">
        <v>2949</v>
      </c>
      <c r="F24" s="421" t="s">
        <v>37</v>
      </c>
      <c r="G24" s="421" t="s">
        <v>291</v>
      </c>
      <c r="I24" s="492" t="s">
        <v>3141</v>
      </c>
      <c r="K24" s="994" t="s">
        <v>358</v>
      </c>
      <c r="L24" s="994" t="s">
        <v>3156</v>
      </c>
    </row>
    <row r="25" spans="1:12">
      <c r="B25" s="976" t="s">
        <v>2361</v>
      </c>
      <c r="C25" s="987" t="s">
        <v>2961</v>
      </c>
      <c r="D25" s="990" t="s">
        <v>2949</v>
      </c>
      <c r="F25" s="421" t="s">
        <v>37</v>
      </c>
      <c r="G25" s="421" t="s">
        <v>2151</v>
      </c>
      <c r="I25" s="492" t="s">
        <v>192</v>
      </c>
      <c r="K25" s="994" t="s">
        <v>297</v>
      </c>
      <c r="L25" s="994" t="s">
        <v>3156</v>
      </c>
    </row>
    <row r="26" spans="1:12">
      <c r="B26" s="976" t="s">
        <v>2361</v>
      </c>
      <c r="C26" s="987" t="s">
        <v>2965</v>
      </c>
      <c r="D26" s="990" t="s">
        <v>2949</v>
      </c>
      <c r="F26" s="421" t="s">
        <v>2775</v>
      </c>
      <c r="G26" s="421" t="s">
        <v>311</v>
      </c>
      <c r="I26" s="492" t="s">
        <v>3143</v>
      </c>
      <c r="K26" s="994" t="s">
        <v>276</v>
      </c>
      <c r="L26" s="994" t="s">
        <v>3156</v>
      </c>
    </row>
    <row r="27" spans="1:12">
      <c r="B27" s="976" t="s">
        <v>2361</v>
      </c>
      <c r="C27" s="987" t="s">
        <v>241</v>
      </c>
      <c r="D27" s="990" t="s">
        <v>2949</v>
      </c>
      <c r="F27" s="421" t="s">
        <v>2775</v>
      </c>
      <c r="G27" s="421" t="s">
        <v>36</v>
      </c>
      <c r="I27" s="492" t="s">
        <v>3144</v>
      </c>
      <c r="K27" s="994" t="s">
        <v>3146</v>
      </c>
      <c r="L27" s="994" t="s">
        <v>3156</v>
      </c>
    </row>
    <row r="28" spans="1:12">
      <c r="B28" s="976" t="s">
        <v>2776</v>
      </c>
      <c r="C28" s="987" t="s">
        <v>36</v>
      </c>
      <c r="D28" s="990" t="s">
        <v>2949</v>
      </c>
      <c r="F28" s="421" t="s">
        <v>2775</v>
      </c>
      <c r="G28" s="421" t="s">
        <v>3142</v>
      </c>
      <c r="I28" s="492" t="s">
        <v>3148</v>
      </c>
      <c r="K28" s="994" t="s">
        <v>2954</v>
      </c>
      <c r="L28" s="994" t="s">
        <v>3156</v>
      </c>
    </row>
    <row r="29" spans="1:12">
      <c r="B29" s="976" t="s">
        <v>2776</v>
      </c>
      <c r="C29" s="987" t="s">
        <v>2955</v>
      </c>
      <c r="D29" s="990" t="s">
        <v>2949</v>
      </c>
      <c r="F29" s="421" t="s">
        <v>2775</v>
      </c>
      <c r="G29" s="421" t="s">
        <v>3141</v>
      </c>
      <c r="I29" s="492" t="s">
        <v>2082</v>
      </c>
      <c r="K29" s="994" t="s">
        <v>3139</v>
      </c>
      <c r="L29" s="994" t="s">
        <v>3156</v>
      </c>
    </row>
    <row r="30" spans="1:12">
      <c r="B30" s="976" t="s">
        <v>3153</v>
      </c>
      <c r="C30" s="987" t="s">
        <v>311</v>
      </c>
      <c r="D30" s="990" t="s">
        <v>2949</v>
      </c>
      <c r="F30" s="421" t="s">
        <v>2775</v>
      </c>
      <c r="G30" s="421" t="s">
        <v>241</v>
      </c>
      <c r="I30" s="492" t="s">
        <v>3149</v>
      </c>
      <c r="K30" s="994" t="s">
        <v>3157</v>
      </c>
      <c r="L30" s="994" t="s">
        <v>3156</v>
      </c>
    </row>
    <row r="31" spans="1:12">
      <c r="B31" s="976" t="s">
        <v>3153</v>
      </c>
      <c r="C31" s="987" t="s">
        <v>3144</v>
      </c>
      <c r="D31" s="990" t="s">
        <v>2949</v>
      </c>
      <c r="F31" s="421" t="s">
        <v>2775</v>
      </c>
      <c r="G31" s="421" t="s">
        <v>3140</v>
      </c>
      <c r="I31" s="492" t="s">
        <v>2961</v>
      </c>
      <c r="K31" s="994" t="s">
        <v>1757</v>
      </c>
      <c r="L31" s="994" t="s">
        <v>3155</v>
      </c>
    </row>
    <row r="32" spans="1:12">
      <c r="B32" s="976" t="s">
        <v>3153</v>
      </c>
      <c r="C32" s="987" t="s">
        <v>2961</v>
      </c>
      <c r="D32" s="990" t="s">
        <v>2949</v>
      </c>
      <c r="F32" s="421" t="s">
        <v>2361</v>
      </c>
      <c r="G32" s="421" t="s">
        <v>2962</v>
      </c>
      <c r="I32" s="492" t="s">
        <v>358</v>
      </c>
      <c r="K32" s="994" t="s">
        <v>3152</v>
      </c>
      <c r="L32" s="994" t="s">
        <v>3155</v>
      </c>
    </row>
    <row r="33" spans="2:12">
      <c r="B33" s="976" t="s">
        <v>3153</v>
      </c>
      <c r="C33" s="987" t="s">
        <v>241</v>
      </c>
      <c r="D33" s="990" t="s">
        <v>2949</v>
      </c>
      <c r="F33" s="421" t="s">
        <v>2361</v>
      </c>
      <c r="G33" s="421" t="s">
        <v>3145</v>
      </c>
      <c r="I33" s="492" t="s">
        <v>297</v>
      </c>
      <c r="K33" s="994" t="s">
        <v>141</v>
      </c>
      <c r="L33" s="994" t="s">
        <v>3155</v>
      </c>
    </row>
    <row r="34" spans="2:12">
      <c r="B34" s="976" t="s">
        <v>304</v>
      </c>
      <c r="C34" s="987" t="s">
        <v>323</v>
      </c>
      <c r="D34" s="990" t="s">
        <v>2949</v>
      </c>
      <c r="F34" s="421" t="s">
        <v>2361</v>
      </c>
      <c r="G34" s="421" t="s">
        <v>36</v>
      </c>
      <c r="I34" s="492" t="s">
        <v>3150</v>
      </c>
      <c r="K34" s="994" t="s">
        <v>36</v>
      </c>
      <c r="L34" s="994" t="s">
        <v>3155</v>
      </c>
    </row>
    <row r="35" spans="2:12">
      <c r="B35" s="976" t="s">
        <v>304</v>
      </c>
      <c r="C35" s="987" t="s">
        <v>2956</v>
      </c>
      <c r="D35" s="990" t="s">
        <v>2949</v>
      </c>
      <c r="F35" s="421" t="s">
        <v>2361</v>
      </c>
      <c r="G35" s="421" t="s">
        <v>3141</v>
      </c>
      <c r="I35" s="492" t="s">
        <v>242</v>
      </c>
      <c r="K35" s="994" t="s">
        <v>3142</v>
      </c>
      <c r="L35" s="994" t="s">
        <v>3155</v>
      </c>
    </row>
    <row r="36" spans="2:12">
      <c r="B36" s="982" t="s">
        <v>304</v>
      </c>
      <c r="C36" s="987" t="s">
        <v>369</v>
      </c>
      <c r="D36" s="987" t="s">
        <v>2949</v>
      </c>
      <c r="F36" s="421" t="s">
        <v>2361</v>
      </c>
      <c r="G36" s="421" t="s">
        <v>2961</v>
      </c>
      <c r="I36" s="492" t="s">
        <v>276</v>
      </c>
      <c r="K36" s="994" t="s">
        <v>192</v>
      </c>
      <c r="L36" s="994" t="s">
        <v>3155</v>
      </c>
    </row>
    <row r="37" spans="2:12">
      <c r="B37" s="976" t="s">
        <v>304</v>
      </c>
      <c r="C37" s="987" t="s">
        <v>919</v>
      </c>
      <c r="D37" s="987" t="s">
        <v>2949</v>
      </c>
      <c r="F37" s="421" t="s">
        <v>2361</v>
      </c>
      <c r="G37" s="421" t="s">
        <v>2965</v>
      </c>
      <c r="I37" s="492" t="s">
        <v>2697</v>
      </c>
      <c r="K37" s="994" t="s">
        <v>3143</v>
      </c>
      <c r="L37" s="994" t="s">
        <v>3155</v>
      </c>
    </row>
    <row r="38" spans="2:12">
      <c r="B38" s="976" t="s">
        <v>304</v>
      </c>
      <c r="C38" s="987" t="s">
        <v>2957</v>
      </c>
      <c r="D38" s="987" t="s">
        <v>2949</v>
      </c>
      <c r="F38" s="421" t="s">
        <v>2361</v>
      </c>
      <c r="G38" s="421" t="s">
        <v>241</v>
      </c>
      <c r="I38" s="492" t="s">
        <v>3146</v>
      </c>
      <c r="K38" s="994" t="s">
        <v>3149</v>
      </c>
      <c r="L38" s="994" t="s">
        <v>3155</v>
      </c>
    </row>
    <row r="39" spans="2:12">
      <c r="B39" s="981" t="s">
        <v>304</v>
      </c>
      <c r="C39" s="991" t="s">
        <v>2082</v>
      </c>
      <c r="D39" s="987" t="s">
        <v>2949</v>
      </c>
      <c r="F39" s="421" t="s">
        <v>2776</v>
      </c>
      <c r="G39" s="421" t="s">
        <v>36</v>
      </c>
      <c r="I39" s="492" t="s">
        <v>2954</v>
      </c>
      <c r="K39" s="994" t="s">
        <v>242</v>
      </c>
      <c r="L39" s="994" t="s">
        <v>3155</v>
      </c>
    </row>
    <row r="40" spans="2:12">
      <c r="B40" s="980" t="s">
        <v>304</v>
      </c>
      <c r="C40" s="991" t="s">
        <v>358</v>
      </c>
      <c r="D40" s="987" t="s">
        <v>2949</v>
      </c>
      <c r="F40" s="421" t="s">
        <v>2776</v>
      </c>
      <c r="G40" s="421" t="s">
        <v>2955</v>
      </c>
      <c r="I40" s="492" t="s">
        <v>3151</v>
      </c>
      <c r="K40" s="994" t="s">
        <v>2697</v>
      </c>
      <c r="L40" s="994" t="s">
        <v>3155</v>
      </c>
    </row>
    <row r="41" spans="2:12">
      <c r="B41" s="980" t="s">
        <v>304</v>
      </c>
      <c r="C41" s="991" t="s">
        <v>276</v>
      </c>
      <c r="D41" s="987" t="s">
        <v>2949</v>
      </c>
      <c r="F41" s="421" t="s">
        <v>3153</v>
      </c>
      <c r="G41" s="421" t="s">
        <v>311</v>
      </c>
      <c r="I41" s="492" t="s">
        <v>2965</v>
      </c>
      <c r="K41" s="994" t="s">
        <v>3151</v>
      </c>
      <c r="L41" s="994" t="s">
        <v>3155</v>
      </c>
    </row>
    <row r="42" spans="2:12">
      <c r="B42" s="980" t="s">
        <v>304</v>
      </c>
      <c r="C42" s="991" t="s">
        <v>3146</v>
      </c>
      <c r="D42" s="987" t="s">
        <v>2949</v>
      </c>
      <c r="F42" s="421" t="s">
        <v>3153</v>
      </c>
      <c r="G42" s="421" t="s">
        <v>3144</v>
      </c>
      <c r="I42" s="492" t="s">
        <v>241</v>
      </c>
      <c r="K42" s="994" t="s">
        <v>2965</v>
      </c>
      <c r="L42" s="994" t="s">
        <v>3155</v>
      </c>
    </row>
    <row r="43" spans="2:12">
      <c r="B43" s="980" t="s">
        <v>304</v>
      </c>
      <c r="C43" s="991" t="s">
        <v>241</v>
      </c>
      <c r="D43" s="987" t="s">
        <v>2949</v>
      </c>
      <c r="F43" s="421" t="s">
        <v>3153</v>
      </c>
      <c r="G43" s="421" t="s">
        <v>2961</v>
      </c>
      <c r="I43" s="492" t="s">
        <v>3139</v>
      </c>
      <c r="K43" s="994" t="s">
        <v>3140</v>
      </c>
      <c r="L43" s="994" t="s">
        <v>3155</v>
      </c>
    </row>
    <row r="44" spans="2:12">
      <c r="B44" s="978" t="s">
        <v>304</v>
      </c>
      <c r="C44" s="991" t="s">
        <v>2130</v>
      </c>
      <c r="D44" s="987" t="s">
        <v>2949</v>
      </c>
      <c r="F44" s="421" t="s">
        <v>3153</v>
      </c>
      <c r="G44" s="421" t="s">
        <v>241</v>
      </c>
      <c r="I44" s="492" t="s">
        <v>3140</v>
      </c>
      <c r="K44" s="994" t="s">
        <v>291</v>
      </c>
      <c r="L44" s="994" t="s">
        <v>3155</v>
      </c>
    </row>
    <row r="45" spans="2:12">
      <c r="B45" s="981" t="s">
        <v>2779</v>
      </c>
      <c r="C45" s="991" t="s">
        <v>319</v>
      </c>
      <c r="D45" s="987" t="s">
        <v>2949</v>
      </c>
      <c r="F45" s="421" t="s">
        <v>304</v>
      </c>
      <c r="G45" s="421" t="s">
        <v>1757</v>
      </c>
      <c r="I45" s="492" t="s">
        <v>2130</v>
      </c>
      <c r="K45" s="994" t="s">
        <v>939</v>
      </c>
      <c r="L45" s="994" t="s">
        <v>3159</v>
      </c>
    </row>
    <row r="46" spans="2:12">
      <c r="B46" s="978" t="s">
        <v>2779</v>
      </c>
      <c r="C46" s="991" t="s">
        <v>3147</v>
      </c>
      <c r="D46" s="987" t="s">
        <v>2949</v>
      </c>
      <c r="F46" s="421" t="s">
        <v>304</v>
      </c>
      <c r="G46" s="421" t="s">
        <v>323</v>
      </c>
      <c r="I46" s="492" t="s">
        <v>291</v>
      </c>
      <c r="K46" s="994" t="s">
        <v>241</v>
      </c>
      <c r="L46" s="994" t="s">
        <v>3160</v>
      </c>
    </row>
    <row r="47" spans="2:12">
      <c r="B47" s="978" t="s">
        <v>2779</v>
      </c>
      <c r="C47" s="992" t="s">
        <v>36</v>
      </c>
      <c r="D47" s="987" t="s">
        <v>2949</v>
      </c>
      <c r="F47" s="421" t="s">
        <v>304</v>
      </c>
      <c r="G47" s="421" t="s">
        <v>2956</v>
      </c>
      <c r="I47" s="492" t="s">
        <v>2151</v>
      </c>
      <c r="K47" s="994" t="s">
        <v>2130</v>
      </c>
      <c r="L47" s="994" t="s">
        <v>3160</v>
      </c>
    </row>
    <row r="48" spans="2:12">
      <c r="B48" s="978" t="s">
        <v>2779</v>
      </c>
      <c r="C48" s="992" t="s">
        <v>241</v>
      </c>
      <c r="D48" s="987" t="s">
        <v>2949</v>
      </c>
      <c r="F48" s="421" t="s">
        <v>304</v>
      </c>
      <c r="G48" s="421" t="s">
        <v>369</v>
      </c>
      <c r="I48" s="492" t="s">
        <v>1285</v>
      </c>
    </row>
    <row r="49" spans="2:9" s="421" customFormat="1">
      <c r="B49" s="978" t="s">
        <v>515</v>
      </c>
      <c r="C49" s="993" t="s">
        <v>311</v>
      </c>
      <c r="D49" s="989" t="s">
        <v>2949</v>
      </c>
      <c r="F49" s="421" t="s">
        <v>304</v>
      </c>
      <c r="G49" s="421" t="s">
        <v>919</v>
      </c>
      <c r="I49"/>
    </row>
    <row r="50" spans="2:9">
      <c r="B50" s="979" t="s">
        <v>515</v>
      </c>
      <c r="C50" s="991" t="s">
        <v>939</v>
      </c>
      <c r="D50" s="989" t="s">
        <v>2949</v>
      </c>
      <c r="F50" s="421" t="s">
        <v>304</v>
      </c>
      <c r="G50" s="421" t="s">
        <v>2939</v>
      </c>
    </row>
    <row r="51" spans="2:9">
      <c r="B51" s="980" t="s">
        <v>515</v>
      </c>
      <c r="C51" s="991" t="s">
        <v>192</v>
      </c>
      <c r="D51" s="989" t="s">
        <v>2949</v>
      </c>
      <c r="F51" s="421" t="s">
        <v>304</v>
      </c>
      <c r="G51" s="421" t="s">
        <v>2957</v>
      </c>
    </row>
    <row r="52" spans="2:9">
      <c r="B52" s="980" t="s">
        <v>515</v>
      </c>
      <c r="C52" s="991" t="s">
        <v>3143</v>
      </c>
      <c r="D52" s="989" t="s">
        <v>2949</v>
      </c>
      <c r="F52" s="421" t="s">
        <v>304</v>
      </c>
      <c r="G52" s="421" t="s">
        <v>315</v>
      </c>
    </row>
    <row r="53" spans="2:9">
      <c r="B53" s="978" t="s">
        <v>515</v>
      </c>
      <c r="C53" s="991" t="s">
        <v>297</v>
      </c>
      <c r="D53" s="989" t="s">
        <v>2949</v>
      </c>
      <c r="F53" s="421" t="s">
        <v>304</v>
      </c>
      <c r="G53" s="421" t="s">
        <v>2955</v>
      </c>
    </row>
    <row r="54" spans="2:9">
      <c r="B54" s="978" t="s">
        <v>515</v>
      </c>
      <c r="C54" s="991" t="s">
        <v>241</v>
      </c>
      <c r="D54" s="989" t="s">
        <v>2949</v>
      </c>
      <c r="F54" s="421" t="s">
        <v>304</v>
      </c>
      <c r="G54" s="421" t="s">
        <v>3148</v>
      </c>
    </row>
    <row r="55" spans="2:9">
      <c r="B55" s="978" t="s">
        <v>2710</v>
      </c>
      <c r="C55" s="993" t="s">
        <v>311</v>
      </c>
      <c r="D55" s="989" t="s">
        <v>2949</v>
      </c>
      <c r="F55" s="421" t="s">
        <v>304</v>
      </c>
      <c r="G55" s="421" t="s">
        <v>2082</v>
      </c>
    </row>
    <row r="56" spans="2:9">
      <c r="B56" s="981" t="s">
        <v>2710</v>
      </c>
      <c r="C56" s="991" t="s">
        <v>3142</v>
      </c>
      <c r="D56" s="989" t="s">
        <v>2949</v>
      </c>
      <c r="F56" s="421" t="s">
        <v>304</v>
      </c>
      <c r="G56" s="421" t="s">
        <v>3149</v>
      </c>
    </row>
    <row r="57" spans="2:9">
      <c r="B57" s="980" t="s">
        <v>2710</v>
      </c>
      <c r="C57" s="991" t="s">
        <v>3141</v>
      </c>
      <c r="D57" s="989" t="s">
        <v>2949</v>
      </c>
      <c r="F57" s="421" t="s">
        <v>304</v>
      </c>
      <c r="G57" s="421" t="s">
        <v>358</v>
      </c>
    </row>
    <row r="58" spans="2:9">
      <c r="B58" s="978" t="s">
        <v>2710</v>
      </c>
      <c r="C58" s="993" t="s">
        <v>297</v>
      </c>
      <c r="D58" s="989" t="s">
        <v>2949</v>
      </c>
      <c r="F58" s="421" t="s">
        <v>304</v>
      </c>
      <c r="G58" s="421" t="s">
        <v>297</v>
      </c>
    </row>
    <row r="59" spans="2:9">
      <c r="B59" s="978" t="s">
        <v>37</v>
      </c>
      <c r="C59" s="991" t="s">
        <v>2162</v>
      </c>
      <c r="D59" s="987" t="s">
        <v>2711</v>
      </c>
      <c r="F59" s="421" t="s">
        <v>304</v>
      </c>
      <c r="G59" s="421" t="s">
        <v>3150</v>
      </c>
    </row>
    <row r="60" spans="2:9">
      <c r="B60" s="981" t="s">
        <v>37</v>
      </c>
      <c r="C60" s="991" t="s">
        <v>919</v>
      </c>
      <c r="D60" s="987" t="s">
        <v>2711</v>
      </c>
      <c r="F60" s="421" t="s">
        <v>304</v>
      </c>
      <c r="G60" s="421" t="s">
        <v>276</v>
      </c>
    </row>
    <row r="61" spans="2:9">
      <c r="B61" s="980" t="s">
        <v>37</v>
      </c>
      <c r="C61" s="991" t="s">
        <v>141</v>
      </c>
      <c r="D61" s="987" t="s">
        <v>2711</v>
      </c>
      <c r="F61" s="421" t="s">
        <v>304</v>
      </c>
      <c r="G61" s="421" t="s">
        <v>3146</v>
      </c>
    </row>
    <row r="62" spans="2:9">
      <c r="B62" s="978" t="s">
        <v>37</v>
      </c>
      <c r="C62" s="991" t="s">
        <v>36</v>
      </c>
      <c r="D62" s="987" t="s">
        <v>2711</v>
      </c>
      <c r="F62" s="421" t="s">
        <v>304</v>
      </c>
      <c r="G62" s="421" t="s">
        <v>3151</v>
      </c>
    </row>
    <row r="63" spans="2:9">
      <c r="B63" s="981" t="s">
        <v>37</v>
      </c>
      <c r="C63" s="993" t="s">
        <v>192</v>
      </c>
      <c r="D63" s="987" t="s">
        <v>2711</v>
      </c>
      <c r="F63" s="421" t="s">
        <v>304</v>
      </c>
      <c r="G63" s="421" t="s">
        <v>241</v>
      </c>
    </row>
    <row r="64" spans="2:9">
      <c r="B64" s="980" t="s">
        <v>37</v>
      </c>
      <c r="C64" s="991" t="s">
        <v>2082</v>
      </c>
      <c r="D64" s="987" t="s">
        <v>2711</v>
      </c>
      <c r="F64" s="421" t="s">
        <v>304</v>
      </c>
      <c r="G64" s="421" t="s">
        <v>2130</v>
      </c>
    </row>
    <row r="65" spans="2:7">
      <c r="B65" s="980" t="s">
        <v>37</v>
      </c>
      <c r="C65" s="991" t="s">
        <v>242</v>
      </c>
      <c r="D65" s="987" t="s">
        <v>2711</v>
      </c>
      <c r="F65" s="421" t="s">
        <v>2779</v>
      </c>
      <c r="G65" s="421" t="s">
        <v>319</v>
      </c>
    </row>
    <row r="66" spans="2:7">
      <c r="B66" s="980" t="s">
        <v>37</v>
      </c>
      <c r="C66" s="991" t="s">
        <v>276</v>
      </c>
      <c r="D66" s="987" t="s">
        <v>2711</v>
      </c>
      <c r="F66" s="421" t="s">
        <v>2779</v>
      </c>
      <c r="G66" s="421" t="s">
        <v>3147</v>
      </c>
    </row>
    <row r="67" spans="2:7">
      <c r="B67" s="978" t="s">
        <v>37</v>
      </c>
      <c r="C67" s="991" t="s">
        <v>2697</v>
      </c>
      <c r="D67" s="987" t="s">
        <v>2711</v>
      </c>
      <c r="F67" s="421" t="s">
        <v>2779</v>
      </c>
      <c r="G67" s="421" t="s">
        <v>36</v>
      </c>
    </row>
    <row r="68" spans="2:7">
      <c r="B68" s="983" t="s">
        <v>37</v>
      </c>
      <c r="C68" s="991" t="s">
        <v>3139</v>
      </c>
      <c r="D68" s="987" t="s">
        <v>2711</v>
      </c>
      <c r="F68" s="421" t="s">
        <v>2779</v>
      </c>
      <c r="G68" s="421" t="s">
        <v>241</v>
      </c>
    </row>
    <row r="69" spans="2:7">
      <c r="B69" s="977" t="s">
        <v>37</v>
      </c>
      <c r="C69" s="989" t="s">
        <v>291</v>
      </c>
      <c r="D69" s="987" t="s">
        <v>2711</v>
      </c>
      <c r="F69" s="421" t="s">
        <v>515</v>
      </c>
      <c r="G69" s="421" t="s">
        <v>311</v>
      </c>
    </row>
    <row r="70" spans="2:7">
      <c r="B70" s="976" t="s">
        <v>304</v>
      </c>
      <c r="C70" s="987" t="s">
        <v>1757</v>
      </c>
      <c r="D70" s="989" t="s">
        <v>2711</v>
      </c>
      <c r="F70" s="421" t="s">
        <v>515</v>
      </c>
      <c r="G70" s="421" t="s">
        <v>3152</v>
      </c>
    </row>
    <row r="71" spans="2:7">
      <c r="B71" s="976" t="s">
        <v>304</v>
      </c>
      <c r="C71" s="987" t="s">
        <v>3148</v>
      </c>
      <c r="D71" s="989" t="s">
        <v>2711</v>
      </c>
      <c r="F71" s="421" t="s">
        <v>515</v>
      </c>
      <c r="G71" s="421" t="s">
        <v>2162</v>
      </c>
    </row>
    <row r="72" spans="2:7">
      <c r="B72" s="976" t="s">
        <v>304</v>
      </c>
      <c r="C72" s="987" t="s">
        <v>358</v>
      </c>
      <c r="D72" s="989" t="s">
        <v>2711</v>
      </c>
      <c r="F72" s="421" t="s">
        <v>515</v>
      </c>
      <c r="G72" s="421" t="s">
        <v>939</v>
      </c>
    </row>
    <row r="73" spans="2:7">
      <c r="B73" s="976" t="s">
        <v>304</v>
      </c>
      <c r="C73" s="987" t="s">
        <v>297</v>
      </c>
      <c r="D73" s="989" t="s">
        <v>2711</v>
      </c>
      <c r="F73" s="421" t="s">
        <v>515</v>
      </c>
      <c r="G73" s="421" t="s">
        <v>36</v>
      </c>
    </row>
    <row r="74" spans="2:7">
      <c r="B74" s="977" t="s">
        <v>304</v>
      </c>
      <c r="C74" s="989" t="s">
        <v>276</v>
      </c>
      <c r="D74" s="989" t="s">
        <v>2711</v>
      </c>
      <c r="F74" s="421" t="s">
        <v>515</v>
      </c>
      <c r="G74" s="421" t="s">
        <v>192</v>
      </c>
    </row>
    <row r="75" spans="2:7">
      <c r="B75" s="977" t="s">
        <v>304</v>
      </c>
      <c r="C75" s="989" t="s">
        <v>276</v>
      </c>
      <c r="D75" s="989" t="s">
        <v>2711</v>
      </c>
      <c r="F75" s="421" t="s">
        <v>515</v>
      </c>
      <c r="G75" s="421" t="s">
        <v>3143</v>
      </c>
    </row>
    <row r="76" spans="2:7">
      <c r="B76" s="977" t="s">
        <v>515</v>
      </c>
      <c r="C76" s="989" t="s">
        <v>2162</v>
      </c>
      <c r="D76" s="987" t="s">
        <v>2711</v>
      </c>
      <c r="F76" s="421" t="s">
        <v>515</v>
      </c>
      <c r="G76" s="421" t="s">
        <v>297</v>
      </c>
    </row>
    <row r="77" spans="2:7">
      <c r="B77" s="977" t="s">
        <v>515</v>
      </c>
      <c r="C77" s="989" t="s">
        <v>36</v>
      </c>
      <c r="D77" s="987" t="s">
        <v>2711</v>
      </c>
      <c r="F77" s="421" t="s">
        <v>515</v>
      </c>
      <c r="G77" s="421" t="s">
        <v>241</v>
      </c>
    </row>
    <row r="78" spans="2:7">
      <c r="B78" s="977" t="s">
        <v>515</v>
      </c>
      <c r="C78" s="989" t="s">
        <v>192</v>
      </c>
      <c r="D78" s="987" t="s">
        <v>2711</v>
      </c>
      <c r="F78" s="421" t="s">
        <v>2710</v>
      </c>
      <c r="G78" s="421" t="s">
        <v>311</v>
      </c>
    </row>
    <row r="79" spans="2:7">
      <c r="B79" s="977" t="s">
        <v>613</v>
      </c>
      <c r="C79" s="989" t="s">
        <v>2082</v>
      </c>
      <c r="D79" s="987" t="s">
        <v>2940</v>
      </c>
      <c r="F79" s="421" t="s">
        <v>2710</v>
      </c>
      <c r="G79" s="421" t="s">
        <v>3142</v>
      </c>
    </row>
    <row r="80" spans="2:7">
      <c r="B80" s="977" t="s">
        <v>37</v>
      </c>
      <c r="C80" s="989" t="s">
        <v>2162</v>
      </c>
      <c r="D80" s="989" t="s">
        <v>2940</v>
      </c>
      <c r="F80" s="421" t="s">
        <v>2710</v>
      </c>
      <c r="G80" s="421" t="s">
        <v>3141</v>
      </c>
    </row>
    <row r="81" spans="2:7">
      <c r="B81" s="977" t="s">
        <v>37</v>
      </c>
      <c r="C81" s="989" t="s">
        <v>141</v>
      </c>
      <c r="D81" s="987" t="s">
        <v>2940</v>
      </c>
      <c r="F81" s="421" t="s">
        <v>2710</v>
      </c>
      <c r="G81" s="421" t="s">
        <v>297</v>
      </c>
    </row>
    <row r="82" spans="2:7">
      <c r="B82" s="977" t="s">
        <v>37</v>
      </c>
      <c r="C82" s="989" t="s">
        <v>2082</v>
      </c>
      <c r="D82" s="987" t="s">
        <v>2940</v>
      </c>
    </row>
    <row r="83" spans="2:7">
      <c r="B83" s="977" t="s">
        <v>37</v>
      </c>
      <c r="C83" s="989" t="s">
        <v>2697</v>
      </c>
      <c r="D83" s="987" t="s">
        <v>2940</v>
      </c>
    </row>
    <row r="84" spans="2:7">
      <c r="B84" s="977" t="s">
        <v>37</v>
      </c>
      <c r="C84" s="989" t="s">
        <v>3139</v>
      </c>
      <c r="D84" s="987" t="s">
        <v>2940</v>
      </c>
    </row>
    <row r="85" spans="2:7">
      <c r="B85" s="977" t="s">
        <v>37</v>
      </c>
      <c r="C85" s="989" t="s">
        <v>2151</v>
      </c>
      <c r="D85" s="987" t="s">
        <v>2940</v>
      </c>
    </row>
    <row r="86" spans="2:7">
      <c r="B86" s="976" t="s">
        <v>304</v>
      </c>
      <c r="C86" s="987" t="s">
        <v>369</v>
      </c>
      <c r="D86" s="989" t="s">
        <v>2940</v>
      </c>
    </row>
    <row r="87" spans="2:7">
      <c r="B87" s="976" t="s">
        <v>304</v>
      </c>
      <c r="C87" s="987" t="s">
        <v>2939</v>
      </c>
      <c r="D87" s="989" t="s">
        <v>2940</v>
      </c>
    </row>
    <row r="88" spans="2:7">
      <c r="B88" s="976" t="s">
        <v>304</v>
      </c>
      <c r="C88" s="987" t="s">
        <v>315</v>
      </c>
      <c r="D88" s="989" t="s">
        <v>2940</v>
      </c>
    </row>
    <row r="89" spans="2:7">
      <c r="B89" s="976" t="s">
        <v>304</v>
      </c>
      <c r="C89" s="987" t="s">
        <v>2955</v>
      </c>
      <c r="D89" s="989" t="s">
        <v>2940</v>
      </c>
    </row>
    <row r="90" spans="2:7">
      <c r="B90" s="976" t="s">
        <v>304</v>
      </c>
      <c r="C90" s="987" t="s">
        <v>2082</v>
      </c>
      <c r="D90" s="989" t="s">
        <v>2940</v>
      </c>
    </row>
    <row r="91" spans="2:7">
      <c r="B91" s="976" t="s">
        <v>304</v>
      </c>
      <c r="C91" s="987" t="s">
        <v>3149</v>
      </c>
      <c r="D91" s="989" t="s">
        <v>2940</v>
      </c>
    </row>
    <row r="92" spans="2:7">
      <c r="B92" s="977" t="s">
        <v>304</v>
      </c>
      <c r="C92" s="989" t="s">
        <v>297</v>
      </c>
      <c r="D92" s="989" t="s">
        <v>2940</v>
      </c>
    </row>
    <row r="93" spans="2:7">
      <c r="B93" s="977" t="s">
        <v>304</v>
      </c>
      <c r="C93" s="989" t="s">
        <v>3150</v>
      </c>
      <c r="D93" s="989" t="s">
        <v>2940</v>
      </c>
    </row>
    <row r="94" spans="2:7">
      <c r="B94" s="977" t="s">
        <v>304</v>
      </c>
      <c r="C94" s="989" t="s">
        <v>276</v>
      </c>
      <c r="D94" s="989" t="s">
        <v>2940</v>
      </c>
    </row>
    <row r="95" spans="2:7">
      <c r="B95" s="977" t="s">
        <v>304</v>
      </c>
      <c r="C95" s="989" t="s">
        <v>276</v>
      </c>
      <c r="D95" s="989" t="s">
        <v>2940</v>
      </c>
    </row>
    <row r="96" spans="2:7">
      <c r="B96" s="977" t="s">
        <v>304</v>
      </c>
      <c r="C96" s="992" t="s">
        <v>3151</v>
      </c>
      <c r="D96" s="989" t="s">
        <v>2940</v>
      </c>
    </row>
    <row r="97" spans="2:4">
      <c r="B97" s="977" t="s">
        <v>304</v>
      </c>
      <c r="C97" s="992" t="s">
        <v>241</v>
      </c>
      <c r="D97" s="989" t="s">
        <v>2940</v>
      </c>
    </row>
    <row r="98" spans="2:4">
      <c r="B98" s="977" t="s">
        <v>515</v>
      </c>
      <c r="C98" s="992" t="s">
        <v>3152</v>
      </c>
      <c r="D98" s="989" t="s">
        <v>2940</v>
      </c>
    </row>
    <row r="99" spans="2:4">
      <c r="B99" s="977" t="s">
        <v>515</v>
      </c>
      <c r="C99" s="991" t="s">
        <v>36</v>
      </c>
      <c r="D99" s="989" t="s">
        <v>2940</v>
      </c>
    </row>
    <row r="100" spans="2:4">
      <c r="B100" s="977" t="s">
        <v>515</v>
      </c>
      <c r="C100" s="987" t="s">
        <v>3143</v>
      </c>
      <c r="D100" s="989" t="s">
        <v>2940</v>
      </c>
    </row>
  </sheetData>
  <pageMargins left="0.7" right="0.7" top="0.75" bottom="0.75" header="0.3" footer="0.3"/>
  <tableParts count="2">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70"/>
  <sheetViews>
    <sheetView showGridLines="0" view="pageBreakPreview" topLeftCell="A31" zoomScale="70" zoomScaleNormal="60" zoomScaleSheetLayoutView="70" workbookViewId="0">
      <selection activeCell="X54" sqref="X54"/>
    </sheetView>
  </sheetViews>
  <sheetFormatPr defaultColWidth="9" defaultRowHeight="13.8"/>
  <cols>
    <col min="1" max="1" width="1.19921875" style="17" customWidth="1"/>
    <col min="2" max="2" width="14.796875" style="17" customWidth="1"/>
    <col min="3" max="3" width="23.19921875" style="17" customWidth="1"/>
    <col min="4" max="4" width="9.09765625" style="17" customWidth="1"/>
    <col min="5" max="5" width="13.09765625" style="17" customWidth="1"/>
    <col min="6" max="6" width="11.296875" style="17" customWidth="1"/>
    <col min="7" max="7" width="12.09765625" style="17" customWidth="1"/>
    <col min="8" max="8" width="12.19921875" style="17" customWidth="1"/>
    <col min="9" max="11" width="9" style="17"/>
    <col min="12" max="12" width="8" style="17" customWidth="1"/>
    <col min="13" max="13" width="11.59765625" style="17" customWidth="1"/>
    <col min="14" max="14" width="8" style="17" customWidth="1"/>
    <col min="15" max="15" width="14.09765625" style="17" customWidth="1"/>
    <col min="16" max="16" width="22.69921875" style="17" customWidth="1"/>
    <col min="17" max="17" width="8" style="17" customWidth="1"/>
    <col min="18" max="19" width="9" style="17"/>
    <col min="20" max="20" width="5" style="17" customWidth="1"/>
    <col min="21" max="21" width="1.69921875" style="17" customWidth="1"/>
    <col min="22" max="26" width="8.09765625" style="17" customWidth="1"/>
    <col min="27" max="27" width="16.09765625" style="17" bestFit="1" customWidth="1"/>
    <col min="28" max="28" width="9" style="17"/>
    <col min="29" max="29" width="21.69921875" style="17" bestFit="1" customWidth="1"/>
    <col min="30" max="30" width="7.19921875" style="17" customWidth="1"/>
    <col min="31" max="16384" width="9" style="17"/>
  </cols>
  <sheetData>
    <row r="1" spans="2:32" ht="42.75" customHeight="1">
      <c r="B1" s="1184" t="s">
        <v>3163</v>
      </c>
      <c r="C1" s="1184"/>
      <c r="D1" s="1184"/>
      <c r="E1" s="1184"/>
      <c r="F1" s="1184"/>
      <c r="G1" s="1184"/>
      <c r="H1" s="1184"/>
      <c r="I1" s="1184"/>
      <c r="J1" s="1184"/>
      <c r="K1" s="1184"/>
      <c r="L1" s="1184"/>
      <c r="M1" s="1184"/>
      <c r="N1" s="1184"/>
      <c r="O1" s="1184"/>
      <c r="P1" s="1184"/>
      <c r="Q1" s="1184"/>
      <c r="R1" s="1184"/>
      <c r="S1" s="1184"/>
      <c r="T1" s="1184"/>
      <c r="U1" s="157"/>
      <c r="V1" s="157"/>
      <c r="W1" s="157"/>
      <c r="X1" s="157"/>
      <c r="Y1" s="157"/>
      <c r="Z1" s="157"/>
      <c r="AA1" s="157"/>
      <c r="AB1" s="157"/>
      <c r="AC1" s="157"/>
      <c r="AD1" s="157"/>
      <c r="AE1" s="157"/>
      <c r="AF1" s="157"/>
    </row>
    <row r="26" ht="20.25" customHeight="1"/>
    <row r="29" ht="20.25" customHeight="1"/>
    <row r="31" ht="29.25" customHeight="1"/>
    <row r="34" spans="1:25" ht="41.4">
      <c r="B34" s="739" t="s">
        <v>2374</v>
      </c>
      <c r="C34" s="739" t="s">
        <v>1497</v>
      </c>
      <c r="D34" s="740" t="s">
        <v>2610</v>
      </c>
      <c r="E34" s="741" t="s">
        <v>1487</v>
      </c>
      <c r="F34" s="741" t="s">
        <v>1498</v>
      </c>
      <c r="G34" s="741" t="s">
        <v>1499</v>
      </c>
      <c r="H34" s="741" t="s">
        <v>1500</v>
      </c>
    </row>
    <row r="35" spans="1:25" ht="14.4">
      <c r="B35" s="152" t="s">
        <v>195</v>
      </c>
      <c r="C35" s="1047" t="s">
        <v>3167</v>
      </c>
      <c r="D35" s="1052">
        <v>9</v>
      </c>
      <c r="E35" s="1053">
        <v>6976</v>
      </c>
      <c r="F35" s="1056">
        <v>0</v>
      </c>
      <c r="G35" s="1056">
        <v>0.24068233944954132</v>
      </c>
      <c r="H35" s="1057">
        <v>0.32927178899082565</v>
      </c>
    </row>
    <row r="36" spans="1:25" ht="14.4">
      <c r="B36" s="166" t="s">
        <v>146</v>
      </c>
      <c r="C36" s="1048" t="s">
        <v>3168</v>
      </c>
      <c r="D36" s="1052">
        <v>3</v>
      </c>
      <c r="E36" s="1053">
        <v>2526</v>
      </c>
      <c r="F36" s="1056">
        <v>0.48297703879651621</v>
      </c>
      <c r="G36" s="1056">
        <v>0.30958036421219315</v>
      </c>
      <c r="H36" s="1058">
        <v>8.1551860649247798E-2</v>
      </c>
    </row>
    <row r="37" spans="1:25" ht="25.5" customHeight="1">
      <c r="B37" s="166" t="s">
        <v>148</v>
      </c>
      <c r="C37" s="1048" t="s">
        <v>3169</v>
      </c>
      <c r="D37" s="1052">
        <v>19</v>
      </c>
      <c r="E37" s="1053">
        <v>3807</v>
      </c>
      <c r="F37" s="1056">
        <v>0.19893179231240687</v>
      </c>
      <c r="G37" s="1056">
        <v>0.20698712897294458</v>
      </c>
      <c r="H37" s="1058">
        <v>6.6719201470974543E-2</v>
      </c>
    </row>
    <row r="38" spans="1:25" ht="14.4">
      <c r="B38" s="772" t="s">
        <v>587</v>
      </c>
      <c r="C38" s="1049" t="s">
        <v>2697</v>
      </c>
      <c r="D38" s="1054">
        <v>1</v>
      </c>
      <c r="E38" s="1055">
        <v>591</v>
      </c>
      <c r="F38" s="1059">
        <v>0</v>
      </c>
      <c r="G38" s="1059">
        <v>0</v>
      </c>
      <c r="H38" s="1060">
        <v>0</v>
      </c>
    </row>
    <row r="39" spans="1:25" ht="28.8">
      <c r="B39" s="166" t="s">
        <v>38</v>
      </c>
      <c r="C39" s="1048" t="s">
        <v>3170</v>
      </c>
      <c r="D39" s="1052">
        <v>10</v>
      </c>
      <c r="E39" s="1053">
        <v>12473</v>
      </c>
      <c r="F39" s="1056">
        <v>0.28619150698842832</v>
      </c>
      <c r="G39" s="1056">
        <v>0.196664795959272</v>
      </c>
      <c r="H39" s="1058">
        <v>0.10687084101659583</v>
      </c>
    </row>
    <row r="40" spans="1:25" ht="14.4">
      <c r="B40" s="166" t="s">
        <v>152</v>
      </c>
      <c r="C40" s="1048" t="s">
        <v>3171</v>
      </c>
      <c r="D40" s="1052">
        <v>8</v>
      </c>
      <c r="E40" s="1053">
        <v>1666</v>
      </c>
      <c r="F40" s="1056">
        <v>0</v>
      </c>
      <c r="G40" s="1056">
        <v>0.30252100840336138</v>
      </c>
      <c r="H40" s="1058">
        <v>0.21668667466986791</v>
      </c>
    </row>
    <row r="41" spans="1:25" ht="14.4">
      <c r="B41" s="166" t="s">
        <v>157</v>
      </c>
      <c r="C41" s="1048" t="s">
        <v>3172</v>
      </c>
      <c r="D41" s="1052">
        <v>2</v>
      </c>
      <c r="E41" s="1053">
        <v>198</v>
      </c>
      <c r="F41" s="1056">
        <v>0</v>
      </c>
      <c r="G41" s="1056">
        <v>0.65656565656565657</v>
      </c>
      <c r="H41" s="1058">
        <v>0.65656565656565657</v>
      </c>
    </row>
    <row r="42" spans="1:25" ht="28.8">
      <c r="B42" s="166" t="s">
        <v>205</v>
      </c>
      <c r="C42" s="1048" t="s">
        <v>3170</v>
      </c>
      <c r="D42" s="1052">
        <v>20</v>
      </c>
      <c r="E42" s="1053">
        <v>34325</v>
      </c>
      <c r="F42" s="1056">
        <v>0.64236950716193242</v>
      </c>
      <c r="G42" s="1056">
        <v>0.38219956300072833</v>
      </c>
      <c r="H42" s="1058">
        <v>0.46263656227239625</v>
      </c>
    </row>
    <row r="43" spans="1:25" ht="28.8">
      <c r="B43" s="166" t="s">
        <v>159</v>
      </c>
      <c r="C43" s="1048" t="s">
        <v>3173</v>
      </c>
      <c r="D43" s="1052">
        <v>25</v>
      </c>
      <c r="E43" s="1053">
        <v>11566</v>
      </c>
      <c r="F43" s="1056">
        <v>0</v>
      </c>
      <c r="G43" s="1056">
        <v>0.2860107210790247</v>
      </c>
      <c r="H43" s="1058">
        <v>0.47942244509770016</v>
      </c>
    </row>
    <row r="44" spans="1:25" ht="14.4">
      <c r="B44" s="166" t="s">
        <v>214</v>
      </c>
      <c r="C44" s="1048" t="s">
        <v>3174</v>
      </c>
      <c r="D44" s="1052">
        <v>3</v>
      </c>
      <c r="E44" s="1053">
        <v>1879</v>
      </c>
      <c r="F44" s="1056">
        <v>0</v>
      </c>
      <c r="G44" s="1056">
        <v>0.72112825971261307</v>
      </c>
      <c r="H44" s="1058">
        <v>0.84034060670569455</v>
      </c>
    </row>
    <row r="45" spans="1:25" ht="15.6">
      <c r="B45" s="166" t="s">
        <v>184</v>
      </c>
      <c r="C45" s="1048" t="s">
        <v>3175</v>
      </c>
      <c r="D45" s="1052">
        <v>2</v>
      </c>
      <c r="E45" s="1053">
        <v>676</v>
      </c>
      <c r="F45" s="1056">
        <v>0</v>
      </c>
      <c r="G45" s="1056">
        <v>0</v>
      </c>
      <c r="H45" s="1058">
        <v>0.52218934911242609</v>
      </c>
      <c r="V45" s="421"/>
      <c r="W45" s="421"/>
      <c r="X45" s="421"/>
      <c r="Y45" s="421"/>
    </row>
    <row r="46" spans="1:25" ht="15.6">
      <c r="B46" s="647" t="s">
        <v>863</v>
      </c>
      <c r="C46" s="1048" t="s">
        <v>3176</v>
      </c>
      <c r="D46" s="1052">
        <v>3</v>
      </c>
      <c r="E46" s="1053">
        <v>1276</v>
      </c>
      <c r="F46" s="1056">
        <v>9.7178683385579889E-2</v>
      </c>
      <c r="G46" s="1056">
        <v>0.62147335423197492</v>
      </c>
      <c r="H46" s="1057">
        <v>0.37852664576802508</v>
      </c>
      <c r="V46" s="421"/>
      <c r="W46" s="421"/>
      <c r="X46" s="421"/>
      <c r="Y46" s="421"/>
    </row>
    <row r="47" spans="1:25" ht="58.05" customHeight="1" thickBot="1">
      <c r="B47" s="166" t="s">
        <v>142</v>
      </c>
      <c r="C47" s="1048" t="s">
        <v>3177</v>
      </c>
      <c r="D47" s="1052">
        <v>25</v>
      </c>
      <c r="E47" s="1053">
        <v>29185</v>
      </c>
      <c r="F47" s="1056">
        <v>0.52893609731026214</v>
      </c>
      <c r="G47" s="1056">
        <v>0.30991947918451257</v>
      </c>
      <c r="H47" s="1058">
        <v>0.38375878019530585</v>
      </c>
      <c r="X47" s="421"/>
      <c r="Y47" s="421"/>
    </row>
    <row r="48" spans="1:25" ht="18.75" customHeight="1" thickTop="1">
      <c r="A48" s="644"/>
      <c r="B48" s="726"/>
      <c r="C48" s="727" t="s">
        <v>1488</v>
      </c>
      <c r="D48" s="728">
        <v>130</v>
      </c>
      <c r="E48" s="728">
        <v>107144</v>
      </c>
      <c r="F48" s="1040">
        <v>0.40279748127131088</v>
      </c>
      <c r="G48" s="1040">
        <v>0.31691928619428056</v>
      </c>
      <c r="H48" s="1050">
        <v>0.36979205555140748</v>
      </c>
      <c r="Y48" s="421"/>
    </row>
    <row r="49" spans="1:27" ht="18.75" customHeight="1">
      <c r="A49" s="645"/>
      <c r="Y49" s="421"/>
    </row>
    <row r="50" spans="1:27" ht="42" thickBot="1">
      <c r="A50" s="644"/>
      <c r="B50" s="658" t="s">
        <v>2376</v>
      </c>
      <c r="C50" s="659" t="s">
        <v>1497</v>
      </c>
      <c r="D50" s="660" t="s">
        <v>2611</v>
      </c>
      <c r="E50" s="661" t="s">
        <v>1487</v>
      </c>
      <c r="F50" s="661" t="s">
        <v>1498</v>
      </c>
      <c r="G50" s="661" t="s">
        <v>1499</v>
      </c>
      <c r="H50" s="661" t="s">
        <v>1500</v>
      </c>
      <c r="Y50" s="421"/>
    </row>
    <row r="51" spans="1:27" ht="18.75" customHeight="1">
      <c r="A51" s="646"/>
      <c r="B51" s="1065" t="s">
        <v>587</v>
      </c>
      <c r="C51" s="1066" t="s">
        <v>3165</v>
      </c>
      <c r="D51" s="1061">
        <v>13</v>
      </c>
      <c r="E51" s="1061">
        <v>4421</v>
      </c>
      <c r="F51" s="736">
        <v>0</v>
      </c>
      <c r="G51" s="736">
        <v>0.19452612531101565</v>
      </c>
      <c r="H51" s="737">
        <v>0.2782175978285456</v>
      </c>
      <c r="Y51" s="421"/>
    </row>
    <row r="52" spans="1:27" ht="27.75" customHeight="1">
      <c r="A52" s="645"/>
      <c r="B52" s="1065" t="s">
        <v>159</v>
      </c>
      <c r="C52" s="1066" t="s">
        <v>3139</v>
      </c>
      <c r="D52" s="1061">
        <v>5</v>
      </c>
      <c r="E52" s="1061">
        <v>5759</v>
      </c>
      <c r="F52" s="736">
        <v>1</v>
      </c>
      <c r="G52" s="736">
        <v>0.95624240319499909</v>
      </c>
      <c r="H52" s="737">
        <v>0.71036638305261324</v>
      </c>
      <c r="Y52" s="421"/>
    </row>
    <row r="53" spans="1:27" ht="18.75" customHeight="1" thickBot="1">
      <c r="A53" s="644"/>
      <c r="B53" s="1065" t="s">
        <v>142</v>
      </c>
      <c r="C53" s="1066" t="s">
        <v>3166</v>
      </c>
      <c r="D53" s="1061">
        <v>25</v>
      </c>
      <c r="E53" s="1061">
        <v>6294</v>
      </c>
      <c r="F53" s="736">
        <v>9.914204003813154E-2</v>
      </c>
      <c r="G53" s="736">
        <v>1.0009532888465178E-2</v>
      </c>
      <c r="H53" s="737">
        <v>0.96695265332062286</v>
      </c>
      <c r="Y53" s="421"/>
    </row>
    <row r="54" spans="1:27" ht="18.75" customHeight="1" thickTop="1">
      <c r="A54" s="645"/>
      <c r="B54" s="1062"/>
      <c r="C54" s="726" t="s">
        <v>1488</v>
      </c>
      <c r="D54" s="1063">
        <v>43</v>
      </c>
      <c r="E54" s="1064">
        <v>16474</v>
      </c>
      <c r="F54" s="731">
        <v>0.38745902634454288</v>
      </c>
      <c r="G54" s="731">
        <v>0.39031200679859168</v>
      </c>
      <c r="H54" s="1051">
        <v>0.69242442636882362</v>
      </c>
      <c r="Y54" s="421"/>
    </row>
    <row r="55" spans="1:27" ht="15.6">
      <c r="A55" s="644"/>
      <c r="Y55" s="421"/>
    </row>
    <row r="56" spans="1:27" ht="25.8" customHeight="1">
      <c r="A56" s="645"/>
      <c r="Y56" s="421"/>
    </row>
    <row r="57" spans="1:27" ht="15.6">
      <c r="A57" s="645"/>
      <c r="Y57" s="421"/>
    </row>
    <row r="58" spans="1:27" ht="18.75" customHeight="1">
      <c r="A58" s="644"/>
      <c r="Y58" s="421"/>
    </row>
    <row r="59" spans="1:27" ht="18.75" customHeight="1">
      <c r="A59" s="646"/>
      <c r="Y59" s="421"/>
    </row>
    <row r="60" spans="1:27" ht="31.05" customHeight="1">
      <c r="A60" s="645"/>
      <c r="Y60" s="421"/>
    </row>
    <row r="61" spans="1:27" ht="28.5" customHeight="1">
      <c r="A61" s="644"/>
      <c r="Y61" s="421"/>
    </row>
    <row r="62" spans="1:27" ht="10.95" customHeight="1">
      <c r="V62" s="421"/>
      <c r="W62" s="421"/>
      <c r="X62" s="421"/>
      <c r="Y62" s="421"/>
    </row>
    <row r="63" spans="1:27" ht="40.5" customHeight="1">
      <c r="Y63"/>
      <c r="Z63"/>
      <c r="AA63"/>
    </row>
    <row r="64" spans="1:27" ht="15.6">
      <c r="Y64" s="421"/>
      <c r="Z64" s="421"/>
      <c r="AA64" s="421"/>
    </row>
    <row r="65" spans="2:27" ht="15.6">
      <c r="Y65" s="421"/>
      <c r="Z65" s="421"/>
      <c r="AA65" s="421"/>
    </row>
    <row r="66" spans="2:27" ht="15.6">
      <c r="Y66"/>
      <c r="Z66"/>
      <c r="AA66"/>
    </row>
    <row r="67" spans="2:27" ht="15.6">
      <c r="Y67"/>
      <c r="Z67"/>
      <c r="AA67"/>
    </row>
    <row r="68" spans="2:27" ht="15.6">
      <c r="B68"/>
      <c r="C68"/>
      <c r="Y68"/>
      <c r="Z68"/>
      <c r="AA68"/>
    </row>
    <row r="69" spans="2:27" ht="15.6">
      <c r="B69"/>
      <c r="C69"/>
      <c r="Y69"/>
      <c r="Z69"/>
      <c r="AA69"/>
    </row>
    <row r="70" spans="2:27" ht="15.6">
      <c r="B70"/>
      <c r="C70"/>
      <c r="Y70"/>
      <c r="Z70"/>
      <c r="AA70"/>
    </row>
    <row r="71" spans="2:27" ht="15.6">
      <c r="B71"/>
      <c r="C71"/>
      <c r="Y71"/>
      <c r="Z71"/>
      <c r="AA71"/>
    </row>
    <row r="72" spans="2:27" ht="15.6">
      <c r="B72"/>
      <c r="C72"/>
      <c r="Y72"/>
      <c r="Z72"/>
      <c r="AA72"/>
    </row>
    <row r="73" spans="2:27" ht="15.6">
      <c r="B73"/>
      <c r="C73"/>
      <c r="Y73"/>
      <c r="Z73"/>
      <c r="AA73"/>
    </row>
    <row r="74" spans="2:27" ht="15.6">
      <c r="B74"/>
      <c r="C74"/>
      <c r="Y74"/>
      <c r="Z74"/>
      <c r="AA74"/>
    </row>
    <row r="75" spans="2:27" ht="15.6">
      <c r="B75"/>
      <c r="C75"/>
      <c r="Y75"/>
      <c r="Z75"/>
      <c r="AA75"/>
    </row>
    <row r="76" spans="2:27" ht="23.55" customHeight="1">
      <c r="B76"/>
      <c r="C76"/>
      <c r="Y76"/>
      <c r="Z76"/>
      <c r="AA76"/>
    </row>
    <row r="77" spans="2:27" ht="15.6">
      <c r="Y77"/>
      <c r="Z77"/>
      <c r="AA77"/>
    </row>
    <row r="78" spans="2:27" ht="15.6">
      <c r="Y78"/>
      <c r="Z78"/>
      <c r="AA78"/>
    </row>
    <row r="79" spans="2:27" ht="15.6">
      <c r="Y79"/>
      <c r="Z79"/>
      <c r="AA79"/>
    </row>
    <row r="80" spans="2:27" ht="15.6">
      <c r="Y80"/>
      <c r="Z80"/>
      <c r="AA80"/>
    </row>
    <row r="81" spans="22:27" ht="15.6">
      <c r="V81" s="898"/>
      <c r="Y81"/>
      <c r="Z81"/>
      <c r="AA81"/>
    </row>
    <row r="82" spans="22:27" ht="15.6">
      <c r="Y82"/>
      <c r="Z82"/>
      <c r="AA82"/>
    </row>
    <row r="83" spans="22:27" ht="15.6">
      <c r="Y83"/>
      <c r="Z83"/>
      <c r="AA83"/>
    </row>
    <row r="84" spans="22:27" ht="15.6">
      <c r="Y84"/>
      <c r="Z84"/>
      <c r="AA84"/>
    </row>
    <row r="85" spans="22:27" ht="15.6">
      <c r="Y85"/>
      <c r="Z85"/>
      <c r="AA85"/>
    </row>
    <row r="86" spans="22:27" ht="15.6">
      <c r="Y86"/>
      <c r="Z86"/>
      <c r="AA86"/>
    </row>
    <row r="87" spans="22:27" ht="15.6">
      <c r="Y87"/>
      <c r="Z87"/>
      <c r="AA87"/>
    </row>
    <row r="88" spans="22:27" ht="15.6">
      <c r="Y88"/>
      <c r="Z88"/>
      <c r="AA88"/>
    </row>
    <row r="89" spans="22:27" ht="15.6">
      <c r="Y89"/>
      <c r="Z89"/>
      <c r="AA89"/>
    </row>
    <row r="90" spans="22:27" ht="15.6">
      <c r="Y90"/>
      <c r="Z90"/>
      <c r="AA90"/>
    </row>
    <row r="91" spans="22:27" ht="15.6">
      <c r="Y91"/>
      <c r="Z91"/>
      <c r="AA91"/>
    </row>
    <row r="92" spans="22:27" ht="15.6">
      <c r="Y92"/>
      <c r="Z92"/>
      <c r="AA92"/>
    </row>
    <row r="93" spans="22:27" ht="15.6">
      <c r="Y93"/>
      <c r="Z93"/>
      <c r="AA93"/>
    </row>
    <row r="94" spans="22:27" ht="15.6">
      <c r="Y94"/>
      <c r="Z94"/>
      <c r="AA94"/>
    </row>
    <row r="95" spans="22:27" ht="15.6">
      <c r="Y95"/>
      <c r="Z95"/>
      <c r="AA95"/>
    </row>
    <row r="96" spans="22:27" ht="15.6">
      <c r="Y96"/>
      <c r="Z96"/>
      <c r="AA96"/>
    </row>
    <row r="97" spans="25:27" ht="15.6">
      <c r="Y97"/>
      <c r="Z97"/>
      <c r="AA97"/>
    </row>
    <row r="98" spans="25:27" ht="15.6">
      <c r="Y98"/>
      <c r="Z98"/>
      <c r="AA98"/>
    </row>
    <row r="99" spans="25:27" ht="15.6">
      <c r="Y99"/>
      <c r="Z99"/>
      <c r="AA99"/>
    </row>
    <row r="100" spans="25:27" ht="15.6">
      <c r="Y100"/>
      <c r="Z100"/>
      <c r="AA100"/>
    </row>
    <row r="101" spans="25:27" ht="15.6">
      <c r="Y101"/>
      <c r="Z101"/>
      <c r="AA101"/>
    </row>
    <row r="102" spans="25:27" ht="15.6">
      <c r="Y102"/>
      <c r="Z102"/>
      <c r="AA102"/>
    </row>
    <row r="103" spans="25:27" ht="15.6">
      <c r="Y103"/>
      <c r="Z103"/>
      <c r="AA103"/>
    </row>
    <row r="104" spans="25:27" ht="15.6">
      <c r="Y104"/>
      <c r="Z104"/>
      <c r="AA104"/>
    </row>
    <row r="105" spans="25:27" ht="15.6">
      <c r="Y105"/>
      <c r="Z105"/>
      <c r="AA105"/>
    </row>
    <row r="106" spans="25:27" ht="15.6">
      <c r="Y106"/>
      <c r="Z106"/>
      <c r="AA106"/>
    </row>
    <row r="107" spans="25:27" ht="15.6">
      <c r="Y107"/>
      <c r="Z107"/>
      <c r="AA107"/>
    </row>
    <row r="108" spans="25:27" ht="15.6">
      <c r="Y108"/>
      <c r="Z108"/>
      <c r="AA108"/>
    </row>
    <row r="109" spans="25:27" ht="15.6">
      <c r="Y109"/>
      <c r="Z109"/>
      <c r="AA109"/>
    </row>
    <row r="110" spans="25:27" ht="15.6">
      <c r="Y110"/>
      <c r="Z110"/>
      <c r="AA110"/>
    </row>
    <row r="111" spans="25:27" ht="15.6">
      <c r="Y111"/>
      <c r="Z111"/>
      <c r="AA111"/>
    </row>
    <row r="112" spans="25:27" ht="15.6">
      <c r="Y112"/>
      <c r="Z112"/>
      <c r="AA112"/>
    </row>
    <row r="113" spans="25:27" ht="15.6">
      <c r="Y113"/>
      <c r="Z113"/>
      <c r="AA113"/>
    </row>
    <row r="114" spans="25:27" ht="15.6">
      <c r="Y114"/>
      <c r="Z114"/>
      <c r="AA114"/>
    </row>
    <row r="115" spans="25:27" ht="15.6">
      <c r="Y115"/>
      <c r="Z115"/>
      <c r="AA115"/>
    </row>
    <row r="116" spans="25:27" ht="15.6">
      <c r="Y116"/>
      <c r="Z116"/>
      <c r="AA116"/>
    </row>
    <row r="117" spans="25:27" ht="15.6">
      <c r="Y117"/>
      <c r="Z117"/>
      <c r="AA117"/>
    </row>
    <row r="118" spans="25:27" ht="15.6">
      <c r="Y118"/>
      <c r="Z118"/>
      <c r="AA118"/>
    </row>
    <row r="119" spans="25:27" ht="15.6">
      <c r="Y119"/>
      <c r="Z119"/>
      <c r="AA119"/>
    </row>
    <row r="120" spans="25:27" ht="15.6">
      <c r="Y120"/>
      <c r="Z120"/>
      <c r="AA120"/>
    </row>
    <row r="121" spans="25:27" ht="15.6">
      <c r="Y121"/>
      <c r="Z121"/>
      <c r="AA121"/>
    </row>
    <row r="122" spans="25:27" ht="15.6">
      <c r="Y122"/>
      <c r="Z122"/>
      <c r="AA122"/>
    </row>
    <row r="123" spans="25:27" ht="15.6">
      <c r="Y123"/>
      <c r="Z123"/>
      <c r="AA123"/>
    </row>
    <row r="124" spans="25:27" ht="15.6">
      <c r="Y124"/>
      <c r="Z124"/>
      <c r="AA124"/>
    </row>
    <row r="125" spans="25:27" ht="15.6">
      <c r="Y125"/>
      <c r="Z125"/>
      <c r="AA125"/>
    </row>
    <row r="126" spans="25:27" ht="15.6">
      <c r="Y126"/>
      <c r="Z126"/>
      <c r="AA126"/>
    </row>
    <row r="127" spans="25:27" ht="15.6">
      <c r="Y127"/>
      <c r="Z127"/>
      <c r="AA127"/>
    </row>
    <row r="128" spans="25:27" ht="15.6">
      <c r="Y128"/>
      <c r="Z128"/>
      <c r="AA128"/>
    </row>
    <row r="129" spans="25:27" ht="15.6">
      <c r="Y129"/>
      <c r="Z129"/>
      <c r="AA129"/>
    </row>
    <row r="130" spans="25:27" ht="15.6">
      <c r="Y130"/>
      <c r="Z130"/>
      <c r="AA130"/>
    </row>
    <row r="131" spans="25:27" ht="15.6">
      <c r="Y131"/>
      <c r="Z131"/>
      <c r="AA131"/>
    </row>
    <row r="132" spans="25:27" ht="15.6">
      <c r="Y132"/>
      <c r="Z132"/>
      <c r="AA132"/>
    </row>
    <row r="133" spans="25:27" ht="15.6">
      <c r="Y133"/>
      <c r="Z133"/>
      <c r="AA133"/>
    </row>
    <row r="134" spans="25:27" ht="15.6">
      <c r="Y134"/>
      <c r="Z134"/>
      <c r="AA134"/>
    </row>
    <row r="135" spans="25:27" ht="15.6">
      <c r="Y135"/>
      <c r="Z135"/>
      <c r="AA135"/>
    </row>
    <row r="136" spans="25:27" ht="15.6">
      <c r="Y136"/>
      <c r="Z136"/>
    </row>
    <row r="137" spans="25:27" ht="15.6">
      <c r="Y137"/>
      <c r="Z137"/>
    </row>
    <row r="138" spans="25:27" ht="15.6">
      <c r="Y138"/>
      <c r="Z138"/>
    </row>
    <row r="139" spans="25:27" ht="15.6">
      <c r="Y139"/>
      <c r="Z139"/>
    </row>
    <row r="140" spans="25:27" ht="15.6">
      <c r="Y140"/>
      <c r="Z140"/>
    </row>
    <row r="141" spans="25:27" ht="15.6">
      <c r="Y141"/>
      <c r="Z141"/>
    </row>
    <row r="142" spans="25:27" ht="15.6">
      <c r="Y142"/>
      <c r="Z142"/>
    </row>
    <row r="143" spans="25:27" ht="15.6">
      <c r="Y143"/>
      <c r="Z143"/>
    </row>
    <row r="144" spans="25:27" ht="15.6">
      <c r="Y144"/>
      <c r="Z144"/>
    </row>
    <row r="145" spans="25:26" ht="15.6">
      <c r="Y145"/>
      <c r="Z145"/>
    </row>
    <row r="146" spans="25:26" ht="15.6">
      <c r="Y146"/>
      <c r="Z146"/>
    </row>
    <row r="147" spans="25:26" ht="15.6">
      <c r="Y147"/>
      <c r="Z147"/>
    </row>
    <row r="148" spans="25:26" ht="15.6">
      <c r="Y148"/>
      <c r="Z148"/>
    </row>
    <row r="149" spans="25:26" ht="15.6">
      <c r="Y149"/>
      <c r="Z149"/>
    </row>
    <row r="150" spans="25:26" ht="15.6">
      <c r="Y150"/>
      <c r="Z150"/>
    </row>
    <row r="151" spans="25:26" ht="15.6">
      <c r="Y151"/>
      <c r="Z151"/>
    </row>
    <row r="152" spans="25:26" ht="15.6">
      <c r="Y152"/>
      <c r="Z152"/>
    </row>
    <row r="153" spans="25:26" ht="15.6">
      <c r="Y153"/>
      <c r="Z153"/>
    </row>
    <row r="154" spans="25:26" ht="15.6">
      <c r="Y154"/>
      <c r="Z154"/>
    </row>
    <row r="155" spans="25:26" ht="15.6">
      <c r="Y155"/>
      <c r="Z155"/>
    </row>
    <row r="156" spans="25:26" ht="15.6">
      <c r="Y156"/>
      <c r="Z156"/>
    </row>
    <row r="157" spans="25:26" ht="15.6">
      <c r="Y157"/>
      <c r="Z157"/>
    </row>
    <row r="158" spans="25:26" ht="15.6">
      <c r="Y158"/>
      <c r="Z158"/>
    </row>
    <row r="159" spans="25:26" ht="15.6">
      <c r="Y159"/>
      <c r="Z159"/>
    </row>
    <row r="160" spans="25:26" ht="15.6">
      <c r="Y160"/>
      <c r="Z160"/>
    </row>
    <row r="161" spans="25:26" ht="15.6">
      <c r="Y161"/>
      <c r="Z161"/>
    </row>
    <row r="162" spans="25:26" ht="15.6">
      <c r="Y162"/>
      <c r="Z162"/>
    </row>
    <row r="163" spans="25:26" ht="15.6">
      <c r="Y163"/>
      <c r="Z163"/>
    </row>
    <row r="164" spans="25:26" ht="15.6">
      <c r="Y164"/>
      <c r="Z164"/>
    </row>
    <row r="165" spans="25:26" ht="15.6">
      <c r="Y165"/>
      <c r="Z165"/>
    </row>
    <row r="166" spans="25:26" ht="15.6">
      <c r="Y166"/>
      <c r="Z166"/>
    </row>
    <row r="167" spans="25:26" ht="15.6">
      <c r="Y167"/>
      <c r="Z167"/>
    </row>
    <row r="168" spans="25:26" ht="15.6">
      <c r="Y168"/>
      <c r="Z168"/>
    </row>
    <row r="169" spans="25:26" ht="15.6">
      <c r="Y169"/>
      <c r="Z169"/>
    </row>
    <row r="170" spans="25:26" ht="15.6">
      <c r="Y170"/>
      <c r="Z170"/>
    </row>
  </sheetData>
  <mergeCells count="1">
    <mergeCell ref="B1:T1"/>
  </mergeCells>
  <conditionalFormatting sqref="F53:H54">
    <cfRule type="iconSet" priority="12572">
      <iconSet reverse="1">
        <cfvo type="percent" val="0"/>
        <cfvo type="num" val="0" gte="0"/>
        <cfvo type="num" val="0.3"/>
      </iconSet>
    </cfRule>
  </conditionalFormatting>
  <conditionalFormatting sqref="F51:H52">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colBreaks count="2" manualBreakCount="2">
    <brk id="13" max="107" man="1"/>
    <brk id="17" max="107" man="1"/>
  </colBreaks>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659"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F35:H48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5"/>
  <sheetViews>
    <sheetView showGridLines="0" view="pageBreakPreview" topLeftCell="A68" zoomScale="77" zoomScaleNormal="87" zoomScaleSheetLayoutView="77" workbookViewId="0">
      <selection activeCell="V58" sqref="V58"/>
    </sheetView>
  </sheetViews>
  <sheetFormatPr defaultColWidth="9" defaultRowHeight="13.8"/>
  <cols>
    <col min="1" max="1" width="1.09765625" style="17" customWidth="1"/>
    <col min="2" max="2" width="19.5" style="17" customWidth="1"/>
    <col min="3" max="3" width="20.19921875" style="17" customWidth="1"/>
    <col min="4" max="4" width="8.3984375" style="17" customWidth="1"/>
    <col min="5" max="5" width="11.5" style="17" customWidth="1"/>
    <col min="6" max="6" width="13" style="17" customWidth="1"/>
    <col min="7" max="7" width="11" style="17" customWidth="1"/>
    <col min="8" max="8" width="12.5" style="17" customWidth="1"/>
    <col min="9" max="9" width="1.19921875" style="17" customWidth="1"/>
    <col min="10" max="11" width="9" style="17"/>
    <col min="12" max="12" width="10.69921875" style="17" customWidth="1"/>
    <col min="13" max="13" width="11.69921875" style="17" customWidth="1"/>
    <col min="14" max="14" width="10.19921875" style="17" customWidth="1"/>
    <col min="15" max="15" width="25.19921875" style="17" customWidth="1"/>
    <col min="16" max="16" width="13" style="17" customWidth="1"/>
    <col min="17" max="17" width="10.19921875" style="17" customWidth="1"/>
    <col min="18" max="18" width="9.5" style="17" customWidth="1"/>
    <col min="19" max="19" width="8.09765625" style="17" customWidth="1"/>
    <col min="20" max="20" width="6.69921875" style="17" customWidth="1"/>
    <col min="21" max="23" width="8.09765625" style="17" customWidth="1"/>
    <col min="24" max="24" width="16.09765625" style="17" customWidth="1"/>
    <col min="25" max="25" width="9" style="17"/>
    <col min="26" max="26" width="21.69921875" style="17" customWidth="1"/>
    <col min="27" max="27" width="17.5" style="17" customWidth="1"/>
    <col min="28" max="28" width="9.59765625" style="17" customWidth="1"/>
    <col min="29" max="29" width="1.69921875" style="17" customWidth="1"/>
    <col min="30" max="16384" width="9" style="17"/>
  </cols>
  <sheetData>
    <row r="1" spans="2:32" ht="35.25" customHeight="1">
      <c r="B1" s="1184" t="s">
        <v>3164</v>
      </c>
      <c r="C1" s="1184"/>
      <c r="D1" s="1184"/>
      <c r="E1" s="1184"/>
      <c r="F1" s="1184"/>
      <c r="G1" s="1184"/>
      <c r="H1" s="1184"/>
      <c r="I1" s="1184"/>
      <c r="J1" s="1184"/>
      <c r="K1" s="1184"/>
      <c r="L1" s="1184"/>
      <c r="M1" s="1184"/>
      <c r="N1" s="1184"/>
      <c r="O1" s="1184"/>
      <c r="P1" s="1184"/>
      <c r="Q1" s="1184"/>
      <c r="R1" s="1184"/>
      <c r="S1" s="1184"/>
      <c r="T1" s="157"/>
      <c r="U1" s="157"/>
      <c r="V1" s="157"/>
      <c r="W1" s="157"/>
      <c r="X1" s="157"/>
      <c r="Y1" s="157"/>
      <c r="Z1" s="157"/>
      <c r="AA1" s="157"/>
      <c r="AB1" s="157"/>
      <c r="AC1" s="157"/>
      <c r="AD1" s="157"/>
      <c r="AE1" s="157"/>
      <c r="AF1" s="157"/>
    </row>
    <row r="9" spans="2:32" ht="18" customHeight="1"/>
    <row r="10" spans="2:32" ht="20.25" customHeight="1"/>
    <row r="27" spans="2:8" ht="18" customHeight="1"/>
    <row r="28" spans="2:8" ht="21.75" customHeight="1"/>
    <row r="29" spans="2:8" ht="43.2">
      <c r="B29" s="710" t="s">
        <v>2374</v>
      </c>
      <c r="C29" s="711" t="s">
        <v>1497</v>
      </c>
      <c r="D29" s="712" t="s">
        <v>2610</v>
      </c>
      <c r="E29" s="712" t="s">
        <v>1487</v>
      </c>
      <c r="F29" s="712" t="s">
        <v>1498</v>
      </c>
      <c r="G29" s="712" t="s">
        <v>1499</v>
      </c>
      <c r="H29" s="713" t="s">
        <v>1500</v>
      </c>
    </row>
    <row r="30" spans="2:8" ht="18" customHeight="1">
      <c r="B30" s="1067" t="s">
        <v>534</v>
      </c>
      <c r="C30" s="1067" t="s">
        <v>192</v>
      </c>
      <c r="D30" s="1068">
        <v>2</v>
      </c>
      <c r="E30" s="1069">
        <v>401</v>
      </c>
      <c r="F30" s="1070">
        <v>0</v>
      </c>
      <c r="G30" s="1070">
        <v>0</v>
      </c>
      <c r="H30" s="1071">
        <v>0</v>
      </c>
    </row>
    <row r="31" spans="2:8" ht="14.4">
      <c r="B31" s="1067" t="s">
        <v>519</v>
      </c>
      <c r="C31" s="1067" t="s">
        <v>192</v>
      </c>
      <c r="D31" s="1068">
        <v>15</v>
      </c>
      <c r="E31" s="1069">
        <v>4714</v>
      </c>
      <c r="F31" s="1070">
        <v>6.2084570782067416E-2</v>
      </c>
      <c r="G31" s="1070">
        <v>8.59142978362325E-2</v>
      </c>
      <c r="H31" s="1071">
        <v>0.21913449299957577</v>
      </c>
    </row>
    <row r="32" spans="2:8" ht="14.4">
      <c r="B32" s="1067" t="s">
        <v>960</v>
      </c>
      <c r="C32" s="1067" t="s">
        <v>192</v>
      </c>
      <c r="D32" s="1068">
        <v>5</v>
      </c>
      <c r="E32" s="1069">
        <v>304</v>
      </c>
      <c r="F32" s="1070">
        <v>0.32565789473684215</v>
      </c>
      <c r="G32" s="1070">
        <v>0</v>
      </c>
      <c r="H32" s="1071">
        <v>1</v>
      </c>
    </row>
    <row r="33" spans="1:25" ht="14.4">
      <c r="A33" s="75"/>
      <c r="B33" s="1067" t="s">
        <v>961</v>
      </c>
      <c r="C33" s="1067" t="s">
        <v>192</v>
      </c>
      <c r="D33" s="1068">
        <v>1</v>
      </c>
      <c r="E33" s="1069">
        <v>103</v>
      </c>
      <c r="F33" s="1070">
        <v>0</v>
      </c>
      <c r="G33" s="1070">
        <v>0</v>
      </c>
      <c r="H33" s="1071">
        <v>1</v>
      </c>
    </row>
    <row r="34" spans="1:25" ht="18.75" customHeight="1">
      <c r="A34" s="75"/>
      <c r="B34" s="1067" t="s">
        <v>963</v>
      </c>
      <c r="C34" s="1067" t="s">
        <v>2162</v>
      </c>
      <c r="D34" s="1068">
        <v>1</v>
      </c>
      <c r="E34" s="1069">
        <v>1674</v>
      </c>
      <c r="F34" s="1070">
        <v>4.4205495818399054E-2</v>
      </c>
      <c r="G34" s="1070">
        <v>0.83273596176821985</v>
      </c>
      <c r="H34" s="1071">
        <v>1</v>
      </c>
    </row>
    <row r="35" spans="1:25" ht="18.75" customHeight="1">
      <c r="A35" s="75"/>
      <c r="B35" s="1067" t="s">
        <v>522</v>
      </c>
      <c r="C35" s="1067" t="s">
        <v>2373</v>
      </c>
      <c r="D35" s="1068">
        <v>2</v>
      </c>
      <c r="E35" s="1069">
        <v>282</v>
      </c>
      <c r="F35" s="1070">
        <v>0</v>
      </c>
      <c r="G35" s="1070">
        <v>0</v>
      </c>
      <c r="H35" s="1071">
        <v>0</v>
      </c>
    </row>
    <row r="36" spans="1:25" ht="14.4">
      <c r="A36" s="75"/>
      <c r="B36" s="1067" t="s">
        <v>525</v>
      </c>
      <c r="C36" s="1067" t="s">
        <v>192</v>
      </c>
      <c r="D36" s="1068">
        <v>3</v>
      </c>
      <c r="E36" s="1069">
        <v>1021</v>
      </c>
      <c r="F36" s="1070">
        <v>0.21057786483839369</v>
      </c>
      <c r="G36" s="1070">
        <v>0.88246816846229192</v>
      </c>
      <c r="H36" s="1071">
        <v>0.21057786483839369</v>
      </c>
    </row>
    <row r="37" spans="1:25" ht="14.4">
      <c r="A37" s="75"/>
      <c r="B37" s="1067" t="s">
        <v>516</v>
      </c>
      <c r="C37" s="1067" t="s">
        <v>2373</v>
      </c>
      <c r="D37" s="1068">
        <v>5</v>
      </c>
      <c r="E37" s="1069">
        <v>1255</v>
      </c>
      <c r="F37" s="1070">
        <v>0</v>
      </c>
      <c r="G37" s="1070">
        <v>0.11155378486055778</v>
      </c>
      <c r="H37" s="1071">
        <v>0.2573705179282868</v>
      </c>
      <c r="M37" s="75"/>
    </row>
    <row r="38" spans="1:25" ht="15" thickBot="1">
      <c r="B38" s="1072" t="s">
        <v>536</v>
      </c>
      <c r="C38" s="1072" t="s">
        <v>192</v>
      </c>
      <c r="D38" s="1073">
        <v>4</v>
      </c>
      <c r="E38" s="1074">
        <v>615</v>
      </c>
      <c r="F38" s="1075">
        <v>0</v>
      </c>
      <c r="G38" s="1075">
        <v>9.2682926829268264E-2</v>
      </c>
      <c r="H38" s="1076">
        <v>0.12520325203252036</v>
      </c>
    </row>
    <row r="39" spans="1:25" ht="26.25" customHeight="1" thickTop="1" thickBot="1">
      <c r="B39" s="714"/>
      <c r="C39" s="714" t="s">
        <v>1488</v>
      </c>
      <c r="D39" s="715">
        <v>38</v>
      </c>
      <c r="E39" s="715">
        <v>10369</v>
      </c>
      <c r="F39" s="734">
        <v>6.5644388722795433E-2</v>
      </c>
      <c r="G39" s="734">
        <v>0.27939049088629564</v>
      </c>
      <c r="H39" s="735">
        <v>0.35962966534863539</v>
      </c>
    </row>
    <row r="40" spans="1:25" ht="20.25" customHeight="1" thickTop="1">
      <c r="B40" s="892"/>
      <c r="C40" s="893"/>
      <c r="D40" s="894"/>
      <c r="E40" s="895"/>
      <c r="F40" s="896"/>
      <c r="G40" s="896"/>
      <c r="H40" s="897"/>
    </row>
    <row r="41" spans="1:25" ht="41.4">
      <c r="B41" s="717" t="s">
        <v>2376</v>
      </c>
      <c r="C41" s="718" t="s">
        <v>1497</v>
      </c>
      <c r="D41" s="719" t="s">
        <v>2611</v>
      </c>
      <c r="E41" s="720" t="s">
        <v>1487</v>
      </c>
      <c r="F41" s="719" t="s">
        <v>2614</v>
      </c>
      <c r="G41" s="719" t="s">
        <v>2613</v>
      </c>
      <c r="H41" s="721" t="s">
        <v>2612</v>
      </c>
    </row>
    <row r="42" spans="1:25" ht="19.05" customHeight="1">
      <c r="B42" s="722" t="s">
        <v>519</v>
      </c>
      <c r="C42" s="723" t="s">
        <v>36</v>
      </c>
      <c r="D42" s="724">
        <v>2</v>
      </c>
      <c r="E42" s="725">
        <v>672</v>
      </c>
      <c r="F42" s="732">
        <v>0.3883928571428571</v>
      </c>
      <c r="G42" s="732">
        <v>1</v>
      </c>
      <c r="H42" s="733">
        <v>1</v>
      </c>
    </row>
    <row r="43" spans="1:25" ht="19.05" customHeight="1">
      <c r="B43" s="722" t="s">
        <v>961</v>
      </c>
      <c r="C43" s="723" t="s">
        <v>2754</v>
      </c>
      <c r="D43" s="724">
        <v>12</v>
      </c>
      <c r="E43" s="725">
        <v>8047</v>
      </c>
      <c r="F43" s="732">
        <v>0.84466260718280106</v>
      </c>
      <c r="G43" s="732">
        <v>1</v>
      </c>
      <c r="H43" s="733">
        <v>1</v>
      </c>
    </row>
    <row r="44" spans="1:25" ht="19.05" customHeight="1">
      <c r="B44" s="722" t="s">
        <v>522</v>
      </c>
      <c r="C44" s="723" t="s">
        <v>3152</v>
      </c>
      <c r="D44" s="724">
        <v>6</v>
      </c>
      <c r="E44" s="725">
        <v>2002</v>
      </c>
      <c r="F44" s="732">
        <v>1</v>
      </c>
      <c r="G44" s="732">
        <v>1</v>
      </c>
      <c r="H44" s="733">
        <v>1</v>
      </c>
    </row>
    <row r="45" spans="1:25" ht="19.05" customHeight="1">
      <c r="B45" s="722" t="s">
        <v>972</v>
      </c>
      <c r="C45" s="723" t="s">
        <v>2754</v>
      </c>
      <c r="D45" s="724">
        <v>10</v>
      </c>
      <c r="E45" s="725">
        <v>2494</v>
      </c>
      <c r="F45" s="732">
        <v>1</v>
      </c>
      <c r="G45" s="732">
        <v>1</v>
      </c>
      <c r="H45" s="733">
        <v>1</v>
      </c>
    </row>
    <row r="46" spans="1:25" ht="19.05" customHeight="1">
      <c r="B46" s="722" t="s">
        <v>536</v>
      </c>
      <c r="C46" s="723" t="s">
        <v>3152</v>
      </c>
      <c r="D46" s="724">
        <v>9</v>
      </c>
      <c r="E46" s="725">
        <v>4373</v>
      </c>
      <c r="F46" s="732">
        <v>1</v>
      </c>
      <c r="G46" s="732">
        <v>1</v>
      </c>
      <c r="H46" s="733">
        <v>1</v>
      </c>
    </row>
    <row r="47" spans="1:25" ht="19.05" customHeight="1" thickBot="1">
      <c r="B47" s="722" t="s">
        <v>984</v>
      </c>
      <c r="C47" s="723" t="s">
        <v>2754</v>
      </c>
      <c r="D47" s="724">
        <v>10</v>
      </c>
      <c r="E47" s="725">
        <v>1961</v>
      </c>
      <c r="F47" s="732">
        <v>1</v>
      </c>
      <c r="G47" s="732">
        <v>1</v>
      </c>
      <c r="H47" s="733">
        <v>1</v>
      </c>
      <c r="U47" s="165"/>
      <c r="V47"/>
      <c r="W47"/>
      <c r="X47"/>
      <c r="Y47"/>
    </row>
    <row r="48" spans="1:25" ht="25.5" customHeight="1" thickTop="1" thickBot="1">
      <c r="B48" s="714"/>
      <c r="C48" s="714" t="s">
        <v>1488</v>
      </c>
      <c r="D48" s="715">
        <v>49</v>
      </c>
      <c r="E48" s="716">
        <v>19549</v>
      </c>
      <c r="F48" s="734">
        <v>0.91503401708527288</v>
      </c>
      <c r="G48" s="734">
        <v>1</v>
      </c>
      <c r="H48" s="735">
        <v>1</v>
      </c>
      <c r="U48" s="159"/>
      <c r="V48" s="421"/>
      <c r="W48" s="421"/>
      <c r="X48"/>
      <c r="Y48"/>
    </row>
    <row r="49" spans="21:25" ht="16.2" thickTop="1">
      <c r="U49" s="159"/>
      <c r="V49" s="421"/>
      <c r="W49" s="421"/>
      <c r="X49"/>
      <c r="Y49"/>
    </row>
    <row r="50" spans="21:25" ht="15.6">
      <c r="U50" s="159"/>
      <c r="V50" s="421"/>
      <c r="W50" s="421"/>
      <c r="X50" s="421"/>
      <c r="Y50" s="421"/>
    </row>
    <row r="51" spans="21:25" ht="15.6">
      <c r="U51" s="159"/>
      <c r="V51" s="421"/>
      <c r="W51" s="421"/>
      <c r="X51"/>
      <c r="Y51"/>
    </row>
    <row r="52" spans="21:25" ht="15.6">
      <c r="U52" s="159"/>
      <c r="V52" s="421"/>
      <c r="W52" s="421"/>
      <c r="X52" s="421"/>
      <c r="Y52" s="421"/>
    </row>
    <row r="53" spans="21:25" ht="15.6">
      <c r="U53" s="159"/>
      <c r="V53" s="421"/>
      <c r="W53" s="421"/>
      <c r="X53" s="421"/>
      <c r="Y53" s="421"/>
    </row>
    <row r="54" spans="21:25" ht="15.6">
      <c r="U54" s="159"/>
      <c r="V54" s="421"/>
      <c r="W54" s="421"/>
      <c r="X54" s="421"/>
      <c r="Y54" s="421"/>
    </row>
    <row r="55" spans="21:25" ht="15.6">
      <c r="U55" s="159"/>
      <c r="V55" s="421"/>
      <c r="W55" s="421"/>
      <c r="X55" s="421"/>
      <c r="Y55" s="421"/>
    </row>
    <row r="56" spans="21:25" ht="15.6">
      <c r="U56" s="159"/>
      <c r="V56" s="421"/>
      <c r="W56" s="421"/>
      <c r="X56"/>
      <c r="Y56"/>
    </row>
    <row r="57" spans="21:25" ht="24" customHeight="1">
      <c r="U57" s="159"/>
      <c r="V57" s="421"/>
      <c r="W57" s="421"/>
    </row>
    <row r="58" spans="21:25" ht="6.6" customHeight="1">
      <c r="U58" s="159"/>
      <c r="V58" s="421"/>
      <c r="W58" s="421"/>
    </row>
    <row r="59" spans="21:25" ht="49.5" customHeight="1">
      <c r="U59" s="159"/>
      <c r="V59" s="421"/>
      <c r="W59"/>
      <c r="X59"/>
    </row>
    <row r="60" spans="21:25" ht="15.6">
      <c r="U60" s="159"/>
      <c r="V60" s="421"/>
      <c r="W60" s="421"/>
      <c r="X60" s="421"/>
    </row>
    <row r="61" spans="21:25" ht="15.6">
      <c r="U61" s="159"/>
      <c r="V61" s="421"/>
      <c r="W61" s="421"/>
      <c r="X61" s="421"/>
    </row>
    <row r="62" spans="21:25" ht="15.6">
      <c r="U62" s="159"/>
      <c r="V62" s="421"/>
      <c r="W62" s="421"/>
      <c r="X62" s="421"/>
    </row>
    <row r="63" spans="21:25" ht="15.6">
      <c r="U63" s="159"/>
      <c r="V63" s="421"/>
      <c r="W63" s="421"/>
      <c r="X63" s="421"/>
    </row>
    <row r="64" spans="21:25" ht="15.6">
      <c r="U64" s="159"/>
      <c r="V64" s="421"/>
      <c r="W64" s="421"/>
      <c r="X64" s="421"/>
    </row>
    <row r="65" spans="7:24" ht="15.6">
      <c r="U65" s="159"/>
      <c r="V65" s="421"/>
      <c r="W65" s="421"/>
      <c r="X65" s="421"/>
    </row>
    <row r="66" spans="7:24" s="662" customFormat="1" ht="25.05" customHeight="1">
      <c r="V66" s="159"/>
      <c r="W66" s="159"/>
      <c r="X66" s="159"/>
    </row>
    <row r="67" spans="7:24" ht="15.6">
      <c r="V67"/>
      <c r="W67"/>
      <c r="X67"/>
    </row>
    <row r="68" spans="7:24" ht="15.6">
      <c r="V68"/>
      <c r="W68"/>
      <c r="X68"/>
    </row>
    <row r="69" spans="7:24" ht="15.6">
      <c r="V69"/>
      <c r="W69"/>
      <c r="X69"/>
    </row>
    <row r="70" spans="7:24" ht="15.6">
      <c r="V70"/>
      <c r="W70"/>
      <c r="X70"/>
    </row>
    <row r="71" spans="7:24" ht="15.6">
      <c r="V71"/>
      <c r="W71"/>
      <c r="X71"/>
    </row>
    <row r="72" spans="7:24" ht="15.6">
      <c r="V72"/>
      <c r="W72"/>
      <c r="X72"/>
    </row>
    <row r="73" spans="7:24" ht="15.6">
      <c r="V73"/>
      <c r="W73"/>
      <c r="X73"/>
    </row>
    <row r="74" spans="7:24" ht="15.6">
      <c r="G74" s="17" t="s">
        <v>3178</v>
      </c>
      <c r="V74"/>
      <c r="W74"/>
      <c r="X74"/>
    </row>
    <row r="75" spans="7:24" ht="15.6">
      <c r="V75"/>
      <c r="W75"/>
      <c r="X75"/>
    </row>
    <row r="76" spans="7:24" ht="15.6">
      <c r="V76"/>
      <c r="W76"/>
      <c r="X76"/>
    </row>
    <row r="77" spans="7:24" ht="15.6">
      <c r="V77"/>
      <c r="W77"/>
      <c r="X77"/>
    </row>
    <row r="78" spans="7:24" ht="15.6">
      <c r="V78"/>
      <c r="W78"/>
      <c r="X78"/>
    </row>
    <row r="79" spans="7:24" ht="15.6">
      <c r="V79"/>
      <c r="W79"/>
      <c r="X79"/>
    </row>
    <row r="80" spans="7:24" ht="15.6">
      <c r="V80"/>
      <c r="W80"/>
      <c r="X80"/>
    </row>
    <row r="81" spans="22:24" ht="15.6">
      <c r="V81"/>
      <c r="W81"/>
      <c r="X81"/>
    </row>
    <row r="82" spans="22:24" ht="15.6">
      <c r="V82"/>
      <c r="W82"/>
      <c r="X82"/>
    </row>
    <row r="83" spans="22:24" ht="15.6">
      <c r="V83"/>
      <c r="W83"/>
      <c r="X83"/>
    </row>
    <row r="84" spans="22:24" ht="15.6">
      <c r="V84"/>
      <c r="W84"/>
      <c r="X84"/>
    </row>
    <row r="85" spans="22:24" ht="15.6">
      <c r="V85"/>
      <c r="W85"/>
      <c r="X85"/>
    </row>
    <row r="86" spans="22:24" ht="15.6">
      <c r="V86"/>
      <c r="W86"/>
      <c r="X86"/>
    </row>
    <row r="87" spans="22:24" ht="15.6">
      <c r="V87"/>
      <c r="W87"/>
      <c r="X87"/>
    </row>
    <row r="88" spans="22:24" ht="15.6">
      <c r="V88"/>
      <c r="W88"/>
      <c r="X88"/>
    </row>
    <row r="89" spans="22:24" ht="15.6">
      <c r="V89"/>
      <c r="W89"/>
      <c r="X89"/>
    </row>
    <row r="90" spans="22:24" ht="15.6">
      <c r="V90"/>
      <c r="W90"/>
      <c r="X90"/>
    </row>
    <row r="91" spans="22:24" ht="15.6">
      <c r="V91"/>
      <c r="W91"/>
      <c r="X91"/>
    </row>
    <row r="92" spans="22:24" ht="15.6">
      <c r="V92"/>
      <c r="W92"/>
      <c r="X92"/>
    </row>
    <row r="93" spans="22:24" ht="15.6">
      <c r="V93"/>
      <c r="W93"/>
      <c r="X93"/>
    </row>
    <row r="94" spans="22:24" ht="15.6">
      <c r="V94"/>
      <c r="W94"/>
      <c r="X94"/>
    </row>
    <row r="95" spans="22:24" ht="15.6">
      <c r="V95"/>
      <c r="W95"/>
      <c r="X95"/>
    </row>
    <row r="96" spans="22:24" ht="15.6">
      <c r="V96"/>
      <c r="W96"/>
      <c r="X96"/>
    </row>
    <row r="97" spans="22:24" ht="15.6">
      <c r="V97"/>
      <c r="W97"/>
      <c r="X97"/>
    </row>
    <row r="98" spans="22:24" ht="15.6">
      <c r="V98"/>
      <c r="W98"/>
      <c r="X98"/>
    </row>
    <row r="99" spans="22:24" ht="15.6">
      <c r="V99"/>
      <c r="W99"/>
      <c r="X99"/>
    </row>
    <row r="100" spans="22:24" ht="15.6">
      <c r="V100"/>
      <c r="W100"/>
      <c r="X100"/>
    </row>
    <row r="101" spans="22:24" ht="15.6">
      <c r="V101"/>
      <c r="W101"/>
      <c r="X101"/>
    </row>
    <row r="102" spans="22:24" ht="15.6">
      <c r="V102"/>
      <c r="W102"/>
      <c r="X102"/>
    </row>
    <row r="103" spans="22:24" ht="15.6">
      <c r="V103"/>
      <c r="W103"/>
      <c r="X103"/>
    </row>
    <row r="104" spans="22:24" ht="15.6">
      <c r="V104"/>
      <c r="W104"/>
      <c r="X104"/>
    </row>
    <row r="105" spans="22:24" ht="15.6">
      <c r="V105"/>
      <c r="W105"/>
      <c r="X105"/>
    </row>
    <row r="106" spans="22:24" ht="15.6">
      <c r="V106"/>
      <c r="W106"/>
      <c r="X106"/>
    </row>
    <row r="107" spans="22:24" ht="15.6">
      <c r="V107"/>
      <c r="W107"/>
      <c r="X107"/>
    </row>
    <row r="108" spans="22:24" ht="15.6">
      <c r="V108"/>
      <c r="W108"/>
      <c r="X108"/>
    </row>
    <row r="109" spans="22:24" ht="15.6">
      <c r="V109"/>
      <c r="W109"/>
      <c r="X109"/>
    </row>
    <row r="110" spans="22:24" ht="15.6">
      <c r="V110"/>
      <c r="W110"/>
      <c r="X110"/>
    </row>
    <row r="111" spans="22:24" ht="15.6">
      <c r="V111"/>
      <c r="W111"/>
      <c r="X111"/>
    </row>
    <row r="112" spans="22:24" ht="15.6">
      <c r="V112"/>
      <c r="W112"/>
      <c r="X112"/>
    </row>
    <row r="113" spans="22:24" ht="15.6">
      <c r="V113"/>
      <c r="W113"/>
      <c r="X113"/>
    </row>
    <row r="114" spans="22:24" ht="15.6">
      <c r="V114"/>
      <c r="W114"/>
      <c r="X114"/>
    </row>
    <row r="115" spans="22:24" ht="15.6">
      <c r="V115"/>
      <c r="W115"/>
      <c r="X115"/>
    </row>
    <row r="116" spans="22:24" ht="15.6">
      <c r="V116"/>
      <c r="W116"/>
      <c r="X116"/>
    </row>
    <row r="117" spans="22:24" ht="15.6">
      <c r="V117"/>
      <c r="W117"/>
      <c r="X117"/>
    </row>
    <row r="118" spans="22:24" ht="15.6">
      <c r="V118"/>
      <c r="W118"/>
      <c r="X118"/>
    </row>
    <row r="119" spans="22:24" ht="15.6">
      <c r="V119"/>
      <c r="W119"/>
      <c r="X119"/>
    </row>
    <row r="120" spans="22:24" ht="15.6">
      <c r="V120"/>
      <c r="W120"/>
      <c r="X120"/>
    </row>
    <row r="121" spans="22:24" ht="15.6">
      <c r="V121"/>
      <c r="W121"/>
      <c r="X121"/>
    </row>
    <row r="122" spans="22:24" ht="15.6">
      <c r="V122"/>
      <c r="W122"/>
      <c r="X122"/>
    </row>
    <row r="123" spans="22:24" ht="15.6">
      <c r="V123"/>
      <c r="W123"/>
      <c r="X123"/>
    </row>
    <row r="124" spans="22:24" ht="15.6">
      <c r="V124"/>
      <c r="W124"/>
      <c r="X124"/>
    </row>
    <row r="125" spans="22:24" ht="15.6">
      <c r="V125"/>
      <c r="W125"/>
      <c r="X125"/>
    </row>
    <row r="126" spans="22:24" ht="15.6">
      <c r="V126"/>
      <c r="W126"/>
      <c r="X126"/>
    </row>
    <row r="127" spans="22:24" ht="15.6">
      <c r="V127"/>
      <c r="W127"/>
      <c r="X127"/>
    </row>
    <row r="128" spans="22:24" ht="15.6">
      <c r="V128"/>
      <c r="W128"/>
      <c r="X128"/>
    </row>
    <row r="129" spans="22:24" ht="15.6">
      <c r="V129"/>
      <c r="W129"/>
      <c r="X129"/>
    </row>
    <row r="130" spans="22:24" ht="15.6">
      <c r="V130"/>
      <c r="W130"/>
      <c r="X130"/>
    </row>
    <row r="131" spans="22:24" ht="15.6">
      <c r="V131"/>
      <c r="W131"/>
    </row>
    <row r="132" spans="22:24" ht="15.6">
      <c r="V132"/>
      <c r="W132"/>
    </row>
    <row r="133" spans="22:24" ht="15.6">
      <c r="V133"/>
      <c r="W133"/>
    </row>
    <row r="134" spans="22:24" ht="15.6">
      <c r="V134"/>
      <c r="W134"/>
    </row>
    <row r="135" spans="22:24" ht="15.6">
      <c r="V135"/>
      <c r="W135"/>
    </row>
    <row r="136" spans="22:24" ht="15.6">
      <c r="V136"/>
      <c r="W136"/>
    </row>
    <row r="137" spans="22:24" ht="15.6">
      <c r="V137"/>
      <c r="W137"/>
    </row>
    <row r="138" spans="22:24" ht="15.6">
      <c r="V138"/>
      <c r="W138"/>
    </row>
    <row r="139" spans="22:24" ht="15.6">
      <c r="V139"/>
      <c r="W139"/>
    </row>
    <row r="140" spans="22:24" ht="15.6">
      <c r="V140"/>
      <c r="W140"/>
    </row>
    <row r="141" spans="22:24" ht="15.6">
      <c r="V141"/>
      <c r="W141"/>
    </row>
    <row r="142" spans="22:24" ht="15.6">
      <c r="V142"/>
      <c r="W142"/>
    </row>
    <row r="143" spans="22:24" ht="15.6">
      <c r="V143"/>
      <c r="W143"/>
    </row>
    <row r="144" spans="22:24" ht="15.6">
      <c r="V144"/>
      <c r="W144"/>
    </row>
    <row r="145" spans="22:23" ht="15.6">
      <c r="V145"/>
      <c r="W145"/>
    </row>
    <row r="146" spans="22:23" ht="15.6">
      <c r="V146"/>
      <c r="W146"/>
    </row>
    <row r="147" spans="22:23" ht="15.6">
      <c r="V147"/>
      <c r="W147"/>
    </row>
    <row r="148" spans="22:23" ht="15.6">
      <c r="V148"/>
      <c r="W148"/>
    </row>
    <row r="149" spans="22:23" ht="15.6">
      <c r="V149"/>
      <c r="W149"/>
    </row>
    <row r="150" spans="22:23" ht="15.6">
      <c r="V150"/>
      <c r="W150"/>
    </row>
    <row r="151" spans="22:23" ht="15.6">
      <c r="V151"/>
      <c r="W151"/>
    </row>
    <row r="152" spans="22:23" ht="15.6">
      <c r="V152"/>
      <c r="W152"/>
    </row>
    <row r="153" spans="22:23" ht="15.6">
      <c r="V153"/>
      <c r="W153"/>
    </row>
    <row r="154" spans="22:23" ht="15.6">
      <c r="V154"/>
      <c r="W154"/>
    </row>
    <row r="155" spans="22:23" ht="15.6">
      <c r="V155"/>
      <c r="W155"/>
    </row>
    <row r="156" spans="22:23" ht="15.6">
      <c r="V156"/>
      <c r="W156"/>
    </row>
    <row r="157" spans="22:23" ht="15.6">
      <c r="V157"/>
      <c r="W157"/>
    </row>
    <row r="158" spans="22:23" ht="15.6">
      <c r="V158"/>
      <c r="W158"/>
    </row>
    <row r="159" spans="22:23" ht="15.6">
      <c r="V159"/>
      <c r="W159"/>
    </row>
    <row r="160" spans="22:23" ht="15.6">
      <c r="V160"/>
      <c r="W160"/>
    </row>
    <row r="161" spans="22:23" ht="15.6">
      <c r="V161"/>
      <c r="W161"/>
    </row>
    <row r="162" spans="22:23" ht="15.6">
      <c r="V162"/>
      <c r="W162"/>
    </row>
    <row r="163" spans="22:23" ht="15.6">
      <c r="V163"/>
      <c r="W163"/>
    </row>
    <row r="164" spans="22:23" ht="15.6">
      <c r="V164"/>
      <c r="W164"/>
    </row>
    <row r="165" spans="22:23" ht="15.6">
      <c r="V165"/>
      <c r="W165"/>
    </row>
  </sheetData>
  <mergeCells count="1">
    <mergeCell ref="B1:S1"/>
  </mergeCells>
  <conditionalFormatting sqref="F39:H39">
    <cfRule type="iconSet" priority="2">
      <iconSet reverse="1">
        <cfvo type="percent" val="0"/>
        <cfvo type="num" val="0" gte="0"/>
        <cfvo type="num" val="0.3"/>
      </iconSet>
    </cfRule>
  </conditionalFormatting>
  <conditionalFormatting sqref="F48:H48">
    <cfRule type="iconSet" priority="1">
      <iconSet reverse="1">
        <cfvo type="percent" val="0"/>
        <cfvo type="num" val="0" gte="0"/>
        <cfvo type="num" val="0.3"/>
      </iconSet>
    </cfRule>
  </conditionalFormatting>
  <conditionalFormatting sqref="F42:H47">
    <cfRule type="iconSet" priority="12572">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373"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F30:H38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6"/>
  <cols>
    <col min="1" max="1" width="15.09765625" style="468" customWidth="1"/>
    <col min="2" max="2" width="114" style="468" customWidth="1"/>
    <col min="3" max="16384" width="9" style="468"/>
  </cols>
  <sheetData>
    <row r="2" spans="1:2" ht="18">
      <c r="A2" s="1185" t="s">
        <v>2384</v>
      </c>
      <c r="B2" s="1185"/>
    </row>
    <row r="3" spans="1:2">
      <c r="A3" s="474" t="s">
        <v>21</v>
      </c>
      <c r="B3" s="475" t="s">
        <v>2170</v>
      </c>
    </row>
    <row r="4" spans="1:2">
      <c r="A4" s="507" t="s">
        <v>37</v>
      </c>
      <c r="B4" s="476" t="s">
        <v>2385</v>
      </c>
    </row>
    <row r="5" spans="1:2" ht="31.2">
      <c r="A5" s="632"/>
      <c r="B5" s="476" t="s">
        <v>2386</v>
      </c>
    </row>
    <row r="6" spans="1:2">
      <c r="A6" s="632"/>
      <c r="B6" s="476" t="s">
        <v>2387</v>
      </c>
    </row>
    <row r="7" spans="1:2" ht="31.2">
      <c r="A7" s="632"/>
      <c r="B7" s="476" t="s">
        <v>2388</v>
      </c>
    </row>
    <row r="8" spans="1:2">
      <c r="A8" s="632"/>
      <c r="B8" s="476" t="s">
        <v>2389</v>
      </c>
    </row>
    <row r="9" spans="1:2">
      <c r="A9" s="632"/>
      <c r="B9" s="476" t="s">
        <v>2390</v>
      </c>
    </row>
    <row r="10" spans="1:2" ht="31.2">
      <c r="A10" s="632"/>
      <c r="B10" s="476" t="s">
        <v>2391</v>
      </c>
    </row>
    <row r="11" spans="1:2" ht="31.2">
      <c r="A11" s="632"/>
      <c r="B11" s="476" t="s">
        <v>2392</v>
      </c>
    </row>
    <row r="12" spans="1:2">
      <c r="A12" s="632"/>
      <c r="B12" s="476" t="s">
        <v>2393</v>
      </c>
    </row>
    <row r="13" spans="1:2" ht="31.2">
      <c r="A13" s="632"/>
      <c r="B13" s="476" t="s">
        <v>2394</v>
      </c>
    </row>
    <row r="14" spans="1:2">
      <c r="A14" s="632"/>
      <c r="B14" s="476" t="s">
        <v>2395</v>
      </c>
    </row>
    <row r="15" spans="1:2">
      <c r="A15" s="632"/>
      <c r="B15" s="476" t="s">
        <v>2396</v>
      </c>
    </row>
    <row r="16" spans="1:2" ht="46.8">
      <c r="A16" s="508"/>
      <c r="B16" s="476" t="s">
        <v>2397</v>
      </c>
    </row>
    <row r="17" spans="1:2" ht="31.2">
      <c r="A17" s="508"/>
      <c r="B17" s="476" t="s">
        <v>2398</v>
      </c>
    </row>
    <row r="18" spans="1:2" ht="31.2">
      <c r="A18" s="508"/>
      <c r="B18" s="476" t="s">
        <v>2399</v>
      </c>
    </row>
    <row r="19" spans="1:2" ht="31.2">
      <c r="A19" s="508"/>
      <c r="B19" s="476" t="s">
        <v>2400</v>
      </c>
    </row>
    <row r="20" spans="1:2" ht="31.2">
      <c r="A20" s="508"/>
      <c r="B20" s="476" t="s">
        <v>2401</v>
      </c>
    </row>
    <row r="21" spans="1:2">
      <c r="A21" s="503" t="s">
        <v>2171</v>
      </c>
      <c r="B21" s="477" t="s">
        <v>2172</v>
      </c>
    </row>
    <row r="22" spans="1:2">
      <c r="A22" s="501" t="s">
        <v>37</v>
      </c>
      <c r="B22" s="478" t="s">
        <v>2402</v>
      </c>
    </row>
    <row r="23" spans="1:2" ht="31.2">
      <c r="A23" s="633"/>
      <c r="B23" s="478" t="s">
        <v>2403</v>
      </c>
    </row>
    <row r="24" spans="1:2" ht="31.2">
      <c r="A24" s="633"/>
      <c r="B24" s="478" t="s">
        <v>2404</v>
      </c>
    </row>
    <row r="25" spans="1:2">
      <c r="A25" s="633"/>
      <c r="B25" s="478" t="s">
        <v>2405</v>
      </c>
    </row>
    <row r="26" spans="1:2">
      <c r="A26" s="633"/>
      <c r="B26" s="478" t="s">
        <v>2406</v>
      </c>
    </row>
    <row r="27" spans="1:2">
      <c r="A27" s="633"/>
      <c r="B27" s="478" t="s">
        <v>2407</v>
      </c>
    </row>
    <row r="28" spans="1:2" ht="31.2">
      <c r="A28" s="633"/>
      <c r="B28" s="478" t="s">
        <v>2408</v>
      </c>
    </row>
    <row r="29" spans="1:2">
      <c r="A29" s="633"/>
      <c r="B29" s="478" t="s">
        <v>2409</v>
      </c>
    </row>
    <row r="30" spans="1:2">
      <c r="A30" s="633"/>
      <c r="B30" s="478" t="s">
        <v>2410</v>
      </c>
    </row>
    <row r="31" spans="1:2">
      <c r="A31" s="633"/>
      <c r="B31" s="478" t="s">
        <v>2411</v>
      </c>
    </row>
    <row r="32" spans="1:2">
      <c r="A32" s="633"/>
      <c r="B32" s="478" t="s">
        <v>2412</v>
      </c>
    </row>
    <row r="33" spans="1:2">
      <c r="A33" s="502"/>
      <c r="B33" s="478" t="s">
        <v>2413</v>
      </c>
    </row>
    <row r="34" spans="1:2">
      <c r="A34" s="502"/>
      <c r="B34" s="478" t="s">
        <v>2414</v>
      </c>
    </row>
    <row r="35" spans="1:2">
      <c r="A35" s="502"/>
      <c r="B35" s="478" t="s">
        <v>2415</v>
      </c>
    </row>
    <row r="36" spans="1:2">
      <c r="A36" s="502"/>
      <c r="B36" s="478" t="s">
        <v>2416</v>
      </c>
    </row>
    <row r="37" spans="1:2" ht="31.2">
      <c r="A37" s="502"/>
      <c r="B37" s="478" t="s">
        <v>2417</v>
      </c>
    </row>
    <row r="38" spans="1:2">
      <c r="A38" s="502"/>
      <c r="B38" s="478" t="s">
        <v>2418</v>
      </c>
    </row>
    <row r="39" spans="1:2">
      <c r="A39" s="479" t="s">
        <v>2171</v>
      </c>
      <c r="B39" s="479" t="s">
        <v>2173</v>
      </c>
    </row>
    <row r="40" spans="1:2">
      <c r="A40" s="480" t="s">
        <v>37</v>
      </c>
      <c r="B40" s="481" t="s">
        <v>2419</v>
      </c>
    </row>
    <row r="41" spans="1:2">
      <c r="A41" s="480"/>
      <c r="B41" s="481" t="s">
        <v>2420</v>
      </c>
    </row>
    <row r="42" spans="1:2">
      <c r="A42" s="480"/>
      <c r="B42" s="481" t="s">
        <v>2421</v>
      </c>
    </row>
    <row r="43" spans="1:2">
      <c r="A43" s="480"/>
      <c r="B43" s="481" t="s">
        <v>2422</v>
      </c>
    </row>
    <row r="44" spans="1:2">
      <c r="A44" s="480"/>
      <c r="B44" s="481" t="s">
        <v>2423</v>
      </c>
    </row>
    <row r="45" spans="1:2">
      <c r="A45" s="480"/>
      <c r="B45" s="481" t="s">
        <v>2424</v>
      </c>
    </row>
    <row r="46" spans="1:2">
      <c r="A46" s="480"/>
      <c r="B46" s="481" t="s">
        <v>2425</v>
      </c>
    </row>
    <row r="47" spans="1:2">
      <c r="A47" s="480"/>
      <c r="B47" s="481" t="s">
        <v>2426</v>
      </c>
    </row>
    <row r="48" spans="1:2">
      <c r="A48" s="480"/>
      <c r="B48" s="481" t="s">
        <v>2427</v>
      </c>
    </row>
    <row r="49" spans="1:2">
      <c r="A49" s="480"/>
      <c r="B49" s="481" t="s">
        <v>2428</v>
      </c>
    </row>
    <row r="50" spans="1:2">
      <c r="A50" s="480"/>
      <c r="B50" s="481" t="s">
        <v>2429</v>
      </c>
    </row>
    <row r="51" spans="1:2">
      <c r="A51" s="480"/>
      <c r="B51" s="481" t="s">
        <v>2430</v>
      </c>
    </row>
    <row r="52" spans="1:2" ht="31.2">
      <c r="A52" s="480"/>
      <c r="B52" s="481" t="s">
        <v>2431</v>
      </c>
    </row>
    <row r="53" spans="1:2" ht="31.2">
      <c r="A53" s="480"/>
      <c r="B53" s="481" t="s">
        <v>2432</v>
      </c>
    </row>
    <row r="54" spans="1:2">
      <c r="A54" s="480"/>
      <c r="B54" s="481" t="s">
        <v>2433</v>
      </c>
    </row>
    <row r="55" spans="1:2">
      <c r="A55" s="480"/>
      <c r="B55" s="481" t="s">
        <v>2434</v>
      </c>
    </row>
    <row r="56" spans="1:2">
      <c r="A56" s="480"/>
      <c r="B56" s="481" t="s">
        <v>2435</v>
      </c>
    </row>
  </sheetData>
  <mergeCells count="1">
    <mergeCell ref="A2:B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87" sqref="B87"/>
    </sheetView>
  </sheetViews>
  <sheetFormatPr defaultColWidth="9" defaultRowHeight="15.6"/>
  <cols>
    <col min="1" max="1" width="31.69921875" style="59" bestFit="1" customWidth="1"/>
    <col min="2" max="2" width="20.5" style="59" bestFit="1" customWidth="1"/>
    <col min="3" max="3" width="10.3984375" style="59" bestFit="1" customWidth="1"/>
    <col min="4" max="4" width="65.69921875" style="59" hidden="1" customWidth="1"/>
    <col min="5" max="5" width="73.69921875" style="59" hidden="1" customWidth="1"/>
    <col min="6" max="6" width="86" style="59" hidden="1" customWidth="1"/>
    <col min="7" max="7" width="11" style="59" customWidth="1"/>
    <col min="8" max="16384" width="9" style="59"/>
  </cols>
  <sheetData>
    <row r="27" spans="1:7" hidden="1">
      <c r="A27" s="995" t="s">
        <v>20</v>
      </c>
      <c r="B27" s="996" t="s">
        <v>1476</v>
      </c>
    </row>
    <row r="28" spans="1:7" hidden="1"/>
    <row r="29" spans="1:7" s="88" customFormat="1" ht="31.2" hidden="1">
      <c r="A29" s="1039" t="s">
        <v>21</v>
      </c>
      <c r="B29" s="1039" t="s">
        <v>22</v>
      </c>
      <c r="C29" s="1003" t="s">
        <v>1528</v>
      </c>
      <c r="D29" s="996" t="s">
        <v>2129</v>
      </c>
      <c r="E29" s="996" t="s">
        <v>2128</v>
      </c>
      <c r="F29" s="996" t="s">
        <v>2127</v>
      </c>
      <c r="G29"/>
    </row>
    <row r="30" spans="1:7" hidden="1">
      <c r="A30" s="996" t="s">
        <v>37</v>
      </c>
      <c r="B30" s="996" t="s">
        <v>195</v>
      </c>
      <c r="C30" s="997">
        <v>15779</v>
      </c>
      <c r="D30" s="997">
        <v>10937</v>
      </c>
      <c r="E30" s="997">
        <v>10221</v>
      </c>
      <c r="F30" s="997">
        <v>13679</v>
      </c>
      <c r="G30"/>
    </row>
    <row r="31" spans="1:7" hidden="1">
      <c r="A31" s="996"/>
      <c r="B31" s="996" t="s">
        <v>146</v>
      </c>
      <c r="C31" s="997">
        <v>5653</v>
      </c>
      <c r="D31" s="997">
        <v>4421</v>
      </c>
      <c r="E31" s="997">
        <v>4436</v>
      </c>
      <c r="F31" s="997">
        <v>3068</v>
      </c>
      <c r="G31"/>
    </row>
    <row r="32" spans="1:7" hidden="1">
      <c r="A32" s="996"/>
      <c r="B32" s="996" t="s">
        <v>148</v>
      </c>
      <c r="C32" s="997">
        <v>8820</v>
      </c>
      <c r="D32" s="997">
        <v>7667</v>
      </c>
      <c r="E32" s="997">
        <v>6605</v>
      </c>
      <c r="F32" s="997">
        <v>7033.666666666667</v>
      </c>
      <c r="G32"/>
    </row>
    <row r="33" spans="1:7" hidden="1">
      <c r="A33" s="996"/>
      <c r="B33" s="996" t="s">
        <v>38</v>
      </c>
      <c r="C33" s="997">
        <v>25577</v>
      </c>
      <c r="D33" s="997">
        <v>20708</v>
      </c>
      <c r="E33" s="997">
        <v>21669</v>
      </c>
      <c r="F33" s="997">
        <v>18541.333333333332</v>
      </c>
      <c r="G33"/>
    </row>
    <row r="34" spans="1:7" hidden="1">
      <c r="A34" s="996"/>
      <c r="B34" s="996" t="s">
        <v>152</v>
      </c>
      <c r="C34" s="997">
        <v>3240</v>
      </c>
      <c r="D34" s="997">
        <v>2485</v>
      </c>
      <c r="E34" s="997">
        <v>2368</v>
      </c>
      <c r="F34" s="997">
        <v>3102</v>
      </c>
      <c r="G34"/>
    </row>
    <row r="35" spans="1:7" hidden="1">
      <c r="A35" s="996"/>
      <c r="B35" s="996" t="s">
        <v>157</v>
      </c>
      <c r="C35" s="997">
        <v>773</v>
      </c>
      <c r="D35" s="997">
        <v>446</v>
      </c>
      <c r="E35" s="997">
        <v>236</v>
      </c>
      <c r="F35" s="997">
        <v>379</v>
      </c>
      <c r="G35"/>
    </row>
    <row r="36" spans="1:7" hidden="1">
      <c r="A36" s="996"/>
      <c r="B36" s="996" t="s">
        <v>205</v>
      </c>
      <c r="C36" s="997">
        <v>62831</v>
      </c>
      <c r="D36" s="997">
        <v>35197</v>
      </c>
      <c r="E36" s="997">
        <v>35265</v>
      </c>
      <c r="F36" s="997">
        <v>21700.799999999999</v>
      </c>
      <c r="G36"/>
    </row>
    <row r="37" spans="1:7" hidden="1">
      <c r="A37" s="996"/>
      <c r="B37" s="996" t="s">
        <v>159</v>
      </c>
      <c r="C37" s="997">
        <v>22841</v>
      </c>
      <c r="D37" s="997">
        <v>15717</v>
      </c>
      <c r="E37" s="997">
        <v>16617</v>
      </c>
      <c r="F37" s="997">
        <v>22547</v>
      </c>
      <c r="G37"/>
    </row>
    <row r="38" spans="1:7" hidden="1">
      <c r="A38" s="996"/>
      <c r="B38" s="996" t="s">
        <v>173</v>
      </c>
      <c r="C38" s="997">
        <v>289</v>
      </c>
      <c r="D38" s="997">
        <v>289</v>
      </c>
      <c r="E38" s="997">
        <v>240</v>
      </c>
      <c r="F38" s="997">
        <v>289</v>
      </c>
      <c r="G38"/>
    </row>
    <row r="39" spans="1:7" hidden="1">
      <c r="A39" s="996"/>
      <c r="B39" s="996" t="s">
        <v>214</v>
      </c>
      <c r="C39" s="997">
        <v>3758</v>
      </c>
      <c r="D39" s="997">
        <v>987</v>
      </c>
      <c r="E39" s="997">
        <v>1068</v>
      </c>
      <c r="F39" s="997">
        <v>3758</v>
      </c>
      <c r="G39"/>
    </row>
    <row r="40" spans="1:7" hidden="1">
      <c r="A40" s="996"/>
      <c r="B40" s="996" t="s">
        <v>184</v>
      </c>
      <c r="C40" s="997">
        <v>1890</v>
      </c>
      <c r="D40" s="997">
        <v>1225</v>
      </c>
      <c r="E40" s="997">
        <v>1548</v>
      </c>
      <c r="F40" s="997">
        <v>676</v>
      </c>
      <c r="G40"/>
    </row>
    <row r="41" spans="1:7" hidden="1">
      <c r="A41" s="996"/>
      <c r="B41" s="996" t="s">
        <v>863</v>
      </c>
      <c r="C41" s="997">
        <v>2519</v>
      </c>
      <c r="D41" s="997">
        <v>1869</v>
      </c>
      <c r="E41" s="997">
        <v>483</v>
      </c>
      <c r="F41" s="997">
        <v>1927</v>
      </c>
      <c r="G41"/>
    </row>
    <row r="42" spans="1:7" hidden="1">
      <c r="A42" s="996"/>
      <c r="B42" s="996" t="s">
        <v>142</v>
      </c>
      <c r="C42" s="997">
        <v>61094</v>
      </c>
      <c r="D42" s="997">
        <v>35681</v>
      </c>
      <c r="E42" s="997">
        <v>40559</v>
      </c>
      <c r="F42" s="997">
        <v>22948.585185185191</v>
      </c>
      <c r="G42"/>
    </row>
    <row r="43" spans="1:7" hidden="1">
      <c r="A43" s="996"/>
      <c r="B43" s="996" t="s">
        <v>587</v>
      </c>
      <c r="C43" s="997">
        <v>1177</v>
      </c>
      <c r="D43" s="997">
        <v>1177</v>
      </c>
      <c r="E43" s="997">
        <v>856</v>
      </c>
      <c r="F43" s="997">
        <v>591</v>
      </c>
      <c r="G43"/>
    </row>
    <row r="44" spans="1:7" hidden="1">
      <c r="A44" s="996" t="s">
        <v>1489</v>
      </c>
      <c r="B44" s="996"/>
      <c r="C44" s="997">
        <v>216241</v>
      </c>
      <c r="D44" s="997">
        <v>138806</v>
      </c>
      <c r="E44" s="997">
        <v>142171</v>
      </c>
      <c r="F44" s="997">
        <v>120240.38518518519</v>
      </c>
      <c r="G44"/>
    </row>
    <row r="45" spans="1:7" hidden="1">
      <c r="A45" s="996" t="s">
        <v>515</v>
      </c>
      <c r="B45" s="996" t="s">
        <v>534</v>
      </c>
      <c r="C45" s="997">
        <v>802</v>
      </c>
      <c r="D45" s="997">
        <v>802</v>
      </c>
      <c r="E45" s="997">
        <v>796</v>
      </c>
      <c r="F45" s="997">
        <v>802</v>
      </c>
      <c r="G45"/>
    </row>
    <row r="46" spans="1:7" hidden="1">
      <c r="A46" s="996"/>
      <c r="B46" s="996" t="s">
        <v>556</v>
      </c>
      <c r="C46" s="997">
        <v>269</v>
      </c>
      <c r="D46" s="997">
        <v>59</v>
      </c>
      <c r="E46" s="997">
        <v>0</v>
      </c>
      <c r="F46" s="997">
        <v>0</v>
      </c>
      <c r="G46"/>
    </row>
    <row r="47" spans="1:7" hidden="1">
      <c r="A47" s="996"/>
      <c r="B47" s="996" t="s">
        <v>519</v>
      </c>
      <c r="C47" s="997">
        <v>9428</v>
      </c>
      <c r="D47" s="997">
        <v>7748</v>
      </c>
      <c r="E47" s="997">
        <v>8618</v>
      </c>
      <c r="F47" s="997">
        <v>8842.6666666666679</v>
      </c>
      <c r="G47"/>
    </row>
    <row r="48" spans="1:7" hidden="1">
      <c r="A48" s="996"/>
      <c r="B48" s="996" t="s">
        <v>961</v>
      </c>
      <c r="C48" s="997">
        <v>206</v>
      </c>
      <c r="D48" s="997">
        <v>103</v>
      </c>
      <c r="E48" s="997">
        <v>206</v>
      </c>
      <c r="F48" s="997">
        <v>206</v>
      </c>
      <c r="G48"/>
    </row>
    <row r="49" spans="1:7" hidden="1">
      <c r="A49" s="996"/>
      <c r="B49" s="996" t="s">
        <v>522</v>
      </c>
      <c r="C49" s="997">
        <v>564</v>
      </c>
      <c r="D49" s="997">
        <v>564</v>
      </c>
      <c r="E49" s="997">
        <v>564</v>
      </c>
      <c r="F49" s="997">
        <v>564</v>
      </c>
      <c r="G49"/>
    </row>
    <row r="50" spans="1:7" hidden="1">
      <c r="A50" s="996"/>
      <c r="B50" s="996" t="s">
        <v>525</v>
      </c>
      <c r="C50" s="997">
        <v>2046</v>
      </c>
      <c r="D50" s="997">
        <v>1831</v>
      </c>
      <c r="E50" s="997">
        <v>920</v>
      </c>
      <c r="F50" s="997">
        <v>1740</v>
      </c>
      <c r="G50"/>
    </row>
    <row r="51" spans="1:7" hidden="1">
      <c r="A51" s="996"/>
      <c r="B51" s="996" t="s">
        <v>516</v>
      </c>
      <c r="C51" s="997">
        <v>2510</v>
      </c>
      <c r="D51" s="997">
        <v>2187</v>
      </c>
      <c r="E51" s="997">
        <v>2080</v>
      </c>
      <c r="F51" s="997">
        <v>2510</v>
      </c>
      <c r="G51"/>
    </row>
    <row r="52" spans="1:7" hidden="1">
      <c r="A52" s="996"/>
      <c r="B52" s="996" t="s">
        <v>536</v>
      </c>
      <c r="C52" s="997">
        <v>1321</v>
      </c>
      <c r="D52" s="997">
        <v>1244</v>
      </c>
      <c r="E52" s="997">
        <v>1207</v>
      </c>
      <c r="F52" s="997">
        <v>1169.6666666666667</v>
      </c>
      <c r="G52"/>
    </row>
    <row r="53" spans="1:7" hidden="1">
      <c r="A53" s="996"/>
      <c r="B53" s="996" t="s">
        <v>963</v>
      </c>
      <c r="C53" s="997">
        <v>13895</v>
      </c>
      <c r="D53" s="997">
        <v>490</v>
      </c>
      <c r="E53" s="997">
        <v>7164</v>
      </c>
      <c r="F53" s="997">
        <v>3200</v>
      </c>
      <c r="G53"/>
    </row>
    <row r="54" spans="1:7" hidden="1">
      <c r="A54" s="996"/>
      <c r="B54" s="996" t="s">
        <v>960</v>
      </c>
      <c r="C54" s="997">
        <v>1312</v>
      </c>
      <c r="D54" s="997">
        <v>504</v>
      </c>
      <c r="E54" s="997">
        <v>304</v>
      </c>
      <c r="F54" s="997">
        <v>205</v>
      </c>
      <c r="G54"/>
    </row>
    <row r="55" spans="1:7" hidden="1">
      <c r="A55" s="996" t="s">
        <v>2087</v>
      </c>
      <c r="B55" s="996"/>
      <c r="C55" s="997">
        <v>32353</v>
      </c>
      <c r="D55" s="997">
        <v>15532</v>
      </c>
      <c r="E55" s="997">
        <v>21859</v>
      </c>
      <c r="F55" s="997">
        <v>19239.333333333336</v>
      </c>
      <c r="G55"/>
    </row>
    <row r="56" spans="1:7" hidden="1">
      <c r="A56" s="996" t="s">
        <v>1285</v>
      </c>
      <c r="B56" s="996"/>
      <c r="C56" s="997">
        <v>248594</v>
      </c>
      <c r="D56" s="997">
        <v>154338</v>
      </c>
      <c r="E56" s="997">
        <v>164030</v>
      </c>
      <c r="F56" s="997">
        <v>139479.71851851852</v>
      </c>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L26" sqref="L26"/>
    </sheetView>
  </sheetViews>
  <sheetFormatPr defaultColWidth="9" defaultRowHeight="15.6"/>
  <cols>
    <col min="1" max="1" width="44.19921875" style="59" hidden="1" customWidth="1"/>
    <col min="2" max="2" width="14.59765625" style="59" hidden="1" customWidth="1"/>
    <col min="3" max="3" width="57.69921875" style="59" hidden="1" customWidth="1"/>
    <col min="4" max="4" width="45.796875" style="59" hidden="1" customWidth="1"/>
    <col min="5" max="5" width="72.8984375" style="59" hidden="1" customWidth="1"/>
    <col min="6" max="6" width="37.19921875" style="59" hidden="1" customWidth="1"/>
    <col min="7" max="7" width="59.19921875" style="59" hidden="1" customWidth="1"/>
    <col min="8" max="8" width="9" style="59" customWidth="1"/>
    <col min="9" max="16384" width="9" style="59"/>
  </cols>
  <sheetData>
    <row r="1" spans="1:20" ht="25.8">
      <c r="A1" s="1186" t="s">
        <v>2756</v>
      </c>
      <c r="B1" s="1186"/>
      <c r="C1" s="1186"/>
      <c r="D1" s="1186"/>
      <c r="E1" s="1186"/>
      <c r="F1" s="1186"/>
      <c r="G1" s="1186"/>
      <c r="H1" s="1186"/>
      <c r="I1" s="1186"/>
      <c r="J1" s="1186"/>
      <c r="K1" s="1186"/>
      <c r="L1" s="1186"/>
      <c r="M1" s="1186"/>
      <c r="N1" s="1186"/>
      <c r="O1" s="1186"/>
      <c r="P1" s="1186"/>
      <c r="Q1" s="1186"/>
      <c r="R1" s="1186"/>
      <c r="S1" s="1186"/>
      <c r="T1" s="1186"/>
    </row>
    <row r="33" spans="1:7">
      <c r="A33"/>
      <c r="B33"/>
    </row>
    <row r="34" spans="1:7">
      <c r="A34" s="995" t="s">
        <v>20</v>
      </c>
      <c r="B34" s="996" t="s">
        <v>2785</v>
      </c>
    </row>
    <row r="35" spans="1:7">
      <c r="A35" s="1039" t="s">
        <v>22</v>
      </c>
      <c r="B35" s="996" t="s">
        <v>1476</v>
      </c>
    </row>
    <row r="36" spans="1:7">
      <c r="A36" s="1039" t="s">
        <v>21</v>
      </c>
      <c r="B36" s="996" t="s">
        <v>1476</v>
      </c>
    </row>
    <row r="37" spans="1:7">
      <c r="C37" s="164"/>
      <c r="D37" s="164"/>
      <c r="E37" s="164"/>
    </row>
    <row r="38" spans="1:7" s="88" customFormat="1" ht="31.2">
      <c r="A38" s="995" t="s">
        <v>23</v>
      </c>
      <c r="B38" s="1003" t="s">
        <v>1528</v>
      </c>
      <c r="C38" s="996" t="s">
        <v>2131</v>
      </c>
      <c r="D38" s="996" t="s">
        <v>2132</v>
      </c>
      <c r="E38" s="996" t="s">
        <v>2133</v>
      </c>
      <c r="F38"/>
      <c r="G38"/>
    </row>
    <row r="39" spans="1:7">
      <c r="A39" s="996" t="s">
        <v>814</v>
      </c>
      <c r="B39" s="997">
        <v>54</v>
      </c>
      <c r="C39" s="997">
        <v>0</v>
      </c>
      <c r="D39" s="997">
        <v>54</v>
      </c>
      <c r="E39" s="997">
        <v>54</v>
      </c>
      <c r="F39"/>
      <c r="G39"/>
    </row>
    <row r="40" spans="1:7">
      <c r="A40" s="996" t="s">
        <v>277</v>
      </c>
      <c r="B40" s="997">
        <v>1226</v>
      </c>
      <c r="C40" s="997">
        <v>1226</v>
      </c>
      <c r="D40" s="997">
        <v>789</v>
      </c>
      <c r="E40" s="997">
        <v>1226</v>
      </c>
      <c r="F40"/>
      <c r="G40"/>
    </row>
    <row r="41" spans="1:7">
      <c r="A41" s="996" t="s">
        <v>248</v>
      </c>
      <c r="B41" s="997">
        <v>435</v>
      </c>
      <c r="C41" s="997">
        <v>435</v>
      </c>
      <c r="D41" s="997">
        <v>308</v>
      </c>
      <c r="E41" s="997">
        <v>435</v>
      </c>
      <c r="F41"/>
      <c r="G41"/>
    </row>
    <row r="42" spans="1:7">
      <c r="A42" s="996" t="s">
        <v>249</v>
      </c>
      <c r="B42" s="997">
        <v>72</v>
      </c>
      <c r="C42" s="997">
        <v>72</v>
      </c>
      <c r="D42" s="997">
        <v>72</v>
      </c>
      <c r="E42" s="997">
        <v>72</v>
      </c>
      <c r="F42"/>
      <c r="G42"/>
    </row>
    <row r="43" spans="1:7">
      <c r="A43" s="996" t="s">
        <v>206</v>
      </c>
      <c r="B43" s="997">
        <v>605</v>
      </c>
      <c r="C43" s="997">
        <v>500</v>
      </c>
      <c r="D43" s="997">
        <v>560</v>
      </c>
      <c r="E43" s="997">
        <v>605</v>
      </c>
      <c r="F43"/>
      <c r="G43"/>
    </row>
    <row r="44" spans="1:7">
      <c r="A44" s="996" t="s">
        <v>196</v>
      </c>
      <c r="B44" s="997">
        <v>51</v>
      </c>
      <c r="C44" s="997">
        <v>51</v>
      </c>
      <c r="D44" s="997">
        <v>40</v>
      </c>
      <c r="E44" s="997">
        <v>51</v>
      </c>
      <c r="F44"/>
      <c r="G44"/>
    </row>
    <row r="45" spans="1:7">
      <c r="A45" s="996" t="s">
        <v>250</v>
      </c>
      <c r="B45" s="997">
        <v>250</v>
      </c>
      <c r="C45" s="997">
        <v>250</v>
      </c>
      <c r="D45" s="997">
        <v>200</v>
      </c>
      <c r="E45" s="997">
        <v>250</v>
      </c>
      <c r="F45"/>
      <c r="G45"/>
    </row>
    <row r="46" spans="1:7">
      <c r="A46" s="996" t="s">
        <v>236</v>
      </c>
      <c r="B46" s="997">
        <v>421</v>
      </c>
      <c r="C46" s="997">
        <v>421</v>
      </c>
      <c r="D46" s="997">
        <v>421</v>
      </c>
      <c r="E46" s="997">
        <v>0</v>
      </c>
      <c r="F46"/>
      <c r="G46"/>
    </row>
    <row r="47" spans="1:7">
      <c r="A47" s="996" t="s">
        <v>1490</v>
      </c>
      <c r="B47" s="997">
        <v>1887</v>
      </c>
      <c r="C47" s="997">
        <v>1887</v>
      </c>
      <c r="D47" s="997">
        <v>1887</v>
      </c>
      <c r="E47" s="997">
        <v>1887</v>
      </c>
      <c r="F47"/>
      <c r="G47"/>
    </row>
    <row r="48" spans="1:7">
      <c r="A48" s="996" t="s">
        <v>251</v>
      </c>
      <c r="B48" s="997">
        <v>24</v>
      </c>
      <c r="C48" s="997">
        <v>24</v>
      </c>
      <c r="D48" s="997">
        <v>24</v>
      </c>
      <c r="E48" s="997">
        <v>24</v>
      </c>
      <c r="F48"/>
      <c r="G48"/>
    </row>
    <row r="49" spans="1:7">
      <c r="A49" s="996" t="s">
        <v>245</v>
      </c>
      <c r="B49" s="997">
        <v>878</v>
      </c>
      <c r="C49" s="997">
        <v>500</v>
      </c>
      <c r="D49" s="997">
        <v>640</v>
      </c>
      <c r="E49" s="997">
        <v>878</v>
      </c>
      <c r="F49"/>
      <c r="G49"/>
    </row>
    <row r="50" spans="1:7">
      <c r="A50" s="996" t="s">
        <v>252</v>
      </c>
      <c r="B50" s="997">
        <v>442</v>
      </c>
      <c r="C50" s="997">
        <v>442</v>
      </c>
      <c r="D50" s="997">
        <v>442</v>
      </c>
      <c r="E50" s="997">
        <v>442</v>
      </c>
      <c r="F50"/>
      <c r="G50"/>
    </row>
    <row r="51" spans="1:7">
      <c r="A51" s="996" t="s">
        <v>160</v>
      </c>
      <c r="B51" s="997">
        <v>197</v>
      </c>
      <c r="C51" s="997">
        <v>197</v>
      </c>
      <c r="D51" s="997">
        <v>140</v>
      </c>
      <c r="E51" s="997">
        <v>197</v>
      </c>
      <c r="F51"/>
      <c r="G51"/>
    </row>
    <row r="52" spans="1:7">
      <c r="A52" s="996" t="s">
        <v>232</v>
      </c>
      <c r="B52" s="997">
        <v>394</v>
      </c>
      <c r="C52" s="997">
        <v>394</v>
      </c>
      <c r="D52" s="997">
        <v>394</v>
      </c>
      <c r="E52" s="997">
        <v>0</v>
      </c>
      <c r="F52"/>
      <c r="G52"/>
    </row>
    <row r="53" spans="1:7">
      <c r="A53" s="996" t="s">
        <v>771</v>
      </c>
      <c r="B53" s="997">
        <v>410</v>
      </c>
      <c r="C53" s="997">
        <v>205</v>
      </c>
      <c r="D53" s="997">
        <v>410</v>
      </c>
      <c r="E53" s="997">
        <v>410</v>
      </c>
      <c r="F53"/>
      <c r="G53"/>
    </row>
    <row r="54" spans="1:7">
      <c r="A54" s="996" t="s">
        <v>268</v>
      </c>
      <c r="B54" s="997">
        <v>291</v>
      </c>
      <c r="C54" s="997">
        <v>291</v>
      </c>
      <c r="D54" s="997">
        <v>291</v>
      </c>
      <c r="E54" s="997">
        <v>291</v>
      </c>
      <c r="F54"/>
      <c r="G54"/>
    </row>
    <row r="55" spans="1:7">
      <c r="A55" s="996" t="s">
        <v>175</v>
      </c>
      <c r="B55" s="997">
        <v>895</v>
      </c>
      <c r="C55" s="997">
        <v>895</v>
      </c>
      <c r="D55" s="997">
        <v>895</v>
      </c>
      <c r="E55" s="997">
        <v>0</v>
      </c>
      <c r="F55"/>
      <c r="G55"/>
    </row>
    <row r="56" spans="1:7">
      <c r="A56" s="996" t="s">
        <v>149</v>
      </c>
      <c r="B56" s="997">
        <v>132</v>
      </c>
      <c r="C56" s="997">
        <v>132</v>
      </c>
      <c r="D56" s="997">
        <v>132</v>
      </c>
      <c r="E56" s="997">
        <v>132</v>
      </c>
      <c r="F56"/>
      <c r="G56"/>
    </row>
    <row r="57" spans="1:7">
      <c r="A57" s="996" t="s">
        <v>555</v>
      </c>
      <c r="B57" s="997">
        <v>934</v>
      </c>
      <c r="C57" s="997">
        <v>934</v>
      </c>
      <c r="D57" s="997">
        <v>800</v>
      </c>
      <c r="E57" s="997">
        <v>934</v>
      </c>
      <c r="F57"/>
      <c r="G57"/>
    </row>
    <row r="58" spans="1:7">
      <c r="A58" s="996" t="s">
        <v>254</v>
      </c>
      <c r="B58" s="997">
        <v>504</v>
      </c>
      <c r="C58" s="997">
        <v>504</v>
      </c>
      <c r="D58" s="997">
        <v>504</v>
      </c>
      <c r="E58" s="997">
        <v>504</v>
      </c>
      <c r="F58"/>
      <c r="G58"/>
    </row>
    <row r="59" spans="1:7">
      <c r="A59" s="996" t="s">
        <v>147</v>
      </c>
      <c r="B59" s="997">
        <v>837</v>
      </c>
      <c r="C59" s="997">
        <v>837</v>
      </c>
      <c r="D59" s="997">
        <v>640</v>
      </c>
      <c r="E59" s="997">
        <v>0</v>
      </c>
      <c r="F59"/>
      <c r="G59"/>
    </row>
    <row r="60" spans="1:7">
      <c r="A60" s="996" t="s">
        <v>217</v>
      </c>
      <c r="B60" s="997">
        <v>3789</v>
      </c>
      <c r="C60" s="997">
        <v>500</v>
      </c>
      <c r="D60" s="997">
        <v>3789</v>
      </c>
      <c r="E60" s="997">
        <v>1463.1333333333334</v>
      </c>
      <c r="F60"/>
      <c r="G60"/>
    </row>
    <row r="61" spans="1:7">
      <c r="A61" s="996" t="s">
        <v>198</v>
      </c>
      <c r="B61" s="997">
        <v>222</v>
      </c>
      <c r="C61" s="997">
        <v>222</v>
      </c>
      <c r="D61" s="997">
        <v>140</v>
      </c>
      <c r="E61" s="997">
        <v>222</v>
      </c>
      <c r="F61"/>
      <c r="G61"/>
    </row>
    <row r="62" spans="1:7">
      <c r="A62" s="996" t="s">
        <v>224</v>
      </c>
      <c r="B62" s="997">
        <v>2131</v>
      </c>
      <c r="C62" s="997">
        <v>440</v>
      </c>
      <c r="D62" s="997">
        <v>1780</v>
      </c>
      <c r="E62" s="997">
        <v>177.16296296296298</v>
      </c>
      <c r="F62"/>
      <c r="G62"/>
    </row>
    <row r="63" spans="1:7">
      <c r="A63" s="996" t="s">
        <v>161</v>
      </c>
      <c r="B63" s="997">
        <v>1124</v>
      </c>
      <c r="C63" s="997">
        <v>1124</v>
      </c>
      <c r="D63" s="997">
        <v>860</v>
      </c>
      <c r="E63" s="997">
        <v>1124</v>
      </c>
      <c r="F63"/>
      <c r="G63"/>
    </row>
    <row r="64" spans="1:7">
      <c r="A64" s="996" t="s">
        <v>233</v>
      </c>
      <c r="B64" s="997">
        <v>398</v>
      </c>
      <c r="C64" s="997">
        <v>398</v>
      </c>
      <c r="D64" s="997">
        <v>398</v>
      </c>
      <c r="E64" s="997">
        <v>398</v>
      </c>
      <c r="F64"/>
      <c r="G64"/>
    </row>
    <row r="65" spans="1:7">
      <c r="A65" s="996" t="s">
        <v>290</v>
      </c>
      <c r="B65" s="997">
        <v>8486</v>
      </c>
      <c r="C65" s="997">
        <v>4500</v>
      </c>
      <c r="D65" s="997">
        <v>800</v>
      </c>
      <c r="E65" s="997">
        <v>400</v>
      </c>
      <c r="F65"/>
      <c r="G65"/>
    </row>
    <row r="66" spans="1:7">
      <c r="A66" s="996" t="s">
        <v>207</v>
      </c>
      <c r="B66" s="997">
        <v>100</v>
      </c>
      <c r="C66" s="997">
        <v>100</v>
      </c>
      <c r="D66" s="997">
        <v>80</v>
      </c>
      <c r="E66" s="997">
        <v>100</v>
      </c>
      <c r="F66"/>
      <c r="G66"/>
    </row>
    <row r="67" spans="1:7">
      <c r="A67" s="996" t="s">
        <v>209</v>
      </c>
      <c r="B67" s="997">
        <v>106</v>
      </c>
      <c r="C67" s="997">
        <v>106</v>
      </c>
      <c r="D67" s="997">
        <v>100</v>
      </c>
      <c r="E67" s="997">
        <v>106</v>
      </c>
      <c r="F67"/>
      <c r="G67"/>
    </row>
    <row r="68" spans="1:7">
      <c r="A68" s="996" t="s">
        <v>541</v>
      </c>
      <c r="B68" s="997">
        <v>244</v>
      </c>
      <c r="C68" s="997">
        <v>244</v>
      </c>
      <c r="D68" s="997">
        <v>240</v>
      </c>
      <c r="E68" s="997">
        <v>244</v>
      </c>
      <c r="F68"/>
      <c r="G68"/>
    </row>
    <row r="69" spans="1:7">
      <c r="A69" s="996" t="s">
        <v>546</v>
      </c>
      <c r="B69" s="997">
        <v>180</v>
      </c>
      <c r="C69" s="997">
        <v>180</v>
      </c>
      <c r="D69" s="997">
        <v>180</v>
      </c>
      <c r="E69" s="997">
        <v>180</v>
      </c>
      <c r="F69"/>
      <c r="G69"/>
    </row>
    <row r="70" spans="1:7">
      <c r="A70" s="996" t="s">
        <v>543</v>
      </c>
      <c r="B70" s="997">
        <v>270</v>
      </c>
      <c r="C70" s="997">
        <v>270</v>
      </c>
      <c r="D70" s="997">
        <v>270</v>
      </c>
      <c r="E70" s="997">
        <v>270</v>
      </c>
      <c r="F70"/>
      <c r="G70"/>
    </row>
    <row r="71" spans="1:7">
      <c r="A71" s="996" t="s">
        <v>153</v>
      </c>
      <c r="B71" s="997">
        <v>66</v>
      </c>
      <c r="C71" s="997">
        <v>66</v>
      </c>
      <c r="D71" s="997">
        <v>66</v>
      </c>
      <c r="E71" s="997">
        <v>66</v>
      </c>
      <c r="F71"/>
      <c r="G71"/>
    </row>
    <row r="72" spans="1:7">
      <c r="A72" s="996" t="s">
        <v>289</v>
      </c>
      <c r="B72" s="997">
        <v>2199</v>
      </c>
      <c r="C72" s="997">
        <v>440</v>
      </c>
      <c r="D72" s="997">
        <v>0</v>
      </c>
      <c r="E72" s="997">
        <v>500</v>
      </c>
      <c r="F72"/>
      <c r="G72"/>
    </row>
    <row r="73" spans="1:7">
      <c r="A73" s="996" t="s">
        <v>294</v>
      </c>
      <c r="B73" s="997">
        <v>2691</v>
      </c>
      <c r="C73" s="997">
        <v>2691</v>
      </c>
      <c r="D73" s="997">
        <v>2691</v>
      </c>
      <c r="E73" s="997">
        <v>1850</v>
      </c>
      <c r="F73"/>
      <c r="G73"/>
    </row>
    <row r="74" spans="1:7">
      <c r="A74" s="996" t="s">
        <v>243</v>
      </c>
      <c r="B74" s="997">
        <v>633</v>
      </c>
      <c r="C74" s="997">
        <v>500</v>
      </c>
      <c r="D74" s="997">
        <v>586</v>
      </c>
      <c r="E74" s="997">
        <v>633</v>
      </c>
      <c r="F74"/>
      <c r="G74"/>
    </row>
    <row r="75" spans="1:7">
      <c r="A75" s="996" t="s">
        <v>163</v>
      </c>
      <c r="B75" s="997">
        <v>680</v>
      </c>
      <c r="C75" s="997">
        <v>680</v>
      </c>
      <c r="D75" s="997">
        <v>160</v>
      </c>
      <c r="E75" s="997">
        <v>680</v>
      </c>
      <c r="F75"/>
      <c r="G75"/>
    </row>
    <row r="76" spans="1:7">
      <c r="A76" s="996" t="s">
        <v>164</v>
      </c>
      <c r="B76" s="997">
        <v>676</v>
      </c>
      <c r="C76" s="997">
        <v>676</v>
      </c>
      <c r="D76" s="997">
        <v>640</v>
      </c>
      <c r="E76" s="997">
        <v>676</v>
      </c>
      <c r="F76"/>
      <c r="G76"/>
    </row>
    <row r="77" spans="1:7">
      <c r="A77" s="996" t="s">
        <v>247</v>
      </c>
      <c r="B77" s="997">
        <v>884</v>
      </c>
      <c r="C77" s="997">
        <v>500</v>
      </c>
      <c r="D77" s="997">
        <v>884</v>
      </c>
      <c r="E77" s="997">
        <v>884</v>
      </c>
      <c r="F77"/>
      <c r="G77"/>
    </row>
    <row r="78" spans="1:7">
      <c r="A78" s="996" t="s">
        <v>255</v>
      </c>
      <c r="B78" s="997">
        <v>100</v>
      </c>
      <c r="C78" s="997">
        <v>100</v>
      </c>
      <c r="D78" s="997">
        <v>100</v>
      </c>
      <c r="E78" s="997">
        <v>100</v>
      </c>
      <c r="F78"/>
      <c r="G78"/>
    </row>
    <row r="79" spans="1:7">
      <c r="A79" s="996" t="s">
        <v>256</v>
      </c>
      <c r="B79" s="997">
        <v>54</v>
      </c>
      <c r="C79" s="997">
        <v>54</v>
      </c>
      <c r="D79" s="997">
        <v>40</v>
      </c>
      <c r="E79" s="997">
        <v>54</v>
      </c>
      <c r="F79"/>
      <c r="G79"/>
    </row>
    <row r="80" spans="1:7">
      <c r="A80" s="996" t="s">
        <v>200</v>
      </c>
      <c r="B80" s="997">
        <v>689</v>
      </c>
      <c r="C80" s="997">
        <v>440</v>
      </c>
      <c r="D80" s="997">
        <v>420</v>
      </c>
      <c r="E80" s="997">
        <v>689</v>
      </c>
      <c r="F80"/>
      <c r="G80"/>
    </row>
    <row r="81" spans="1:7">
      <c r="A81" s="996" t="s">
        <v>544</v>
      </c>
      <c r="B81" s="997">
        <v>127</v>
      </c>
      <c r="C81" s="997">
        <v>127</v>
      </c>
      <c r="D81" s="997">
        <v>127</v>
      </c>
      <c r="E81" s="997">
        <v>127</v>
      </c>
      <c r="F81"/>
      <c r="G81"/>
    </row>
    <row r="82" spans="1:7">
      <c r="A82" s="996" t="s">
        <v>281</v>
      </c>
      <c r="B82" s="997">
        <v>239</v>
      </c>
      <c r="C82" s="997">
        <v>239</v>
      </c>
      <c r="D82" s="997">
        <v>182</v>
      </c>
      <c r="E82" s="997">
        <v>239</v>
      </c>
      <c r="F82"/>
      <c r="G82"/>
    </row>
    <row r="83" spans="1:7">
      <c r="A83" s="996" t="s">
        <v>282</v>
      </c>
      <c r="B83" s="997">
        <v>426</v>
      </c>
      <c r="C83" s="997">
        <v>426</v>
      </c>
      <c r="D83" s="997">
        <v>126</v>
      </c>
      <c r="E83" s="997">
        <v>426</v>
      </c>
      <c r="F83"/>
      <c r="G83"/>
    </row>
    <row r="84" spans="1:7">
      <c r="A84" s="996" t="s">
        <v>283</v>
      </c>
      <c r="B84" s="997">
        <v>1322</v>
      </c>
      <c r="C84" s="997">
        <v>1322</v>
      </c>
      <c r="D84" s="997">
        <v>943</v>
      </c>
      <c r="E84" s="997">
        <v>1322</v>
      </c>
      <c r="F84"/>
      <c r="G84"/>
    </row>
    <row r="85" spans="1:7">
      <c r="A85" s="996" t="s">
        <v>174</v>
      </c>
      <c r="B85" s="997">
        <v>289</v>
      </c>
      <c r="C85" s="997">
        <v>289</v>
      </c>
      <c r="D85" s="997">
        <v>240</v>
      </c>
      <c r="E85" s="997">
        <v>289</v>
      </c>
      <c r="F85"/>
      <c r="G85"/>
    </row>
    <row r="86" spans="1:7">
      <c r="A86" s="996" t="s">
        <v>288</v>
      </c>
      <c r="B86" s="997"/>
      <c r="C86" s="997">
        <v>0</v>
      </c>
      <c r="D86" s="997">
        <v>0</v>
      </c>
      <c r="E86" s="997"/>
      <c r="F86"/>
      <c r="G86"/>
    </row>
    <row r="87" spans="1:7">
      <c r="A87" s="996" t="s">
        <v>176</v>
      </c>
      <c r="B87" s="997">
        <v>159</v>
      </c>
      <c r="C87" s="997">
        <v>159</v>
      </c>
      <c r="D87" s="997">
        <v>120</v>
      </c>
      <c r="E87" s="997">
        <v>159</v>
      </c>
      <c r="F87"/>
      <c r="G87"/>
    </row>
    <row r="88" spans="1:7">
      <c r="A88" s="996" t="s">
        <v>177</v>
      </c>
      <c r="B88" s="997">
        <v>1736</v>
      </c>
      <c r="C88" s="997">
        <v>1736</v>
      </c>
      <c r="D88" s="997">
        <v>1736</v>
      </c>
      <c r="E88" s="997">
        <v>0</v>
      </c>
      <c r="F88"/>
      <c r="G88"/>
    </row>
    <row r="89" spans="1:7">
      <c r="A89" s="996" t="s">
        <v>269</v>
      </c>
      <c r="B89" s="997">
        <v>2160</v>
      </c>
      <c r="C89" s="997">
        <v>1000</v>
      </c>
      <c r="D89" s="997">
        <v>420</v>
      </c>
      <c r="E89" s="997">
        <v>1000</v>
      </c>
      <c r="F89"/>
      <c r="G89"/>
    </row>
    <row r="90" spans="1:7">
      <c r="A90" s="996" t="s">
        <v>237</v>
      </c>
      <c r="B90" s="997">
        <v>1776</v>
      </c>
      <c r="C90" s="997">
        <v>30</v>
      </c>
      <c r="D90" s="997">
        <v>1776</v>
      </c>
      <c r="E90" s="997">
        <v>1776</v>
      </c>
      <c r="F90"/>
      <c r="G90"/>
    </row>
    <row r="91" spans="1:7">
      <c r="A91" s="996" t="s">
        <v>178</v>
      </c>
      <c r="B91" s="997">
        <v>2500</v>
      </c>
      <c r="C91" s="997">
        <v>2500</v>
      </c>
      <c r="D91" s="997">
        <v>2500</v>
      </c>
      <c r="E91" s="997">
        <v>2500</v>
      </c>
      <c r="F91"/>
      <c r="G91"/>
    </row>
    <row r="92" spans="1:7">
      <c r="A92" s="996" t="s">
        <v>179</v>
      </c>
      <c r="B92" s="997">
        <v>191</v>
      </c>
      <c r="C92" s="997">
        <v>191</v>
      </c>
      <c r="D92" s="997">
        <v>191</v>
      </c>
      <c r="E92" s="997">
        <v>191</v>
      </c>
      <c r="F92"/>
      <c r="G92"/>
    </row>
    <row r="93" spans="1:7">
      <c r="A93" s="996" t="s">
        <v>183</v>
      </c>
      <c r="B93" s="997">
        <v>1599</v>
      </c>
      <c r="C93" s="997">
        <v>1599</v>
      </c>
      <c r="D93" s="997">
        <v>1599</v>
      </c>
      <c r="E93" s="997">
        <v>1599</v>
      </c>
      <c r="F93"/>
      <c r="G93"/>
    </row>
    <row r="94" spans="1:7">
      <c r="A94" s="996" t="s">
        <v>39</v>
      </c>
      <c r="B94" s="997">
        <v>694</v>
      </c>
      <c r="C94" s="997">
        <v>694</v>
      </c>
      <c r="D94" s="997">
        <v>694</v>
      </c>
      <c r="E94" s="997">
        <v>694</v>
      </c>
      <c r="F94"/>
      <c r="G94"/>
    </row>
    <row r="95" spans="1:7">
      <c r="A95" s="996" t="s">
        <v>165</v>
      </c>
      <c r="B95" s="997">
        <v>290</v>
      </c>
      <c r="C95" s="997">
        <v>290</v>
      </c>
      <c r="D95" s="997">
        <v>140</v>
      </c>
      <c r="E95" s="997">
        <v>290</v>
      </c>
      <c r="F95"/>
      <c r="G95"/>
    </row>
    <row r="96" spans="1:7">
      <c r="A96" s="996" t="s">
        <v>210</v>
      </c>
      <c r="B96" s="997">
        <v>741</v>
      </c>
      <c r="C96" s="997">
        <v>500</v>
      </c>
      <c r="D96" s="997">
        <v>741</v>
      </c>
      <c r="E96" s="997">
        <v>741</v>
      </c>
      <c r="F96"/>
      <c r="G96"/>
    </row>
    <row r="97" spans="1:7">
      <c r="A97" s="996" t="s">
        <v>287</v>
      </c>
      <c r="B97" s="997">
        <v>590</v>
      </c>
      <c r="C97" s="997">
        <v>590</v>
      </c>
      <c r="D97" s="997">
        <v>563</v>
      </c>
      <c r="E97" s="997">
        <v>590</v>
      </c>
      <c r="F97"/>
      <c r="G97"/>
    </row>
    <row r="98" spans="1:7">
      <c r="A98" s="996" t="s">
        <v>166</v>
      </c>
      <c r="B98" s="997">
        <v>547</v>
      </c>
      <c r="C98" s="997">
        <v>547</v>
      </c>
      <c r="D98" s="997">
        <v>547</v>
      </c>
      <c r="E98" s="997">
        <v>547</v>
      </c>
      <c r="F98"/>
      <c r="G98"/>
    </row>
    <row r="99" spans="1:7">
      <c r="A99" s="996" t="s">
        <v>557</v>
      </c>
      <c r="B99" s="997">
        <v>120</v>
      </c>
      <c r="C99" s="997">
        <v>30</v>
      </c>
      <c r="D99" s="997">
        <v>0</v>
      </c>
      <c r="E99" s="997">
        <v>0</v>
      </c>
      <c r="F99"/>
      <c r="G99"/>
    </row>
    <row r="100" spans="1:7">
      <c r="A100" s="996" t="s">
        <v>554</v>
      </c>
      <c r="B100" s="997">
        <v>104</v>
      </c>
      <c r="C100" s="997">
        <v>104</v>
      </c>
      <c r="D100" s="997">
        <v>80</v>
      </c>
      <c r="E100" s="997">
        <v>104</v>
      </c>
      <c r="F100"/>
      <c r="G100"/>
    </row>
    <row r="101" spans="1:7">
      <c r="A101" s="996" t="s">
        <v>298</v>
      </c>
      <c r="B101" s="997">
        <v>655</v>
      </c>
      <c r="C101" s="997">
        <v>500</v>
      </c>
      <c r="D101" s="997">
        <v>360</v>
      </c>
      <c r="E101" s="997">
        <v>500.00000000000006</v>
      </c>
      <c r="F101"/>
      <c r="G101"/>
    </row>
    <row r="102" spans="1:7">
      <c r="A102" s="996" t="s">
        <v>300</v>
      </c>
      <c r="B102" s="997">
        <v>538</v>
      </c>
      <c r="C102" s="997">
        <v>50</v>
      </c>
      <c r="D102" s="997">
        <v>538</v>
      </c>
      <c r="E102" s="997">
        <v>538</v>
      </c>
      <c r="F102"/>
      <c r="G102"/>
    </row>
    <row r="103" spans="1:7">
      <c r="A103" s="996" t="s">
        <v>301</v>
      </c>
      <c r="B103" s="997">
        <v>2354</v>
      </c>
      <c r="C103" s="997">
        <v>500</v>
      </c>
      <c r="D103" s="997">
        <v>2354</v>
      </c>
      <c r="E103" s="997">
        <v>500</v>
      </c>
      <c r="F103"/>
      <c r="G103"/>
    </row>
    <row r="104" spans="1:7">
      <c r="A104" s="996" t="s">
        <v>302</v>
      </c>
      <c r="B104" s="997">
        <v>737</v>
      </c>
      <c r="C104" s="997">
        <v>30</v>
      </c>
      <c r="D104" s="997">
        <v>737</v>
      </c>
      <c r="E104" s="997">
        <v>737</v>
      </c>
      <c r="F104"/>
      <c r="G104"/>
    </row>
    <row r="105" spans="1:7">
      <c r="A105" s="996" t="s">
        <v>548</v>
      </c>
      <c r="B105" s="997">
        <v>125</v>
      </c>
      <c r="C105" s="997">
        <v>125</v>
      </c>
      <c r="D105" s="997">
        <v>125</v>
      </c>
      <c r="E105" s="997">
        <v>125</v>
      </c>
      <c r="F105"/>
      <c r="G105"/>
    </row>
    <row r="106" spans="1:7">
      <c r="A106" s="996" t="s">
        <v>523</v>
      </c>
      <c r="B106" s="997">
        <v>157</v>
      </c>
      <c r="C106" s="997">
        <v>157</v>
      </c>
      <c r="D106" s="997">
        <v>157</v>
      </c>
      <c r="E106" s="997">
        <v>157</v>
      </c>
      <c r="F106"/>
      <c r="G106"/>
    </row>
    <row r="107" spans="1:7">
      <c r="A107" s="996" t="s">
        <v>193</v>
      </c>
      <c r="B107" s="997">
        <v>789</v>
      </c>
      <c r="C107" s="997">
        <v>789</v>
      </c>
      <c r="D107" s="997">
        <v>789</v>
      </c>
      <c r="E107" s="997">
        <v>789</v>
      </c>
      <c r="F107"/>
      <c r="G107"/>
    </row>
    <row r="108" spans="1:7">
      <c r="A108" s="996" t="s">
        <v>263</v>
      </c>
      <c r="B108" s="997">
        <v>90</v>
      </c>
      <c r="C108" s="997">
        <v>90</v>
      </c>
      <c r="D108" s="997">
        <v>80</v>
      </c>
      <c r="E108" s="997">
        <v>90</v>
      </c>
      <c r="F108"/>
      <c r="G108"/>
    </row>
    <row r="109" spans="1:7">
      <c r="A109" s="996" t="s">
        <v>264</v>
      </c>
      <c r="B109" s="997">
        <v>166</v>
      </c>
      <c r="C109" s="997">
        <v>166</v>
      </c>
      <c r="D109" s="997">
        <v>120</v>
      </c>
      <c r="E109" s="997">
        <v>166</v>
      </c>
      <c r="F109"/>
      <c r="G109"/>
    </row>
    <row r="110" spans="1:7">
      <c r="A110" s="996" t="s">
        <v>257</v>
      </c>
      <c r="B110" s="997">
        <v>15</v>
      </c>
      <c r="C110" s="997">
        <v>15</v>
      </c>
      <c r="D110" s="997">
        <v>0</v>
      </c>
      <c r="E110" s="997">
        <v>15</v>
      </c>
      <c r="F110"/>
      <c r="G110"/>
    </row>
    <row r="111" spans="1:7">
      <c r="A111" s="996" t="s">
        <v>213</v>
      </c>
      <c r="B111" s="997">
        <v>424</v>
      </c>
      <c r="C111" s="997">
        <v>424</v>
      </c>
      <c r="D111" s="997">
        <v>424</v>
      </c>
      <c r="E111" s="997">
        <v>424</v>
      </c>
      <c r="F111"/>
      <c r="G111"/>
    </row>
    <row r="112" spans="1:7">
      <c r="A112" s="996" t="s">
        <v>545</v>
      </c>
      <c r="B112" s="997">
        <v>176</v>
      </c>
      <c r="C112" s="997">
        <v>176</v>
      </c>
      <c r="D112" s="997">
        <v>176</v>
      </c>
      <c r="E112" s="997">
        <v>176</v>
      </c>
      <c r="F112"/>
      <c r="G112"/>
    </row>
    <row r="113" spans="1:7">
      <c r="A113" s="996" t="s">
        <v>190</v>
      </c>
      <c r="B113" s="997">
        <v>18</v>
      </c>
      <c r="C113" s="997">
        <v>18</v>
      </c>
      <c r="D113" s="997">
        <v>0</v>
      </c>
      <c r="E113" s="997">
        <v>0</v>
      </c>
      <c r="F113"/>
      <c r="G113"/>
    </row>
    <row r="114" spans="1:7">
      <c r="A114" s="996" t="s">
        <v>527</v>
      </c>
      <c r="B114" s="997">
        <v>396</v>
      </c>
      <c r="C114" s="997">
        <v>396</v>
      </c>
      <c r="D114" s="997">
        <v>396</v>
      </c>
      <c r="E114" s="997">
        <v>396</v>
      </c>
      <c r="F114"/>
      <c r="G114"/>
    </row>
    <row r="115" spans="1:7">
      <c r="A115" s="996" t="s">
        <v>562</v>
      </c>
      <c r="B115" s="997">
        <v>323</v>
      </c>
      <c r="C115" s="997">
        <v>323</v>
      </c>
      <c r="D115" s="997">
        <v>200</v>
      </c>
      <c r="E115" s="997">
        <v>323</v>
      </c>
      <c r="F115"/>
      <c r="G115"/>
    </row>
    <row r="116" spans="1:7">
      <c r="A116" s="996" t="s">
        <v>551</v>
      </c>
      <c r="B116" s="997">
        <v>31</v>
      </c>
      <c r="C116" s="997">
        <v>31</v>
      </c>
      <c r="D116" s="997">
        <v>31</v>
      </c>
      <c r="E116" s="997">
        <v>31</v>
      </c>
      <c r="F116"/>
      <c r="G116"/>
    </row>
    <row r="117" spans="1:7">
      <c r="A117" s="996" t="s">
        <v>517</v>
      </c>
      <c r="B117" s="997">
        <v>213</v>
      </c>
      <c r="C117" s="997">
        <v>213</v>
      </c>
      <c r="D117" s="997">
        <v>213</v>
      </c>
      <c r="E117" s="997">
        <v>213</v>
      </c>
      <c r="F117"/>
      <c r="G117"/>
    </row>
    <row r="118" spans="1:7">
      <c r="A118" s="996" t="s">
        <v>531</v>
      </c>
      <c r="B118" s="997">
        <v>250</v>
      </c>
      <c r="C118" s="997">
        <v>250</v>
      </c>
      <c r="D118" s="997">
        <v>250</v>
      </c>
      <c r="E118" s="997">
        <v>250</v>
      </c>
      <c r="F118"/>
      <c r="G118"/>
    </row>
    <row r="119" spans="1:7">
      <c r="A119" s="996" t="s">
        <v>258</v>
      </c>
      <c r="B119" s="997">
        <v>24</v>
      </c>
      <c r="C119" s="997">
        <v>24</v>
      </c>
      <c r="D119" s="997">
        <v>24</v>
      </c>
      <c r="E119" s="997">
        <v>24</v>
      </c>
      <c r="F119"/>
      <c r="G119"/>
    </row>
    <row r="120" spans="1:7">
      <c r="A120" s="996" t="s">
        <v>535</v>
      </c>
      <c r="B120" s="997">
        <v>206</v>
      </c>
      <c r="C120" s="997">
        <v>206</v>
      </c>
      <c r="D120" s="997">
        <v>200</v>
      </c>
      <c r="E120" s="997">
        <v>206</v>
      </c>
      <c r="F120"/>
      <c r="G120"/>
    </row>
    <row r="121" spans="1:7">
      <c r="A121" s="996" t="s">
        <v>547</v>
      </c>
      <c r="B121" s="997">
        <v>141</v>
      </c>
      <c r="C121" s="997">
        <v>141</v>
      </c>
      <c r="D121" s="997">
        <v>141</v>
      </c>
      <c r="E121" s="997">
        <v>66.666666666666671</v>
      </c>
      <c r="F121"/>
      <c r="G121"/>
    </row>
    <row r="122" spans="1:7">
      <c r="A122" s="996" t="s">
        <v>234</v>
      </c>
      <c r="B122" s="997">
        <v>309</v>
      </c>
      <c r="C122" s="997">
        <v>309</v>
      </c>
      <c r="D122" s="997">
        <v>309</v>
      </c>
      <c r="E122" s="997">
        <v>309</v>
      </c>
      <c r="F122"/>
      <c r="G122"/>
    </row>
    <row r="123" spans="1:7">
      <c r="A123" s="996" t="s">
        <v>231</v>
      </c>
      <c r="B123" s="997">
        <v>218</v>
      </c>
      <c r="C123" s="997">
        <v>218</v>
      </c>
      <c r="D123" s="997">
        <v>218</v>
      </c>
      <c r="E123" s="997">
        <v>218</v>
      </c>
      <c r="F123"/>
      <c r="G123"/>
    </row>
    <row r="124" spans="1:7">
      <c r="A124" s="996" t="s">
        <v>155</v>
      </c>
      <c r="B124" s="997">
        <v>41</v>
      </c>
      <c r="C124" s="997">
        <v>41</v>
      </c>
      <c r="D124" s="997">
        <v>41</v>
      </c>
      <c r="E124" s="997">
        <v>41</v>
      </c>
      <c r="F124"/>
      <c r="G124"/>
    </row>
    <row r="125" spans="1:7">
      <c r="A125" s="996" t="s">
        <v>270</v>
      </c>
      <c r="B125" s="997">
        <v>85</v>
      </c>
      <c r="C125" s="997">
        <v>85</v>
      </c>
      <c r="D125" s="997">
        <v>80</v>
      </c>
      <c r="E125" s="997">
        <v>85</v>
      </c>
      <c r="F125"/>
      <c r="G125"/>
    </row>
    <row r="126" spans="1:7">
      <c r="A126" s="996" t="s">
        <v>158</v>
      </c>
      <c r="B126" s="997">
        <v>113</v>
      </c>
      <c r="C126" s="997">
        <v>113</v>
      </c>
      <c r="D126" s="997">
        <v>100</v>
      </c>
      <c r="E126" s="997">
        <v>113</v>
      </c>
      <c r="F126"/>
      <c r="G126"/>
    </row>
    <row r="127" spans="1:7">
      <c r="A127" s="996" t="s">
        <v>185</v>
      </c>
      <c r="B127" s="997">
        <v>547</v>
      </c>
      <c r="C127" s="997">
        <v>547</v>
      </c>
      <c r="D127" s="997">
        <v>547</v>
      </c>
      <c r="E127" s="997">
        <v>0</v>
      </c>
      <c r="F127"/>
      <c r="G127"/>
    </row>
    <row r="128" spans="1:7">
      <c r="A128" s="996" t="s">
        <v>542</v>
      </c>
      <c r="B128" s="997">
        <v>664</v>
      </c>
      <c r="C128" s="997">
        <v>500</v>
      </c>
      <c r="D128" s="997">
        <v>525</v>
      </c>
      <c r="E128" s="997">
        <v>533.33333333333337</v>
      </c>
      <c r="F128"/>
      <c r="G128"/>
    </row>
    <row r="129" spans="1:7">
      <c r="A129" s="996" t="s">
        <v>295</v>
      </c>
      <c r="B129" s="997">
        <v>1675</v>
      </c>
      <c r="C129" s="997">
        <v>1675</v>
      </c>
      <c r="D129" s="997">
        <v>1675</v>
      </c>
      <c r="E129" s="997">
        <v>1500</v>
      </c>
      <c r="F129"/>
      <c r="G129"/>
    </row>
    <row r="130" spans="1:7">
      <c r="A130" s="996" t="s">
        <v>167</v>
      </c>
      <c r="B130" s="997">
        <v>299</v>
      </c>
      <c r="C130" s="997">
        <v>299</v>
      </c>
      <c r="D130" s="997">
        <v>299</v>
      </c>
      <c r="E130" s="997">
        <v>299</v>
      </c>
      <c r="F130"/>
      <c r="G130"/>
    </row>
    <row r="131" spans="1:7">
      <c r="A131" s="996" t="s">
        <v>284</v>
      </c>
      <c r="B131" s="997">
        <v>299</v>
      </c>
      <c r="C131" s="997">
        <v>299</v>
      </c>
      <c r="D131" s="997">
        <v>263</v>
      </c>
      <c r="E131" s="997">
        <v>299</v>
      </c>
      <c r="F131"/>
      <c r="G131"/>
    </row>
    <row r="132" spans="1:7">
      <c r="A132" s="996" t="s">
        <v>235</v>
      </c>
      <c r="B132" s="997">
        <v>895</v>
      </c>
      <c r="C132" s="997">
        <v>895</v>
      </c>
      <c r="D132" s="997">
        <v>680</v>
      </c>
      <c r="E132" s="997">
        <v>895</v>
      </c>
      <c r="F132"/>
      <c r="G132"/>
    </row>
    <row r="133" spans="1:7">
      <c r="A133" s="996" t="s">
        <v>296</v>
      </c>
      <c r="B133" s="997">
        <v>2975</v>
      </c>
      <c r="C133" s="997">
        <v>2975</v>
      </c>
      <c r="D133" s="997">
        <v>2975</v>
      </c>
      <c r="E133" s="997">
        <v>250.00000000000003</v>
      </c>
      <c r="F133"/>
      <c r="G133"/>
    </row>
    <row r="134" spans="1:7">
      <c r="A134" s="996" t="s">
        <v>180</v>
      </c>
      <c r="B134" s="997">
        <v>852</v>
      </c>
      <c r="C134" s="997">
        <v>852</v>
      </c>
      <c r="D134" s="997">
        <v>750</v>
      </c>
      <c r="E134" s="997">
        <v>0</v>
      </c>
      <c r="F134"/>
      <c r="G134"/>
    </row>
    <row r="135" spans="1:7">
      <c r="A135" s="996" t="s">
        <v>561</v>
      </c>
      <c r="B135" s="997">
        <v>221</v>
      </c>
      <c r="C135" s="997">
        <v>221</v>
      </c>
      <c r="D135" s="997">
        <v>221</v>
      </c>
      <c r="E135" s="997">
        <v>221</v>
      </c>
      <c r="F135"/>
      <c r="G135"/>
    </row>
    <row r="136" spans="1:7">
      <c r="A136" s="996" t="s">
        <v>537</v>
      </c>
      <c r="B136" s="997">
        <v>91</v>
      </c>
      <c r="C136" s="997">
        <v>91</v>
      </c>
      <c r="D136" s="997">
        <v>91</v>
      </c>
      <c r="E136" s="997">
        <v>91</v>
      </c>
      <c r="F136"/>
      <c r="G136"/>
    </row>
    <row r="137" spans="1:7">
      <c r="A137" s="996" t="s">
        <v>279</v>
      </c>
      <c r="B137" s="997">
        <v>334</v>
      </c>
      <c r="C137" s="997">
        <v>334</v>
      </c>
      <c r="D137" s="997">
        <v>334</v>
      </c>
      <c r="E137" s="997">
        <v>334</v>
      </c>
      <c r="F137"/>
      <c r="G137"/>
    </row>
    <row r="138" spans="1:7">
      <c r="A138" s="996" t="s">
        <v>271</v>
      </c>
      <c r="B138" s="997">
        <v>506</v>
      </c>
      <c r="C138" s="997">
        <v>506</v>
      </c>
      <c r="D138" s="997">
        <v>420</v>
      </c>
      <c r="E138" s="997">
        <v>506</v>
      </c>
      <c r="F138"/>
      <c r="G138"/>
    </row>
    <row r="139" spans="1:7">
      <c r="A139" s="996" t="s">
        <v>181</v>
      </c>
      <c r="B139" s="997">
        <v>307</v>
      </c>
      <c r="C139" s="997">
        <v>307</v>
      </c>
      <c r="D139" s="997">
        <v>280</v>
      </c>
      <c r="E139" s="997">
        <v>307</v>
      </c>
      <c r="F139"/>
      <c r="G139"/>
    </row>
    <row r="140" spans="1:7">
      <c r="A140" s="996" t="s">
        <v>259</v>
      </c>
      <c r="B140" s="997">
        <v>70</v>
      </c>
      <c r="C140" s="997">
        <v>70</v>
      </c>
      <c r="D140" s="997">
        <v>40</v>
      </c>
      <c r="E140" s="997">
        <v>70</v>
      </c>
      <c r="F140"/>
      <c r="G140"/>
    </row>
    <row r="141" spans="1:7">
      <c r="A141" s="996" t="s">
        <v>280</v>
      </c>
      <c r="B141" s="997">
        <v>3860</v>
      </c>
      <c r="C141" s="997">
        <v>3000</v>
      </c>
      <c r="D141" s="997">
        <v>3003</v>
      </c>
      <c r="E141" s="997">
        <v>3860</v>
      </c>
      <c r="F141"/>
      <c r="G141"/>
    </row>
    <row r="142" spans="1:7">
      <c r="A142" s="996" t="s">
        <v>187</v>
      </c>
      <c r="B142" s="997">
        <v>325</v>
      </c>
      <c r="C142" s="997">
        <v>325</v>
      </c>
      <c r="D142" s="997">
        <v>325</v>
      </c>
      <c r="E142" s="997">
        <v>0</v>
      </c>
      <c r="F142"/>
      <c r="G142"/>
    </row>
    <row r="143" spans="1:7">
      <c r="A143" s="996" t="s">
        <v>156</v>
      </c>
      <c r="B143" s="997">
        <v>136</v>
      </c>
      <c r="C143" s="997">
        <v>136</v>
      </c>
      <c r="D143" s="997">
        <v>136</v>
      </c>
      <c r="E143" s="997">
        <v>136</v>
      </c>
      <c r="F143"/>
      <c r="G143"/>
    </row>
    <row r="144" spans="1:7">
      <c r="A144" s="996" t="s">
        <v>286</v>
      </c>
      <c r="B144" s="997">
        <v>255</v>
      </c>
      <c r="C144" s="997">
        <v>255</v>
      </c>
      <c r="D144" s="997">
        <v>255</v>
      </c>
      <c r="E144" s="997">
        <v>255</v>
      </c>
      <c r="F144"/>
      <c r="G144"/>
    </row>
    <row r="145" spans="1:7">
      <c r="A145" s="996" t="s">
        <v>143</v>
      </c>
      <c r="B145" s="997">
        <v>1532</v>
      </c>
      <c r="C145" s="997">
        <v>1532</v>
      </c>
      <c r="D145" s="997">
        <v>1532</v>
      </c>
      <c r="E145" s="997">
        <v>0</v>
      </c>
      <c r="F145"/>
      <c r="G145"/>
    </row>
    <row r="146" spans="1:7">
      <c r="A146" s="996" t="s">
        <v>188</v>
      </c>
      <c r="B146" s="997">
        <v>103</v>
      </c>
      <c r="C146" s="997">
        <v>103</v>
      </c>
      <c r="D146" s="997">
        <v>103</v>
      </c>
      <c r="E146" s="997">
        <v>103</v>
      </c>
      <c r="F146"/>
      <c r="G146"/>
    </row>
    <row r="147" spans="1:7">
      <c r="A147" s="996" t="s">
        <v>168</v>
      </c>
      <c r="B147" s="997">
        <v>583</v>
      </c>
      <c r="C147" s="997">
        <v>583</v>
      </c>
      <c r="D147" s="997">
        <v>260</v>
      </c>
      <c r="E147" s="997">
        <v>583</v>
      </c>
      <c r="F147"/>
      <c r="G147"/>
    </row>
    <row r="148" spans="1:7">
      <c r="A148" s="996" t="s">
        <v>265</v>
      </c>
      <c r="B148" s="997">
        <v>119</v>
      </c>
      <c r="C148" s="997">
        <v>119</v>
      </c>
      <c r="D148" s="997">
        <v>119</v>
      </c>
      <c r="E148" s="997">
        <v>119</v>
      </c>
      <c r="F148"/>
      <c r="G148"/>
    </row>
    <row r="149" spans="1:7">
      <c r="A149" s="996" t="s">
        <v>182</v>
      </c>
      <c r="B149" s="997">
        <v>958</v>
      </c>
      <c r="C149" s="997">
        <v>958</v>
      </c>
      <c r="D149" s="997">
        <v>958</v>
      </c>
      <c r="E149" s="997">
        <v>0</v>
      </c>
      <c r="F149"/>
      <c r="G149"/>
    </row>
    <row r="150" spans="1:7">
      <c r="A150" s="996" t="s">
        <v>215</v>
      </c>
      <c r="B150" s="997">
        <v>300</v>
      </c>
      <c r="C150" s="997">
        <v>300</v>
      </c>
      <c r="D150" s="997">
        <v>264</v>
      </c>
      <c r="E150" s="997">
        <v>300</v>
      </c>
      <c r="F150"/>
      <c r="G150"/>
    </row>
    <row r="151" spans="1:7">
      <c r="A151" s="996" t="s">
        <v>216</v>
      </c>
      <c r="B151" s="997">
        <v>182</v>
      </c>
      <c r="C151" s="997">
        <v>182</v>
      </c>
      <c r="D151" s="997">
        <v>180</v>
      </c>
      <c r="E151" s="997">
        <v>182</v>
      </c>
      <c r="F151"/>
      <c r="G151"/>
    </row>
    <row r="152" spans="1:7">
      <c r="A152" s="996" t="s">
        <v>169</v>
      </c>
      <c r="B152" s="997">
        <v>499</v>
      </c>
      <c r="C152" s="997">
        <v>499</v>
      </c>
      <c r="D152" s="997">
        <v>340</v>
      </c>
      <c r="E152" s="997">
        <v>499</v>
      </c>
      <c r="F152"/>
      <c r="G152"/>
    </row>
    <row r="153" spans="1:7">
      <c r="A153" s="996" t="s">
        <v>239</v>
      </c>
      <c r="B153" s="997">
        <v>68</v>
      </c>
      <c r="C153" s="997">
        <v>68</v>
      </c>
      <c r="D153" s="997">
        <v>68</v>
      </c>
      <c r="E153" s="997">
        <v>68</v>
      </c>
      <c r="F153"/>
      <c r="G153"/>
    </row>
    <row r="154" spans="1:7">
      <c r="A154" s="996" t="s">
        <v>865</v>
      </c>
      <c r="B154" s="997">
        <v>153</v>
      </c>
      <c r="C154" s="997">
        <v>153</v>
      </c>
      <c r="D154" s="997">
        <v>0</v>
      </c>
      <c r="E154" s="997">
        <v>153</v>
      </c>
      <c r="F154"/>
      <c r="G154"/>
    </row>
    <row r="155" spans="1:7">
      <c r="A155" s="996" t="s">
        <v>170</v>
      </c>
      <c r="B155" s="997">
        <v>351</v>
      </c>
      <c r="C155" s="997">
        <v>351</v>
      </c>
      <c r="D155" s="997">
        <v>220</v>
      </c>
      <c r="E155" s="997">
        <v>351</v>
      </c>
      <c r="F155"/>
      <c r="G155"/>
    </row>
    <row r="156" spans="1:7">
      <c r="A156" s="996" t="s">
        <v>266</v>
      </c>
      <c r="B156" s="997">
        <v>262</v>
      </c>
      <c r="C156" s="997">
        <v>262</v>
      </c>
      <c r="D156" s="997">
        <v>262</v>
      </c>
      <c r="E156" s="997">
        <v>262</v>
      </c>
      <c r="F156"/>
      <c r="G156"/>
    </row>
    <row r="157" spans="1:7">
      <c r="A157" s="996" t="s">
        <v>171</v>
      </c>
      <c r="B157" s="997">
        <v>165</v>
      </c>
      <c r="C157" s="997">
        <v>165</v>
      </c>
      <c r="D157" s="997">
        <v>100</v>
      </c>
      <c r="E157" s="997">
        <v>165</v>
      </c>
      <c r="F157"/>
      <c r="G157"/>
    </row>
    <row r="158" spans="1:7">
      <c r="A158" s="996" t="s">
        <v>172</v>
      </c>
      <c r="B158" s="997">
        <v>219</v>
      </c>
      <c r="C158" s="997">
        <v>219</v>
      </c>
      <c r="D158" s="997">
        <v>219</v>
      </c>
      <c r="E158" s="997">
        <v>219</v>
      </c>
      <c r="F158"/>
      <c r="G158"/>
    </row>
    <row r="159" spans="1:7">
      <c r="A159" s="996" t="s">
        <v>274</v>
      </c>
      <c r="B159" s="997">
        <v>192</v>
      </c>
      <c r="C159" s="997">
        <v>192</v>
      </c>
      <c r="D159" s="997">
        <v>120</v>
      </c>
      <c r="E159" s="997">
        <v>192</v>
      </c>
      <c r="F159"/>
      <c r="G159"/>
    </row>
    <row r="160" spans="1:7">
      <c r="A160" s="996" t="s">
        <v>563</v>
      </c>
      <c r="B160" s="997">
        <v>195</v>
      </c>
      <c r="C160" s="997">
        <v>195</v>
      </c>
      <c r="D160" s="997">
        <v>195</v>
      </c>
      <c r="E160" s="997">
        <v>195</v>
      </c>
      <c r="F160"/>
      <c r="G160"/>
    </row>
    <row r="161" spans="1:7">
      <c r="A161" s="996" t="s">
        <v>275</v>
      </c>
      <c r="B161" s="997">
        <v>293</v>
      </c>
      <c r="C161" s="997">
        <v>293</v>
      </c>
      <c r="D161" s="997">
        <v>180</v>
      </c>
      <c r="E161" s="997">
        <v>293</v>
      </c>
      <c r="F161"/>
      <c r="G161"/>
    </row>
    <row r="162" spans="1:7">
      <c r="A162" s="996" t="s">
        <v>261</v>
      </c>
      <c r="B162" s="997">
        <v>133</v>
      </c>
      <c r="C162" s="997">
        <v>133</v>
      </c>
      <c r="D162" s="997">
        <v>133</v>
      </c>
      <c r="E162" s="997">
        <v>133</v>
      </c>
      <c r="F162"/>
      <c r="G162"/>
    </row>
    <row r="163" spans="1:7">
      <c r="A163" s="996" t="s">
        <v>221</v>
      </c>
      <c r="B163" s="997">
        <v>6861</v>
      </c>
      <c r="C163" s="997">
        <v>1500</v>
      </c>
      <c r="D163" s="997">
        <v>4920</v>
      </c>
      <c r="E163" s="997">
        <v>422.42222222222222</v>
      </c>
      <c r="F163"/>
      <c r="G163"/>
    </row>
    <row r="164" spans="1:7">
      <c r="A164" s="996" t="s">
        <v>223</v>
      </c>
      <c r="B164" s="997">
        <v>709</v>
      </c>
      <c r="C164" s="997">
        <v>455</v>
      </c>
      <c r="D164" s="997">
        <v>0</v>
      </c>
      <c r="E164" s="997">
        <v>0</v>
      </c>
      <c r="F164"/>
      <c r="G164"/>
    </row>
    <row r="165" spans="1:7">
      <c r="A165" s="996" t="s">
        <v>222</v>
      </c>
      <c r="B165" s="997">
        <v>2550</v>
      </c>
      <c r="C165" s="997">
        <v>520</v>
      </c>
      <c r="D165" s="997">
        <v>0</v>
      </c>
      <c r="E165" s="997">
        <v>0</v>
      </c>
      <c r="F165"/>
      <c r="G165"/>
    </row>
    <row r="166" spans="1:7">
      <c r="A166" s="996" t="s">
        <v>262</v>
      </c>
      <c r="B166" s="997">
        <v>66</v>
      </c>
      <c r="C166" s="997">
        <v>66</v>
      </c>
      <c r="D166" s="997">
        <v>66</v>
      </c>
      <c r="E166" s="997">
        <v>66</v>
      </c>
      <c r="F166"/>
      <c r="G166"/>
    </row>
    <row r="167" spans="1:7">
      <c r="A167" s="996" t="s">
        <v>538</v>
      </c>
      <c r="B167" s="997">
        <v>1101</v>
      </c>
      <c r="C167" s="997">
        <v>620</v>
      </c>
      <c r="D167" s="997">
        <v>1025</v>
      </c>
      <c r="E167" s="997">
        <v>1101</v>
      </c>
      <c r="F167"/>
      <c r="G167"/>
    </row>
    <row r="168" spans="1:7">
      <c r="A168" s="996" t="s">
        <v>1547</v>
      </c>
      <c r="B168" s="997">
        <v>32</v>
      </c>
      <c r="C168" s="997">
        <v>32</v>
      </c>
      <c r="D168" s="997">
        <v>0</v>
      </c>
      <c r="E168" s="997">
        <v>0</v>
      </c>
      <c r="F168"/>
      <c r="G168"/>
    </row>
    <row r="169" spans="1:7">
      <c r="A169" s="996" t="s">
        <v>778</v>
      </c>
      <c r="B169" s="997">
        <v>247</v>
      </c>
      <c r="C169" s="997">
        <v>205</v>
      </c>
      <c r="D169" s="997">
        <v>0</v>
      </c>
      <c r="E169" s="997">
        <v>0</v>
      </c>
      <c r="F169"/>
      <c r="G169"/>
    </row>
    <row r="170" spans="1:7">
      <c r="A170" s="996" t="s">
        <v>1562</v>
      </c>
      <c r="B170" s="997">
        <v>242</v>
      </c>
      <c r="C170" s="997">
        <v>242</v>
      </c>
      <c r="D170" s="997">
        <v>242</v>
      </c>
      <c r="E170" s="997">
        <v>242</v>
      </c>
      <c r="F170"/>
      <c r="G170"/>
    </row>
    <row r="171" spans="1:7">
      <c r="A171" s="996" t="s">
        <v>1564</v>
      </c>
      <c r="B171" s="997">
        <v>52</v>
      </c>
      <c r="C171" s="997">
        <v>52</v>
      </c>
      <c r="D171" s="997">
        <v>52</v>
      </c>
      <c r="E171" s="997">
        <v>52</v>
      </c>
      <c r="F171"/>
      <c r="G171"/>
    </row>
    <row r="172" spans="1:7">
      <c r="A172" s="996" t="s">
        <v>828</v>
      </c>
      <c r="B172" s="997">
        <v>43</v>
      </c>
      <c r="C172" s="997">
        <v>43</v>
      </c>
      <c r="D172" s="997">
        <v>43</v>
      </c>
      <c r="E172" s="997">
        <v>43</v>
      </c>
    </row>
    <row r="173" spans="1:7">
      <c r="A173" s="996" t="s">
        <v>1591</v>
      </c>
      <c r="B173" s="997">
        <v>1397</v>
      </c>
      <c r="C173" s="997">
        <v>205</v>
      </c>
      <c r="D173" s="997">
        <v>100</v>
      </c>
      <c r="E173" s="997">
        <v>1397</v>
      </c>
    </row>
    <row r="174" spans="1:7">
      <c r="A174" s="996" t="s">
        <v>1592</v>
      </c>
      <c r="B174" s="997">
        <v>467</v>
      </c>
      <c r="C174" s="997">
        <v>205</v>
      </c>
      <c r="D174" s="997">
        <v>300</v>
      </c>
      <c r="E174" s="997">
        <v>400</v>
      </c>
    </row>
    <row r="175" spans="1:7">
      <c r="A175" s="996" t="s">
        <v>1614</v>
      </c>
      <c r="B175" s="997">
        <v>78</v>
      </c>
      <c r="C175" s="997">
        <v>78</v>
      </c>
      <c r="D175" s="997">
        <v>40</v>
      </c>
      <c r="E175" s="997">
        <v>78</v>
      </c>
    </row>
    <row r="176" spans="1:7">
      <c r="A176" s="996" t="s">
        <v>1616</v>
      </c>
      <c r="B176" s="997">
        <v>468</v>
      </c>
      <c r="C176" s="997">
        <v>468</v>
      </c>
      <c r="D176" s="997">
        <v>0</v>
      </c>
      <c r="E176" s="997">
        <v>0</v>
      </c>
    </row>
    <row r="177" spans="1:5">
      <c r="A177" s="996" t="s">
        <v>1619</v>
      </c>
      <c r="B177" s="997">
        <v>158</v>
      </c>
      <c r="C177" s="997">
        <v>158</v>
      </c>
      <c r="D177" s="997">
        <v>158</v>
      </c>
      <c r="E177" s="997">
        <v>158</v>
      </c>
    </row>
    <row r="178" spans="1:5">
      <c r="A178" s="996" t="s">
        <v>1617</v>
      </c>
      <c r="B178" s="997">
        <v>502</v>
      </c>
      <c r="C178" s="997">
        <v>500</v>
      </c>
      <c r="D178" s="997">
        <v>502</v>
      </c>
      <c r="E178" s="997">
        <v>502</v>
      </c>
    </row>
    <row r="179" spans="1:5">
      <c r="A179" s="996" t="s">
        <v>1618</v>
      </c>
      <c r="B179" s="997">
        <v>251</v>
      </c>
      <c r="C179" s="997">
        <v>251</v>
      </c>
      <c r="D179" s="997">
        <v>251</v>
      </c>
      <c r="E179" s="997">
        <v>251</v>
      </c>
    </row>
    <row r="180" spans="1:5">
      <c r="A180" s="996" t="s">
        <v>1613</v>
      </c>
      <c r="B180" s="997">
        <v>474</v>
      </c>
      <c r="C180" s="997">
        <v>474</v>
      </c>
      <c r="D180" s="997">
        <v>260</v>
      </c>
      <c r="E180" s="997">
        <v>400</v>
      </c>
    </row>
    <row r="181" spans="1:5">
      <c r="A181" s="996" t="s">
        <v>1615</v>
      </c>
      <c r="B181" s="997">
        <v>866</v>
      </c>
      <c r="C181" s="997">
        <v>866</v>
      </c>
      <c r="D181" s="997">
        <v>560</v>
      </c>
      <c r="E181" s="997">
        <v>866</v>
      </c>
    </row>
    <row r="182" spans="1:5">
      <c r="A182" s="996" t="s">
        <v>1605</v>
      </c>
      <c r="B182" s="997">
        <v>612</v>
      </c>
      <c r="C182" s="997">
        <v>612</v>
      </c>
      <c r="D182" s="997">
        <v>320</v>
      </c>
      <c r="E182" s="997">
        <v>612</v>
      </c>
    </row>
    <row r="183" spans="1:5">
      <c r="A183" s="996" t="s">
        <v>1612</v>
      </c>
      <c r="B183" s="997">
        <v>351</v>
      </c>
      <c r="C183" s="997">
        <v>351</v>
      </c>
      <c r="D183" s="997">
        <v>160</v>
      </c>
      <c r="E183" s="997">
        <v>351</v>
      </c>
    </row>
    <row r="184" spans="1:5">
      <c r="A184" s="996" t="s">
        <v>1606</v>
      </c>
      <c r="B184" s="997">
        <v>1365</v>
      </c>
      <c r="C184" s="997">
        <v>50</v>
      </c>
      <c r="D184" s="997">
        <v>1340</v>
      </c>
      <c r="E184" s="997">
        <v>1365</v>
      </c>
    </row>
    <row r="185" spans="1:5">
      <c r="A185" s="996" t="s">
        <v>1718</v>
      </c>
      <c r="B185" s="997">
        <v>622</v>
      </c>
      <c r="C185" s="997">
        <v>455</v>
      </c>
      <c r="D185" s="997">
        <v>0</v>
      </c>
      <c r="E185" s="997">
        <v>622</v>
      </c>
    </row>
    <row r="186" spans="1:5">
      <c r="A186" s="996" t="s">
        <v>1721</v>
      </c>
      <c r="B186" s="997">
        <v>439</v>
      </c>
      <c r="C186" s="997">
        <v>439</v>
      </c>
      <c r="D186" s="997">
        <v>439</v>
      </c>
      <c r="E186" s="997">
        <v>439</v>
      </c>
    </row>
    <row r="187" spans="1:5">
      <c r="A187" s="996" t="s">
        <v>1727</v>
      </c>
      <c r="B187" s="997">
        <v>130</v>
      </c>
      <c r="C187" s="997">
        <v>130</v>
      </c>
      <c r="D187" s="997">
        <v>130</v>
      </c>
      <c r="E187" s="997">
        <v>130</v>
      </c>
    </row>
    <row r="188" spans="1:5">
      <c r="A188" s="996" t="s">
        <v>2115</v>
      </c>
      <c r="B188" s="997">
        <v>171</v>
      </c>
      <c r="C188" s="997">
        <v>30</v>
      </c>
      <c r="D188" s="997">
        <v>0</v>
      </c>
      <c r="E188" s="997">
        <v>0</v>
      </c>
    </row>
    <row r="189" spans="1:5">
      <c r="A189" s="996" t="s">
        <v>2161</v>
      </c>
      <c r="B189" s="997">
        <v>16</v>
      </c>
      <c r="C189" s="997">
        <v>16</v>
      </c>
      <c r="D189" s="997">
        <v>16</v>
      </c>
      <c r="E189" s="997">
        <v>16</v>
      </c>
    </row>
    <row r="190" spans="1:5">
      <c r="A190" s="996" t="s">
        <v>2160</v>
      </c>
      <c r="B190" s="997">
        <v>103</v>
      </c>
      <c r="C190" s="997">
        <v>103</v>
      </c>
      <c r="D190" s="997">
        <v>103</v>
      </c>
      <c r="E190" s="997">
        <v>103</v>
      </c>
    </row>
    <row r="191" spans="1:5">
      <c r="A191" s="996" t="s">
        <v>2205</v>
      </c>
      <c r="B191" s="997"/>
      <c r="C191" s="997">
        <v>0</v>
      </c>
      <c r="D191" s="997">
        <v>0</v>
      </c>
      <c r="E191" s="997"/>
    </row>
    <row r="192" spans="1:5">
      <c r="A192" s="996" t="s">
        <v>2204</v>
      </c>
      <c r="B192" s="997"/>
      <c r="C192" s="997">
        <v>0</v>
      </c>
      <c r="D192" s="997">
        <v>0</v>
      </c>
      <c r="E192" s="997"/>
    </row>
    <row r="193" spans="1:5">
      <c r="A193" s="996" t="s">
        <v>2207</v>
      </c>
      <c r="B193" s="997">
        <v>143</v>
      </c>
      <c r="C193" s="997">
        <v>143</v>
      </c>
      <c r="D193" s="997">
        <v>120</v>
      </c>
      <c r="E193" s="997">
        <v>143</v>
      </c>
    </row>
    <row r="194" spans="1:5">
      <c r="A194" s="996" t="s">
        <v>2242</v>
      </c>
      <c r="B194" s="997">
        <v>267</v>
      </c>
      <c r="C194" s="997">
        <v>267</v>
      </c>
      <c r="D194" s="997">
        <v>144</v>
      </c>
      <c r="E194" s="997">
        <v>267</v>
      </c>
    </row>
    <row r="195" spans="1:5">
      <c r="A195" s="996" t="s">
        <v>2244</v>
      </c>
      <c r="B195" s="997">
        <v>147</v>
      </c>
      <c r="C195" s="997">
        <v>30</v>
      </c>
      <c r="D195" s="997">
        <v>0</v>
      </c>
      <c r="E195" s="997">
        <v>0</v>
      </c>
    </row>
    <row r="196" spans="1:5">
      <c r="A196" s="996" t="s">
        <v>2646</v>
      </c>
      <c r="B196" s="997">
        <v>36</v>
      </c>
      <c r="C196" s="997">
        <v>36</v>
      </c>
      <c r="D196" s="997">
        <v>36</v>
      </c>
      <c r="E196" s="997">
        <v>36</v>
      </c>
    </row>
    <row r="197" spans="1:5">
      <c r="A197" s="996" t="s">
        <v>2624</v>
      </c>
      <c r="B197" s="997">
        <v>1674</v>
      </c>
      <c r="C197" s="997">
        <v>440</v>
      </c>
      <c r="D197" s="997">
        <v>280</v>
      </c>
      <c r="E197" s="997">
        <v>1600</v>
      </c>
    </row>
    <row r="198" spans="1:5">
      <c r="A198" s="996" t="s">
        <v>2625</v>
      </c>
      <c r="B198" s="997">
        <v>3469</v>
      </c>
      <c r="C198" s="997">
        <v>50</v>
      </c>
      <c r="D198" s="997">
        <v>3469</v>
      </c>
      <c r="E198" s="997">
        <v>0</v>
      </c>
    </row>
    <row r="199" spans="1:5">
      <c r="A199" s="996" t="s">
        <v>2715</v>
      </c>
      <c r="B199" s="997">
        <v>586</v>
      </c>
      <c r="C199" s="997">
        <v>586</v>
      </c>
      <c r="D199" s="997">
        <v>265</v>
      </c>
      <c r="E199" s="997">
        <v>0</v>
      </c>
    </row>
    <row r="200" spans="1:5">
      <c r="A200" s="996" t="s">
        <v>2716</v>
      </c>
      <c r="B200" s="997">
        <v>91</v>
      </c>
      <c r="C200" s="997">
        <v>91</v>
      </c>
      <c r="D200" s="997">
        <v>0</v>
      </c>
      <c r="E200" s="997">
        <v>0</v>
      </c>
    </row>
    <row r="201" spans="1:5">
      <c r="A201" s="996" t="s">
        <v>2717</v>
      </c>
      <c r="B201" s="997">
        <v>29</v>
      </c>
      <c r="C201" s="997">
        <v>29</v>
      </c>
      <c r="D201" s="997">
        <v>0</v>
      </c>
      <c r="E201" s="997">
        <v>0</v>
      </c>
    </row>
    <row r="202" spans="1:5">
      <c r="A202" s="996" t="s">
        <v>2718</v>
      </c>
      <c r="B202" s="997">
        <v>504</v>
      </c>
      <c r="C202" s="997">
        <v>504</v>
      </c>
      <c r="D202" s="997">
        <v>0</v>
      </c>
      <c r="E202" s="997">
        <v>0</v>
      </c>
    </row>
    <row r="203" spans="1:5">
      <c r="A203" s="996" t="s">
        <v>2795</v>
      </c>
      <c r="B203" s="997">
        <v>168</v>
      </c>
      <c r="C203" s="997">
        <v>168</v>
      </c>
      <c r="D203" s="997">
        <v>0</v>
      </c>
      <c r="E203" s="997">
        <v>0</v>
      </c>
    </row>
    <row r="204" spans="1:5">
      <c r="A204" s="996" t="s">
        <v>2796</v>
      </c>
      <c r="B204" s="997">
        <v>80</v>
      </c>
      <c r="C204" s="997">
        <v>80</v>
      </c>
      <c r="D204" s="997">
        <v>0</v>
      </c>
      <c r="E204" s="997">
        <v>0</v>
      </c>
    </row>
    <row r="205" spans="1:5">
      <c r="A205" s="996" t="s">
        <v>2797</v>
      </c>
      <c r="B205" s="997">
        <v>139</v>
      </c>
      <c r="C205" s="997">
        <v>139</v>
      </c>
      <c r="D205" s="997">
        <v>0</v>
      </c>
      <c r="E205" s="997">
        <v>0</v>
      </c>
    </row>
    <row r="206" spans="1:5">
      <c r="A206" s="996" t="s">
        <v>2798</v>
      </c>
      <c r="B206" s="997">
        <v>231</v>
      </c>
      <c r="C206" s="997">
        <v>231</v>
      </c>
      <c r="D206" s="997">
        <v>0</v>
      </c>
      <c r="E206" s="997">
        <v>0</v>
      </c>
    </row>
    <row r="207" spans="1:5">
      <c r="A207" s="996" t="s">
        <v>2799</v>
      </c>
      <c r="B207" s="997">
        <v>220</v>
      </c>
      <c r="C207" s="997">
        <v>50</v>
      </c>
      <c r="D207" s="997">
        <v>0</v>
      </c>
      <c r="E207" s="997">
        <v>0</v>
      </c>
    </row>
    <row r="208" spans="1:5">
      <c r="A208" s="996" t="s">
        <v>2800</v>
      </c>
      <c r="B208" s="997">
        <v>183</v>
      </c>
      <c r="C208" s="997">
        <v>50</v>
      </c>
      <c r="D208" s="997">
        <v>0</v>
      </c>
      <c r="E208" s="997">
        <v>0</v>
      </c>
    </row>
    <row r="209" spans="1:5">
      <c r="A209" s="996" t="s">
        <v>2801</v>
      </c>
      <c r="B209" s="997">
        <v>247</v>
      </c>
      <c r="C209" s="997">
        <v>247</v>
      </c>
      <c r="D209" s="997">
        <v>0</v>
      </c>
      <c r="E209" s="997">
        <v>0</v>
      </c>
    </row>
    <row r="210" spans="1:5">
      <c r="A210" s="996" t="s">
        <v>2802</v>
      </c>
      <c r="B210" s="997">
        <v>247</v>
      </c>
      <c r="C210" s="997">
        <v>247</v>
      </c>
      <c r="D210" s="997">
        <v>0</v>
      </c>
      <c r="E210" s="997">
        <v>0</v>
      </c>
    </row>
    <row r="211" spans="1:5">
      <c r="A211" s="996" t="s">
        <v>2803</v>
      </c>
      <c r="B211" s="997">
        <v>240</v>
      </c>
      <c r="C211" s="997">
        <v>240</v>
      </c>
      <c r="D211" s="997">
        <v>0</v>
      </c>
      <c r="E211" s="997">
        <v>0</v>
      </c>
    </row>
    <row r="212" spans="1:5">
      <c r="A212" s="996" t="s">
        <v>2804</v>
      </c>
      <c r="B212" s="997">
        <v>189</v>
      </c>
      <c r="C212" s="997">
        <v>189</v>
      </c>
      <c r="D212" s="997">
        <v>0</v>
      </c>
      <c r="E212" s="997">
        <v>0</v>
      </c>
    </row>
    <row r="213" spans="1:5">
      <c r="A213" s="996" t="s">
        <v>2805</v>
      </c>
      <c r="B213" s="997">
        <v>59</v>
      </c>
      <c r="C213" s="997">
        <v>59</v>
      </c>
      <c r="D213" s="997">
        <v>0</v>
      </c>
      <c r="E213" s="997">
        <v>0</v>
      </c>
    </row>
    <row r="214" spans="1:5">
      <c r="A214" s="996" t="s">
        <v>1535</v>
      </c>
      <c r="B214" s="997">
        <v>1340</v>
      </c>
      <c r="C214" s="997">
        <v>1340</v>
      </c>
      <c r="D214" s="997">
        <v>9</v>
      </c>
      <c r="E214" s="997">
        <v>0</v>
      </c>
    </row>
    <row r="215" spans="1:5">
      <c r="A215" s="996" t="s">
        <v>3052</v>
      </c>
      <c r="B215" s="997">
        <v>267</v>
      </c>
      <c r="C215" s="997">
        <v>267</v>
      </c>
      <c r="D215" s="997">
        <v>267</v>
      </c>
      <c r="E215" s="997">
        <v>267</v>
      </c>
    </row>
    <row r="216" spans="1:5">
      <c r="A216" s="996" t="s">
        <v>3053</v>
      </c>
      <c r="B216" s="997">
        <v>412</v>
      </c>
      <c r="C216" s="997">
        <v>50</v>
      </c>
      <c r="D216" s="997">
        <v>360</v>
      </c>
      <c r="E216" s="997">
        <v>412</v>
      </c>
    </row>
    <row r="217" spans="1:5">
      <c r="A217" s="996" t="s">
        <v>3055</v>
      </c>
      <c r="B217" s="997">
        <v>162</v>
      </c>
      <c r="C217" s="997">
        <v>162</v>
      </c>
      <c r="D217" s="997">
        <v>0</v>
      </c>
      <c r="E217" s="997">
        <v>0</v>
      </c>
    </row>
    <row r="218" spans="1:5">
      <c r="A218" s="996" t="s">
        <v>3056</v>
      </c>
      <c r="B218" s="997">
        <v>132</v>
      </c>
      <c r="C218" s="997">
        <v>132</v>
      </c>
      <c r="D218" s="997">
        <v>132</v>
      </c>
      <c r="E218" s="997">
        <v>132</v>
      </c>
    </row>
    <row r="219" spans="1:5">
      <c r="A219" s="996" t="s">
        <v>3048</v>
      </c>
      <c r="B219" s="997">
        <v>544</v>
      </c>
      <c r="C219" s="997">
        <v>520</v>
      </c>
      <c r="D219" s="997">
        <v>0</v>
      </c>
      <c r="E219" s="997">
        <v>544</v>
      </c>
    </row>
    <row r="220" spans="1:5">
      <c r="A220" s="996" t="s">
        <v>3054</v>
      </c>
      <c r="B220" s="997">
        <v>60</v>
      </c>
      <c r="C220" s="997">
        <v>30</v>
      </c>
      <c r="D220" s="997">
        <v>0</v>
      </c>
      <c r="E220" s="997">
        <v>0</v>
      </c>
    </row>
    <row r="221" spans="1:5">
      <c r="A221" s="996" t="s">
        <v>3044</v>
      </c>
      <c r="B221" s="997">
        <v>906</v>
      </c>
      <c r="C221" s="997">
        <v>520</v>
      </c>
      <c r="D221" s="997">
        <v>0</v>
      </c>
      <c r="E221" s="997">
        <v>0</v>
      </c>
    </row>
    <row r="222" spans="1:5">
      <c r="A222" s="996" t="s">
        <v>3047</v>
      </c>
      <c r="B222" s="997">
        <v>264</v>
      </c>
      <c r="C222" s="997">
        <v>264</v>
      </c>
      <c r="D222" s="997">
        <v>264</v>
      </c>
      <c r="E222" s="997">
        <v>0</v>
      </c>
    </row>
    <row r="223" spans="1:5">
      <c r="A223" s="996" t="s">
        <v>3045</v>
      </c>
      <c r="B223" s="997">
        <v>472</v>
      </c>
      <c r="C223" s="997">
        <v>455</v>
      </c>
      <c r="D223" s="997">
        <v>0</v>
      </c>
      <c r="E223" s="997">
        <v>0</v>
      </c>
    </row>
    <row r="224" spans="1:5">
      <c r="A224" s="996" t="s">
        <v>3049</v>
      </c>
      <c r="B224" s="997">
        <v>308</v>
      </c>
      <c r="C224" s="997">
        <v>308</v>
      </c>
      <c r="D224" s="997">
        <v>0</v>
      </c>
      <c r="E224" s="997">
        <v>0</v>
      </c>
    </row>
    <row r="225" spans="1:5">
      <c r="A225" s="996" t="s">
        <v>3050</v>
      </c>
      <c r="B225" s="997">
        <v>126</v>
      </c>
      <c r="C225" s="997">
        <v>126</v>
      </c>
      <c r="D225" s="997">
        <v>0</v>
      </c>
      <c r="E225" s="997">
        <v>0</v>
      </c>
    </row>
    <row r="226" spans="1:5">
      <c r="A226" s="996" t="s">
        <v>3051</v>
      </c>
      <c r="B226" s="997">
        <v>71</v>
      </c>
      <c r="C226" s="997">
        <v>71</v>
      </c>
      <c r="D226" s="997">
        <v>0</v>
      </c>
      <c r="E226" s="997">
        <v>0</v>
      </c>
    </row>
    <row r="227" spans="1:5">
      <c r="A227" s="996" t="s">
        <v>3046</v>
      </c>
      <c r="B227" s="997">
        <v>1067</v>
      </c>
      <c r="C227" s="997">
        <v>50</v>
      </c>
      <c r="D227" s="997">
        <v>0</v>
      </c>
      <c r="E227" s="997">
        <v>0</v>
      </c>
    </row>
    <row r="228" spans="1:5">
      <c r="A228" s="996" t="s">
        <v>3043</v>
      </c>
      <c r="B228" s="997">
        <v>101</v>
      </c>
      <c r="C228" s="997">
        <v>101</v>
      </c>
      <c r="D228" s="997">
        <v>0</v>
      </c>
      <c r="E228" s="997">
        <v>0</v>
      </c>
    </row>
    <row r="229" spans="1:5">
      <c r="A229" s="996" t="s">
        <v>3042</v>
      </c>
      <c r="B229" s="997">
        <v>83</v>
      </c>
      <c r="C229" s="997">
        <v>83</v>
      </c>
      <c r="D229" s="997">
        <v>83</v>
      </c>
      <c r="E229" s="997">
        <v>83</v>
      </c>
    </row>
    <row r="230" spans="1:5">
      <c r="A230" s="996" t="s">
        <v>3032</v>
      </c>
      <c r="B230" s="997">
        <v>189</v>
      </c>
      <c r="C230" s="997">
        <v>0</v>
      </c>
      <c r="D230" s="997">
        <v>164</v>
      </c>
      <c r="E230" s="997">
        <v>189</v>
      </c>
    </row>
    <row r="231" spans="1:5">
      <c r="A231" s="996" t="s">
        <v>3024</v>
      </c>
      <c r="B231" s="997">
        <v>319</v>
      </c>
      <c r="C231" s="997">
        <v>319</v>
      </c>
      <c r="D231" s="997">
        <v>319</v>
      </c>
      <c r="E231" s="997">
        <v>319</v>
      </c>
    </row>
    <row r="232" spans="1:5">
      <c r="A232" s="996" t="s">
        <v>2975</v>
      </c>
      <c r="B232" s="997">
        <v>292</v>
      </c>
      <c r="C232" s="997">
        <v>292</v>
      </c>
      <c r="D232" s="997">
        <v>125</v>
      </c>
      <c r="E232" s="997">
        <v>292</v>
      </c>
    </row>
    <row r="233" spans="1:5">
      <c r="A233" s="996" t="s">
        <v>2976</v>
      </c>
      <c r="B233" s="997">
        <v>77</v>
      </c>
      <c r="C233" s="997">
        <v>77</v>
      </c>
      <c r="D233" s="997">
        <v>20</v>
      </c>
      <c r="E233" s="997">
        <v>0</v>
      </c>
    </row>
    <row r="234" spans="1:5">
      <c r="A234" s="996" t="s">
        <v>3025</v>
      </c>
      <c r="B234" s="997">
        <v>221</v>
      </c>
      <c r="C234" s="997">
        <v>221</v>
      </c>
      <c r="D234" s="997">
        <v>160</v>
      </c>
      <c r="E234" s="997">
        <v>221</v>
      </c>
    </row>
    <row r="235" spans="1:5">
      <c r="A235" s="996" t="s">
        <v>1285</v>
      </c>
      <c r="B235" s="997">
        <v>118218</v>
      </c>
      <c r="C235" s="997">
        <v>80175</v>
      </c>
      <c r="D235" s="997">
        <v>79971</v>
      </c>
      <c r="E235" s="997">
        <v>65789.718518518523</v>
      </c>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601"/>
  <sheetViews>
    <sheetView showGridLines="0" workbookViewId="0">
      <selection activeCell="J20" sqref="J20"/>
    </sheetView>
  </sheetViews>
  <sheetFormatPr defaultColWidth="14" defaultRowHeight="15.6"/>
  <cols>
    <col min="9" max="9" width="22.59765625" customWidth="1"/>
    <col min="10" max="10" width="24.69921875" customWidth="1"/>
    <col min="11" max="11" width="42.5" customWidth="1"/>
    <col min="12" max="12" width="14" hidden="1" customWidth="1"/>
    <col min="13" max="13" width="17.19921875" hidden="1" customWidth="1"/>
    <col min="14" max="14" width="57" hidden="1" customWidth="1"/>
    <col min="15" max="15" width="45.19921875" hidden="1" customWidth="1"/>
    <col min="16" max="16" width="71.69921875" hidden="1" customWidth="1"/>
  </cols>
  <sheetData>
    <row r="2" spans="12:16">
      <c r="L2" s="427" t="s">
        <v>34</v>
      </c>
      <c r="M2" s="421" t="s">
        <v>1476</v>
      </c>
    </row>
    <row r="3" spans="12:16">
      <c r="N3" s="364"/>
      <c r="O3" s="364"/>
      <c r="P3" s="364"/>
    </row>
    <row r="4" spans="12:16">
      <c r="L4" s="427" t="s">
        <v>23</v>
      </c>
      <c r="M4" s="427" t="s">
        <v>20</v>
      </c>
      <c r="N4" s="421" t="s">
        <v>2131</v>
      </c>
      <c r="O4" s="421" t="s">
        <v>2132</v>
      </c>
      <c r="P4" s="421" t="s">
        <v>2133</v>
      </c>
    </row>
    <row r="5" spans="12:16">
      <c r="L5" s="421" t="s">
        <v>814</v>
      </c>
      <c r="M5" s="421" t="s">
        <v>2785</v>
      </c>
      <c r="N5" s="420">
        <v>0</v>
      </c>
      <c r="O5" s="420">
        <v>54</v>
      </c>
      <c r="P5" s="420">
        <v>54</v>
      </c>
    </row>
    <row r="6" spans="12:16">
      <c r="L6" s="421" t="s">
        <v>2482</v>
      </c>
      <c r="M6" s="421"/>
      <c r="N6" s="420">
        <v>0</v>
      </c>
      <c r="O6" s="420">
        <v>54</v>
      </c>
      <c r="P6" s="420">
        <v>54</v>
      </c>
    </row>
    <row r="7" spans="12:16">
      <c r="L7" s="421" t="s">
        <v>277</v>
      </c>
      <c r="M7" s="421" t="s">
        <v>2785</v>
      </c>
      <c r="N7" s="420">
        <v>1226</v>
      </c>
      <c r="O7" s="420">
        <v>789</v>
      </c>
      <c r="P7" s="420">
        <v>1226</v>
      </c>
    </row>
    <row r="8" spans="12:16">
      <c r="M8" s="421" t="s">
        <v>2786</v>
      </c>
      <c r="N8" s="420">
        <v>1278</v>
      </c>
      <c r="O8" s="420">
        <v>1049</v>
      </c>
      <c r="P8" s="420">
        <v>1278</v>
      </c>
    </row>
    <row r="9" spans="12:16">
      <c r="L9" s="421" t="s">
        <v>2483</v>
      </c>
      <c r="M9" s="421"/>
      <c r="N9" s="420">
        <v>2504</v>
      </c>
      <c r="O9" s="420">
        <v>1838</v>
      </c>
      <c r="P9" s="420">
        <v>2504</v>
      </c>
    </row>
    <row r="10" spans="12:16">
      <c r="L10" s="421" t="s">
        <v>248</v>
      </c>
      <c r="M10" s="421" t="s">
        <v>2785</v>
      </c>
      <c r="N10" s="420">
        <v>435</v>
      </c>
      <c r="O10" s="420">
        <v>308</v>
      </c>
      <c r="P10" s="420">
        <v>435</v>
      </c>
    </row>
    <row r="11" spans="12:16">
      <c r="M11" s="421" t="s">
        <v>2786</v>
      </c>
      <c r="N11" s="420">
        <v>440</v>
      </c>
      <c r="O11" s="420">
        <v>220</v>
      </c>
      <c r="P11" s="420">
        <v>440</v>
      </c>
    </row>
    <row r="12" spans="12:16">
      <c r="L12" s="421" t="s">
        <v>2484</v>
      </c>
      <c r="M12" s="421"/>
      <c r="N12" s="420">
        <v>875</v>
      </c>
      <c r="O12" s="420">
        <v>528</v>
      </c>
      <c r="P12" s="420">
        <v>875</v>
      </c>
    </row>
    <row r="13" spans="12:16">
      <c r="L13" s="421" t="s">
        <v>249</v>
      </c>
      <c r="M13" s="421" t="s">
        <v>2785</v>
      </c>
      <c r="N13" s="420">
        <v>72</v>
      </c>
      <c r="O13" s="420">
        <v>72</v>
      </c>
      <c r="P13" s="420">
        <v>72</v>
      </c>
    </row>
    <row r="14" spans="12:16">
      <c r="M14" s="421" t="s">
        <v>2786</v>
      </c>
      <c r="N14" s="420">
        <v>72</v>
      </c>
      <c r="O14" s="420">
        <v>72</v>
      </c>
      <c r="P14" s="420">
        <v>72</v>
      </c>
    </row>
    <row r="15" spans="12:16">
      <c r="L15" s="421" t="s">
        <v>2485</v>
      </c>
      <c r="M15" s="421"/>
      <c r="N15" s="420">
        <v>144</v>
      </c>
      <c r="O15" s="420">
        <v>144</v>
      </c>
      <c r="P15" s="420">
        <v>144</v>
      </c>
    </row>
    <row r="16" spans="12:16">
      <c r="L16" s="421" t="s">
        <v>206</v>
      </c>
      <c r="M16" s="421" t="s">
        <v>2785</v>
      </c>
      <c r="N16" s="420">
        <v>500</v>
      </c>
      <c r="O16" s="420">
        <v>560</v>
      </c>
      <c r="P16" s="420">
        <v>605</v>
      </c>
    </row>
    <row r="17" spans="12:16">
      <c r="M17" s="421" t="s">
        <v>2786</v>
      </c>
      <c r="N17" s="420">
        <v>0</v>
      </c>
      <c r="O17" s="420">
        <v>32</v>
      </c>
      <c r="P17" s="420">
        <v>32</v>
      </c>
    </row>
    <row r="18" spans="12:16">
      <c r="L18" s="421" t="s">
        <v>2486</v>
      </c>
      <c r="M18" s="421"/>
      <c r="N18" s="420">
        <v>500</v>
      </c>
      <c r="O18" s="420">
        <v>592</v>
      </c>
      <c r="P18" s="420">
        <v>637</v>
      </c>
    </row>
    <row r="19" spans="12:16">
      <c r="L19" s="421" t="s">
        <v>196</v>
      </c>
      <c r="M19" s="421" t="s">
        <v>2785</v>
      </c>
      <c r="N19" s="420">
        <v>51</v>
      </c>
      <c r="O19" s="420">
        <v>40</v>
      </c>
      <c r="P19" s="420">
        <v>51</v>
      </c>
    </row>
    <row r="20" spans="12:16">
      <c r="M20" s="421" t="s">
        <v>2786</v>
      </c>
      <c r="N20" s="420">
        <v>0</v>
      </c>
      <c r="O20" s="420">
        <v>40</v>
      </c>
      <c r="P20" s="420">
        <v>222</v>
      </c>
    </row>
    <row r="21" spans="12:16">
      <c r="L21" s="421" t="s">
        <v>2487</v>
      </c>
      <c r="M21" s="421"/>
      <c r="N21" s="420">
        <v>51</v>
      </c>
      <c r="O21" s="420">
        <v>80</v>
      </c>
      <c r="P21" s="420">
        <v>273</v>
      </c>
    </row>
    <row r="22" spans="12:16">
      <c r="L22" s="421" t="s">
        <v>250</v>
      </c>
      <c r="M22" s="421" t="s">
        <v>2785</v>
      </c>
      <c r="N22" s="420">
        <v>250</v>
      </c>
      <c r="O22" s="420">
        <v>200</v>
      </c>
      <c r="P22" s="420">
        <v>250</v>
      </c>
    </row>
    <row r="23" spans="12:16">
      <c r="M23" s="421" t="s">
        <v>2786</v>
      </c>
      <c r="N23" s="420">
        <v>250</v>
      </c>
      <c r="O23" s="420">
        <v>200</v>
      </c>
      <c r="P23" s="420">
        <v>250</v>
      </c>
    </row>
    <row r="24" spans="12:16">
      <c r="L24" s="421" t="s">
        <v>2488</v>
      </c>
      <c r="M24" s="421"/>
      <c r="N24" s="420">
        <v>500</v>
      </c>
      <c r="O24" s="420">
        <v>400</v>
      </c>
      <c r="P24" s="420">
        <v>500</v>
      </c>
    </row>
    <row r="25" spans="12:16">
      <c r="L25" s="421" t="s">
        <v>236</v>
      </c>
      <c r="M25" s="421" t="s">
        <v>2785</v>
      </c>
      <c r="N25" s="420">
        <v>421</v>
      </c>
      <c r="O25" s="420">
        <v>421</v>
      </c>
      <c r="P25" s="420">
        <v>0</v>
      </c>
    </row>
    <row r="26" spans="12:16">
      <c r="M26" s="421" t="s">
        <v>2786</v>
      </c>
      <c r="N26" s="420">
        <v>420</v>
      </c>
      <c r="O26" s="420">
        <v>420</v>
      </c>
      <c r="P26" s="420">
        <v>420</v>
      </c>
    </row>
    <row r="27" spans="12:16">
      <c r="L27" s="421" t="s">
        <v>2489</v>
      </c>
      <c r="M27" s="421"/>
      <c r="N27" s="420">
        <v>841</v>
      </c>
      <c r="O27" s="420">
        <v>841</v>
      </c>
      <c r="P27" s="420">
        <v>420</v>
      </c>
    </row>
    <row r="28" spans="12:16">
      <c r="L28" s="421" t="s">
        <v>1490</v>
      </c>
      <c r="M28" s="421" t="s">
        <v>2785</v>
      </c>
      <c r="N28" s="420">
        <v>1887</v>
      </c>
      <c r="O28" s="420">
        <v>1887</v>
      </c>
      <c r="P28" s="420">
        <v>1887</v>
      </c>
    </row>
    <row r="29" spans="12:16">
      <c r="M29" s="421" t="s">
        <v>2786</v>
      </c>
      <c r="N29" s="420">
        <v>1900</v>
      </c>
      <c r="O29" s="420">
        <v>1900</v>
      </c>
      <c r="P29" s="420">
        <v>1900</v>
      </c>
    </row>
    <row r="30" spans="12:16">
      <c r="L30" s="421" t="s">
        <v>2490</v>
      </c>
      <c r="M30" s="421"/>
      <c r="N30" s="420">
        <v>3787</v>
      </c>
      <c r="O30" s="420">
        <v>3787</v>
      </c>
      <c r="P30" s="420">
        <v>3787</v>
      </c>
    </row>
    <row r="31" spans="12:16">
      <c r="L31" s="421" t="s">
        <v>251</v>
      </c>
      <c r="M31" s="421" t="s">
        <v>2785</v>
      </c>
      <c r="N31" s="420">
        <v>24</v>
      </c>
      <c r="O31" s="420">
        <v>24</v>
      </c>
      <c r="P31" s="420">
        <v>24</v>
      </c>
    </row>
    <row r="32" spans="12:16">
      <c r="M32" s="421" t="s">
        <v>2786</v>
      </c>
      <c r="N32" s="420">
        <v>24</v>
      </c>
      <c r="O32" s="420">
        <v>24</v>
      </c>
      <c r="P32" s="420">
        <v>24</v>
      </c>
    </row>
    <row r="33" spans="12:16">
      <c r="L33" s="421" t="s">
        <v>2491</v>
      </c>
      <c r="M33" s="421"/>
      <c r="N33" s="420">
        <v>48</v>
      </c>
      <c r="O33" s="420">
        <v>48</v>
      </c>
      <c r="P33" s="420">
        <v>48</v>
      </c>
    </row>
    <row r="34" spans="12:16">
      <c r="L34" s="421" t="s">
        <v>245</v>
      </c>
      <c r="M34" s="421" t="s">
        <v>2785</v>
      </c>
      <c r="N34" s="420">
        <v>500</v>
      </c>
      <c r="O34" s="420">
        <v>640</v>
      </c>
      <c r="P34" s="420">
        <v>878</v>
      </c>
    </row>
    <row r="35" spans="12:16">
      <c r="M35" s="421" t="s">
        <v>2786</v>
      </c>
      <c r="N35" s="420">
        <v>500</v>
      </c>
      <c r="O35" s="420">
        <v>220</v>
      </c>
      <c r="P35" s="420">
        <v>706</v>
      </c>
    </row>
    <row r="36" spans="12:16">
      <c r="L36" s="421" t="s">
        <v>2492</v>
      </c>
      <c r="M36" s="421"/>
      <c r="N36" s="420">
        <v>1000</v>
      </c>
      <c r="O36" s="420">
        <v>860</v>
      </c>
      <c r="P36" s="420">
        <v>1584</v>
      </c>
    </row>
    <row r="37" spans="12:16">
      <c r="L37" s="421" t="s">
        <v>252</v>
      </c>
      <c r="M37" s="421" t="s">
        <v>2785</v>
      </c>
      <c r="N37" s="420">
        <v>442</v>
      </c>
      <c r="O37" s="420">
        <v>442</v>
      </c>
      <c r="P37" s="420">
        <v>442</v>
      </c>
    </row>
    <row r="38" spans="12:16">
      <c r="M38" s="421" t="s">
        <v>2786</v>
      </c>
      <c r="N38" s="420">
        <v>443</v>
      </c>
      <c r="O38" s="420">
        <v>443</v>
      </c>
      <c r="P38" s="420">
        <v>443</v>
      </c>
    </row>
    <row r="39" spans="12:16">
      <c r="L39" s="421" t="s">
        <v>2493</v>
      </c>
      <c r="M39" s="421"/>
      <c r="N39" s="420">
        <v>885</v>
      </c>
      <c r="O39" s="420">
        <v>885</v>
      </c>
      <c r="P39" s="420">
        <v>885</v>
      </c>
    </row>
    <row r="40" spans="12:16">
      <c r="L40" s="421" t="s">
        <v>160</v>
      </c>
      <c r="M40" s="421" t="s">
        <v>2785</v>
      </c>
      <c r="N40" s="420">
        <v>197</v>
      </c>
      <c r="O40" s="420">
        <v>140</v>
      </c>
      <c r="P40" s="420">
        <v>197</v>
      </c>
    </row>
    <row r="41" spans="12:16">
      <c r="M41" s="421" t="s">
        <v>2786</v>
      </c>
      <c r="N41" s="420">
        <v>193</v>
      </c>
      <c r="O41" s="420">
        <v>100</v>
      </c>
      <c r="P41" s="420">
        <v>193</v>
      </c>
    </row>
    <row r="42" spans="12:16">
      <c r="L42" s="421" t="s">
        <v>2444</v>
      </c>
      <c r="M42" s="421"/>
      <c r="N42" s="420">
        <v>390</v>
      </c>
      <c r="O42" s="420">
        <v>240</v>
      </c>
      <c r="P42" s="420">
        <v>390</v>
      </c>
    </row>
    <row r="43" spans="12:16">
      <c r="L43" s="421" t="s">
        <v>232</v>
      </c>
      <c r="M43" s="421" t="s">
        <v>2785</v>
      </c>
      <c r="N43" s="420">
        <v>394</v>
      </c>
      <c r="O43" s="420">
        <v>394</v>
      </c>
      <c r="P43" s="420">
        <v>0</v>
      </c>
    </row>
    <row r="44" spans="12:16">
      <c r="M44" s="421" t="s">
        <v>2786</v>
      </c>
      <c r="N44" s="420">
        <v>406</v>
      </c>
      <c r="O44" s="420">
        <v>400</v>
      </c>
      <c r="P44" s="420">
        <v>406</v>
      </c>
    </row>
    <row r="45" spans="12:16">
      <c r="L45" s="421" t="s">
        <v>2494</v>
      </c>
      <c r="M45" s="421"/>
      <c r="N45" s="420">
        <v>800</v>
      </c>
      <c r="O45" s="420">
        <v>794</v>
      </c>
      <c r="P45" s="420">
        <v>406</v>
      </c>
    </row>
    <row r="46" spans="12:16">
      <c r="L46" s="421" t="s">
        <v>1547</v>
      </c>
      <c r="M46" s="421" t="s">
        <v>2785</v>
      </c>
      <c r="N46" s="420">
        <v>32</v>
      </c>
      <c r="O46" s="420">
        <v>0</v>
      </c>
      <c r="P46" s="420">
        <v>0</v>
      </c>
    </row>
    <row r="47" spans="12:16">
      <c r="M47" s="421" t="s">
        <v>2786</v>
      </c>
      <c r="N47" s="420">
        <v>0</v>
      </c>
      <c r="O47" s="420">
        <v>0</v>
      </c>
      <c r="P47" s="420">
        <v>0</v>
      </c>
    </row>
    <row r="48" spans="12:16">
      <c r="L48" s="421" t="s">
        <v>2495</v>
      </c>
      <c r="M48" s="421"/>
      <c r="N48" s="420">
        <v>32</v>
      </c>
      <c r="O48" s="420">
        <v>0</v>
      </c>
      <c r="P48" s="420">
        <v>0</v>
      </c>
    </row>
    <row r="49" spans="12:16">
      <c r="L49" s="421" t="s">
        <v>1721</v>
      </c>
      <c r="M49" s="421" t="s">
        <v>2785</v>
      </c>
      <c r="N49" s="420">
        <v>439</v>
      </c>
      <c r="O49" s="420">
        <v>439</v>
      </c>
      <c r="P49" s="420">
        <v>439</v>
      </c>
    </row>
    <row r="50" spans="12:16">
      <c r="M50" s="421" t="s">
        <v>2786</v>
      </c>
      <c r="N50" s="420">
        <v>439</v>
      </c>
      <c r="O50" s="420">
        <v>439</v>
      </c>
      <c r="P50" s="420">
        <v>439</v>
      </c>
    </row>
    <row r="51" spans="12:16">
      <c r="L51" s="421" t="s">
        <v>2496</v>
      </c>
      <c r="M51" s="421"/>
      <c r="N51" s="420">
        <v>878</v>
      </c>
      <c r="O51" s="420">
        <v>878</v>
      </c>
      <c r="P51" s="420">
        <v>878</v>
      </c>
    </row>
    <row r="52" spans="12:16">
      <c r="L52" s="421" t="s">
        <v>771</v>
      </c>
      <c r="M52" s="421" t="s">
        <v>2785</v>
      </c>
      <c r="N52" s="420">
        <v>205</v>
      </c>
      <c r="O52" s="420">
        <v>410</v>
      </c>
      <c r="P52" s="420">
        <v>410</v>
      </c>
    </row>
    <row r="53" spans="12:16">
      <c r="M53" s="421" t="s">
        <v>2786</v>
      </c>
      <c r="N53" s="420">
        <v>381</v>
      </c>
      <c r="O53" s="420">
        <v>160</v>
      </c>
      <c r="P53" s="420">
        <v>381</v>
      </c>
    </row>
    <row r="54" spans="12:16">
      <c r="L54" s="421" t="s">
        <v>2497</v>
      </c>
      <c r="M54" s="421"/>
      <c r="N54" s="420">
        <v>586</v>
      </c>
      <c r="O54" s="420">
        <v>570</v>
      </c>
      <c r="P54" s="420">
        <v>791</v>
      </c>
    </row>
    <row r="55" spans="12:16">
      <c r="L55" s="421" t="s">
        <v>268</v>
      </c>
      <c r="M55" s="421" t="s">
        <v>2785</v>
      </c>
      <c r="N55" s="420">
        <v>291</v>
      </c>
      <c r="O55" s="420">
        <v>291</v>
      </c>
      <c r="P55" s="420">
        <v>291</v>
      </c>
    </row>
    <row r="56" spans="12:16">
      <c r="M56" s="421" t="s">
        <v>2786</v>
      </c>
      <c r="N56" s="420">
        <v>293</v>
      </c>
      <c r="O56" s="420">
        <v>0</v>
      </c>
      <c r="P56" s="420">
        <v>250</v>
      </c>
    </row>
    <row r="57" spans="12:16">
      <c r="L57" s="421" t="s">
        <v>2498</v>
      </c>
      <c r="M57" s="421"/>
      <c r="N57" s="420">
        <v>584</v>
      </c>
      <c r="O57" s="420">
        <v>291</v>
      </c>
      <c r="P57" s="420">
        <v>541</v>
      </c>
    </row>
    <row r="58" spans="12:16">
      <c r="L58" s="421" t="s">
        <v>175</v>
      </c>
      <c r="M58" s="421" t="s">
        <v>2785</v>
      </c>
      <c r="N58" s="420">
        <v>895</v>
      </c>
      <c r="O58" s="420">
        <v>895</v>
      </c>
      <c r="P58" s="420">
        <v>0</v>
      </c>
    </row>
    <row r="59" spans="12:16">
      <c r="M59" s="421" t="s">
        <v>2786</v>
      </c>
      <c r="N59" s="420">
        <v>966</v>
      </c>
      <c r="O59" s="420">
        <v>966</v>
      </c>
      <c r="P59" s="420">
        <v>933.33333333333337</v>
      </c>
    </row>
    <row r="60" spans="12:16">
      <c r="L60" s="421" t="s">
        <v>2445</v>
      </c>
      <c r="M60" s="421"/>
      <c r="N60" s="420">
        <v>1861</v>
      </c>
      <c r="O60" s="420">
        <v>1861</v>
      </c>
      <c r="P60" s="420">
        <v>933.33333333333337</v>
      </c>
    </row>
    <row r="61" spans="12:16">
      <c r="L61" s="421" t="s">
        <v>149</v>
      </c>
      <c r="M61" s="421" t="s">
        <v>2785</v>
      </c>
      <c r="N61" s="420">
        <v>132</v>
      </c>
      <c r="O61" s="420">
        <v>132</v>
      </c>
      <c r="P61" s="420">
        <v>132</v>
      </c>
    </row>
    <row r="62" spans="12:16">
      <c r="M62" s="421" t="s">
        <v>2786</v>
      </c>
      <c r="N62" s="420">
        <v>0</v>
      </c>
      <c r="O62" s="420">
        <v>0</v>
      </c>
      <c r="P62" s="420">
        <v>133</v>
      </c>
    </row>
    <row r="63" spans="12:16">
      <c r="L63" s="421" t="s">
        <v>2446</v>
      </c>
      <c r="M63" s="421"/>
      <c r="N63" s="420">
        <v>132</v>
      </c>
      <c r="O63" s="420">
        <v>132</v>
      </c>
      <c r="P63" s="420">
        <v>265</v>
      </c>
    </row>
    <row r="64" spans="12:16">
      <c r="L64" s="421" t="s">
        <v>555</v>
      </c>
      <c r="M64" s="421" t="s">
        <v>2785</v>
      </c>
      <c r="N64" s="420">
        <v>934</v>
      </c>
      <c r="O64" s="420">
        <v>800</v>
      </c>
      <c r="P64" s="420">
        <v>934</v>
      </c>
    </row>
    <row r="65" spans="12:16">
      <c r="M65" s="421" t="s">
        <v>2786</v>
      </c>
      <c r="N65" s="420">
        <v>806</v>
      </c>
      <c r="O65" s="420">
        <v>120</v>
      </c>
      <c r="P65" s="420">
        <v>806</v>
      </c>
    </row>
    <row r="66" spans="12:16">
      <c r="L66" s="421" t="s">
        <v>2499</v>
      </c>
      <c r="M66" s="421"/>
      <c r="N66" s="420">
        <v>1740</v>
      </c>
      <c r="O66" s="420">
        <v>920</v>
      </c>
      <c r="P66" s="420">
        <v>1740</v>
      </c>
    </row>
    <row r="67" spans="12:16">
      <c r="L67" s="421" t="s">
        <v>254</v>
      </c>
      <c r="M67" s="421" t="s">
        <v>2785</v>
      </c>
      <c r="N67" s="420">
        <v>504</v>
      </c>
      <c r="O67" s="420">
        <v>504</v>
      </c>
      <c r="P67" s="420">
        <v>504</v>
      </c>
    </row>
    <row r="68" spans="12:16">
      <c r="M68" s="421" t="s">
        <v>2786</v>
      </c>
      <c r="N68" s="420">
        <v>504</v>
      </c>
      <c r="O68" s="420">
        <v>363</v>
      </c>
      <c r="P68" s="420">
        <v>316.66666666666669</v>
      </c>
    </row>
    <row r="69" spans="12:16">
      <c r="L69" s="421" t="s">
        <v>2500</v>
      </c>
      <c r="M69" s="421"/>
      <c r="N69" s="420">
        <v>1008</v>
      </c>
      <c r="O69" s="420">
        <v>867</v>
      </c>
      <c r="P69" s="420">
        <v>820.66666666666674</v>
      </c>
    </row>
    <row r="70" spans="12:16">
      <c r="L70" s="421" t="s">
        <v>147</v>
      </c>
      <c r="M70" s="421" t="s">
        <v>2785</v>
      </c>
      <c r="N70" s="420">
        <v>837</v>
      </c>
      <c r="O70" s="420">
        <v>640</v>
      </c>
      <c r="P70" s="420">
        <v>0</v>
      </c>
    </row>
    <row r="71" spans="12:16">
      <c r="M71" s="421" t="s">
        <v>2786</v>
      </c>
      <c r="N71" s="420">
        <v>936</v>
      </c>
      <c r="O71" s="420">
        <v>640</v>
      </c>
      <c r="P71" s="420">
        <v>0</v>
      </c>
    </row>
    <row r="72" spans="12:16">
      <c r="L72" s="421" t="s">
        <v>2447</v>
      </c>
      <c r="M72" s="421"/>
      <c r="N72" s="420">
        <v>1773</v>
      </c>
      <c r="O72" s="420">
        <v>1280</v>
      </c>
      <c r="P72" s="420">
        <v>0</v>
      </c>
    </row>
    <row r="73" spans="12:16">
      <c r="L73" s="421" t="s">
        <v>217</v>
      </c>
      <c r="M73" s="421" t="s">
        <v>2785</v>
      </c>
      <c r="N73" s="420">
        <v>500</v>
      </c>
      <c r="O73" s="420">
        <v>3789</v>
      </c>
      <c r="P73" s="420">
        <v>1463.1333333333334</v>
      </c>
    </row>
    <row r="74" spans="12:16">
      <c r="M74" s="421" t="s">
        <v>2786</v>
      </c>
      <c r="N74" s="420">
        <v>500</v>
      </c>
      <c r="O74" s="420">
        <v>3789</v>
      </c>
      <c r="P74" s="420">
        <v>1266.6666666666667</v>
      </c>
    </row>
    <row r="75" spans="12:16">
      <c r="L75" s="421" t="s">
        <v>2501</v>
      </c>
      <c r="M75" s="421"/>
      <c r="N75" s="420">
        <v>1000</v>
      </c>
      <c r="O75" s="420">
        <v>7578</v>
      </c>
      <c r="P75" s="420">
        <v>2729.8</v>
      </c>
    </row>
    <row r="76" spans="12:16">
      <c r="L76" s="421" t="s">
        <v>198</v>
      </c>
      <c r="M76" s="421" t="s">
        <v>2785</v>
      </c>
      <c r="N76" s="420">
        <v>222</v>
      </c>
      <c r="O76" s="420">
        <v>140</v>
      </c>
      <c r="P76" s="420">
        <v>222</v>
      </c>
    </row>
    <row r="77" spans="12:16">
      <c r="M77" s="421" t="s">
        <v>2786</v>
      </c>
      <c r="N77" s="420">
        <v>0</v>
      </c>
      <c r="O77" s="420">
        <v>140</v>
      </c>
      <c r="P77" s="420">
        <v>222</v>
      </c>
    </row>
    <row r="78" spans="12:16">
      <c r="L78" s="421" t="s">
        <v>2502</v>
      </c>
      <c r="M78" s="421"/>
      <c r="N78" s="420">
        <v>222</v>
      </c>
      <c r="O78" s="420">
        <v>280</v>
      </c>
      <c r="P78" s="420">
        <v>444</v>
      </c>
    </row>
    <row r="79" spans="12:16">
      <c r="L79" s="421" t="s">
        <v>1727</v>
      </c>
      <c r="M79" s="421" t="s">
        <v>2785</v>
      </c>
      <c r="N79" s="420">
        <v>130</v>
      </c>
      <c r="O79" s="420">
        <v>130</v>
      </c>
      <c r="P79" s="420">
        <v>130</v>
      </c>
    </row>
    <row r="80" spans="12:16">
      <c r="M80" s="421" t="s">
        <v>2786</v>
      </c>
      <c r="N80" s="420">
        <v>130</v>
      </c>
      <c r="O80" s="420">
        <v>130</v>
      </c>
      <c r="P80" s="420">
        <v>130</v>
      </c>
    </row>
    <row r="81" spans="12:16">
      <c r="L81" s="421" t="s">
        <v>2503</v>
      </c>
      <c r="M81" s="421"/>
      <c r="N81" s="420">
        <v>260</v>
      </c>
      <c r="O81" s="420">
        <v>260</v>
      </c>
      <c r="P81" s="420">
        <v>260</v>
      </c>
    </row>
    <row r="82" spans="12:16">
      <c r="L82" s="421" t="s">
        <v>224</v>
      </c>
      <c r="M82" s="421" t="s">
        <v>2785</v>
      </c>
      <c r="N82" s="420">
        <v>440</v>
      </c>
      <c r="O82" s="420">
        <v>1780</v>
      </c>
      <c r="P82" s="420">
        <v>177.16296296296298</v>
      </c>
    </row>
    <row r="83" spans="12:16">
      <c r="M83" s="421" t="s">
        <v>2786</v>
      </c>
      <c r="N83" s="420">
        <v>0</v>
      </c>
      <c r="O83" s="420">
        <v>1780</v>
      </c>
      <c r="P83" s="420">
        <v>66.666666666666671</v>
      </c>
    </row>
    <row r="84" spans="12:16">
      <c r="L84" s="421" t="s">
        <v>2504</v>
      </c>
      <c r="M84" s="421"/>
      <c r="N84" s="420">
        <v>440</v>
      </c>
      <c r="O84" s="420">
        <v>3560</v>
      </c>
      <c r="P84" s="420">
        <v>243.82962962962966</v>
      </c>
    </row>
    <row r="85" spans="12:16">
      <c r="L85" s="421" t="s">
        <v>161</v>
      </c>
      <c r="M85" s="421" t="s">
        <v>2785</v>
      </c>
      <c r="N85" s="420">
        <v>1124</v>
      </c>
      <c r="O85" s="420">
        <v>860</v>
      </c>
      <c r="P85" s="420">
        <v>1124</v>
      </c>
    </row>
    <row r="86" spans="12:16">
      <c r="M86" s="421" t="s">
        <v>2786</v>
      </c>
      <c r="N86" s="420">
        <v>500</v>
      </c>
      <c r="O86" s="420">
        <v>900</v>
      </c>
      <c r="P86" s="420">
        <v>1184</v>
      </c>
    </row>
    <row r="87" spans="12:16">
      <c r="L87" s="421" t="s">
        <v>2448</v>
      </c>
      <c r="M87" s="421"/>
      <c r="N87" s="420">
        <v>1624</v>
      </c>
      <c r="O87" s="420">
        <v>1760</v>
      </c>
      <c r="P87" s="420">
        <v>2308</v>
      </c>
    </row>
    <row r="88" spans="12:16">
      <c r="L88" s="421" t="s">
        <v>233</v>
      </c>
      <c r="M88" s="421" t="s">
        <v>2785</v>
      </c>
      <c r="N88" s="420">
        <v>398</v>
      </c>
      <c r="O88" s="420">
        <v>398</v>
      </c>
      <c r="P88" s="420">
        <v>398</v>
      </c>
    </row>
    <row r="89" spans="12:16">
      <c r="M89" s="421" t="s">
        <v>2786</v>
      </c>
      <c r="N89" s="420">
        <v>388</v>
      </c>
      <c r="O89" s="420">
        <v>388</v>
      </c>
      <c r="P89" s="420">
        <v>388</v>
      </c>
    </row>
    <row r="90" spans="12:16">
      <c r="L90" s="421" t="s">
        <v>2505</v>
      </c>
      <c r="M90" s="421"/>
      <c r="N90" s="420">
        <v>786</v>
      </c>
      <c r="O90" s="420">
        <v>786</v>
      </c>
      <c r="P90" s="420">
        <v>786</v>
      </c>
    </row>
    <row r="91" spans="12:16">
      <c r="L91" s="421" t="s">
        <v>1605</v>
      </c>
      <c r="M91" s="421" t="s">
        <v>2785</v>
      </c>
      <c r="N91" s="420">
        <v>612</v>
      </c>
      <c r="O91" s="420">
        <v>320</v>
      </c>
      <c r="P91" s="420">
        <v>612</v>
      </c>
    </row>
    <row r="92" spans="12:16">
      <c r="M92" s="421" t="s">
        <v>2786</v>
      </c>
      <c r="N92" s="420">
        <v>500</v>
      </c>
      <c r="O92" s="420">
        <v>300</v>
      </c>
      <c r="P92" s="420">
        <v>658</v>
      </c>
    </row>
    <row r="93" spans="12:16">
      <c r="L93" s="421" t="s">
        <v>2449</v>
      </c>
      <c r="M93" s="421"/>
      <c r="N93" s="420">
        <v>1112</v>
      </c>
      <c r="O93" s="420">
        <v>620</v>
      </c>
      <c r="P93" s="420">
        <v>1270</v>
      </c>
    </row>
    <row r="94" spans="12:16">
      <c r="L94" s="421" t="s">
        <v>290</v>
      </c>
      <c r="M94" s="421" t="s">
        <v>2785</v>
      </c>
      <c r="N94" s="420">
        <v>4500</v>
      </c>
      <c r="O94" s="420">
        <v>800</v>
      </c>
      <c r="P94" s="420">
        <v>400</v>
      </c>
    </row>
    <row r="95" spans="12:16">
      <c r="M95" s="421" t="s">
        <v>2786</v>
      </c>
      <c r="N95" s="420">
        <v>8486</v>
      </c>
      <c r="O95" s="420">
        <v>8486</v>
      </c>
      <c r="P95" s="420">
        <v>2150</v>
      </c>
    </row>
    <row r="96" spans="12:16">
      <c r="L96" s="421" t="s">
        <v>2506</v>
      </c>
      <c r="M96" s="421"/>
      <c r="N96" s="420">
        <v>12986</v>
      </c>
      <c r="O96" s="420">
        <v>9286</v>
      </c>
      <c r="P96" s="420">
        <v>2550</v>
      </c>
    </row>
    <row r="97" spans="12:16">
      <c r="L97" s="421" t="s">
        <v>828</v>
      </c>
      <c r="M97" s="421" t="s">
        <v>2785</v>
      </c>
      <c r="N97" s="420">
        <v>43</v>
      </c>
      <c r="O97" s="420">
        <v>43</v>
      </c>
      <c r="P97" s="420">
        <v>43</v>
      </c>
    </row>
    <row r="98" spans="12:16">
      <c r="M98" s="421" t="s">
        <v>2786</v>
      </c>
      <c r="N98" s="420">
        <v>61</v>
      </c>
      <c r="O98" s="420">
        <v>60</v>
      </c>
      <c r="P98" s="420">
        <v>61</v>
      </c>
    </row>
    <row r="99" spans="12:16">
      <c r="L99" s="421" t="s">
        <v>2507</v>
      </c>
      <c r="M99" s="421"/>
      <c r="N99" s="420">
        <v>104</v>
      </c>
      <c r="O99" s="420">
        <v>103</v>
      </c>
      <c r="P99" s="420">
        <v>104</v>
      </c>
    </row>
    <row r="100" spans="12:16">
      <c r="L100" s="421" t="s">
        <v>207</v>
      </c>
      <c r="M100" s="421" t="s">
        <v>2785</v>
      </c>
      <c r="N100" s="420">
        <v>100</v>
      </c>
      <c r="O100" s="420">
        <v>80</v>
      </c>
      <c r="P100" s="420">
        <v>100</v>
      </c>
    </row>
    <row r="101" spans="12:16">
      <c r="M101" s="421" t="s">
        <v>2786</v>
      </c>
      <c r="N101" s="420">
        <v>0</v>
      </c>
      <c r="O101" s="420">
        <v>120</v>
      </c>
      <c r="P101" s="420">
        <v>400</v>
      </c>
    </row>
    <row r="102" spans="12:16">
      <c r="L102" s="421" t="s">
        <v>2508</v>
      </c>
      <c r="M102" s="421"/>
      <c r="N102" s="420">
        <v>100</v>
      </c>
      <c r="O102" s="420">
        <v>200</v>
      </c>
      <c r="P102" s="420">
        <v>500</v>
      </c>
    </row>
    <row r="103" spans="12:16">
      <c r="L103" s="421" t="s">
        <v>1564</v>
      </c>
      <c r="M103" s="421" t="s">
        <v>2785</v>
      </c>
      <c r="N103" s="420">
        <v>52</v>
      </c>
      <c r="O103" s="420">
        <v>52</v>
      </c>
      <c r="P103" s="420">
        <v>52</v>
      </c>
    </row>
    <row r="104" spans="12:16">
      <c r="M104" s="421" t="s">
        <v>2786</v>
      </c>
      <c r="N104" s="420">
        <v>52</v>
      </c>
      <c r="O104" s="420">
        <v>52</v>
      </c>
      <c r="P104" s="420">
        <v>52</v>
      </c>
    </row>
    <row r="105" spans="12:16">
      <c r="L105" s="421" t="s">
        <v>2509</v>
      </c>
      <c r="M105" s="421"/>
      <c r="N105" s="420">
        <v>104</v>
      </c>
      <c r="O105" s="420">
        <v>104</v>
      </c>
      <c r="P105" s="420">
        <v>104</v>
      </c>
    </row>
    <row r="106" spans="12:16">
      <c r="L106" s="421" t="s">
        <v>209</v>
      </c>
      <c r="M106" s="421" t="s">
        <v>2785</v>
      </c>
      <c r="N106" s="420">
        <v>106</v>
      </c>
      <c r="O106" s="420">
        <v>100</v>
      </c>
      <c r="P106" s="420">
        <v>106</v>
      </c>
    </row>
    <row r="107" spans="12:16">
      <c r="M107" s="421" t="s">
        <v>2786</v>
      </c>
      <c r="N107" s="420">
        <v>0</v>
      </c>
      <c r="O107" s="420">
        <v>100</v>
      </c>
      <c r="P107" s="420">
        <v>263</v>
      </c>
    </row>
    <row r="108" spans="12:16">
      <c r="L108" s="421" t="s">
        <v>2510</v>
      </c>
      <c r="M108" s="421"/>
      <c r="N108" s="420">
        <v>106</v>
      </c>
      <c r="O108" s="420">
        <v>200</v>
      </c>
      <c r="P108" s="420">
        <v>369</v>
      </c>
    </row>
    <row r="109" spans="12:16">
      <c r="L109" s="421" t="s">
        <v>541</v>
      </c>
      <c r="M109" s="421" t="s">
        <v>2785</v>
      </c>
      <c r="N109" s="420">
        <v>244</v>
      </c>
      <c r="O109" s="420">
        <v>240</v>
      </c>
      <c r="P109" s="420">
        <v>244</v>
      </c>
    </row>
    <row r="110" spans="12:16">
      <c r="M110" s="421" t="s">
        <v>2786</v>
      </c>
      <c r="N110" s="420">
        <v>244</v>
      </c>
      <c r="O110" s="420">
        <v>240</v>
      </c>
      <c r="P110" s="420">
        <v>244</v>
      </c>
    </row>
    <row r="111" spans="12:16">
      <c r="L111" s="421" t="s">
        <v>2511</v>
      </c>
      <c r="M111" s="421"/>
      <c r="N111" s="420">
        <v>488</v>
      </c>
      <c r="O111" s="420">
        <v>480</v>
      </c>
      <c r="P111" s="420">
        <v>488</v>
      </c>
    </row>
    <row r="112" spans="12:16">
      <c r="L112" s="421" t="s">
        <v>546</v>
      </c>
      <c r="M112" s="421" t="s">
        <v>2785</v>
      </c>
      <c r="N112" s="420">
        <v>180</v>
      </c>
      <c r="O112" s="420">
        <v>180</v>
      </c>
      <c r="P112" s="420">
        <v>180</v>
      </c>
    </row>
    <row r="113" spans="12:16">
      <c r="M113" s="421" t="s">
        <v>2786</v>
      </c>
      <c r="N113" s="420">
        <v>180</v>
      </c>
      <c r="O113" s="420">
        <v>180</v>
      </c>
      <c r="P113" s="420">
        <v>180</v>
      </c>
    </row>
    <row r="114" spans="12:16">
      <c r="L114" s="421" t="s">
        <v>2512</v>
      </c>
      <c r="M114" s="421"/>
      <c r="N114" s="420">
        <v>360</v>
      </c>
      <c r="O114" s="420">
        <v>360</v>
      </c>
      <c r="P114" s="420">
        <v>360</v>
      </c>
    </row>
    <row r="115" spans="12:16">
      <c r="L115" s="421" t="s">
        <v>543</v>
      </c>
      <c r="M115" s="421" t="s">
        <v>2785</v>
      </c>
      <c r="N115" s="420">
        <v>270</v>
      </c>
      <c r="O115" s="420">
        <v>270</v>
      </c>
      <c r="P115" s="420">
        <v>270</v>
      </c>
    </row>
    <row r="116" spans="12:16">
      <c r="M116" s="421" t="s">
        <v>2786</v>
      </c>
      <c r="N116" s="420">
        <v>270</v>
      </c>
      <c r="O116" s="420">
        <v>270</v>
      </c>
      <c r="P116" s="420">
        <v>270</v>
      </c>
    </row>
    <row r="117" spans="12:16">
      <c r="L117" s="421" t="s">
        <v>2513</v>
      </c>
      <c r="M117" s="421"/>
      <c r="N117" s="420">
        <v>540</v>
      </c>
      <c r="O117" s="420">
        <v>540</v>
      </c>
      <c r="P117" s="420">
        <v>540</v>
      </c>
    </row>
    <row r="118" spans="12:16">
      <c r="L118" s="421" t="s">
        <v>153</v>
      </c>
      <c r="M118" s="421" t="s">
        <v>2785</v>
      </c>
      <c r="N118" s="420">
        <v>66</v>
      </c>
      <c r="O118" s="420">
        <v>66</v>
      </c>
      <c r="P118" s="420">
        <v>66</v>
      </c>
    </row>
    <row r="119" spans="12:16">
      <c r="M119" s="421" t="s">
        <v>2786</v>
      </c>
      <c r="N119" s="420">
        <v>0</v>
      </c>
      <c r="O119" s="420">
        <v>0</v>
      </c>
      <c r="P119" s="420">
        <v>76</v>
      </c>
    </row>
    <row r="120" spans="12:16">
      <c r="L120" s="421" t="s">
        <v>2450</v>
      </c>
      <c r="M120" s="421"/>
      <c r="N120" s="420">
        <v>66</v>
      </c>
      <c r="O120" s="420">
        <v>66</v>
      </c>
      <c r="P120" s="420">
        <v>142</v>
      </c>
    </row>
    <row r="121" spans="12:16">
      <c r="L121" s="421" t="s">
        <v>289</v>
      </c>
      <c r="M121" s="421" t="s">
        <v>2785</v>
      </c>
      <c r="N121" s="420">
        <v>440</v>
      </c>
      <c r="O121" s="420">
        <v>0</v>
      </c>
      <c r="P121" s="420">
        <v>500</v>
      </c>
    </row>
    <row r="122" spans="12:16">
      <c r="M122" s="421" t="s">
        <v>2786</v>
      </c>
      <c r="N122" s="420">
        <v>0</v>
      </c>
      <c r="O122" s="420">
        <v>0</v>
      </c>
      <c r="P122" s="420">
        <v>500</v>
      </c>
    </row>
    <row r="123" spans="12:16">
      <c r="L123" s="421" t="s">
        <v>2451</v>
      </c>
      <c r="M123" s="421"/>
      <c r="N123" s="420">
        <v>440</v>
      </c>
      <c r="O123" s="420">
        <v>0</v>
      </c>
      <c r="P123" s="420">
        <v>1000</v>
      </c>
    </row>
    <row r="124" spans="12:16">
      <c r="L124" s="421" t="s">
        <v>294</v>
      </c>
      <c r="M124" s="421" t="s">
        <v>2785</v>
      </c>
      <c r="N124" s="420">
        <v>2691</v>
      </c>
      <c r="O124" s="420">
        <v>2691</v>
      </c>
      <c r="P124" s="420">
        <v>1850</v>
      </c>
    </row>
    <row r="125" spans="12:16">
      <c r="M125" s="421" t="s">
        <v>2786</v>
      </c>
      <c r="N125" s="420">
        <v>2503</v>
      </c>
      <c r="O125" s="420">
        <v>2503</v>
      </c>
      <c r="P125" s="420">
        <v>1850</v>
      </c>
    </row>
    <row r="126" spans="12:16">
      <c r="L126" s="421" t="s">
        <v>2514</v>
      </c>
      <c r="M126" s="421"/>
      <c r="N126" s="420">
        <v>5194</v>
      </c>
      <c r="O126" s="420">
        <v>5194</v>
      </c>
      <c r="P126" s="420">
        <v>3700</v>
      </c>
    </row>
    <row r="127" spans="12:16">
      <c r="L127" s="421" t="s">
        <v>1562</v>
      </c>
      <c r="M127" s="421" t="s">
        <v>2785</v>
      </c>
      <c r="N127" s="420">
        <v>242</v>
      </c>
      <c r="O127" s="420">
        <v>242</v>
      </c>
      <c r="P127" s="420">
        <v>242</v>
      </c>
    </row>
    <row r="128" spans="12:16">
      <c r="L128" s="421" t="s">
        <v>2515</v>
      </c>
      <c r="M128" s="421"/>
      <c r="N128" s="420">
        <v>242</v>
      </c>
      <c r="O128" s="420">
        <v>242</v>
      </c>
      <c r="P128" s="420">
        <v>242</v>
      </c>
    </row>
    <row r="129" spans="12:16">
      <c r="L129" s="421" t="s">
        <v>243</v>
      </c>
      <c r="M129" s="421" t="s">
        <v>2785</v>
      </c>
      <c r="N129" s="420">
        <v>500</v>
      </c>
      <c r="O129" s="420">
        <v>586</v>
      </c>
      <c r="P129" s="420">
        <v>633</v>
      </c>
    </row>
    <row r="130" spans="12:16">
      <c r="M130" s="421" t="s">
        <v>2786</v>
      </c>
      <c r="N130" s="420">
        <v>633</v>
      </c>
      <c r="O130" s="420">
        <v>607</v>
      </c>
      <c r="P130" s="420">
        <v>633</v>
      </c>
    </row>
    <row r="131" spans="12:16">
      <c r="L131" s="421" t="s">
        <v>2516</v>
      </c>
      <c r="M131" s="421"/>
      <c r="N131" s="420">
        <v>1133</v>
      </c>
      <c r="O131" s="420">
        <v>1193</v>
      </c>
      <c r="P131" s="420">
        <v>1266</v>
      </c>
    </row>
    <row r="132" spans="12:16">
      <c r="L132" s="421" t="s">
        <v>163</v>
      </c>
      <c r="M132" s="421" t="s">
        <v>2785</v>
      </c>
      <c r="N132" s="420">
        <v>680</v>
      </c>
      <c r="O132" s="420">
        <v>160</v>
      </c>
      <c r="P132" s="420">
        <v>680</v>
      </c>
    </row>
    <row r="133" spans="12:16">
      <c r="M133" s="421" t="s">
        <v>2786</v>
      </c>
      <c r="N133" s="420">
        <v>0</v>
      </c>
      <c r="O133" s="420">
        <v>160</v>
      </c>
      <c r="P133" s="420">
        <v>718</v>
      </c>
    </row>
    <row r="134" spans="12:16">
      <c r="L134" s="421" t="s">
        <v>2452</v>
      </c>
      <c r="M134" s="421"/>
      <c r="N134" s="420">
        <v>680</v>
      </c>
      <c r="O134" s="420">
        <v>320</v>
      </c>
      <c r="P134" s="420">
        <v>1398</v>
      </c>
    </row>
    <row r="135" spans="12:16">
      <c r="L135" s="421" t="s">
        <v>164</v>
      </c>
      <c r="M135" s="421" t="s">
        <v>2785</v>
      </c>
      <c r="N135" s="420">
        <v>676</v>
      </c>
      <c r="O135" s="420">
        <v>640</v>
      </c>
      <c r="P135" s="420">
        <v>676</v>
      </c>
    </row>
    <row r="136" spans="12:16">
      <c r="M136" s="421" t="s">
        <v>2786</v>
      </c>
      <c r="N136" s="420">
        <v>0</v>
      </c>
      <c r="O136" s="420">
        <v>640</v>
      </c>
      <c r="P136" s="420">
        <v>697</v>
      </c>
    </row>
    <row r="137" spans="12:16">
      <c r="L137" s="421" t="s">
        <v>2453</v>
      </c>
      <c r="M137" s="421"/>
      <c r="N137" s="420">
        <v>676</v>
      </c>
      <c r="O137" s="420">
        <v>1280</v>
      </c>
      <c r="P137" s="420">
        <v>1373</v>
      </c>
    </row>
    <row r="138" spans="12:16">
      <c r="L138" s="421" t="s">
        <v>247</v>
      </c>
      <c r="M138" s="421" t="s">
        <v>2785</v>
      </c>
      <c r="N138" s="420">
        <v>500</v>
      </c>
      <c r="O138" s="420">
        <v>884</v>
      </c>
      <c r="P138" s="420">
        <v>884</v>
      </c>
    </row>
    <row r="139" spans="12:16">
      <c r="M139" s="421" t="s">
        <v>2786</v>
      </c>
      <c r="N139" s="420">
        <v>884</v>
      </c>
      <c r="O139" s="420">
        <v>884</v>
      </c>
      <c r="P139" s="420">
        <v>600</v>
      </c>
    </row>
    <row r="140" spans="12:16">
      <c r="L140" s="421" t="s">
        <v>2517</v>
      </c>
      <c r="M140" s="421"/>
      <c r="N140" s="420">
        <v>1384</v>
      </c>
      <c r="O140" s="420">
        <v>1768</v>
      </c>
      <c r="P140" s="420">
        <v>1484</v>
      </c>
    </row>
    <row r="141" spans="12:16">
      <c r="L141" s="421" t="s">
        <v>255</v>
      </c>
      <c r="M141" s="421" t="s">
        <v>2785</v>
      </c>
      <c r="N141" s="420">
        <v>100</v>
      </c>
      <c r="O141" s="420">
        <v>100</v>
      </c>
      <c r="P141" s="420">
        <v>100</v>
      </c>
    </row>
    <row r="142" spans="12:16">
      <c r="M142" s="421" t="s">
        <v>2786</v>
      </c>
      <c r="N142" s="420">
        <v>103</v>
      </c>
      <c r="O142" s="420">
        <v>103</v>
      </c>
      <c r="P142" s="420">
        <v>0</v>
      </c>
    </row>
    <row r="143" spans="12:16">
      <c r="L143" s="421" t="s">
        <v>2518</v>
      </c>
      <c r="M143" s="421"/>
      <c r="N143" s="420">
        <v>203</v>
      </c>
      <c r="O143" s="420">
        <v>203</v>
      </c>
      <c r="P143" s="420">
        <v>100</v>
      </c>
    </row>
    <row r="144" spans="12:16">
      <c r="L144" s="421" t="s">
        <v>256</v>
      </c>
      <c r="M144" s="421" t="s">
        <v>2785</v>
      </c>
      <c r="N144" s="420">
        <v>54</v>
      </c>
      <c r="O144" s="420">
        <v>40</v>
      </c>
      <c r="P144" s="420">
        <v>54</v>
      </c>
    </row>
    <row r="145" spans="12:16">
      <c r="M145" s="421" t="s">
        <v>2786</v>
      </c>
      <c r="N145" s="420">
        <v>54</v>
      </c>
      <c r="O145" s="420">
        <v>54</v>
      </c>
      <c r="P145" s="420">
        <v>54</v>
      </c>
    </row>
    <row r="146" spans="12:16">
      <c r="L146" s="421" t="s">
        <v>2519</v>
      </c>
      <c r="M146" s="421"/>
      <c r="N146" s="420">
        <v>108</v>
      </c>
      <c r="O146" s="420">
        <v>94</v>
      </c>
      <c r="P146" s="420">
        <v>108</v>
      </c>
    </row>
    <row r="147" spans="12:16">
      <c r="L147" s="421" t="s">
        <v>200</v>
      </c>
      <c r="M147" s="421" t="s">
        <v>2785</v>
      </c>
      <c r="N147" s="420">
        <v>440</v>
      </c>
      <c r="O147" s="420">
        <v>420</v>
      </c>
      <c r="P147" s="420">
        <v>689</v>
      </c>
    </row>
    <row r="148" spans="12:16">
      <c r="M148" s="421" t="s">
        <v>2786</v>
      </c>
      <c r="N148" s="420">
        <v>0</v>
      </c>
      <c r="O148" s="420">
        <v>460</v>
      </c>
      <c r="P148" s="420">
        <v>689</v>
      </c>
    </row>
    <row r="149" spans="12:16">
      <c r="L149" s="421" t="s">
        <v>2520</v>
      </c>
      <c r="M149" s="421"/>
      <c r="N149" s="420">
        <v>440</v>
      </c>
      <c r="O149" s="420">
        <v>880</v>
      </c>
      <c r="P149" s="420">
        <v>1378</v>
      </c>
    </row>
    <row r="150" spans="12:16">
      <c r="L150" s="421" t="s">
        <v>544</v>
      </c>
      <c r="M150" s="421" t="s">
        <v>2785</v>
      </c>
      <c r="N150" s="420">
        <v>127</v>
      </c>
      <c r="O150" s="420">
        <v>127</v>
      </c>
      <c r="P150" s="420">
        <v>127</v>
      </c>
    </row>
    <row r="151" spans="12:16">
      <c r="M151" s="421" t="s">
        <v>2786</v>
      </c>
      <c r="N151" s="420">
        <v>127</v>
      </c>
      <c r="O151" s="420">
        <v>127</v>
      </c>
      <c r="P151" s="420">
        <v>127</v>
      </c>
    </row>
    <row r="152" spans="12:16">
      <c r="L152" s="421" t="s">
        <v>2521</v>
      </c>
      <c r="M152" s="421"/>
      <c r="N152" s="420">
        <v>254</v>
      </c>
      <c r="O152" s="420">
        <v>254</v>
      </c>
      <c r="P152" s="420">
        <v>254</v>
      </c>
    </row>
    <row r="153" spans="12:16">
      <c r="L153" s="421" t="s">
        <v>281</v>
      </c>
      <c r="M153" s="421" t="s">
        <v>2785</v>
      </c>
      <c r="N153" s="420">
        <v>239</v>
      </c>
      <c r="O153" s="420">
        <v>182</v>
      </c>
      <c r="P153" s="420">
        <v>239</v>
      </c>
    </row>
    <row r="154" spans="12:16">
      <c r="M154" s="421" t="s">
        <v>2786</v>
      </c>
      <c r="N154" s="420">
        <v>239</v>
      </c>
      <c r="O154" s="420">
        <v>182</v>
      </c>
      <c r="P154" s="420">
        <v>239</v>
      </c>
    </row>
    <row r="155" spans="12:16">
      <c r="L155" s="421" t="s">
        <v>2522</v>
      </c>
      <c r="M155" s="421"/>
      <c r="N155" s="420">
        <v>478</v>
      </c>
      <c r="O155" s="420">
        <v>364</v>
      </c>
      <c r="P155" s="420">
        <v>478</v>
      </c>
    </row>
    <row r="156" spans="12:16">
      <c r="L156" s="421" t="s">
        <v>282</v>
      </c>
      <c r="M156" s="421" t="s">
        <v>2785</v>
      </c>
      <c r="N156" s="420">
        <v>426</v>
      </c>
      <c r="O156" s="420">
        <v>126</v>
      </c>
      <c r="P156" s="420">
        <v>426</v>
      </c>
    </row>
    <row r="157" spans="12:16">
      <c r="M157" s="421" t="s">
        <v>2786</v>
      </c>
      <c r="N157" s="420">
        <v>426</v>
      </c>
      <c r="O157" s="420">
        <v>126</v>
      </c>
      <c r="P157" s="420">
        <v>426</v>
      </c>
    </row>
    <row r="158" spans="12:16">
      <c r="L158" s="421" t="s">
        <v>2523</v>
      </c>
      <c r="M158" s="421"/>
      <c r="N158" s="420">
        <v>852</v>
      </c>
      <c r="O158" s="420">
        <v>252</v>
      </c>
      <c r="P158" s="420">
        <v>852</v>
      </c>
    </row>
    <row r="159" spans="12:16">
      <c r="L159" s="421" t="s">
        <v>283</v>
      </c>
      <c r="M159" s="421" t="s">
        <v>2785</v>
      </c>
      <c r="N159" s="420">
        <v>1322</v>
      </c>
      <c r="O159" s="420">
        <v>943</v>
      </c>
      <c r="P159" s="420">
        <v>1322</v>
      </c>
    </row>
    <row r="160" spans="12:16">
      <c r="M160" s="421" t="s">
        <v>2786</v>
      </c>
      <c r="N160" s="420">
        <v>1322</v>
      </c>
      <c r="O160" s="420">
        <v>943</v>
      </c>
      <c r="P160" s="420">
        <v>1322</v>
      </c>
    </row>
    <row r="161" spans="12:16">
      <c r="L161" s="421" t="s">
        <v>2524</v>
      </c>
      <c r="M161" s="421"/>
      <c r="N161" s="420">
        <v>2644</v>
      </c>
      <c r="O161" s="420">
        <v>1886</v>
      </c>
      <c r="P161" s="420">
        <v>2644</v>
      </c>
    </row>
    <row r="162" spans="12:16">
      <c r="L162" s="421" t="s">
        <v>1592</v>
      </c>
      <c r="M162" s="421" t="s">
        <v>2785</v>
      </c>
      <c r="N162" s="420">
        <v>205</v>
      </c>
      <c r="O162" s="420">
        <v>300</v>
      </c>
      <c r="P162" s="420">
        <v>400</v>
      </c>
    </row>
    <row r="163" spans="12:16">
      <c r="M163" s="421" t="s">
        <v>2786</v>
      </c>
      <c r="N163" s="420">
        <v>467</v>
      </c>
      <c r="O163" s="420">
        <v>300</v>
      </c>
      <c r="P163" s="420">
        <v>0</v>
      </c>
    </row>
    <row r="164" spans="12:16">
      <c r="L164" s="421" t="s">
        <v>2525</v>
      </c>
      <c r="M164" s="421"/>
      <c r="N164" s="420">
        <v>672</v>
      </c>
      <c r="O164" s="420">
        <v>600</v>
      </c>
      <c r="P164" s="420">
        <v>400</v>
      </c>
    </row>
    <row r="165" spans="12:16">
      <c r="L165" s="421" t="s">
        <v>174</v>
      </c>
      <c r="M165" s="421" t="s">
        <v>2785</v>
      </c>
      <c r="N165" s="420">
        <v>289</v>
      </c>
      <c r="O165" s="420">
        <v>240</v>
      </c>
      <c r="P165" s="420">
        <v>289</v>
      </c>
    </row>
    <row r="166" spans="12:16">
      <c r="L166" s="421" t="s">
        <v>2454</v>
      </c>
      <c r="M166" s="421"/>
      <c r="N166" s="420">
        <v>289</v>
      </c>
      <c r="O166" s="420">
        <v>240</v>
      </c>
      <c r="P166" s="420">
        <v>289</v>
      </c>
    </row>
    <row r="167" spans="12:16">
      <c r="L167" s="421" t="s">
        <v>288</v>
      </c>
      <c r="M167" s="421" t="s">
        <v>2785</v>
      </c>
      <c r="N167" s="420">
        <v>0</v>
      </c>
      <c r="O167" s="420">
        <v>0</v>
      </c>
      <c r="P167" s="420"/>
    </row>
    <row r="168" spans="12:16">
      <c r="M168" s="421" t="s">
        <v>2786</v>
      </c>
      <c r="N168" s="420">
        <v>0</v>
      </c>
      <c r="O168" s="420">
        <v>0</v>
      </c>
      <c r="P168" s="420">
        <v>0</v>
      </c>
    </row>
    <row r="169" spans="12:16">
      <c r="L169" s="421" t="s">
        <v>2526</v>
      </c>
      <c r="M169" s="421"/>
      <c r="N169" s="420">
        <v>0</v>
      </c>
      <c r="O169" s="420">
        <v>0</v>
      </c>
      <c r="P169" s="420">
        <v>0</v>
      </c>
    </row>
    <row r="170" spans="12:16">
      <c r="L170" s="421" t="s">
        <v>1614</v>
      </c>
      <c r="M170" s="421" t="s">
        <v>2785</v>
      </c>
      <c r="N170" s="420">
        <v>78</v>
      </c>
      <c r="O170" s="420">
        <v>40</v>
      </c>
      <c r="P170" s="420">
        <v>78</v>
      </c>
    </row>
    <row r="171" spans="12:16">
      <c r="M171" s="421" t="s">
        <v>2786</v>
      </c>
      <c r="N171" s="420">
        <v>0</v>
      </c>
      <c r="O171" s="420">
        <v>60</v>
      </c>
      <c r="P171" s="420">
        <v>73</v>
      </c>
    </row>
    <row r="172" spans="12:16">
      <c r="L172" s="421" t="s">
        <v>2455</v>
      </c>
      <c r="M172" s="421"/>
      <c r="N172" s="420">
        <v>78</v>
      </c>
      <c r="O172" s="420">
        <v>100</v>
      </c>
      <c r="P172" s="420">
        <v>151</v>
      </c>
    </row>
    <row r="173" spans="12:16">
      <c r="L173" s="421" t="s">
        <v>176</v>
      </c>
      <c r="M173" s="421" t="s">
        <v>2785</v>
      </c>
      <c r="N173" s="420">
        <v>159</v>
      </c>
      <c r="O173" s="420">
        <v>120</v>
      </c>
      <c r="P173" s="420">
        <v>159</v>
      </c>
    </row>
    <row r="174" spans="12:16">
      <c r="M174" s="421" t="s">
        <v>2786</v>
      </c>
      <c r="N174" s="420">
        <v>238</v>
      </c>
      <c r="O174" s="420">
        <v>120</v>
      </c>
      <c r="P174" s="420">
        <v>238</v>
      </c>
    </row>
    <row r="175" spans="12:16">
      <c r="L175" s="421" t="s">
        <v>2456</v>
      </c>
      <c r="M175" s="421"/>
      <c r="N175" s="420">
        <v>397</v>
      </c>
      <c r="O175" s="420">
        <v>240</v>
      </c>
      <c r="P175" s="420">
        <v>397</v>
      </c>
    </row>
    <row r="176" spans="12:16">
      <c r="L176" s="421" t="s">
        <v>177</v>
      </c>
      <c r="M176" s="421" t="s">
        <v>2785</v>
      </c>
      <c r="N176" s="420">
        <v>1736</v>
      </c>
      <c r="O176" s="420">
        <v>1736</v>
      </c>
      <c r="P176" s="420">
        <v>0</v>
      </c>
    </row>
    <row r="177" spans="12:16">
      <c r="M177" s="421" t="s">
        <v>2786</v>
      </c>
      <c r="N177" s="420">
        <v>1469</v>
      </c>
      <c r="O177" s="420">
        <v>1469</v>
      </c>
      <c r="P177" s="420">
        <v>400</v>
      </c>
    </row>
    <row r="178" spans="12:16">
      <c r="L178" s="421" t="s">
        <v>2527</v>
      </c>
      <c r="M178" s="421"/>
      <c r="N178" s="420">
        <v>3205</v>
      </c>
      <c r="O178" s="420">
        <v>3205</v>
      </c>
      <c r="P178" s="420">
        <v>400</v>
      </c>
    </row>
    <row r="179" spans="12:16">
      <c r="L179" s="421" t="s">
        <v>1617</v>
      </c>
      <c r="M179" s="421" t="s">
        <v>2785</v>
      </c>
      <c r="N179" s="420">
        <v>500</v>
      </c>
      <c r="O179" s="420">
        <v>502</v>
      </c>
      <c r="P179" s="420">
        <v>502</v>
      </c>
    </row>
    <row r="180" spans="12:16">
      <c r="M180" s="421" t="s">
        <v>2786</v>
      </c>
      <c r="N180" s="420">
        <v>500</v>
      </c>
      <c r="O180" s="420">
        <v>502</v>
      </c>
      <c r="P180" s="420">
        <v>502</v>
      </c>
    </row>
    <row r="181" spans="12:16">
      <c r="L181" s="421" t="s">
        <v>2528</v>
      </c>
      <c r="M181" s="421"/>
      <c r="N181" s="420">
        <v>1000</v>
      </c>
      <c r="O181" s="420">
        <v>1004</v>
      </c>
      <c r="P181" s="420">
        <v>1004</v>
      </c>
    </row>
    <row r="182" spans="12:16">
      <c r="L182" s="421" t="s">
        <v>269</v>
      </c>
      <c r="M182" s="421" t="s">
        <v>2785</v>
      </c>
      <c r="N182" s="420">
        <v>1000</v>
      </c>
      <c r="O182" s="420">
        <v>420</v>
      </c>
      <c r="P182" s="420">
        <v>1000</v>
      </c>
    </row>
    <row r="183" spans="12:16">
      <c r="M183" s="421" t="s">
        <v>2786</v>
      </c>
      <c r="N183" s="420">
        <v>1780</v>
      </c>
      <c r="O183" s="420">
        <v>480</v>
      </c>
      <c r="P183" s="420">
        <v>1200</v>
      </c>
    </row>
    <row r="184" spans="12:16">
      <c r="L184" s="421" t="s">
        <v>2529</v>
      </c>
      <c r="M184" s="421"/>
      <c r="N184" s="420">
        <v>2780</v>
      </c>
      <c r="O184" s="420">
        <v>900</v>
      </c>
      <c r="P184" s="420">
        <v>2200</v>
      </c>
    </row>
    <row r="185" spans="12:16">
      <c r="L185" s="421" t="s">
        <v>237</v>
      </c>
      <c r="M185" s="421" t="s">
        <v>2785</v>
      </c>
      <c r="N185" s="420">
        <v>30</v>
      </c>
      <c r="O185" s="420">
        <v>1776</v>
      </c>
      <c r="P185" s="420">
        <v>1776</v>
      </c>
    </row>
    <row r="186" spans="12:16">
      <c r="M186" s="421" t="s">
        <v>2786</v>
      </c>
      <c r="N186" s="420">
        <v>1494</v>
      </c>
      <c r="O186" s="420">
        <v>1494</v>
      </c>
      <c r="P186" s="420">
        <v>1494</v>
      </c>
    </row>
    <row r="187" spans="12:16">
      <c r="L187" s="421" t="s">
        <v>2530</v>
      </c>
      <c r="M187" s="421"/>
      <c r="N187" s="420">
        <v>1524</v>
      </c>
      <c r="O187" s="420">
        <v>3270</v>
      </c>
      <c r="P187" s="420">
        <v>3270</v>
      </c>
    </row>
    <row r="188" spans="12:16">
      <c r="L188" s="421" t="s">
        <v>178</v>
      </c>
      <c r="M188" s="421" t="s">
        <v>2785</v>
      </c>
      <c r="N188" s="420">
        <v>2500</v>
      </c>
      <c r="O188" s="420">
        <v>2500</v>
      </c>
      <c r="P188" s="420">
        <v>2500</v>
      </c>
    </row>
    <row r="189" spans="12:16">
      <c r="M189" s="421" t="s">
        <v>2786</v>
      </c>
      <c r="N189" s="420">
        <v>2920</v>
      </c>
      <c r="O189" s="420">
        <v>2600</v>
      </c>
      <c r="P189" s="420">
        <v>2920</v>
      </c>
    </row>
    <row r="190" spans="12:16">
      <c r="L190" s="421" t="s">
        <v>2457</v>
      </c>
      <c r="M190" s="421"/>
      <c r="N190" s="420">
        <v>5420</v>
      </c>
      <c r="O190" s="420">
        <v>5100</v>
      </c>
      <c r="P190" s="420">
        <v>5420</v>
      </c>
    </row>
    <row r="191" spans="12:16">
      <c r="L191" s="421" t="s">
        <v>179</v>
      </c>
      <c r="M191" s="421" t="s">
        <v>2785</v>
      </c>
      <c r="N191" s="420">
        <v>191</v>
      </c>
      <c r="O191" s="420">
        <v>191</v>
      </c>
      <c r="P191" s="420">
        <v>191</v>
      </c>
    </row>
    <row r="192" spans="12:16">
      <c r="M192" s="421" t="s">
        <v>2786</v>
      </c>
      <c r="N192" s="420">
        <v>283</v>
      </c>
      <c r="O192" s="420">
        <v>200</v>
      </c>
      <c r="P192" s="420">
        <v>283</v>
      </c>
    </row>
    <row r="193" spans="12:16">
      <c r="L193" s="421" t="s">
        <v>2458</v>
      </c>
      <c r="M193" s="421"/>
      <c r="N193" s="420">
        <v>474</v>
      </c>
      <c r="O193" s="420">
        <v>391</v>
      </c>
      <c r="P193" s="420">
        <v>474</v>
      </c>
    </row>
    <row r="194" spans="12:16">
      <c r="L194" s="421" t="s">
        <v>183</v>
      </c>
      <c r="M194" s="421" t="s">
        <v>2785</v>
      </c>
      <c r="N194" s="420">
        <v>1599</v>
      </c>
      <c r="O194" s="420">
        <v>1599</v>
      </c>
      <c r="P194" s="420">
        <v>1599</v>
      </c>
    </row>
    <row r="195" spans="12:16">
      <c r="M195" s="421" t="s">
        <v>2786</v>
      </c>
      <c r="N195" s="420">
        <v>1759</v>
      </c>
      <c r="O195" s="420">
        <v>1759</v>
      </c>
      <c r="P195" s="420">
        <v>400</v>
      </c>
    </row>
    <row r="196" spans="12:16">
      <c r="L196" s="421" t="s">
        <v>2459</v>
      </c>
      <c r="M196" s="421"/>
      <c r="N196" s="420">
        <v>3358</v>
      </c>
      <c r="O196" s="420">
        <v>3358</v>
      </c>
      <c r="P196" s="420">
        <v>1999</v>
      </c>
    </row>
    <row r="197" spans="12:16">
      <c r="L197" s="421" t="s">
        <v>39</v>
      </c>
      <c r="M197" s="421" t="s">
        <v>2785</v>
      </c>
      <c r="N197" s="420">
        <v>694</v>
      </c>
      <c r="O197" s="420">
        <v>694</v>
      </c>
      <c r="P197" s="420">
        <v>694</v>
      </c>
    </row>
    <row r="198" spans="12:16">
      <c r="M198" s="421" t="s">
        <v>2786</v>
      </c>
      <c r="N198" s="420">
        <v>694</v>
      </c>
      <c r="O198" s="420">
        <v>694</v>
      </c>
      <c r="P198" s="420">
        <v>694</v>
      </c>
    </row>
    <row r="199" spans="12:16">
      <c r="L199" s="421" t="s">
        <v>2531</v>
      </c>
      <c r="M199" s="421"/>
      <c r="N199" s="420">
        <v>1388</v>
      </c>
      <c r="O199" s="420">
        <v>1388</v>
      </c>
      <c r="P199" s="420">
        <v>1388</v>
      </c>
    </row>
    <row r="200" spans="12:16">
      <c r="L200" s="421" t="s">
        <v>165</v>
      </c>
      <c r="M200" s="421" t="s">
        <v>2785</v>
      </c>
      <c r="N200" s="420">
        <v>290</v>
      </c>
      <c r="O200" s="420">
        <v>140</v>
      </c>
      <c r="P200" s="420">
        <v>290</v>
      </c>
    </row>
    <row r="201" spans="12:16">
      <c r="M201" s="421" t="s">
        <v>2786</v>
      </c>
      <c r="N201" s="420">
        <v>0</v>
      </c>
      <c r="O201" s="420">
        <v>140</v>
      </c>
      <c r="P201" s="420">
        <v>327</v>
      </c>
    </row>
    <row r="202" spans="12:16">
      <c r="L202" s="421" t="s">
        <v>2460</v>
      </c>
      <c r="M202" s="421"/>
      <c r="N202" s="420">
        <v>290</v>
      </c>
      <c r="O202" s="420">
        <v>280</v>
      </c>
      <c r="P202" s="420">
        <v>617</v>
      </c>
    </row>
    <row r="203" spans="12:16">
      <c r="L203" s="421" t="s">
        <v>210</v>
      </c>
      <c r="M203" s="421" t="s">
        <v>2785</v>
      </c>
      <c r="N203" s="420">
        <v>500</v>
      </c>
      <c r="O203" s="420">
        <v>741</v>
      </c>
      <c r="P203" s="420">
        <v>741</v>
      </c>
    </row>
    <row r="204" spans="12:16">
      <c r="M204" s="421" t="s">
        <v>2786</v>
      </c>
      <c r="N204" s="420">
        <v>0</v>
      </c>
      <c r="O204" s="420">
        <v>741</v>
      </c>
      <c r="P204" s="420">
        <v>741</v>
      </c>
    </row>
    <row r="205" spans="12:16">
      <c r="L205" s="421" t="s">
        <v>2532</v>
      </c>
      <c r="M205" s="421"/>
      <c r="N205" s="420">
        <v>500</v>
      </c>
      <c r="O205" s="420">
        <v>1482</v>
      </c>
      <c r="P205" s="420">
        <v>1482</v>
      </c>
    </row>
    <row r="206" spans="12:16">
      <c r="L206" s="421" t="s">
        <v>287</v>
      </c>
      <c r="M206" s="421" t="s">
        <v>2785</v>
      </c>
      <c r="N206" s="420">
        <v>590</v>
      </c>
      <c r="O206" s="420">
        <v>563</v>
      </c>
      <c r="P206" s="420">
        <v>590</v>
      </c>
    </row>
    <row r="207" spans="12:16">
      <c r="M207" s="421" t="s">
        <v>2786</v>
      </c>
      <c r="N207" s="420">
        <v>586</v>
      </c>
      <c r="O207" s="420">
        <v>563</v>
      </c>
      <c r="P207" s="420">
        <v>586</v>
      </c>
    </row>
    <row r="208" spans="12:16">
      <c r="L208" s="421" t="s">
        <v>2533</v>
      </c>
      <c r="M208" s="421"/>
      <c r="N208" s="420">
        <v>1176</v>
      </c>
      <c r="O208" s="420">
        <v>1126</v>
      </c>
      <c r="P208" s="420">
        <v>1176</v>
      </c>
    </row>
    <row r="209" spans="12:16">
      <c r="L209" s="421" t="s">
        <v>166</v>
      </c>
      <c r="M209" s="421" t="s">
        <v>2785</v>
      </c>
      <c r="N209" s="420">
        <v>547</v>
      </c>
      <c r="O209" s="420">
        <v>547</v>
      </c>
      <c r="P209" s="420">
        <v>547</v>
      </c>
    </row>
    <row r="210" spans="12:16">
      <c r="M210" s="421" t="s">
        <v>2786</v>
      </c>
      <c r="N210" s="420">
        <v>0</v>
      </c>
      <c r="O210" s="420">
        <v>622</v>
      </c>
      <c r="P210" s="420">
        <v>622</v>
      </c>
    </row>
    <row r="211" spans="12:16">
      <c r="L211" s="421" t="s">
        <v>2461</v>
      </c>
      <c r="M211" s="421"/>
      <c r="N211" s="420">
        <v>547</v>
      </c>
      <c r="O211" s="420">
        <v>1169</v>
      </c>
      <c r="P211" s="420">
        <v>1169</v>
      </c>
    </row>
    <row r="212" spans="12:16">
      <c r="L212" s="421" t="s">
        <v>557</v>
      </c>
      <c r="M212" s="421" t="s">
        <v>2785</v>
      </c>
      <c r="N212" s="420">
        <v>30</v>
      </c>
      <c r="O212" s="420">
        <v>0</v>
      </c>
      <c r="P212" s="420">
        <v>0</v>
      </c>
    </row>
    <row r="213" spans="12:16">
      <c r="M213" s="421" t="s">
        <v>2786</v>
      </c>
      <c r="N213" s="420">
        <v>0</v>
      </c>
      <c r="O213" s="420">
        <v>0</v>
      </c>
      <c r="P213" s="420">
        <v>0</v>
      </c>
    </row>
    <row r="214" spans="12:16">
      <c r="L214" s="421" t="s">
        <v>2534</v>
      </c>
      <c r="M214" s="421"/>
      <c r="N214" s="420">
        <v>30</v>
      </c>
      <c r="O214" s="420">
        <v>0</v>
      </c>
      <c r="P214" s="420">
        <v>0</v>
      </c>
    </row>
    <row r="215" spans="12:16">
      <c r="L215" s="421" t="s">
        <v>554</v>
      </c>
      <c r="M215" s="421" t="s">
        <v>2785</v>
      </c>
      <c r="N215" s="420">
        <v>104</v>
      </c>
      <c r="O215" s="420">
        <v>80</v>
      </c>
      <c r="P215" s="420">
        <v>104</v>
      </c>
    </row>
    <row r="216" spans="12:16">
      <c r="M216" s="421" t="s">
        <v>2786</v>
      </c>
      <c r="N216" s="420">
        <v>0</v>
      </c>
      <c r="O216" s="420">
        <v>80</v>
      </c>
      <c r="P216" s="420">
        <v>104</v>
      </c>
    </row>
    <row r="217" spans="12:16">
      <c r="L217" s="421" t="s">
        <v>2535</v>
      </c>
      <c r="M217" s="421"/>
      <c r="N217" s="420">
        <v>104</v>
      </c>
      <c r="O217" s="420">
        <v>160</v>
      </c>
      <c r="P217" s="420">
        <v>208</v>
      </c>
    </row>
    <row r="218" spans="12:16">
      <c r="L218" s="421" t="s">
        <v>298</v>
      </c>
      <c r="M218" s="421" t="s">
        <v>2785</v>
      </c>
      <c r="N218" s="420">
        <v>500</v>
      </c>
      <c r="O218" s="420">
        <v>360</v>
      </c>
      <c r="P218" s="420">
        <v>500.00000000000006</v>
      </c>
    </row>
    <row r="219" spans="12:16">
      <c r="M219" s="421" t="s">
        <v>2786</v>
      </c>
      <c r="N219" s="420">
        <v>655</v>
      </c>
      <c r="O219" s="420">
        <v>360</v>
      </c>
      <c r="P219" s="420">
        <v>655</v>
      </c>
    </row>
    <row r="220" spans="12:16">
      <c r="L220" s="421" t="s">
        <v>2536</v>
      </c>
      <c r="M220" s="421"/>
      <c r="N220" s="420">
        <v>1155</v>
      </c>
      <c r="O220" s="420">
        <v>720</v>
      </c>
      <c r="P220" s="420">
        <v>1155</v>
      </c>
    </row>
    <row r="221" spans="12:16">
      <c r="L221" s="421" t="s">
        <v>300</v>
      </c>
      <c r="M221" s="421" t="s">
        <v>2785</v>
      </c>
      <c r="N221" s="420">
        <v>50</v>
      </c>
      <c r="O221" s="420">
        <v>538</v>
      </c>
      <c r="P221" s="420">
        <v>538</v>
      </c>
    </row>
    <row r="222" spans="12:16">
      <c r="M222" s="421" t="s">
        <v>2786</v>
      </c>
      <c r="N222" s="420">
        <v>538</v>
      </c>
      <c r="O222" s="420">
        <v>538</v>
      </c>
      <c r="P222" s="420">
        <v>538</v>
      </c>
    </row>
    <row r="223" spans="12:16">
      <c r="L223" s="421" t="s">
        <v>2537</v>
      </c>
      <c r="M223" s="421"/>
      <c r="N223" s="420">
        <v>588</v>
      </c>
      <c r="O223" s="420">
        <v>1076</v>
      </c>
      <c r="P223" s="420">
        <v>1076</v>
      </c>
    </row>
    <row r="224" spans="12:16">
      <c r="L224" s="421" t="s">
        <v>301</v>
      </c>
      <c r="M224" s="421" t="s">
        <v>2785</v>
      </c>
      <c r="N224" s="420">
        <v>500</v>
      </c>
      <c r="O224" s="420">
        <v>2354</v>
      </c>
      <c r="P224" s="420">
        <v>500</v>
      </c>
    </row>
    <row r="225" spans="12:16">
      <c r="M225" s="421" t="s">
        <v>2786</v>
      </c>
      <c r="N225" s="420">
        <v>2354</v>
      </c>
      <c r="O225" s="420">
        <v>740</v>
      </c>
      <c r="P225" s="420">
        <v>966.66666666666663</v>
      </c>
    </row>
    <row r="226" spans="12:16">
      <c r="L226" s="421" t="s">
        <v>2538</v>
      </c>
      <c r="M226" s="421"/>
      <c r="N226" s="420">
        <v>2854</v>
      </c>
      <c r="O226" s="420">
        <v>3094</v>
      </c>
      <c r="P226" s="420">
        <v>1466.6666666666665</v>
      </c>
    </row>
    <row r="227" spans="12:16">
      <c r="L227" s="421" t="s">
        <v>302</v>
      </c>
      <c r="M227" s="421" t="s">
        <v>2785</v>
      </c>
      <c r="N227" s="420">
        <v>30</v>
      </c>
      <c r="O227" s="420">
        <v>737</v>
      </c>
      <c r="P227" s="420">
        <v>737</v>
      </c>
    </row>
    <row r="228" spans="12:16">
      <c r="M228" s="421" t="s">
        <v>2786</v>
      </c>
      <c r="N228" s="420">
        <v>737</v>
      </c>
      <c r="O228" s="420">
        <v>737</v>
      </c>
      <c r="P228" s="420">
        <v>566.66666666666663</v>
      </c>
    </row>
    <row r="229" spans="12:16">
      <c r="L229" s="421" t="s">
        <v>2539</v>
      </c>
      <c r="M229" s="421"/>
      <c r="N229" s="420">
        <v>767</v>
      </c>
      <c r="O229" s="420">
        <v>1474</v>
      </c>
      <c r="P229" s="420">
        <v>1303.6666666666665</v>
      </c>
    </row>
    <row r="230" spans="12:16">
      <c r="L230" s="421" t="s">
        <v>548</v>
      </c>
      <c r="M230" s="421" t="s">
        <v>2785</v>
      </c>
      <c r="N230" s="420">
        <v>125</v>
      </c>
      <c r="O230" s="420">
        <v>125</v>
      </c>
      <c r="P230" s="420">
        <v>125</v>
      </c>
    </row>
    <row r="231" spans="12:16">
      <c r="M231" s="421" t="s">
        <v>2786</v>
      </c>
      <c r="N231" s="420">
        <v>125</v>
      </c>
      <c r="O231" s="420">
        <v>125</v>
      </c>
      <c r="P231" s="420">
        <v>125</v>
      </c>
    </row>
    <row r="232" spans="12:16">
      <c r="L232" s="421" t="s">
        <v>2540</v>
      </c>
      <c r="M232" s="421"/>
      <c r="N232" s="420">
        <v>250</v>
      </c>
      <c r="O232" s="420">
        <v>250</v>
      </c>
      <c r="P232" s="420">
        <v>250</v>
      </c>
    </row>
    <row r="233" spans="12:16">
      <c r="L233" s="421" t="s">
        <v>523</v>
      </c>
      <c r="M233" s="421" t="s">
        <v>2785</v>
      </c>
      <c r="N233" s="420">
        <v>157</v>
      </c>
      <c r="O233" s="420">
        <v>157</v>
      </c>
      <c r="P233" s="420">
        <v>157</v>
      </c>
    </row>
    <row r="234" spans="12:16">
      <c r="M234" s="421" t="s">
        <v>2786</v>
      </c>
      <c r="N234" s="420">
        <v>157</v>
      </c>
      <c r="O234" s="420">
        <v>157</v>
      </c>
      <c r="P234" s="420">
        <v>157</v>
      </c>
    </row>
    <row r="235" spans="12:16">
      <c r="L235" s="421" t="s">
        <v>2541</v>
      </c>
      <c r="M235" s="421"/>
      <c r="N235" s="420">
        <v>314</v>
      </c>
      <c r="O235" s="420">
        <v>314</v>
      </c>
      <c r="P235" s="420">
        <v>314</v>
      </c>
    </row>
    <row r="236" spans="12:16">
      <c r="L236" s="421" t="s">
        <v>193</v>
      </c>
      <c r="M236" s="421" t="s">
        <v>2785</v>
      </c>
      <c r="N236" s="420">
        <v>789</v>
      </c>
      <c r="O236" s="420">
        <v>789</v>
      </c>
      <c r="P236" s="420">
        <v>789</v>
      </c>
    </row>
    <row r="237" spans="12:16">
      <c r="M237" s="421" t="s">
        <v>2786</v>
      </c>
      <c r="N237" s="420">
        <v>0</v>
      </c>
      <c r="O237" s="420">
        <v>789</v>
      </c>
      <c r="P237" s="420">
        <v>789</v>
      </c>
    </row>
    <row r="238" spans="12:16">
      <c r="L238" s="421" t="s">
        <v>2542</v>
      </c>
      <c r="M238" s="421"/>
      <c r="N238" s="420">
        <v>789</v>
      </c>
      <c r="O238" s="420">
        <v>1578</v>
      </c>
      <c r="P238" s="420">
        <v>1578</v>
      </c>
    </row>
    <row r="239" spans="12:16">
      <c r="L239" s="421" t="s">
        <v>263</v>
      </c>
      <c r="M239" s="421" t="s">
        <v>2785</v>
      </c>
      <c r="N239" s="420">
        <v>90</v>
      </c>
      <c r="O239" s="420">
        <v>80</v>
      </c>
      <c r="P239" s="420">
        <v>90</v>
      </c>
    </row>
    <row r="240" spans="12:16">
      <c r="M240" s="421" t="s">
        <v>2786</v>
      </c>
      <c r="N240" s="420">
        <v>84</v>
      </c>
      <c r="O240" s="420">
        <v>84</v>
      </c>
      <c r="P240" s="420">
        <v>84</v>
      </c>
    </row>
    <row r="241" spans="12:16">
      <c r="L241" s="421" t="s">
        <v>2543</v>
      </c>
      <c r="M241" s="421"/>
      <c r="N241" s="420">
        <v>174</v>
      </c>
      <c r="O241" s="420">
        <v>164</v>
      </c>
      <c r="P241" s="420">
        <v>174</v>
      </c>
    </row>
    <row r="242" spans="12:16">
      <c r="L242" s="421" t="s">
        <v>264</v>
      </c>
      <c r="M242" s="421" t="s">
        <v>2785</v>
      </c>
      <c r="N242" s="420">
        <v>166</v>
      </c>
      <c r="O242" s="420">
        <v>120</v>
      </c>
      <c r="P242" s="420">
        <v>166</v>
      </c>
    </row>
    <row r="243" spans="12:16">
      <c r="M243" s="421" t="s">
        <v>2786</v>
      </c>
      <c r="N243" s="420">
        <v>174</v>
      </c>
      <c r="O243" s="420">
        <v>120</v>
      </c>
      <c r="P243" s="420">
        <v>174</v>
      </c>
    </row>
    <row r="244" spans="12:16">
      <c r="L244" s="421" t="s">
        <v>2544</v>
      </c>
      <c r="M244" s="421"/>
      <c r="N244" s="420">
        <v>340</v>
      </c>
      <c r="O244" s="420">
        <v>240</v>
      </c>
      <c r="P244" s="420">
        <v>340</v>
      </c>
    </row>
    <row r="245" spans="12:16">
      <c r="L245" s="421" t="s">
        <v>257</v>
      </c>
      <c r="M245" s="421" t="s">
        <v>2785</v>
      </c>
      <c r="N245" s="420">
        <v>15</v>
      </c>
      <c r="O245" s="420">
        <v>0</v>
      </c>
      <c r="P245" s="420">
        <v>15</v>
      </c>
    </row>
    <row r="246" spans="12:16">
      <c r="M246" s="421" t="s">
        <v>2786</v>
      </c>
      <c r="N246" s="420">
        <v>0</v>
      </c>
      <c r="O246" s="420">
        <v>0</v>
      </c>
      <c r="P246" s="420">
        <v>15</v>
      </c>
    </row>
    <row r="247" spans="12:16">
      <c r="L247" s="421" t="s">
        <v>2545</v>
      </c>
      <c r="M247" s="421"/>
      <c r="N247" s="420">
        <v>15</v>
      </c>
      <c r="O247" s="420">
        <v>0</v>
      </c>
      <c r="P247" s="420">
        <v>30</v>
      </c>
    </row>
    <row r="248" spans="12:16">
      <c r="L248" s="421" t="s">
        <v>1618</v>
      </c>
      <c r="M248" s="421" t="s">
        <v>2785</v>
      </c>
      <c r="N248" s="420">
        <v>251</v>
      </c>
      <c r="O248" s="420">
        <v>251</v>
      </c>
      <c r="P248" s="420">
        <v>251</v>
      </c>
    </row>
    <row r="249" spans="12:16">
      <c r="M249" s="421" t="s">
        <v>2786</v>
      </c>
      <c r="N249" s="420">
        <v>251</v>
      </c>
      <c r="O249" s="420">
        <v>251</v>
      </c>
      <c r="P249" s="420">
        <v>251</v>
      </c>
    </row>
    <row r="250" spans="12:16">
      <c r="L250" s="421" t="s">
        <v>2546</v>
      </c>
      <c r="M250" s="421"/>
      <c r="N250" s="420">
        <v>502</v>
      </c>
      <c r="O250" s="420">
        <v>502</v>
      </c>
      <c r="P250" s="420">
        <v>502</v>
      </c>
    </row>
    <row r="251" spans="12:16">
      <c r="L251" s="421" t="s">
        <v>213</v>
      </c>
      <c r="M251" s="421" t="s">
        <v>2785</v>
      </c>
      <c r="N251" s="420">
        <v>424</v>
      </c>
      <c r="O251" s="420">
        <v>424</v>
      </c>
      <c r="P251" s="420">
        <v>424</v>
      </c>
    </row>
    <row r="252" spans="12:16">
      <c r="M252" s="421" t="s">
        <v>2786</v>
      </c>
      <c r="N252" s="420">
        <v>0</v>
      </c>
      <c r="O252" s="420">
        <v>120</v>
      </c>
      <c r="P252" s="420">
        <v>424</v>
      </c>
    </row>
    <row r="253" spans="12:16">
      <c r="L253" s="421" t="s">
        <v>2547</v>
      </c>
      <c r="M253" s="421"/>
      <c r="N253" s="420">
        <v>424</v>
      </c>
      <c r="O253" s="420">
        <v>544</v>
      </c>
      <c r="P253" s="420">
        <v>848</v>
      </c>
    </row>
    <row r="254" spans="12:16">
      <c r="L254" s="421" t="s">
        <v>545</v>
      </c>
      <c r="M254" s="421" t="s">
        <v>2785</v>
      </c>
      <c r="N254" s="420">
        <v>176</v>
      </c>
      <c r="O254" s="420">
        <v>176</v>
      </c>
      <c r="P254" s="420">
        <v>176</v>
      </c>
    </row>
    <row r="255" spans="12:16">
      <c r="M255" s="421" t="s">
        <v>2786</v>
      </c>
      <c r="N255" s="420">
        <v>176</v>
      </c>
      <c r="O255" s="420">
        <v>176</v>
      </c>
      <c r="P255" s="420">
        <v>176</v>
      </c>
    </row>
    <row r="256" spans="12:16">
      <c r="L256" s="421" t="s">
        <v>2548</v>
      </c>
      <c r="M256" s="421"/>
      <c r="N256" s="420">
        <v>352</v>
      </c>
      <c r="O256" s="420">
        <v>352</v>
      </c>
      <c r="P256" s="420">
        <v>352</v>
      </c>
    </row>
    <row r="257" spans="12:16">
      <c r="L257" s="421" t="s">
        <v>190</v>
      </c>
      <c r="M257" s="421" t="s">
        <v>2785</v>
      </c>
      <c r="N257" s="420">
        <v>18</v>
      </c>
      <c r="O257" s="420">
        <v>0</v>
      </c>
      <c r="P257" s="420">
        <v>0</v>
      </c>
    </row>
    <row r="258" spans="12:16">
      <c r="M258" s="421" t="s">
        <v>2786</v>
      </c>
      <c r="N258" s="420">
        <v>0</v>
      </c>
      <c r="O258" s="420">
        <v>0</v>
      </c>
      <c r="P258" s="420">
        <v>18</v>
      </c>
    </row>
    <row r="259" spans="12:16">
      <c r="L259" s="421" t="s">
        <v>2549</v>
      </c>
      <c r="M259" s="421"/>
      <c r="N259" s="420">
        <v>18</v>
      </c>
      <c r="O259" s="420">
        <v>0</v>
      </c>
      <c r="P259" s="420">
        <v>18</v>
      </c>
    </row>
    <row r="260" spans="12:16">
      <c r="L260" s="421" t="s">
        <v>527</v>
      </c>
      <c r="M260" s="421" t="s">
        <v>2785</v>
      </c>
      <c r="N260" s="420">
        <v>396</v>
      </c>
      <c r="O260" s="420">
        <v>396</v>
      </c>
      <c r="P260" s="420">
        <v>396</v>
      </c>
    </row>
    <row r="261" spans="12:16">
      <c r="M261" s="421" t="s">
        <v>2786</v>
      </c>
      <c r="N261" s="420">
        <v>396</v>
      </c>
      <c r="O261" s="420">
        <v>396</v>
      </c>
      <c r="P261" s="420">
        <v>396</v>
      </c>
    </row>
    <row r="262" spans="12:16">
      <c r="L262" s="421" t="s">
        <v>2550</v>
      </c>
      <c r="M262" s="421"/>
      <c r="N262" s="420">
        <v>792</v>
      </c>
      <c r="O262" s="420">
        <v>792</v>
      </c>
      <c r="P262" s="420">
        <v>792</v>
      </c>
    </row>
    <row r="263" spans="12:16">
      <c r="L263" s="421" t="s">
        <v>562</v>
      </c>
      <c r="M263" s="421" t="s">
        <v>2785</v>
      </c>
      <c r="N263" s="420">
        <v>323</v>
      </c>
      <c r="O263" s="420">
        <v>200</v>
      </c>
      <c r="P263" s="420">
        <v>323</v>
      </c>
    </row>
    <row r="264" spans="12:16">
      <c r="M264" s="421" t="s">
        <v>2786</v>
      </c>
      <c r="N264" s="420">
        <v>0</v>
      </c>
      <c r="O264" s="420">
        <v>200</v>
      </c>
      <c r="P264" s="420">
        <v>323</v>
      </c>
    </row>
    <row r="265" spans="12:16">
      <c r="L265" s="421" t="s">
        <v>2551</v>
      </c>
      <c r="M265" s="421"/>
      <c r="N265" s="420">
        <v>323</v>
      </c>
      <c r="O265" s="420">
        <v>400</v>
      </c>
      <c r="P265" s="420">
        <v>646</v>
      </c>
    </row>
    <row r="266" spans="12:16">
      <c r="L266" s="421" t="s">
        <v>551</v>
      </c>
      <c r="M266" s="421" t="s">
        <v>2785</v>
      </c>
      <c r="N266" s="420">
        <v>31</v>
      </c>
      <c r="O266" s="420">
        <v>31</v>
      </c>
      <c r="P266" s="420">
        <v>31</v>
      </c>
    </row>
    <row r="267" spans="12:16">
      <c r="M267" s="421" t="s">
        <v>2786</v>
      </c>
      <c r="N267" s="420">
        <v>31</v>
      </c>
      <c r="O267" s="420">
        <v>31</v>
      </c>
      <c r="P267" s="420">
        <v>31</v>
      </c>
    </row>
    <row r="268" spans="12:16">
      <c r="L268" s="421" t="s">
        <v>2552</v>
      </c>
      <c r="M268" s="421"/>
      <c r="N268" s="420">
        <v>62</v>
      </c>
      <c r="O268" s="420">
        <v>62</v>
      </c>
      <c r="P268" s="420">
        <v>62</v>
      </c>
    </row>
    <row r="269" spans="12:16">
      <c r="L269" s="421" t="s">
        <v>517</v>
      </c>
      <c r="M269" s="421" t="s">
        <v>2785</v>
      </c>
      <c r="N269" s="420">
        <v>213</v>
      </c>
      <c r="O269" s="420">
        <v>213</v>
      </c>
      <c r="P269" s="420">
        <v>213</v>
      </c>
    </row>
    <row r="270" spans="12:16">
      <c r="M270" s="421" t="s">
        <v>2786</v>
      </c>
      <c r="N270" s="420">
        <v>213</v>
      </c>
      <c r="O270" s="420">
        <v>213</v>
      </c>
      <c r="P270" s="420">
        <v>213</v>
      </c>
    </row>
    <row r="271" spans="12:16">
      <c r="L271" s="421" t="s">
        <v>2553</v>
      </c>
      <c r="M271" s="421"/>
      <c r="N271" s="420">
        <v>426</v>
      </c>
      <c r="O271" s="420">
        <v>426</v>
      </c>
      <c r="P271" s="420">
        <v>426</v>
      </c>
    </row>
    <row r="272" spans="12:16">
      <c r="L272" s="421" t="s">
        <v>531</v>
      </c>
      <c r="M272" s="421" t="s">
        <v>2785</v>
      </c>
      <c r="N272" s="420">
        <v>250</v>
      </c>
      <c r="O272" s="420">
        <v>250</v>
      </c>
      <c r="P272" s="420">
        <v>250</v>
      </c>
    </row>
    <row r="273" spans="12:16">
      <c r="M273" s="421" t="s">
        <v>2786</v>
      </c>
      <c r="N273" s="420">
        <v>250</v>
      </c>
      <c r="O273" s="420">
        <v>250</v>
      </c>
      <c r="P273" s="420">
        <v>250</v>
      </c>
    </row>
    <row r="274" spans="12:16">
      <c r="L274" s="421" t="s">
        <v>2554</v>
      </c>
      <c r="M274" s="421"/>
      <c r="N274" s="420">
        <v>500</v>
      </c>
      <c r="O274" s="420">
        <v>500</v>
      </c>
      <c r="P274" s="420">
        <v>500</v>
      </c>
    </row>
    <row r="275" spans="12:16">
      <c r="L275" s="421" t="s">
        <v>1619</v>
      </c>
      <c r="M275" s="421" t="s">
        <v>2785</v>
      </c>
      <c r="N275" s="420">
        <v>158</v>
      </c>
      <c r="O275" s="420">
        <v>158</v>
      </c>
      <c r="P275" s="420">
        <v>158</v>
      </c>
    </row>
    <row r="276" spans="12:16">
      <c r="M276" s="421" t="s">
        <v>2786</v>
      </c>
      <c r="N276" s="420">
        <v>158</v>
      </c>
      <c r="O276" s="420">
        <v>158</v>
      </c>
      <c r="P276" s="420">
        <v>158</v>
      </c>
    </row>
    <row r="277" spans="12:16">
      <c r="L277" s="421" t="s">
        <v>2555</v>
      </c>
      <c r="M277" s="421"/>
      <c r="N277" s="420">
        <v>316</v>
      </c>
      <c r="O277" s="420">
        <v>316</v>
      </c>
      <c r="P277" s="420">
        <v>316</v>
      </c>
    </row>
    <row r="278" spans="12:16">
      <c r="L278" s="421" t="s">
        <v>258</v>
      </c>
      <c r="M278" s="421" t="s">
        <v>2785</v>
      </c>
      <c r="N278" s="420">
        <v>24</v>
      </c>
      <c r="O278" s="420">
        <v>24</v>
      </c>
      <c r="P278" s="420">
        <v>24</v>
      </c>
    </row>
    <row r="279" spans="12:16">
      <c r="M279" s="421" t="s">
        <v>2786</v>
      </c>
      <c r="N279" s="420">
        <v>24</v>
      </c>
      <c r="O279" s="420">
        <v>24</v>
      </c>
      <c r="P279" s="420">
        <v>24</v>
      </c>
    </row>
    <row r="280" spans="12:16">
      <c r="L280" s="421" t="s">
        <v>2556</v>
      </c>
      <c r="M280" s="421"/>
      <c r="N280" s="420">
        <v>48</v>
      </c>
      <c r="O280" s="420">
        <v>48</v>
      </c>
      <c r="P280" s="420">
        <v>48</v>
      </c>
    </row>
    <row r="281" spans="12:16">
      <c r="L281" s="421" t="s">
        <v>535</v>
      </c>
      <c r="M281" s="421" t="s">
        <v>2785</v>
      </c>
      <c r="N281" s="420">
        <v>206</v>
      </c>
      <c r="O281" s="420">
        <v>200</v>
      </c>
      <c r="P281" s="420">
        <v>206</v>
      </c>
    </row>
    <row r="282" spans="12:16">
      <c r="M282" s="421" t="s">
        <v>2786</v>
      </c>
      <c r="N282" s="420">
        <v>206</v>
      </c>
      <c r="O282" s="420">
        <v>206</v>
      </c>
      <c r="P282" s="420">
        <v>206</v>
      </c>
    </row>
    <row r="283" spans="12:16">
      <c r="L283" s="421" t="s">
        <v>2557</v>
      </c>
      <c r="M283" s="421"/>
      <c r="N283" s="420">
        <v>412</v>
      </c>
      <c r="O283" s="420">
        <v>406</v>
      </c>
      <c r="P283" s="420">
        <v>412</v>
      </c>
    </row>
    <row r="284" spans="12:16">
      <c r="L284" s="421" t="s">
        <v>547</v>
      </c>
      <c r="M284" s="421" t="s">
        <v>2785</v>
      </c>
      <c r="N284" s="420">
        <v>141</v>
      </c>
      <c r="O284" s="420">
        <v>141</v>
      </c>
      <c r="P284" s="420">
        <v>66.666666666666671</v>
      </c>
    </row>
    <row r="285" spans="12:16">
      <c r="M285" s="421" t="s">
        <v>2786</v>
      </c>
      <c r="N285" s="420">
        <v>141</v>
      </c>
      <c r="O285" s="420">
        <v>141</v>
      </c>
      <c r="P285" s="420">
        <v>141</v>
      </c>
    </row>
    <row r="286" spans="12:16">
      <c r="L286" s="421" t="s">
        <v>2558</v>
      </c>
      <c r="M286" s="421"/>
      <c r="N286" s="420">
        <v>282</v>
      </c>
      <c r="O286" s="420">
        <v>282</v>
      </c>
      <c r="P286" s="420">
        <v>207.66666666666669</v>
      </c>
    </row>
    <row r="287" spans="12:16">
      <c r="L287" s="421" t="s">
        <v>1613</v>
      </c>
      <c r="M287" s="421" t="s">
        <v>2785</v>
      </c>
      <c r="N287" s="420">
        <v>474</v>
      </c>
      <c r="O287" s="420">
        <v>260</v>
      </c>
      <c r="P287" s="420">
        <v>400</v>
      </c>
    </row>
    <row r="288" spans="12:16">
      <c r="M288" s="421" t="s">
        <v>2786</v>
      </c>
      <c r="N288" s="420">
        <v>611</v>
      </c>
      <c r="O288" s="420">
        <v>360</v>
      </c>
      <c r="P288" s="420">
        <v>611</v>
      </c>
    </row>
    <row r="289" spans="12:16">
      <c r="L289" s="421" t="s">
        <v>2462</v>
      </c>
      <c r="M289" s="421"/>
      <c r="N289" s="420">
        <v>1085</v>
      </c>
      <c r="O289" s="420">
        <v>620</v>
      </c>
      <c r="P289" s="420">
        <v>1011</v>
      </c>
    </row>
    <row r="290" spans="12:16">
      <c r="L290" s="421" t="s">
        <v>234</v>
      </c>
      <c r="M290" s="421" t="s">
        <v>2785</v>
      </c>
      <c r="N290" s="420">
        <v>309</v>
      </c>
      <c r="O290" s="420">
        <v>309</v>
      </c>
      <c r="P290" s="420">
        <v>309</v>
      </c>
    </row>
    <row r="291" spans="12:16">
      <c r="M291" s="421" t="s">
        <v>2786</v>
      </c>
      <c r="N291" s="420">
        <v>291</v>
      </c>
      <c r="O291" s="420">
        <v>291</v>
      </c>
      <c r="P291" s="420">
        <v>291</v>
      </c>
    </row>
    <row r="292" spans="12:16">
      <c r="L292" s="421" t="s">
        <v>2559</v>
      </c>
      <c r="M292" s="421"/>
      <c r="N292" s="420">
        <v>600</v>
      </c>
      <c r="O292" s="420">
        <v>600</v>
      </c>
      <c r="P292" s="420">
        <v>600</v>
      </c>
    </row>
    <row r="293" spans="12:16">
      <c r="L293" s="421" t="s">
        <v>231</v>
      </c>
      <c r="M293" s="421" t="s">
        <v>2785</v>
      </c>
      <c r="N293" s="420">
        <v>218</v>
      </c>
      <c r="O293" s="420">
        <v>218</v>
      </c>
      <c r="P293" s="420">
        <v>218</v>
      </c>
    </row>
    <row r="294" spans="12:16">
      <c r="M294" s="421" t="s">
        <v>2786</v>
      </c>
      <c r="N294" s="420">
        <v>218</v>
      </c>
      <c r="O294" s="420">
        <v>218</v>
      </c>
      <c r="P294" s="420">
        <v>218</v>
      </c>
    </row>
    <row r="295" spans="12:16">
      <c r="L295" s="421" t="s">
        <v>2560</v>
      </c>
      <c r="M295" s="421"/>
      <c r="N295" s="420">
        <v>436</v>
      </c>
      <c r="O295" s="420">
        <v>436</v>
      </c>
      <c r="P295" s="420">
        <v>436</v>
      </c>
    </row>
    <row r="296" spans="12:16">
      <c r="L296" s="421" t="s">
        <v>155</v>
      </c>
      <c r="M296" s="421" t="s">
        <v>2785</v>
      </c>
      <c r="N296" s="420">
        <v>41</v>
      </c>
      <c r="O296" s="420">
        <v>41</v>
      </c>
      <c r="P296" s="420">
        <v>41</v>
      </c>
    </row>
    <row r="297" spans="12:16">
      <c r="M297" s="421" t="s">
        <v>2786</v>
      </c>
      <c r="N297" s="420">
        <v>0</v>
      </c>
      <c r="O297" s="420">
        <v>48</v>
      </c>
      <c r="P297" s="420">
        <v>48</v>
      </c>
    </row>
    <row r="298" spans="12:16">
      <c r="L298" s="421" t="s">
        <v>2463</v>
      </c>
      <c r="M298" s="421"/>
      <c r="N298" s="420">
        <v>41</v>
      </c>
      <c r="O298" s="420">
        <v>89</v>
      </c>
      <c r="P298" s="420">
        <v>89</v>
      </c>
    </row>
    <row r="299" spans="12:16">
      <c r="L299" s="421" t="s">
        <v>270</v>
      </c>
      <c r="M299" s="421" t="s">
        <v>2785</v>
      </c>
      <c r="N299" s="420">
        <v>85</v>
      </c>
      <c r="O299" s="420">
        <v>80</v>
      </c>
      <c r="P299" s="420">
        <v>85</v>
      </c>
    </row>
    <row r="300" spans="12:16">
      <c r="M300" s="421" t="s">
        <v>2786</v>
      </c>
      <c r="N300" s="420">
        <v>85</v>
      </c>
      <c r="O300" s="420">
        <v>80</v>
      </c>
      <c r="P300" s="420">
        <v>85</v>
      </c>
    </row>
    <row r="301" spans="12:16">
      <c r="L301" s="421" t="s">
        <v>2561</v>
      </c>
      <c r="M301" s="421"/>
      <c r="N301" s="420">
        <v>170</v>
      </c>
      <c r="O301" s="420">
        <v>160</v>
      </c>
      <c r="P301" s="420">
        <v>170</v>
      </c>
    </row>
    <row r="302" spans="12:16">
      <c r="L302" s="421" t="s">
        <v>158</v>
      </c>
      <c r="M302" s="421" t="s">
        <v>2785</v>
      </c>
      <c r="N302" s="420">
        <v>113</v>
      </c>
      <c r="O302" s="420">
        <v>100</v>
      </c>
      <c r="P302" s="420">
        <v>113</v>
      </c>
    </row>
    <row r="303" spans="12:16">
      <c r="M303" s="421" t="s">
        <v>2786</v>
      </c>
      <c r="N303" s="420">
        <v>0</v>
      </c>
      <c r="O303" s="420">
        <v>0</v>
      </c>
      <c r="P303" s="420">
        <v>130</v>
      </c>
    </row>
    <row r="304" spans="12:16">
      <c r="L304" s="421" t="s">
        <v>2464</v>
      </c>
      <c r="M304" s="421"/>
      <c r="N304" s="420">
        <v>113</v>
      </c>
      <c r="O304" s="420">
        <v>100</v>
      </c>
      <c r="P304" s="420">
        <v>243</v>
      </c>
    </row>
    <row r="305" spans="12:16">
      <c r="L305" s="421" t="s">
        <v>185</v>
      </c>
      <c r="M305" s="421" t="s">
        <v>2785</v>
      </c>
      <c r="N305" s="420">
        <v>547</v>
      </c>
      <c r="O305" s="420">
        <v>547</v>
      </c>
      <c r="P305" s="420">
        <v>0</v>
      </c>
    </row>
    <row r="306" spans="12:16">
      <c r="M306" s="421" t="s">
        <v>2786</v>
      </c>
      <c r="N306" s="420">
        <v>323</v>
      </c>
      <c r="O306" s="420">
        <v>323</v>
      </c>
      <c r="P306" s="420">
        <v>323</v>
      </c>
    </row>
    <row r="307" spans="12:16">
      <c r="L307" s="421" t="s">
        <v>2465</v>
      </c>
      <c r="M307" s="421"/>
      <c r="N307" s="420">
        <v>870</v>
      </c>
      <c r="O307" s="420">
        <v>870</v>
      </c>
      <c r="P307" s="420">
        <v>323</v>
      </c>
    </row>
    <row r="308" spans="12:16">
      <c r="L308" s="421" t="s">
        <v>542</v>
      </c>
      <c r="M308" s="421" t="s">
        <v>2785</v>
      </c>
      <c r="N308" s="420">
        <v>500</v>
      </c>
      <c r="O308" s="420">
        <v>525</v>
      </c>
      <c r="P308" s="420">
        <v>533.33333333333337</v>
      </c>
    </row>
    <row r="309" spans="12:16">
      <c r="M309" s="421" t="s">
        <v>2786</v>
      </c>
      <c r="N309" s="420">
        <v>500</v>
      </c>
      <c r="O309" s="420">
        <v>525</v>
      </c>
      <c r="P309" s="420">
        <v>533.33333333333337</v>
      </c>
    </row>
    <row r="310" spans="12:16">
      <c r="L310" s="421" t="s">
        <v>2562</v>
      </c>
      <c r="M310" s="421"/>
      <c r="N310" s="420">
        <v>1000</v>
      </c>
      <c r="O310" s="420">
        <v>1050</v>
      </c>
      <c r="P310" s="420">
        <v>1066.6666666666667</v>
      </c>
    </row>
    <row r="311" spans="12:16">
      <c r="L311" s="421" t="s">
        <v>295</v>
      </c>
      <c r="M311" s="421" t="s">
        <v>2785</v>
      </c>
      <c r="N311" s="420">
        <v>1675</v>
      </c>
      <c r="O311" s="420">
        <v>1675</v>
      </c>
      <c r="P311" s="420">
        <v>1500</v>
      </c>
    </row>
    <row r="312" spans="12:16">
      <c r="M312" s="421" t="s">
        <v>2786</v>
      </c>
      <c r="N312" s="420">
        <v>1570</v>
      </c>
      <c r="O312" s="420">
        <v>1570</v>
      </c>
      <c r="P312" s="420">
        <v>1500</v>
      </c>
    </row>
    <row r="313" spans="12:16">
      <c r="L313" s="421" t="s">
        <v>2563</v>
      </c>
      <c r="M313" s="421"/>
      <c r="N313" s="420">
        <v>3245</v>
      </c>
      <c r="O313" s="420">
        <v>3245</v>
      </c>
      <c r="P313" s="420">
        <v>3000</v>
      </c>
    </row>
    <row r="314" spans="12:16">
      <c r="L314" s="421" t="s">
        <v>167</v>
      </c>
      <c r="M314" s="421" t="s">
        <v>2785</v>
      </c>
      <c r="N314" s="420">
        <v>299</v>
      </c>
      <c r="O314" s="420">
        <v>299</v>
      </c>
      <c r="P314" s="420">
        <v>299</v>
      </c>
    </row>
    <row r="315" spans="12:16">
      <c r="M315" s="421" t="s">
        <v>2786</v>
      </c>
      <c r="N315" s="420">
        <v>0</v>
      </c>
      <c r="O315" s="420">
        <v>300</v>
      </c>
      <c r="P315" s="420">
        <v>323</v>
      </c>
    </row>
    <row r="316" spans="12:16">
      <c r="L316" s="421" t="s">
        <v>2466</v>
      </c>
      <c r="M316" s="421"/>
      <c r="N316" s="420">
        <v>299</v>
      </c>
      <c r="O316" s="420">
        <v>599</v>
      </c>
      <c r="P316" s="420">
        <v>622</v>
      </c>
    </row>
    <row r="317" spans="12:16">
      <c r="L317" s="421" t="s">
        <v>284</v>
      </c>
      <c r="M317" s="421" t="s">
        <v>2785</v>
      </c>
      <c r="N317" s="420">
        <v>299</v>
      </c>
      <c r="O317" s="420">
        <v>263</v>
      </c>
      <c r="P317" s="420">
        <v>299</v>
      </c>
    </row>
    <row r="318" spans="12:16">
      <c r="M318" s="421" t="s">
        <v>2786</v>
      </c>
      <c r="N318" s="420">
        <v>299</v>
      </c>
      <c r="O318" s="420">
        <v>263</v>
      </c>
      <c r="P318" s="420">
        <v>299</v>
      </c>
    </row>
    <row r="319" spans="12:16">
      <c r="L319" s="421" t="s">
        <v>2564</v>
      </c>
      <c r="M319" s="421"/>
      <c r="N319" s="420">
        <v>598</v>
      </c>
      <c r="O319" s="420">
        <v>526</v>
      </c>
      <c r="P319" s="420">
        <v>598</v>
      </c>
    </row>
    <row r="320" spans="12:16">
      <c r="L320" s="421" t="s">
        <v>235</v>
      </c>
      <c r="M320" s="421" t="s">
        <v>2785</v>
      </c>
      <c r="N320" s="420">
        <v>895</v>
      </c>
      <c r="O320" s="420">
        <v>680</v>
      </c>
      <c r="P320" s="420">
        <v>895</v>
      </c>
    </row>
    <row r="321" spans="12:16">
      <c r="M321" s="421" t="s">
        <v>2786</v>
      </c>
      <c r="N321" s="420">
        <v>924</v>
      </c>
      <c r="O321" s="420">
        <v>680</v>
      </c>
      <c r="P321" s="420">
        <v>924</v>
      </c>
    </row>
    <row r="322" spans="12:16">
      <c r="L322" s="421" t="s">
        <v>2565</v>
      </c>
      <c r="M322" s="421"/>
      <c r="N322" s="420">
        <v>1819</v>
      </c>
      <c r="O322" s="420">
        <v>1360</v>
      </c>
      <c r="P322" s="420">
        <v>1819</v>
      </c>
    </row>
    <row r="323" spans="12:16">
      <c r="L323" s="421" t="s">
        <v>1606</v>
      </c>
      <c r="M323" s="421" t="s">
        <v>2785</v>
      </c>
      <c r="N323" s="420">
        <v>50</v>
      </c>
      <c r="O323" s="420">
        <v>1340</v>
      </c>
      <c r="P323" s="420">
        <v>1365</v>
      </c>
    </row>
    <row r="324" spans="12:16">
      <c r="M324" s="421" t="s">
        <v>2786</v>
      </c>
      <c r="N324" s="420">
        <v>1187</v>
      </c>
      <c r="O324" s="420">
        <v>1187</v>
      </c>
      <c r="P324" s="420">
        <v>1187</v>
      </c>
    </row>
    <row r="325" spans="12:16">
      <c r="L325" s="421" t="s">
        <v>2566</v>
      </c>
      <c r="M325" s="421"/>
      <c r="N325" s="420">
        <v>1237</v>
      </c>
      <c r="O325" s="420">
        <v>2527</v>
      </c>
      <c r="P325" s="420">
        <v>2552</v>
      </c>
    </row>
    <row r="326" spans="12:16">
      <c r="L326" s="421" t="s">
        <v>296</v>
      </c>
      <c r="M326" s="421" t="s">
        <v>2785</v>
      </c>
      <c r="N326" s="420">
        <v>2975</v>
      </c>
      <c r="O326" s="420">
        <v>2975</v>
      </c>
      <c r="P326" s="420">
        <v>250.00000000000003</v>
      </c>
    </row>
    <row r="327" spans="12:16">
      <c r="M327" s="421" t="s">
        <v>2786</v>
      </c>
      <c r="N327" s="420">
        <v>3000</v>
      </c>
      <c r="O327" s="420">
        <v>3120</v>
      </c>
      <c r="P327" s="420">
        <v>250</v>
      </c>
    </row>
    <row r="328" spans="12:16">
      <c r="L328" s="421" t="s">
        <v>2567</v>
      </c>
      <c r="M328" s="421"/>
      <c r="N328" s="420">
        <v>5975</v>
      </c>
      <c r="O328" s="420">
        <v>6095</v>
      </c>
      <c r="P328" s="420">
        <v>500</v>
      </c>
    </row>
    <row r="329" spans="12:16">
      <c r="L329" s="421" t="s">
        <v>180</v>
      </c>
      <c r="M329" s="421" t="s">
        <v>2785</v>
      </c>
      <c r="N329" s="420">
        <v>852</v>
      </c>
      <c r="O329" s="420">
        <v>750</v>
      </c>
      <c r="P329" s="420">
        <v>0</v>
      </c>
    </row>
    <row r="330" spans="12:16">
      <c r="M330" s="421" t="s">
        <v>2786</v>
      </c>
      <c r="N330" s="420">
        <v>966</v>
      </c>
      <c r="O330" s="420">
        <v>850</v>
      </c>
      <c r="P330" s="420">
        <v>933.33333333333337</v>
      </c>
    </row>
    <row r="331" spans="12:16">
      <c r="L331" s="421" t="s">
        <v>2467</v>
      </c>
      <c r="M331" s="421"/>
      <c r="N331" s="420">
        <v>1818</v>
      </c>
      <c r="O331" s="420">
        <v>1600</v>
      </c>
      <c r="P331" s="420">
        <v>933.33333333333337</v>
      </c>
    </row>
    <row r="332" spans="12:16">
      <c r="L332" s="421" t="s">
        <v>561</v>
      </c>
      <c r="M332" s="421" t="s">
        <v>2785</v>
      </c>
      <c r="N332" s="420">
        <v>221</v>
      </c>
      <c r="O332" s="420">
        <v>221</v>
      </c>
      <c r="P332" s="420">
        <v>221</v>
      </c>
    </row>
    <row r="333" spans="12:16">
      <c r="M333" s="421" t="s">
        <v>2786</v>
      </c>
      <c r="N333" s="420">
        <v>221</v>
      </c>
      <c r="O333" s="420">
        <v>221</v>
      </c>
      <c r="P333" s="420">
        <v>221</v>
      </c>
    </row>
    <row r="334" spans="12:16">
      <c r="L334" s="421" t="s">
        <v>2568</v>
      </c>
      <c r="M334" s="421"/>
      <c r="N334" s="420">
        <v>442</v>
      </c>
      <c r="O334" s="420">
        <v>442</v>
      </c>
      <c r="P334" s="420">
        <v>442</v>
      </c>
    </row>
    <row r="335" spans="12:16">
      <c r="L335" s="421" t="s">
        <v>537</v>
      </c>
      <c r="M335" s="421" t="s">
        <v>2785</v>
      </c>
      <c r="N335" s="420">
        <v>91</v>
      </c>
      <c r="O335" s="420">
        <v>91</v>
      </c>
      <c r="P335" s="420">
        <v>91</v>
      </c>
    </row>
    <row r="336" spans="12:16">
      <c r="L336" s="421" t="s">
        <v>2569</v>
      </c>
      <c r="M336" s="421"/>
      <c r="N336" s="420">
        <v>91</v>
      </c>
      <c r="O336" s="420">
        <v>91</v>
      </c>
      <c r="P336" s="420">
        <v>91</v>
      </c>
    </row>
    <row r="337" spans="12:16">
      <c r="L337" s="421" t="s">
        <v>1591</v>
      </c>
      <c r="M337" s="421" t="s">
        <v>2785</v>
      </c>
      <c r="N337" s="420">
        <v>205</v>
      </c>
      <c r="O337" s="420">
        <v>100</v>
      </c>
      <c r="P337" s="420">
        <v>1397</v>
      </c>
    </row>
    <row r="338" spans="12:16">
      <c r="M338" s="421" t="s">
        <v>2786</v>
      </c>
      <c r="N338" s="420">
        <v>0</v>
      </c>
      <c r="O338" s="420">
        <v>100</v>
      </c>
      <c r="P338" s="420">
        <v>1397</v>
      </c>
    </row>
    <row r="339" spans="12:16">
      <c r="L339" s="421" t="s">
        <v>2468</v>
      </c>
      <c r="M339" s="421"/>
      <c r="N339" s="420">
        <v>205</v>
      </c>
      <c r="O339" s="420">
        <v>200</v>
      </c>
      <c r="P339" s="420">
        <v>2794</v>
      </c>
    </row>
    <row r="340" spans="12:16">
      <c r="L340" s="421" t="s">
        <v>279</v>
      </c>
      <c r="M340" s="421" t="s">
        <v>2785</v>
      </c>
      <c r="N340" s="420">
        <v>334</v>
      </c>
      <c r="O340" s="420">
        <v>334</v>
      </c>
      <c r="P340" s="420">
        <v>334</v>
      </c>
    </row>
    <row r="341" spans="12:16">
      <c r="M341" s="421" t="s">
        <v>2786</v>
      </c>
      <c r="N341" s="420">
        <v>0</v>
      </c>
      <c r="O341" s="420">
        <v>334</v>
      </c>
      <c r="P341" s="420">
        <v>334</v>
      </c>
    </row>
    <row r="342" spans="12:16">
      <c r="L342" s="421" t="s">
        <v>2570</v>
      </c>
      <c r="M342" s="421"/>
      <c r="N342" s="420">
        <v>334</v>
      </c>
      <c r="O342" s="420">
        <v>668</v>
      </c>
      <c r="P342" s="420">
        <v>668</v>
      </c>
    </row>
    <row r="343" spans="12:16">
      <c r="L343" s="421" t="s">
        <v>271</v>
      </c>
      <c r="M343" s="421" t="s">
        <v>2785</v>
      </c>
      <c r="N343" s="420">
        <v>506</v>
      </c>
      <c r="O343" s="420">
        <v>420</v>
      </c>
      <c r="P343" s="420">
        <v>506</v>
      </c>
    </row>
    <row r="344" spans="12:16">
      <c r="M344" s="421" t="s">
        <v>2786</v>
      </c>
      <c r="N344" s="420">
        <v>400</v>
      </c>
      <c r="O344" s="420">
        <v>300</v>
      </c>
      <c r="P344" s="420">
        <v>463</v>
      </c>
    </row>
    <row r="345" spans="12:16">
      <c r="L345" s="421" t="s">
        <v>2571</v>
      </c>
      <c r="M345" s="421"/>
      <c r="N345" s="420">
        <v>906</v>
      </c>
      <c r="O345" s="420">
        <v>720</v>
      </c>
      <c r="P345" s="420">
        <v>969</v>
      </c>
    </row>
    <row r="346" spans="12:16">
      <c r="L346" s="421" t="s">
        <v>181</v>
      </c>
      <c r="M346" s="421" t="s">
        <v>2785</v>
      </c>
      <c r="N346" s="420">
        <v>307</v>
      </c>
      <c r="O346" s="420">
        <v>280</v>
      </c>
      <c r="P346" s="420">
        <v>307</v>
      </c>
    </row>
    <row r="347" spans="12:16">
      <c r="M347" s="421" t="s">
        <v>2786</v>
      </c>
      <c r="N347" s="420">
        <v>396</v>
      </c>
      <c r="O347" s="420">
        <v>280</v>
      </c>
      <c r="P347" s="420">
        <v>396</v>
      </c>
    </row>
    <row r="348" spans="12:16">
      <c r="L348" s="421" t="s">
        <v>2469</v>
      </c>
      <c r="M348" s="421"/>
      <c r="N348" s="420">
        <v>703</v>
      </c>
      <c r="O348" s="420">
        <v>560</v>
      </c>
      <c r="P348" s="420">
        <v>703</v>
      </c>
    </row>
    <row r="349" spans="12:16">
      <c r="L349" s="421" t="s">
        <v>259</v>
      </c>
      <c r="M349" s="421" t="s">
        <v>2785</v>
      </c>
      <c r="N349" s="420">
        <v>70</v>
      </c>
      <c r="O349" s="420">
        <v>40</v>
      </c>
      <c r="P349" s="420">
        <v>70</v>
      </c>
    </row>
    <row r="350" spans="12:16">
      <c r="M350" s="421" t="s">
        <v>2786</v>
      </c>
      <c r="N350" s="420">
        <v>70</v>
      </c>
      <c r="O350" s="420">
        <v>40</v>
      </c>
      <c r="P350" s="420">
        <v>70</v>
      </c>
    </row>
    <row r="351" spans="12:16">
      <c r="L351" s="421" t="s">
        <v>2572</v>
      </c>
      <c r="M351" s="421"/>
      <c r="N351" s="420">
        <v>140</v>
      </c>
      <c r="O351" s="420">
        <v>80</v>
      </c>
      <c r="P351" s="420">
        <v>140</v>
      </c>
    </row>
    <row r="352" spans="12:16">
      <c r="L352" s="421" t="s">
        <v>280</v>
      </c>
      <c r="M352" s="421" t="s">
        <v>2785</v>
      </c>
      <c r="N352" s="420">
        <v>3000</v>
      </c>
      <c r="O352" s="420">
        <v>3003</v>
      </c>
      <c r="P352" s="420">
        <v>3860</v>
      </c>
    </row>
    <row r="353" spans="12:16">
      <c r="M353" s="421" t="s">
        <v>2786</v>
      </c>
      <c r="N353" s="420">
        <v>3030</v>
      </c>
      <c r="O353" s="420">
        <v>2983</v>
      </c>
      <c r="P353" s="420">
        <v>3860</v>
      </c>
    </row>
    <row r="354" spans="12:16">
      <c r="L354" s="421" t="s">
        <v>2573</v>
      </c>
      <c r="M354" s="421"/>
      <c r="N354" s="420">
        <v>6030</v>
      </c>
      <c r="O354" s="420">
        <v>5986</v>
      </c>
      <c r="P354" s="420">
        <v>7720</v>
      </c>
    </row>
    <row r="355" spans="12:16">
      <c r="L355" s="421" t="s">
        <v>778</v>
      </c>
      <c r="M355" s="421" t="s">
        <v>2785</v>
      </c>
      <c r="N355" s="420">
        <v>205</v>
      </c>
      <c r="O355" s="420">
        <v>0</v>
      </c>
      <c r="P355" s="420">
        <v>0</v>
      </c>
    </row>
    <row r="356" spans="12:16">
      <c r="M356" s="421" t="s">
        <v>2786</v>
      </c>
      <c r="N356" s="420">
        <v>0</v>
      </c>
      <c r="O356" s="420">
        <v>0</v>
      </c>
      <c r="P356" s="420">
        <v>0</v>
      </c>
    </row>
    <row r="357" spans="12:16">
      <c r="L357" s="421" t="s">
        <v>2574</v>
      </c>
      <c r="M357" s="421"/>
      <c r="N357" s="420">
        <v>205</v>
      </c>
      <c r="O357" s="420">
        <v>0</v>
      </c>
      <c r="P357" s="420">
        <v>0</v>
      </c>
    </row>
    <row r="358" spans="12:16">
      <c r="L358" s="421" t="s">
        <v>187</v>
      </c>
      <c r="M358" s="421" t="s">
        <v>2785</v>
      </c>
      <c r="N358" s="420">
        <v>325</v>
      </c>
      <c r="O358" s="420">
        <v>325</v>
      </c>
      <c r="P358" s="420">
        <v>0</v>
      </c>
    </row>
    <row r="359" spans="12:16">
      <c r="M359" s="421" t="s">
        <v>2786</v>
      </c>
      <c r="N359" s="420">
        <v>0</v>
      </c>
      <c r="O359" s="420">
        <v>353</v>
      </c>
      <c r="P359" s="420">
        <v>353</v>
      </c>
    </row>
    <row r="360" spans="12:16">
      <c r="L360" s="421" t="s">
        <v>2470</v>
      </c>
      <c r="M360" s="421"/>
      <c r="N360" s="420">
        <v>325</v>
      </c>
      <c r="O360" s="420">
        <v>678</v>
      </c>
      <c r="P360" s="420">
        <v>353</v>
      </c>
    </row>
    <row r="361" spans="12:16">
      <c r="L361" s="421" t="s">
        <v>156</v>
      </c>
      <c r="M361" s="421" t="s">
        <v>2785</v>
      </c>
      <c r="N361" s="420">
        <v>136</v>
      </c>
      <c r="O361" s="420">
        <v>136</v>
      </c>
      <c r="P361" s="420">
        <v>136</v>
      </c>
    </row>
    <row r="362" spans="12:16">
      <c r="M362" s="421" t="s">
        <v>2786</v>
      </c>
      <c r="N362" s="420">
        <v>0</v>
      </c>
      <c r="O362" s="420">
        <v>136</v>
      </c>
      <c r="P362" s="420">
        <v>136</v>
      </c>
    </row>
    <row r="363" spans="12:16">
      <c r="L363" s="421" t="s">
        <v>2471</v>
      </c>
      <c r="M363" s="421"/>
      <c r="N363" s="420">
        <v>136</v>
      </c>
      <c r="O363" s="420">
        <v>272</v>
      </c>
      <c r="P363" s="420">
        <v>272</v>
      </c>
    </row>
    <row r="364" spans="12:16">
      <c r="L364" s="421" t="s">
        <v>286</v>
      </c>
      <c r="M364" s="421" t="s">
        <v>2785</v>
      </c>
      <c r="N364" s="420">
        <v>255</v>
      </c>
      <c r="O364" s="420">
        <v>255</v>
      </c>
      <c r="P364" s="420">
        <v>255</v>
      </c>
    </row>
    <row r="365" spans="12:16">
      <c r="M365" s="421" t="s">
        <v>2786</v>
      </c>
      <c r="N365" s="420">
        <v>255</v>
      </c>
      <c r="O365" s="420">
        <v>255</v>
      </c>
      <c r="P365" s="420">
        <v>255</v>
      </c>
    </row>
    <row r="366" spans="12:16">
      <c r="L366" s="421" t="s">
        <v>2575</v>
      </c>
      <c r="M366" s="421"/>
      <c r="N366" s="420">
        <v>510</v>
      </c>
      <c r="O366" s="420">
        <v>510</v>
      </c>
      <c r="P366" s="420">
        <v>510</v>
      </c>
    </row>
    <row r="367" spans="12:16">
      <c r="L367" s="421" t="s">
        <v>143</v>
      </c>
      <c r="M367" s="421" t="s">
        <v>2785</v>
      </c>
      <c r="N367" s="420">
        <v>1532</v>
      </c>
      <c r="O367" s="420">
        <v>1532</v>
      </c>
      <c r="P367" s="420">
        <v>0</v>
      </c>
    </row>
    <row r="368" spans="12:16">
      <c r="M368" s="421" t="s">
        <v>2786</v>
      </c>
      <c r="N368" s="420">
        <v>1881</v>
      </c>
      <c r="O368" s="420">
        <v>1881</v>
      </c>
      <c r="P368" s="420">
        <v>1881</v>
      </c>
    </row>
    <row r="369" spans="12:16">
      <c r="L369" s="421" t="s">
        <v>2472</v>
      </c>
      <c r="M369" s="421"/>
      <c r="N369" s="420">
        <v>3413</v>
      </c>
      <c r="O369" s="420">
        <v>3413</v>
      </c>
      <c r="P369" s="420">
        <v>1881</v>
      </c>
    </row>
    <row r="370" spans="12:16">
      <c r="L370" s="421" t="s">
        <v>188</v>
      </c>
      <c r="M370" s="421" t="s">
        <v>2785</v>
      </c>
      <c r="N370" s="420">
        <v>103</v>
      </c>
      <c r="O370" s="420">
        <v>103</v>
      </c>
      <c r="P370" s="420">
        <v>103</v>
      </c>
    </row>
    <row r="371" spans="12:16">
      <c r="M371" s="421" t="s">
        <v>2786</v>
      </c>
      <c r="N371" s="420">
        <v>0</v>
      </c>
      <c r="O371" s="420">
        <v>100</v>
      </c>
      <c r="P371" s="420">
        <v>103</v>
      </c>
    </row>
    <row r="372" spans="12:16">
      <c r="L372" s="421" t="s">
        <v>2473</v>
      </c>
      <c r="M372" s="421"/>
      <c r="N372" s="420">
        <v>103</v>
      </c>
      <c r="O372" s="420">
        <v>203</v>
      </c>
      <c r="P372" s="420">
        <v>206</v>
      </c>
    </row>
    <row r="373" spans="12:16">
      <c r="L373" s="421" t="s">
        <v>168</v>
      </c>
      <c r="M373" s="421" t="s">
        <v>2785</v>
      </c>
      <c r="N373" s="420">
        <v>583</v>
      </c>
      <c r="O373" s="420">
        <v>260</v>
      </c>
      <c r="P373" s="420">
        <v>583</v>
      </c>
    </row>
    <row r="374" spans="12:16">
      <c r="M374" s="421" t="s">
        <v>2786</v>
      </c>
      <c r="N374" s="420">
        <v>500</v>
      </c>
      <c r="O374" s="420">
        <v>260</v>
      </c>
      <c r="P374" s="420">
        <v>563</v>
      </c>
    </row>
    <row r="375" spans="12:16">
      <c r="L375" s="421" t="s">
        <v>2474</v>
      </c>
      <c r="M375" s="421"/>
      <c r="N375" s="420">
        <v>1083</v>
      </c>
      <c r="O375" s="420">
        <v>520</v>
      </c>
      <c r="P375" s="420">
        <v>1146</v>
      </c>
    </row>
    <row r="376" spans="12:16">
      <c r="L376" s="421" t="s">
        <v>265</v>
      </c>
      <c r="M376" s="421" t="s">
        <v>2785</v>
      </c>
      <c r="N376" s="420">
        <v>119</v>
      </c>
      <c r="O376" s="420">
        <v>119</v>
      </c>
      <c r="P376" s="420">
        <v>119</v>
      </c>
    </row>
    <row r="377" spans="12:16">
      <c r="M377" s="421" t="s">
        <v>2786</v>
      </c>
      <c r="N377" s="420">
        <v>0</v>
      </c>
      <c r="O377" s="420">
        <v>120</v>
      </c>
      <c r="P377" s="420">
        <v>120</v>
      </c>
    </row>
    <row r="378" spans="12:16">
      <c r="L378" s="421" t="s">
        <v>2576</v>
      </c>
      <c r="M378" s="421"/>
      <c r="N378" s="420">
        <v>119</v>
      </c>
      <c r="O378" s="420">
        <v>239</v>
      </c>
      <c r="P378" s="420">
        <v>239</v>
      </c>
    </row>
    <row r="379" spans="12:16">
      <c r="L379" s="421" t="s">
        <v>182</v>
      </c>
      <c r="M379" s="421" t="s">
        <v>2785</v>
      </c>
      <c r="N379" s="420">
        <v>958</v>
      </c>
      <c r="O379" s="420">
        <v>958</v>
      </c>
      <c r="P379" s="420">
        <v>0</v>
      </c>
    </row>
    <row r="380" spans="12:16">
      <c r="M380" s="421" t="s">
        <v>2786</v>
      </c>
      <c r="N380" s="420">
        <v>1176</v>
      </c>
      <c r="O380" s="420">
        <v>1176</v>
      </c>
      <c r="P380" s="420">
        <v>0</v>
      </c>
    </row>
    <row r="381" spans="12:16">
      <c r="L381" s="421" t="s">
        <v>2475</v>
      </c>
      <c r="M381" s="421"/>
      <c r="N381" s="420">
        <v>2134</v>
      </c>
      <c r="O381" s="420">
        <v>2134</v>
      </c>
      <c r="P381" s="420">
        <v>0</v>
      </c>
    </row>
    <row r="382" spans="12:16">
      <c r="L382" s="421" t="s">
        <v>215</v>
      </c>
      <c r="M382" s="421" t="s">
        <v>2785</v>
      </c>
      <c r="N382" s="420">
        <v>300</v>
      </c>
      <c r="O382" s="420">
        <v>264</v>
      </c>
      <c r="P382" s="420">
        <v>300</v>
      </c>
    </row>
    <row r="383" spans="12:16">
      <c r="M383" s="421" t="s">
        <v>2786</v>
      </c>
      <c r="N383" s="420">
        <v>300</v>
      </c>
      <c r="O383" s="420">
        <v>244</v>
      </c>
      <c r="P383" s="420">
        <v>300</v>
      </c>
    </row>
    <row r="384" spans="12:16">
      <c r="L384" s="421" t="s">
        <v>2577</v>
      </c>
      <c r="M384" s="421"/>
      <c r="N384" s="420">
        <v>600</v>
      </c>
      <c r="O384" s="420">
        <v>508</v>
      </c>
      <c r="P384" s="420">
        <v>600</v>
      </c>
    </row>
    <row r="385" spans="12:16">
      <c r="L385" s="421" t="s">
        <v>216</v>
      </c>
      <c r="M385" s="421" t="s">
        <v>2785</v>
      </c>
      <c r="N385" s="420">
        <v>182</v>
      </c>
      <c r="O385" s="420">
        <v>180</v>
      </c>
      <c r="P385" s="420">
        <v>182</v>
      </c>
    </row>
    <row r="386" spans="12:16">
      <c r="M386" s="421" t="s">
        <v>2786</v>
      </c>
      <c r="N386" s="420">
        <v>0</v>
      </c>
      <c r="O386" s="420">
        <v>180</v>
      </c>
      <c r="P386" s="420">
        <v>182</v>
      </c>
    </row>
    <row r="387" spans="12:16">
      <c r="L387" s="421" t="s">
        <v>2578</v>
      </c>
      <c r="M387" s="421"/>
      <c r="N387" s="420">
        <v>182</v>
      </c>
      <c r="O387" s="420">
        <v>360</v>
      </c>
      <c r="P387" s="420">
        <v>364</v>
      </c>
    </row>
    <row r="388" spans="12:16">
      <c r="L388" s="421" t="s">
        <v>169</v>
      </c>
      <c r="M388" s="421" t="s">
        <v>2785</v>
      </c>
      <c r="N388" s="420">
        <v>499</v>
      </c>
      <c r="O388" s="420">
        <v>340</v>
      </c>
      <c r="P388" s="420">
        <v>499</v>
      </c>
    </row>
    <row r="389" spans="12:16">
      <c r="M389" s="421" t="s">
        <v>2786</v>
      </c>
      <c r="N389" s="420">
        <v>0</v>
      </c>
      <c r="O389" s="420">
        <v>340</v>
      </c>
      <c r="P389" s="420">
        <v>629</v>
      </c>
    </row>
    <row r="390" spans="12:16">
      <c r="L390" s="421" t="s">
        <v>2476</v>
      </c>
      <c r="M390" s="421"/>
      <c r="N390" s="420">
        <v>499</v>
      </c>
      <c r="O390" s="420">
        <v>680</v>
      </c>
      <c r="P390" s="420">
        <v>1128</v>
      </c>
    </row>
    <row r="391" spans="12:16">
      <c r="L391" s="421" t="s">
        <v>1718</v>
      </c>
      <c r="M391" s="421" t="s">
        <v>2785</v>
      </c>
      <c r="N391" s="420">
        <v>455</v>
      </c>
      <c r="O391" s="420">
        <v>0</v>
      </c>
      <c r="P391" s="420">
        <v>622</v>
      </c>
    </row>
    <row r="392" spans="12:16">
      <c r="M392" s="421" t="s">
        <v>2786</v>
      </c>
      <c r="N392" s="420">
        <v>624</v>
      </c>
      <c r="O392" s="420">
        <v>0</v>
      </c>
      <c r="P392" s="420">
        <v>500</v>
      </c>
    </row>
    <row r="393" spans="12:16">
      <c r="L393" s="421" t="s">
        <v>2579</v>
      </c>
      <c r="M393" s="421"/>
      <c r="N393" s="420">
        <v>1079</v>
      </c>
      <c r="O393" s="420">
        <v>0</v>
      </c>
      <c r="P393" s="420">
        <v>1122</v>
      </c>
    </row>
    <row r="394" spans="12:16">
      <c r="L394" s="421" t="s">
        <v>239</v>
      </c>
      <c r="M394" s="421" t="s">
        <v>2785</v>
      </c>
      <c r="N394" s="420">
        <v>68</v>
      </c>
      <c r="O394" s="420">
        <v>68</v>
      </c>
      <c r="P394" s="420">
        <v>68</v>
      </c>
    </row>
    <row r="395" spans="12:16">
      <c r="M395" s="421" t="s">
        <v>2786</v>
      </c>
      <c r="N395" s="420">
        <v>68</v>
      </c>
      <c r="O395" s="420">
        <v>68</v>
      </c>
      <c r="P395" s="420">
        <v>68</v>
      </c>
    </row>
    <row r="396" spans="12:16">
      <c r="L396" s="421" t="s">
        <v>2580</v>
      </c>
      <c r="M396" s="421"/>
      <c r="N396" s="420">
        <v>136</v>
      </c>
      <c r="O396" s="420">
        <v>136</v>
      </c>
      <c r="P396" s="420">
        <v>136</v>
      </c>
    </row>
    <row r="397" spans="12:16">
      <c r="L397" s="421" t="s">
        <v>865</v>
      </c>
      <c r="M397" s="421" t="s">
        <v>2785</v>
      </c>
      <c r="N397" s="420">
        <v>153</v>
      </c>
      <c r="O397" s="420">
        <v>0</v>
      </c>
      <c r="P397" s="420">
        <v>153</v>
      </c>
    </row>
    <row r="398" spans="12:16">
      <c r="M398" s="421" t="s">
        <v>2786</v>
      </c>
      <c r="N398" s="420">
        <v>169</v>
      </c>
      <c r="O398" s="420">
        <v>0</v>
      </c>
      <c r="P398" s="420">
        <v>169</v>
      </c>
    </row>
    <row r="399" spans="12:16">
      <c r="L399" s="421" t="s">
        <v>2581</v>
      </c>
      <c r="M399" s="421"/>
      <c r="N399" s="420">
        <v>322</v>
      </c>
      <c r="O399" s="420">
        <v>0</v>
      </c>
      <c r="P399" s="420">
        <v>322</v>
      </c>
    </row>
    <row r="400" spans="12:16">
      <c r="L400" s="421" t="s">
        <v>1616</v>
      </c>
      <c r="M400" s="421" t="s">
        <v>2785</v>
      </c>
      <c r="N400" s="420">
        <v>468</v>
      </c>
      <c r="O400" s="420">
        <v>0</v>
      </c>
      <c r="P400" s="420">
        <v>0</v>
      </c>
    </row>
    <row r="401" spans="12:16">
      <c r="M401" s="421" t="s">
        <v>2786</v>
      </c>
      <c r="N401" s="420">
        <v>0</v>
      </c>
      <c r="O401" s="420">
        <v>483</v>
      </c>
      <c r="P401" s="420">
        <v>483</v>
      </c>
    </row>
    <row r="402" spans="12:16">
      <c r="L402" s="421" t="s">
        <v>2582</v>
      </c>
      <c r="M402" s="421"/>
      <c r="N402" s="420">
        <v>468</v>
      </c>
      <c r="O402" s="420">
        <v>483</v>
      </c>
      <c r="P402" s="420">
        <v>483</v>
      </c>
    </row>
    <row r="403" spans="12:16">
      <c r="L403" s="421" t="s">
        <v>170</v>
      </c>
      <c r="M403" s="421" t="s">
        <v>2785</v>
      </c>
      <c r="N403" s="420">
        <v>351</v>
      </c>
      <c r="O403" s="420">
        <v>220</v>
      </c>
      <c r="P403" s="420">
        <v>351</v>
      </c>
    </row>
    <row r="404" spans="12:16">
      <c r="M404" s="421" t="s">
        <v>2786</v>
      </c>
      <c r="N404" s="420">
        <v>500</v>
      </c>
      <c r="O404" s="420">
        <v>220</v>
      </c>
      <c r="P404" s="420">
        <v>531</v>
      </c>
    </row>
    <row r="405" spans="12:16">
      <c r="L405" s="421" t="s">
        <v>2477</v>
      </c>
      <c r="M405" s="421"/>
      <c r="N405" s="420">
        <v>851</v>
      </c>
      <c r="O405" s="420">
        <v>440</v>
      </c>
      <c r="P405" s="420">
        <v>882</v>
      </c>
    </row>
    <row r="406" spans="12:16">
      <c r="L406" s="421" t="s">
        <v>266</v>
      </c>
      <c r="M406" s="421" t="s">
        <v>2785</v>
      </c>
      <c r="N406" s="420">
        <v>262</v>
      </c>
      <c r="O406" s="420">
        <v>262</v>
      </c>
      <c r="P406" s="420">
        <v>262</v>
      </c>
    </row>
    <row r="407" spans="12:16">
      <c r="M407" s="421" t="s">
        <v>2786</v>
      </c>
      <c r="N407" s="420">
        <v>0</v>
      </c>
      <c r="O407" s="420">
        <v>262</v>
      </c>
      <c r="P407" s="420">
        <v>262</v>
      </c>
    </row>
    <row r="408" spans="12:16">
      <c r="L408" s="421" t="s">
        <v>2583</v>
      </c>
      <c r="M408" s="421"/>
      <c r="N408" s="420">
        <v>262</v>
      </c>
      <c r="O408" s="420">
        <v>524</v>
      </c>
      <c r="P408" s="420">
        <v>524</v>
      </c>
    </row>
    <row r="409" spans="12:16">
      <c r="L409" s="421" t="s">
        <v>171</v>
      </c>
      <c r="M409" s="421" t="s">
        <v>2785</v>
      </c>
      <c r="N409" s="420">
        <v>165</v>
      </c>
      <c r="O409" s="420">
        <v>100</v>
      </c>
      <c r="P409" s="420">
        <v>165</v>
      </c>
    </row>
    <row r="410" spans="12:16">
      <c r="M410" s="421" t="s">
        <v>2786</v>
      </c>
      <c r="N410" s="420">
        <v>0</v>
      </c>
      <c r="O410" s="420">
        <v>100</v>
      </c>
      <c r="P410" s="420">
        <v>197</v>
      </c>
    </row>
    <row r="411" spans="12:16">
      <c r="L411" s="421" t="s">
        <v>2478</v>
      </c>
      <c r="M411" s="421"/>
      <c r="N411" s="420">
        <v>165</v>
      </c>
      <c r="O411" s="420">
        <v>200</v>
      </c>
      <c r="P411" s="420">
        <v>362</v>
      </c>
    </row>
    <row r="412" spans="12:16">
      <c r="L412" s="421" t="s">
        <v>172</v>
      </c>
      <c r="M412" s="421" t="s">
        <v>2785</v>
      </c>
      <c r="N412" s="420">
        <v>219</v>
      </c>
      <c r="O412" s="420">
        <v>219</v>
      </c>
      <c r="P412" s="420">
        <v>219</v>
      </c>
    </row>
    <row r="413" spans="12:16">
      <c r="M413" s="421" t="s">
        <v>2786</v>
      </c>
      <c r="N413" s="420">
        <v>0</v>
      </c>
      <c r="O413" s="420">
        <v>239</v>
      </c>
      <c r="P413" s="420">
        <v>239</v>
      </c>
    </row>
    <row r="414" spans="12:16">
      <c r="L414" s="421" t="s">
        <v>2479</v>
      </c>
      <c r="M414" s="421"/>
      <c r="N414" s="420">
        <v>219</v>
      </c>
      <c r="O414" s="420">
        <v>458</v>
      </c>
      <c r="P414" s="420">
        <v>458</v>
      </c>
    </row>
    <row r="415" spans="12:16">
      <c r="L415" s="421" t="s">
        <v>274</v>
      </c>
      <c r="M415" s="421" t="s">
        <v>2785</v>
      </c>
      <c r="N415" s="420">
        <v>192</v>
      </c>
      <c r="O415" s="420">
        <v>120</v>
      </c>
      <c r="P415" s="420">
        <v>192</v>
      </c>
    </row>
    <row r="416" spans="12:16">
      <c r="M416" s="421" t="s">
        <v>2786</v>
      </c>
      <c r="N416" s="420">
        <v>192</v>
      </c>
      <c r="O416" s="420">
        <v>120</v>
      </c>
      <c r="P416" s="420">
        <v>192</v>
      </c>
    </row>
    <row r="417" spans="12:16">
      <c r="L417" s="421" t="s">
        <v>2584</v>
      </c>
      <c r="M417" s="421"/>
      <c r="N417" s="420">
        <v>384</v>
      </c>
      <c r="O417" s="420">
        <v>240</v>
      </c>
      <c r="P417" s="420">
        <v>384</v>
      </c>
    </row>
    <row r="418" spans="12:16">
      <c r="L418" s="421" t="s">
        <v>1615</v>
      </c>
      <c r="M418" s="421" t="s">
        <v>2785</v>
      </c>
      <c r="N418" s="420">
        <v>866</v>
      </c>
      <c r="O418" s="420">
        <v>560</v>
      </c>
      <c r="P418" s="420">
        <v>866</v>
      </c>
    </row>
    <row r="419" spans="12:16">
      <c r="M419" s="421" t="s">
        <v>2786</v>
      </c>
      <c r="N419" s="420">
        <v>500</v>
      </c>
      <c r="O419" s="420">
        <v>560</v>
      </c>
      <c r="P419" s="420">
        <v>975</v>
      </c>
    </row>
    <row r="420" spans="12:16">
      <c r="L420" s="421" t="s">
        <v>2480</v>
      </c>
      <c r="M420" s="421"/>
      <c r="N420" s="420">
        <v>1366</v>
      </c>
      <c r="O420" s="420">
        <v>1120</v>
      </c>
      <c r="P420" s="420">
        <v>1841</v>
      </c>
    </row>
    <row r="421" spans="12:16">
      <c r="L421" s="421" t="s">
        <v>563</v>
      </c>
      <c r="M421" s="421" t="s">
        <v>2785</v>
      </c>
      <c r="N421" s="420">
        <v>195</v>
      </c>
      <c r="O421" s="420">
        <v>195</v>
      </c>
      <c r="P421" s="420">
        <v>195</v>
      </c>
    </row>
    <row r="422" spans="12:16">
      <c r="M422" s="421" t="s">
        <v>2786</v>
      </c>
      <c r="N422" s="420">
        <v>195</v>
      </c>
      <c r="O422" s="420">
        <v>195</v>
      </c>
      <c r="P422" s="420">
        <v>195</v>
      </c>
    </row>
    <row r="423" spans="12:16">
      <c r="L423" s="421" t="s">
        <v>2585</v>
      </c>
      <c r="M423" s="421"/>
      <c r="N423" s="420">
        <v>390</v>
      </c>
      <c r="O423" s="420">
        <v>390</v>
      </c>
      <c r="P423" s="420">
        <v>390</v>
      </c>
    </row>
    <row r="424" spans="12:16">
      <c r="L424" s="421" t="s">
        <v>1612</v>
      </c>
      <c r="M424" s="421" t="s">
        <v>2785</v>
      </c>
      <c r="N424" s="420">
        <v>351</v>
      </c>
      <c r="O424" s="420">
        <v>160</v>
      </c>
      <c r="P424" s="420">
        <v>351</v>
      </c>
    </row>
    <row r="425" spans="12:16">
      <c r="M425" s="421" t="s">
        <v>2786</v>
      </c>
      <c r="N425" s="420">
        <v>387</v>
      </c>
      <c r="O425" s="420">
        <v>160</v>
      </c>
      <c r="P425" s="420">
        <v>387</v>
      </c>
    </row>
    <row r="426" spans="12:16">
      <c r="L426" s="421" t="s">
        <v>2481</v>
      </c>
      <c r="M426" s="421"/>
      <c r="N426" s="420">
        <v>738</v>
      </c>
      <c r="O426" s="420">
        <v>320</v>
      </c>
      <c r="P426" s="420">
        <v>738</v>
      </c>
    </row>
    <row r="427" spans="12:16">
      <c r="L427" s="421" t="s">
        <v>275</v>
      </c>
      <c r="M427" s="421" t="s">
        <v>2785</v>
      </c>
      <c r="N427" s="420">
        <v>293</v>
      </c>
      <c r="O427" s="420">
        <v>180</v>
      </c>
      <c r="P427" s="420">
        <v>293</v>
      </c>
    </row>
    <row r="428" spans="12:16">
      <c r="M428" s="421" t="s">
        <v>2786</v>
      </c>
      <c r="N428" s="420">
        <v>193</v>
      </c>
      <c r="O428" s="420">
        <v>180</v>
      </c>
      <c r="P428" s="420">
        <v>193</v>
      </c>
    </row>
    <row r="429" spans="12:16">
      <c r="L429" s="421" t="s">
        <v>2586</v>
      </c>
      <c r="M429" s="421"/>
      <c r="N429" s="420">
        <v>486</v>
      </c>
      <c r="O429" s="420">
        <v>360</v>
      </c>
      <c r="P429" s="420">
        <v>486</v>
      </c>
    </row>
    <row r="430" spans="12:16">
      <c r="L430" s="421" t="s">
        <v>261</v>
      </c>
      <c r="M430" s="421" t="s">
        <v>2785</v>
      </c>
      <c r="N430" s="420">
        <v>133</v>
      </c>
      <c r="O430" s="420">
        <v>133</v>
      </c>
      <c r="P430" s="420">
        <v>133</v>
      </c>
    </row>
    <row r="431" spans="12:16">
      <c r="M431" s="421" t="s">
        <v>2786</v>
      </c>
      <c r="N431" s="420">
        <v>133</v>
      </c>
      <c r="O431" s="420">
        <v>133</v>
      </c>
      <c r="P431" s="420">
        <v>133</v>
      </c>
    </row>
    <row r="432" spans="12:16">
      <c r="L432" s="421" t="s">
        <v>2587</v>
      </c>
      <c r="M432" s="421"/>
      <c r="N432" s="420">
        <v>266</v>
      </c>
      <c r="O432" s="420">
        <v>266</v>
      </c>
      <c r="P432" s="420">
        <v>266</v>
      </c>
    </row>
    <row r="433" spans="12:16">
      <c r="L433" s="421" t="s">
        <v>221</v>
      </c>
      <c r="M433" s="421" t="s">
        <v>2785</v>
      </c>
      <c r="N433" s="420">
        <v>1500</v>
      </c>
      <c r="O433" s="420">
        <v>4920</v>
      </c>
      <c r="P433" s="420">
        <v>422.42222222222222</v>
      </c>
    </row>
    <row r="434" spans="12:16">
      <c r="M434" s="421" t="s">
        <v>2786</v>
      </c>
      <c r="N434" s="420">
        <v>1500</v>
      </c>
      <c r="O434" s="420">
        <v>4920</v>
      </c>
      <c r="P434" s="420">
        <v>66.666666666666671</v>
      </c>
    </row>
    <row r="435" spans="12:16">
      <c r="L435" s="421" t="s">
        <v>2588</v>
      </c>
      <c r="M435" s="421"/>
      <c r="N435" s="420">
        <v>3000</v>
      </c>
      <c r="O435" s="420">
        <v>9840</v>
      </c>
      <c r="P435" s="420">
        <v>489.0888888888889</v>
      </c>
    </row>
    <row r="436" spans="12:16">
      <c r="L436" s="421" t="s">
        <v>223</v>
      </c>
      <c r="M436" s="421" t="s">
        <v>2785</v>
      </c>
      <c r="N436" s="420">
        <v>455</v>
      </c>
      <c r="O436" s="420">
        <v>0</v>
      </c>
      <c r="P436" s="420">
        <v>0</v>
      </c>
    </row>
    <row r="437" spans="12:16">
      <c r="M437" s="421" t="s">
        <v>2786</v>
      </c>
      <c r="N437" s="420">
        <v>0</v>
      </c>
      <c r="O437" s="420">
        <v>0</v>
      </c>
      <c r="P437" s="420">
        <v>0</v>
      </c>
    </row>
    <row r="438" spans="12:16">
      <c r="L438" s="421" t="s">
        <v>2589</v>
      </c>
      <c r="M438" s="421"/>
      <c r="N438" s="420">
        <v>455</v>
      </c>
      <c r="O438" s="420">
        <v>0</v>
      </c>
      <c r="P438" s="420">
        <v>0</v>
      </c>
    </row>
    <row r="439" spans="12:16">
      <c r="L439" s="421" t="s">
        <v>222</v>
      </c>
      <c r="M439" s="421" t="s">
        <v>2785</v>
      </c>
      <c r="N439" s="420">
        <v>520</v>
      </c>
      <c r="O439" s="420">
        <v>0</v>
      </c>
      <c r="P439" s="420">
        <v>0</v>
      </c>
    </row>
    <row r="440" spans="12:16">
      <c r="M440" s="421" t="s">
        <v>2786</v>
      </c>
      <c r="N440" s="420">
        <v>0</v>
      </c>
      <c r="O440" s="420">
        <v>0</v>
      </c>
      <c r="P440" s="420">
        <v>0</v>
      </c>
    </row>
    <row r="441" spans="12:16">
      <c r="L441" s="421" t="s">
        <v>2590</v>
      </c>
      <c r="M441" s="421"/>
      <c r="N441" s="420">
        <v>520</v>
      </c>
      <c r="O441" s="420">
        <v>0</v>
      </c>
      <c r="P441" s="420">
        <v>0</v>
      </c>
    </row>
    <row r="442" spans="12:16">
      <c r="L442" s="421" t="s">
        <v>262</v>
      </c>
      <c r="M442" s="421" t="s">
        <v>2785</v>
      </c>
      <c r="N442" s="420">
        <v>66</v>
      </c>
      <c r="O442" s="420">
        <v>66</v>
      </c>
      <c r="P442" s="420">
        <v>66</v>
      </c>
    </row>
    <row r="443" spans="12:16">
      <c r="M443" s="421" t="s">
        <v>2786</v>
      </c>
      <c r="N443" s="420">
        <v>66</v>
      </c>
      <c r="O443" s="420">
        <v>66</v>
      </c>
      <c r="P443" s="420">
        <v>66</v>
      </c>
    </row>
    <row r="444" spans="12:16">
      <c r="L444" s="421" t="s">
        <v>2591</v>
      </c>
      <c r="M444" s="421"/>
      <c r="N444" s="420">
        <v>132</v>
      </c>
      <c r="O444" s="420">
        <v>132</v>
      </c>
      <c r="P444" s="420">
        <v>132</v>
      </c>
    </row>
    <row r="445" spans="12:16">
      <c r="L445" s="421" t="s">
        <v>538</v>
      </c>
      <c r="M445" s="421" t="s">
        <v>2785</v>
      </c>
      <c r="N445" s="420">
        <v>620</v>
      </c>
      <c r="O445" s="420">
        <v>1025</v>
      </c>
      <c r="P445" s="420">
        <v>1101</v>
      </c>
    </row>
    <row r="446" spans="12:16">
      <c r="M446" s="421" t="s">
        <v>2786</v>
      </c>
      <c r="N446" s="420">
        <v>500</v>
      </c>
      <c r="O446" s="420">
        <v>1025</v>
      </c>
      <c r="P446" s="420">
        <v>1101</v>
      </c>
    </row>
    <row r="447" spans="12:16">
      <c r="L447" s="421" t="s">
        <v>2592</v>
      </c>
      <c r="M447" s="421"/>
      <c r="N447" s="420">
        <v>1120</v>
      </c>
      <c r="O447" s="420">
        <v>2050</v>
      </c>
      <c r="P447" s="420">
        <v>2202</v>
      </c>
    </row>
    <row r="448" spans="12:16">
      <c r="L448" s="421" t="s">
        <v>2115</v>
      </c>
      <c r="M448" s="421" t="s">
        <v>2785</v>
      </c>
      <c r="N448" s="420">
        <v>30</v>
      </c>
      <c r="O448" s="420">
        <v>0</v>
      </c>
      <c r="P448" s="420">
        <v>0</v>
      </c>
    </row>
    <row r="449" spans="12:16">
      <c r="M449" s="421" t="s">
        <v>2786</v>
      </c>
      <c r="N449" s="420">
        <v>0</v>
      </c>
      <c r="O449" s="420">
        <v>0</v>
      </c>
      <c r="P449" s="420">
        <v>0</v>
      </c>
    </row>
    <row r="450" spans="12:16">
      <c r="L450" s="421" t="s">
        <v>2593</v>
      </c>
      <c r="M450" s="421"/>
      <c r="N450" s="420">
        <v>30</v>
      </c>
      <c r="O450" s="420">
        <v>0</v>
      </c>
      <c r="P450" s="420">
        <v>0</v>
      </c>
    </row>
    <row r="451" spans="12:16">
      <c r="L451" s="421" t="s">
        <v>2161</v>
      </c>
      <c r="M451" s="421" t="s">
        <v>2785</v>
      </c>
      <c r="N451" s="420">
        <v>16</v>
      </c>
      <c r="O451" s="420">
        <v>16</v>
      </c>
      <c r="P451" s="420">
        <v>16</v>
      </c>
    </row>
    <row r="452" spans="12:16">
      <c r="M452" s="421" t="s">
        <v>2786</v>
      </c>
      <c r="N452" s="420">
        <v>16</v>
      </c>
      <c r="O452" s="420">
        <v>16</v>
      </c>
      <c r="P452" s="420">
        <v>16</v>
      </c>
    </row>
    <row r="453" spans="12:16">
      <c r="L453" s="421" t="s">
        <v>2594</v>
      </c>
      <c r="M453" s="421"/>
      <c r="N453" s="420">
        <v>32</v>
      </c>
      <c r="O453" s="420">
        <v>32</v>
      </c>
      <c r="P453" s="420">
        <v>32</v>
      </c>
    </row>
    <row r="454" spans="12:16">
      <c r="L454" s="421" t="s">
        <v>2160</v>
      </c>
      <c r="M454" s="421" t="s">
        <v>2785</v>
      </c>
      <c r="N454" s="420">
        <v>103</v>
      </c>
      <c r="O454" s="420">
        <v>103</v>
      </c>
      <c r="P454" s="420">
        <v>103</v>
      </c>
    </row>
    <row r="455" spans="12:16">
      <c r="M455" s="421" t="s">
        <v>2786</v>
      </c>
      <c r="N455" s="420">
        <v>0</v>
      </c>
      <c r="O455" s="420">
        <v>103</v>
      </c>
      <c r="P455" s="420">
        <v>103</v>
      </c>
    </row>
    <row r="456" spans="12:16">
      <c r="L456" s="421" t="s">
        <v>2595</v>
      </c>
      <c r="M456" s="421"/>
      <c r="N456" s="420">
        <v>103</v>
      </c>
      <c r="O456" s="420">
        <v>206</v>
      </c>
      <c r="P456" s="420">
        <v>206</v>
      </c>
    </row>
    <row r="457" spans="12:16">
      <c r="L457" s="421" t="s">
        <v>2163</v>
      </c>
      <c r="M457" s="421" t="s">
        <v>2786</v>
      </c>
      <c r="N457" s="420">
        <v>0</v>
      </c>
      <c r="O457" s="420">
        <v>3135</v>
      </c>
      <c r="P457" s="420">
        <v>0</v>
      </c>
    </row>
    <row r="458" spans="12:16">
      <c r="L458" s="421" t="s">
        <v>3109</v>
      </c>
      <c r="M458" s="421"/>
      <c r="N458" s="420">
        <v>0</v>
      </c>
      <c r="O458" s="420">
        <v>3135</v>
      </c>
      <c r="P458" s="420">
        <v>0</v>
      </c>
    </row>
    <row r="459" spans="12:16">
      <c r="L459" s="421" t="s">
        <v>2205</v>
      </c>
      <c r="M459" s="421" t="s">
        <v>2785</v>
      </c>
      <c r="N459" s="420">
        <v>0</v>
      </c>
      <c r="O459" s="420">
        <v>0</v>
      </c>
      <c r="P459" s="420"/>
    </row>
    <row r="460" spans="12:16">
      <c r="L460" s="421" t="s">
        <v>2596</v>
      </c>
      <c r="M460" s="421"/>
      <c r="N460" s="420">
        <v>0</v>
      </c>
      <c r="O460" s="420">
        <v>0</v>
      </c>
      <c r="P460" s="420"/>
    </row>
    <row r="461" spans="12:16">
      <c r="L461" s="421" t="s">
        <v>2204</v>
      </c>
      <c r="M461" s="421" t="s">
        <v>2785</v>
      </c>
      <c r="N461" s="420">
        <v>0</v>
      </c>
      <c r="O461" s="420">
        <v>0</v>
      </c>
      <c r="P461" s="420"/>
    </row>
    <row r="462" spans="12:16">
      <c r="M462" s="421" t="s">
        <v>2786</v>
      </c>
      <c r="N462" s="420">
        <v>0</v>
      </c>
      <c r="O462" s="420">
        <v>0</v>
      </c>
      <c r="P462" s="420">
        <v>0</v>
      </c>
    </row>
    <row r="463" spans="12:16">
      <c r="L463" s="421" t="s">
        <v>2597</v>
      </c>
      <c r="M463" s="421"/>
      <c r="N463" s="420">
        <v>0</v>
      </c>
      <c r="O463" s="420">
        <v>0</v>
      </c>
      <c r="P463" s="420">
        <v>0</v>
      </c>
    </row>
    <row r="464" spans="12:16">
      <c r="L464" s="421" t="s">
        <v>2207</v>
      </c>
      <c r="M464" s="421" t="s">
        <v>2785</v>
      </c>
      <c r="N464" s="420">
        <v>143</v>
      </c>
      <c r="O464" s="420">
        <v>120</v>
      </c>
      <c r="P464" s="420">
        <v>143</v>
      </c>
    </row>
    <row r="465" spans="12:16">
      <c r="M465" s="421" t="s">
        <v>2786</v>
      </c>
      <c r="N465" s="420">
        <v>134</v>
      </c>
      <c r="O465" s="420">
        <v>100</v>
      </c>
      <c r="P465" s="420">
        <v>134</v>
      </c>
    </row>
    <row r="466" spans="12:16">
      <c r="L466" s="421" t="s">
        <v>2598</v>
      </c>
      <c r="M466" s="421"/>
      <c r="N466" s="420">
        <v>277</v>
      </c>
      <c r="O466" s="420">
        <v>220</v>
      </c>
      <c r="P466" s="420">
        <v>277</v>
      </c>
    </row>
    <row r="467" spans="12:16">
      <c r="L467" s="421" t="s">
        <v>2242</v>
      </c>
      <c r="M467" s="421" t="s">
        <v>2785</v>
      </c>
      <c r="N467" s="420">
        <v>267</v>
      </c>
      <c r="O467" s="420">
        <v>144</v>
      </c>
      <c r="P467" s="420">
        <v>267</v>
      </c>
    </row>
    <row r="468" spans="12:16">
      <c r="M468" s="421" t="s">
        <v>2786</v>
      </c>
      <c r="N468" s="420">
        <v>203</v>
      </c>
      <c r="O468" s="420">
        <v>144</v>
      </c>
      <c r="P468" s="420">
        <v>203</v>
      </c>
    </row>
    <row r="469" spans="12:16">
      <c r="L469" s="421" t="s">
        <v>2249</v>
      </c>
      <c r="M469" s="421"/>
      <c r="N469" s="420">
        <v>470</v>
      </c>
      <c r="O469" s="420">
        <v>288</v>
      </c>
      <c r="P469" s="420">
        <v>470</v>
      </c>
    </row>
    <row r="470" spans="12:16">
      <c r="L470" s="421" t="s">
        <v>2244</v>
      </c>
      <c r="M470" s="421" t="s">
        <v>2785</v>
      </c>
      <c r="N470" s="420">
        <v>30</v>
      </c>
      <c r="O470" s="420">
        <v>0</v>
      </c>
      <c r="P470" s="420">
        <v>0</v>
      </c>
    </row>
    <row r="471" spans="12:16">
      <c r="M471" s="421" t="s">
        <v>2786</v>
      </c>
      <c r="N471" s="420">
        <v>0</v>
      </c>
      <c r="O471" s="420">
        <v>0</v>
      </c>
      <c r="P471" s="420">
        <v>0</v>
      </c>
    </row>
    <row r="472" spans="12:16">
      <c r="L472" s="421" t="s">
        <v>2599</v>
      </c>
      <c r="M472" s="421"/>
      <c r="N472" s="420">
        <v>30</v>
      </c>
      <c r="O472" s="420">
        <v>0</v>
      </c>
      <c r="P472" s="420">
        <v>0</v>
      </c>
    </row>
    <row r="473" spans="12:16">
      <c r="L473" s="421" t="s">
        <v>2646</v>
      </c>
      <c r="M473" s="421" t="s">
        <v>2785</v>
      </c>
      <c r="N473" s="420">
        <v>36</v>
      </c>
      <c r="O473" s="420">
        <v>36</v>
      </c>
      <c r="P473" s="420">
        <v>36</v>
      </c>
    </row>
    <row r="474" spans="12:16">
      <c r="M474" s="421" t="s">
        <v>2786</v>
      </c>
      <c r="N474" s="420">
        <v>0</v>
      </c>
      <c r="O474" s="420">
        <v>28</v>
      </c>
      <c r="P474" s="420">
        <v>28</v>
      </c>
    </row>
    <row r="475" spans="12:16">
      <c r="L475" s="421" t="s">
        <v>2647</v>
      </c>
      <c r="M475" s="421"/>
      <c r="N475" s="420">
        <v>36</v>
      </c>
      <c r="O475" s="420">
        <v>64</v>
      </c>
      <c r="P475" s="420">
        <v>64</v>
      </c>
    </row>
    <row r="476" spans="12:16">
      <c r="L476" s="421" t="s">
        <v>2624</v>
      </c>
      <c r="M476" s="421" t="s">
        <v>2785</v>
      </c>
      <c r="N476" s="420">
        <v>440</v>
      </c>
      <c r="O476" s="420">
        <v>280</v>
      </c>
      <c r="P476" s="420">
        <v>1600</v>
      </c>
    </row>
    <row r="477" spans="12:16">
      <c r="M477" s="421" t="s">
        <v>2786</v>
      </c>
      <c r="N477" s="420">
        <v>0</v>
      </c>
      <c r="O477" s="420">
        <v>280</v>
      </c>
      <c r="P477" s="420">
        <v>1600</v>
      </c>
    </row>
    <row r="478" spans="12:16">
      <c r="L478" s="421" t="s">
        <v>2685</v>
      </c>
      <c r="M478" s="421"/>
      <c r="N478" s="420">
        <v>440</v>
      </c>
      <c r="O478" s="420">
        <v>560</v>
      </c>
      <c r="P478" s="420">
        <v>3200</v>
      </c>
    </row>
    <row r="479" spans="12:16">
      <c r="L479" s="421" t="s">
        <v>2625</v>
      </c>
      <c r="M479" s="421" t="s">
        <v>2785</v>
      </c>
      <c r="N479" s="420">
        <v>50</v>
      </c>
      <c r="O479" s="420">
        <v>3469</v>
      </c>
      <c r="P479" s="420">
        <v>0</v>
      </c>
    </row>
    <row r="480" spans="12:16">
      <c r="M480" s="421" t="s">
        <v>2786</v>
      </c>
      <c r="N480" s="420">
        <v>0</v>
      </c>
      <c r="O480" s="420">
        <v>0</v>
      </c>
      <c r="P480" s="420">
        <v>0</v>
      </c>
    </row>
    <row r="481" spans="12:16">
      <c r="L481" s="421" t="s">
        <v>2686</v>
      </c>
      <c r="M481" s="421"/>
      <c r="N481" s="420">
        <v>50</v>
      </c>
      <c r="O481" s="420">
        <v>3469</v>
      </c>
      <c r="P481" s="420">
        <v>0</v>
      </c>
    </row>
    <row r="482" spans="12:16">
      <c r="L482" s="421" t="s">
        <v>2715</v>
      </c>
      <c r="M482" s="421" t="s">
        <v>2785</v>
      </c>
      <c r="N482" s="420">
        <v>586</v>
      </c>
      <c r="O482" s="420">
        <v>265</v>
      </c>
      <c r="P482" s="420">
        <v>0</v>
      </c>
    </row>
    <row r="483" spans="12:16">
      <c r="M483" s="421" t="s">
        <v>2786</v>
      </c>
      <c r="N483" s="420">
        <v>591</v>
      </c>
      <c r="O483" s="420">
        <v>591</v>
      </c>
      <c r="P483" s="420">
        <v>591</v>
      </c>
    </row>
    <row r="484" spans="12:16">
      <c r="L484" s="421" t="s">
        <v>2747</v>
      </c>
      <c r="M484" s="421"/>
      <c r="N484" s="420">
        <v>1177</v>
      </c>
      <c r="O484" s="420">
        <v>856</v>
      </c>
      <c r="P484" s="420">
        <v>591</v>
      </c>
    </row>
    <row r="485" spans="12:16">
      <c r="L485" s="421" t="s">
        <v>2716</v>
      </c>
      <c r="M485" s="421" t="s">
        <v>2785</v>
      </c>
      <c r="N485" s="420">
        <v>91</v>
      </c>
      <c r="O485" s="420">
        <v>0</v>
      </c>
      <c r="P485" s="420">
        <v>0</v>
      </c>
    </row>
    <row r="486" spans="12:16">
      <c r="M486" s="421" t="s">
        <v>2786</v>
      </c>
      <c r="N486" s="420">
        <v>0</v>
      </c>
      <c r="O486" s="420">
        <v>0</v>
      </c>
      <c r="P486" s="420">
        <v>0</v>
      </c>
    </row>
    <row r="487" spans="12:16">
      <c r="L487" s="421" t="s">
        <v>2748</v>
      </c>
      <c r="M487" s="421"/>
      <c r="N487" s="420">
        <v>91</v>
      </c>
      <c r="O487" s="420">
        <v>0</v>
      </c>
      <c r="P487" s="420">
        <v>0</v>
      </c>
    </row>
    <row r="488" spans="12:16">
      <c r="L488" s="421" t="s">
        <v>2717</v>
      </c>
      <c r="M488" s="421" t="s">
        <v>2785</v>
      </c>
      <c r="N488" s="420">
        <v>29</v>
      </c>
      <c r="O488" s="420">
        <v>0</v>
      </c>
      <c r="P488" s="420">
        <v>0</v>
      </c>
    </row>
    <row r="489" spans="12:16">
      <c r="L489" s="421" t="s">
        <v>2749</v>
      </c>
      <c r="M489" s="421"/>
      <c r="N489" s="420">
        <v>29</v>
      </c>
      <c r="O489" s="420">
        <v>0</v>
      </c>
      <c r="P489" s="420">
        <v>0</v>
      </c>
    </row>
    <row r="490" spans="12:16">
      <c r="L490" s="421" t="s">
        <v>2718</v>
      </c>
      <c r="M490" s="421" t="s">
        <v>2785</v>
      </c>
      <c r="N490" s="420">
        <v>504</v>
      </c>
      <c r="O490" s="420">
        <v>0</v>
      </c>
      <c r="P490" s="420">
        <v>0</v>
      </c>
    </row>
    <row r="491" spans="12:16">
      <c r="M491" s="421" t="s">
        <v>2786</v>
      </c>
      <c r="N491" s="420">
        <v>0</v>
      </c>
      <c r="O491" s="420">
        <v>0</v>
      </c>
      <c r="P491" s="420">
        <v>0</v>
      </c>
    </row>
    <row r="492" spans="12:16">
      <c r="L492" s="421" t="s">
        <v>2750</v>
      </c>
      <c r="M492" s="421"/>
      <c r="N492" s="420">
        <v>504</v>
      </c>
      <c r="O492" s="420">
        <v>0</v>
      </c>
      <c r="P492" s="420">
        <v>0</v>
      </c>
    </row>
    <row r="493" spans="12:16">
      <c r="L493" s="421" t="s">
        <v>2795</v>
      </c>
      <c r="M493" s="421" t="s">
        <v>2785</v>
      </c>
      <c r="N493" s="420">
        <v>168</v>
      </c>
      <c r="O493" s="420">
        <v>0</v>
      </c>
      <c r="P493" s="420">
        <v>0</v>
      </c>
    </row>
    <row r="494" spans="12:16">
      <c r="M494" s="421" t="s">
        <v>2786</v>
      </c>
      <c r="N494" s="420">
        <v>168</v>
      </c>
      <c r="O494" s="420">
        <v>147</v>
      </c>
      <c r="P494" s="420">
        <v>168</v>
      </c>
    </row>
    <row r="495" spans="12:16">
      <c r="L495" s="421" t="s">
        <v>2838</v>
      </c>
      <c r="M495" s="421"/>
      <c r="N495" s="420">
        <v>336</v>
      </c>
      <c r="O495" s="420">
        <v>147</v>
      </c>
      <c r="P495" s="420">
        <v>168</v>
      </c>
    </row>
    <row r="496" spans="12:16">
      <c r="L496" s="421" t="s">
        <v>2796</v>
      </c>
      <c r="M496" s="421" t="s">
        <v>2785</v>
      </c>
      <c r="N496" s="420">
        <v>80</v>
      </c>
      <c r="O496" s="420">
        <v>0</v>
      </c>
      <c r="P496" s="420">
        <v>0</v>
      </c>
    </row>
    <row r="497" spans="12:16">
      <c r="M497" s="421" t="s">
        <v>2786</v>
      </c>
      <c r="N497" s="420">
        <v>0</v>
      </c>
      <c r="O497" s="420">
        <v>0</v>
      </c>
      <c r="P497" s="420">
        <v>0</v>
      </c>
    </row>
    <row r="498" spans="12:16">
      <c r="L498" s="421" t="s">
        <v>2839</v>
      </c>
      <c r="M498" s="421"/>
      <c r="N498" s="420">
        <v>80</v>
      </c>
      <c r="O498" s="420">
        <v>0</v>
      </c>
      <c r="P498" s="420">
        <v>0</v>
      </c>
    </row>
    <row r="499" spans="12:16">
      <c r="L499" s="421" t="s">
        <v>2797</v>
      </c>
      <c r="M499" s="421" t="s">
        <v>2785</v>
      </c>
      <c r="N499" s="420">
        <v>139</v>
      </c>
      <c r="O499" s="420">
        <v>0</v>
      </c>
      <c r="P499" s="420">
        <v>0</v>
      </c>
    </row>
    <row r="500" spans="12:16">
      <c r="M500" s="421" t="s">
        <v>2786</v>
      </c>
      <c r="N500" s="420">
        <v>0</v>
      </c>
      <c r="O500" s="420">
        <v>0</v>
      </c>
      <c r="P500" s="420">
        <v>0</v>
      </c>
    </row>
    <row r="501" spans="12:16">
      <c r="L501" s="421" t="s">
        <v>2840</v>
      </c>
      <c r="M501" s="421"/>
      <c r="N501" s="420">
        <v>139</v>
      </c>
      <c r="O501" s="420">
        <v>0</v>
      </c>
      <c r="P501" s="420">
        <v>0</v>
      </c>
    </row>
    <row r="502" spans="12:16">
      <c r="L502" s="421" t="s">
        <v>2798</v>
      </c>
      <c r="M502" s="421" t="s">
        <v>2785</v>
      </c>
      <c r="N502" s="420">
        <v>231</v>
      </c>
      <c r="O502" s="420">
        <v>0</v>
      </c>
      <c r="P502" s="420">
        <v>0</v>
      </c>
    </row>
    <row r="503" spans="12:16">
      <c r="L503" s="421" t="s">
        <v>2841</v>
      </c>
      <c r="M503" s="421"/>
      <c r="N503" s="420">
        <v>231</v>
      </c>
      <c r="O503" s="420">
        <v>0</v>
      </c>
      <c r="P503" s="420">
        <v>0</v>
      </c>
    </row>
    <row r="504" spans="12:16">
      <c r="L504" s="421" t="s">
        <v>2799</v>
      </c>
      <c r="M504" s="421" t="s">
        <v>2785</v>
      </c>
      <c r="N504" s="420">
        <v>50</v>
      </c>
      <c r="O504" s="420">
        <v>0</v>
      </c>
      <c r="P504" s="420">
        <v>0</v>
      </c>
    </row>
    <row r="505" spans="12:16">
      <c r="M505" s="421" t="s">
        <v>2786</v>
      </c>
      <c r="N505" s="420">
        <v>0</v>
      </c>
      <c r="O505" s="420">
        <v>0</v>
      </c>
      <c r="P505" s="420">
        <v>0</v>
      </c>
    </row>
    <row r="506" spans="12:16">
      <c r="L506" s="421" t="s">
        <v>2842</v>
      </c>
      <c r="M506" s="421"/>
      <c r="N506" s="420">
        <v>50</v>
      </c>
      <c r="O506" s="420">
        <v>0</v>
      </c>
      <c r="P506" s="420">
        <v>0</v>
      </c>
    </row>
    <row r="507" spans="12:16">
      <c r="L507" s="421" t="s">
        <v>2800</v>
      </c>
      <c r="M507" s="421" t="s">
        <v>2785</v>
      </c>
      <c r="N507" s="420">
        <v>50</v>
      </c>
      <c r="O507" s="420">
        <v>0</v>
      </c>
      <c r="P507" s="420">
        <v>0</v>
      </c>
    </row>
    <row r="508" spans="12:16">
      <c r="L508" s="421" t="s">
        <v>2843</v>
      </c>
      <c r="M508" s="421"/>
      <c r="N508" s="420">
        <v>50</v>
      </c>
      <c r="O508" s="420">
        <v>0</v>
      </c>
      <c r="P508" s="420">
        <v>0</v>
      </c>
    </row>
    <row r="509" spans="12:16">
      <c r="L509" s="421" t="s">
        <v>2801</v>
      </c>
      <c r="M509" s="421" t="s">
        <v>2785</v>
      </c>
      <c r="N509" s="420">
        <v>247</v>
      </c>
      <c r="O509" s="420">
        <v>0</v>
      </c>
      <c r="P509" s="420">
        <v>0</v>
      </c>
    </row>
    <row r="510" spans="12:16">
      <c r="L510" s="421" t="s">
        <v>2844</v>
      </c>
      <c r="M510" s="421"/>
      <c r="N510" s="420">
        <v>247</v>
      </c>
      <c r="O510" s="420">
        <v>0</v>
      </c>
      <c r="P510" s="420">
        <v>0</v>
      </c>
    </row>
    <row r="511" spans="12:16">
      <c r="L511" s="421" t="s">
        <v>2802</v>
      </c>
      <c r="M511" s="421" t="s">
        <v>2785</v>
      </c>
      <c r="N511" s="420">
        <v>247</v>
      </c>
      <c r="O511" s="420">
        <v>0</v>
      </c>
      <c r="P511" s="420">
        <v>0</v>
      </c>
    </row>
    <row r="512" spans="12:16">
      <c r="M512" s="421" t="s">
        <v>2786</v>
      </c>
      <c r="N512" s="420">
        <v>0</v>
      </c>
      <c r="O512" s="420">
        <v>0</v>
      </c>
      <c r="P512" s="420">
        <v>0</v>
      </c>
    </row>
    <row r="513" spans="12:16">
      <c r="L513" s="421" t="s">
        <v>2845</v>
      </c>
      <c r="M513" s="421"/>
      <c r="N513" s="420">
        <v>247</v>
      </c>
      <c r="O513" s="420">
        <v>0</v>
      </c>
      <c r="P513" s="420">
        <v>0</v>
      </c>
    </row>
    <row r="514" spans="12:16">
      <c r="L514" s="421" t="s">
        <v>2803</v>
      </c>
      <c r="M514" s="421" t="s">
        <v>2785</v>
      </c>
      <c r="N514" s="420">
        <v>240</v>
      </c>
      <c r="O514" s="420">
        <v>0</v>
      </c>
      <c r="P514" s="420">
        <v>0</v>
      </c>
    </row>
    <row r="515" spans="12:16">
      <c r="M515" s="421" t="s">
        <v>2786</v>
      </c>
      <c r="N515" s="420">
        <v>0</v>
      </c>
      <c r="O515" s="420">
        <v>0</v>
      </c>
      <c r="P515" s="420">
        <v>0</v>
      </c>
    </row>
    <row r="516" spans="12:16">
      <c r="L516" s="421" t="s">
        <v>2846</v>
      </c>
      <c r="M516" s="421"/>
      <c r="N516" s="420">
        <v>240</v>
      </c>
      <c r="O516" s="420">
        <v>0</v>
      </c>
      <c r="P516" s="420">
        <v>0</v>
      </c>
    </row>
    <row r="517" spans="12:16">
      <c r="L517" s="421" t="s">
        <v>2804</v>
      </c>
      <c r="M517" s="421" t="s">
        <v>2785</v>
      </c>
      <c r="N517" s="420">
        <v>189</v>
      </c>
      <c r="O517" s="420">
        <v>0</v>
      </c>
      <c r="P517" s="420">
        <v>0</v>
      </c>
    </row>
    <row r="518" spans="12:16">
      <c r="M518" s="421" t="s">
        <v>2786</v>
      </c>
      <c r="N518" s="420">
        <v>0</v>
      </c>
      <c r="O518" s="420">
        <v>0</v>
      </c>
      <c r="P518" s="420">
        <v>0</v>
      </c>
    </row>
    <row r="519" spans="12:16">
      <c r="L519" s="421" t="s">
        <v>2847</v>
      </c>
      <c r="M519" s="421"/>
      <c r="N519" s="420">
        <v>189</v>
      </c>
      <c r="O519" s="420">
        <v>0</v>
      </c>
      <c r="P519" s="420">
        <v>0</v>
      </c>
    </row>
    <row r="520" spans="12:16">
      <c r="L520" s="421" t="s">
        <v>2805</v>
      </c>
      <c r="M520" s="421" t="s">
        <v>2785</v>
      </c>
      <c r="N520" s="420">
        <v>59</v>
      </c>
      <c r="O520" s="420">
        <v>0</v>
      </c>
      <c r="P520" s="420">
        <v>0</v>
      </c>
    </row>
    <row r="521" spans="12:16">
      <c r="M521" s="421" t="s">
        <v>2786</v>
      </c>
      <c r="N521" s="420">
        <v>0</v>
      </c>
      <c r="O521" s="420">
        <v>0</v>
      </c>
      <c r="P521" s="420">
        <v>0</v>
      </c>
    </row>
    <row r="522" spans="12:16">
      <c r="L522" s="421" t="s">
        <v>2848</v>
      </c>
      <c r="M522" s="421"/>
      <c r="N522" s="420">
        <v>59</v>
      </c>
      <c r="O522" s="420">
        <v>0</v>
      </c>
      <c r="P522" s="420">
        <v>0</v>
      </c>
    </row>
    <row r="523" spans="12:16">
      <c r="L523" s="421" t="s">
        <v>2628</v>
      </c>
      <c r="M523" s="421" t="s">
        <v>2786</v>
      </c>
      <c r="N523" s="420">
        <v>0</v>
      </c>
      <c r="O523" s="420">
        <v>0</v>
      </c>
      <c r="P523" s="420">
        <v>0</v>
      </c>
    </row>
    <row r="524" spans="12:16">
      <c r="L524" s="421" t="s">
        <v>3110</v>
      </c>
      <c r="M524" s="421"/>
      <c r="N524" s="420">
        <v>0</v>
      </c>
      <c r="O524" s="420">
        <v>0</v>
      </c>
      <c r="P524" s="420">
        <v>0</v>
      </c>
    </row>
    <row r="525" spans="12:16">
      <c r="L525" s="421" t="s">
        <v>2627</v>
      </c>
      <c r="M525" s="421" t="s">
        <v>2786</v>
      </c>
      <c r="N525" s="420">
        <v>0</v>
      </c>
      <c r="O525" s="420">
        <v>0</v>
      </c>
      <c r="P525" s="420">
        <v>0</v>
      </c>
    </row>
    <row r="526" spans="12:16">
      <c r="L526" s="421" t="s">
        <v>3111</v>
      </c>
      <c r="M526" s="421"/>
      <c r="N526" s="420">
        <v>0</v>
      </c>
      <c r="O526" s="420">
        <v>0</v>
      </c>
      <c r="P526" s="420">
        <v>0</v>
      </c>
    </row>
    <row r="527" spans="12:16">
      <c r="L527" s="421" t="s">
        <v>1535</v>
      </c>
      <c r="M527" s="421" t="s">
        <v>2785</v>
      </c>
      <c r="N527" s="420">
        <v>1340</v>
      </c>
      <c r="O527" s="420">
        <v>9</v>
      </c>
      <c r="P527" s="420">
        <v>0</v>
      </c>
    </row>
    <row r="528" spans="12:16">
      <c r="M528" s="421" t="s">
        <v>2786</v>
      </c>
      <c r="N528" s="420">
        <v>1340</v>
      </c>
      <c r="O528" s="420">
        <v>380</v>
      </c>
      <c r="P528" s="420">
        <v>1200</v>
      </c>
    </row>
    <row r="529" spans="12:16">
      <c r="L529" s="421" t="s">
        <v>2849</v>
      </c>
      <c r="M529" s="421"/>
      <c r="N529" s="420">
        <v>2680</v>
      </c>
      <c r="O529" s="420">
        <v>389</v>
      </c>
      <c r="P529" s="420">
        <v>1200</v>
      </c>
    </row>
    <row r="530" spans="12:16">
      <c r="L530" s="421" t="s">
        <v>3052</v>
      </c>
      <c r="M530" s="421" t="s">
        <v>2785</v>
      </c>
      <c r="N530" s="420">
        <v>267</v>
      </c>
      <c r="O530" s="420">
        <v>267</v>
      </c>
      <c r="P530" s="420">
        <v>267</v>
      </c>
    </row>
    <row r="531" spans="12:16">
      <c r="M531" s="421" t="s">
        <v>2786</v>
      </c>
      <c r="N531" s="420">
        <v>270</v>
      </c>
      <c r="O531" s="420">
        <v>270</v>
      </c>
      <c r="P531" s="420">
        <v>270</v>
      </c>
    </row>
    <row r="532" spans="12:16">
      <c r="L532" s="421" t="s">
        <v>3112</v>
      </c>
      <c r="M532" s="421"/>
      <c r="N532" s="420">
        <v>537</v>
      </c>
      <c r="O532" s="420">
        <v>537</v>
      </c>
      <c r="P532" s="420">
        <v>537</v>
      </c>
    </row>
    <row r="533" spans="12:16">
      <c r="L533" s="421" t="s">
        <v>3053</v>
      </c>
      <c r="M533" s="421" t="s">
        <v>2785</v>
      </c>
      <c r="N533" s="420">
        <v>50</v>
      </c>
      <c r="O533" s="420">
        <v>360</v>
      </c>
      <c r="P533" s="420">
        <v>412</v>
      </c>
    </row>
    <row r="534" spans="12:16">
      <c r="M534" s="421" t="s">
        <v>2786</v>
      </c>
      <c r="N534" s="420">
        <v>424</v>
      </c>
      <c r="O534" s="420">
        <v>260</v>
      </c>
      <c r="P534" s="420">
        <v>424</v>
      </c>
    </row>
    <row r="535" spans="12:16">
      <c r="L535" s="421" t="s">
        <v>3113</v>
      </c>
      <c r="M535" s="421"/>
      <c r="N535" s="420">
        <v>474</v>
      </c>
      <c r="O535" s="420">
        <v>620</v>
      </c>
      <c r="P535" s="420">
        <v>836</v>
      </c>
    </row>
    <row r="536" spans="12:16">
      <c r="L536" s="421" t="s">
        <v>3055</v>
      </c>
      <c r="M536" s="421" t="s">
        <v>2785</v>
      </c>
      <c r="N536" s="420">
        <v>162</v>
      </c>
      <c r="O536" s="420">
        <v>0</v>
      </c>
      <c r="P536" s="420">
        <v>0</v>
      </c>
    </row>
    <row r="537" spans="12:16">
      <c r="M537" s="421" t="s">
        <v>2786</v>
      </c>
      <c r="N537" s="420">
        <v>0</v>
      </c>
      <c r="O537" s="420">
        <v>0</v>
      </c>
      <c r="P537" s="420">
        <v>0</v>
      </c>
    </row>
    <row r="538" spans="12:16">
      <c r="L538" s="421" t="s">
        <v>3114</v>
      </c>
      <c r="M538" s="421"/>
      <c r="N538" s="420">
        <v>162</v>
      </c>
      <c r="O538" s="420">
        <v>0</v>
      </c>
      <c r="P538" s="420">
        <v>0</v>
      </c>
    </row>
    <row r="539" spans="12:16">
      <c r="L539" s="421" t="s">
        <v>3056</v>
      </c>
      <c r="M539" s="421" t="s">
        <v>2785</v>
      </c>
      <c r="N539" s="420">
        <v>132</v>
      </c>
      <c r="O539" s="420">
        <v>132</v>
      </c>
      <c r="P539" s="420">
        <v>132</v>
      </c>
    </row>
    <row r="540" spans="12:16">
      <c r="M540" s="421" t="s">
        <v>2786</v>
      </c>
      <c r="N540" s="420">
        <v>132</v>
      </c>
      <c r="O540" s="420">
        <v>132</v>
      </c>
      <c r="P540" s="420">
        <v>132</v>
      </c>
    </row>
    <row r="541" spans="12:16">
      <c r="L541" s="421" t="s">
        <v>3115</v>
      </c>
      <c r="M541" s="421"/>
      <c r="N541" s="420">
        <v>264</v>
      </c>
      <c r="O541" s="420">
        <v>264</v>
      </c>
      <c r="P541" s="420">
        <v>264</v>
      </c>
    </row>
    <row r="542" spans="12:16">
      <c r="L542" s="421" t="s">
        <v>3048</v>
      </c>
      <c r="M542" s="421" t="s">
        <v>2785</v>
      </c>
      <c r="N542" s="420">
        <v>520</v>
      </c>
      <c r="O542" s="420">
        <v>0</v>
      </c>
      <c r="P542" s="420">
        <v>544</v>
      </c>
    </row>
    <row r="543" spans="12:16">
      <c r="M543" s="421" t="s">
        <v>2786</v>
      </c>
      <c r="N543" s="420">
        <v>0</v>
      </c>
      <c r="O543" s="420">
        <v>0</v>
      </c>
      <c r="P543" s="420">
        <v>544</v>
      </c>
    </row>
    <row r="544" spans="12:16">
      <c r="L544" s="421" t="s">
        <v>3116</v>
      </c>
      <c r="M544" s="421"/>
      <c r="N544" s="420">
        <v>520</v>
      </c>
      <c r="O544" s="420">
        <v>0</v>
      </c>
      <c r="P544" s="420">
        <v>1088</v>
      </c>
    </row>
    <row r="545" spans="12:16">
      <c r="L545" s="421" t="s">
        <v>3054</v>
      </c>
      <c r="M545" s="421" t="s">
        <v>2785</v>
      </c>
      <c r="N545" s="420">
        <v>30</v>
      </c>
      <c r="O545" s="420">
        <v>0</v>
      </c>
      <c r="P545" s="420">
        <v>0</v>
      </c>
    </row>
    <row r="546" spans="12:16">
      <c r="M546" s="421" t="s">
        <v>2786</v>
      </c>
      <c r="N546" s="420">
        <v>0</v>
      </c>
      <c r="O546" s="420">
        <v>0</v>
      </c>
      <c r="P546" s="420">
        <v>0</v>
      </c>
    </row>
    <row r="547" spans="12:16">
      <c r="L547" s="421" t="s">
        <v>3117</v>
      </c>
      <c r="M547" s="421"/>
      <c r="N547" s="420">
        <v>30</v>
      </c>
      <c r="O547" s="420">
        <v>0</v>
      </c>
      <c r="P547" s="420">
        <v>0</v>
      </c>
    </row>
    <row r="548" spans="12:16">
      <c r="L548" s="421" t="s">
        <v>3044</v>
      </c>
      <c r="M548" s="421" t="s">
        <v>2785</v>
      </c>
      <c r="N548" s="420">
        <v>520</v>
      </c>
      <c r="O548" s="420">
        <v>0</v>
      </c>
      <c r="P548" s="420">
        <v>0</v>
      </c>
    </row>
    <row r="549" spans="12:16">
      <c r="M549" s="421" t="s">
        <v>2786</v>
      </c>
      <c r="N549" s="420">
        <v>0</v>
      </c>
      <c r="O549" s="420">
        <v>0</v>
      </c>
      <c r="P549" s="420">
        <v>0</v>
      </c>
    </row>
    <row r="550" spans="12:16">
      <c r="L550" s="421" t="s">
        <v>3118</v>
      </c>
      <c r="M550" s="421"/>
      <c r="N550" s="420">
        <v>520</v>
      </c>
      <c r="O550" s="420">
        <v>0</v>
      </c>
      <c r="P550" s="420">
        <v>0</v>
      </c>
    </row>
    <row r="551" spans="12:16">
      <c r="L551" s="421" t="s">
        <v>3047</v>
      </c>
      <c r="M551" s="421" t="s">
        <v>2785</v>
      </c>
      <c r="N551" s="420">
        <v>264</v>
      </c>
      <c r="O551" s="420">
        <v>264</v>
      </c>
      <c r="P551" s="420">
        <v>0</v>
      </c>
    </row>
    <row r="552" spans="12:16">
      <c r="M552" s="421" t="s">
        <v>2786</v>
      </c>
      <c r="N552" s="420">
        <v>0</v>
      </c>
      <c r="O552" s="420">
        <v>264</v>
      </c>
      <c r="P552" s="420">
        <v>0</v>
      </c>
    </row>
    <row r="553" spans="12:16">
      <c r="L553" s="421" t="s">
        <v>3119</v>
      </c>
      <c r="M553" s="421"/>
      <c r="N553" s="420">
        <v>264</v>
      </c>
      <c r="O553" s="420">
        <v>528</v>
      </c>
      <c r="P553" s="420">
        <v>0</v>
      </c>
    </row>
    <row r="554" spans="12:16">
      <c r="L554" s="421" t="s">
        <v>3045</v>
      </c>
      <c r="M554" s="421" t="s">
        <v>2785</v>
      </c>
      <c r="N554" s="420">
        <v>455</v>
      </c>
      <c r="O554" s="420">
        <v>0</v>
      </c>
      <c r="P554" s="420">
        <v>0</v>
      </c>
    </row>
    <row r="555" spans="12:16">
      <c r="M555" s="421" t="s">
        <v>2786</v>
      </c>
      <c r="N555" s="420">
        <v>0</v>
      </c>
      <c r="O555" s="420">
        <v>0</v>
      </c>
      <c r="P555" s="420">
        <v>0</v>
      </c>
    </row>
    <row r="556" spans="12:16">
      <c r="L556" s="421" t="s">
        <v>3120</v>
      </c>
      <c r="M556" s="421"/>
      <c r="N556" s="420">
        <v>455</v>
      </c>
      <c r="O556" s="420">
        <v>0</v>
      </c>
      <c r="P556" s="420">
        <v>0</v>
      </c>
    </row>
    <row r="557" spans="12:16">
      <c r="L557" s="421" t="s">
        <v>3049</v>
      </c>
      <c r="M557" s="421" t="s">
        <v>2785</v>
      </c>
      <c r="N557" s="420">
        <v>308</v>
      </c>
      <c r="O557" s="420">
        <v>0</v>
      </c>
      <c r="P557" s="420">
        <v>0</v>
      </c>
    </row>
    <row r="558" spans="12:16">
      <c r="M558" s="421" t="s">
        <v>2786</v>
      </c>
      <c r="N558" s="420">
        <v>0</v>
      </c>
      <c r="O558" s="420">
        <v>0</v>
      </c>
      <c r="P558" s="420">
        <v>0</v>
      </c>
    </row>
    <row r="559" spans="12:16">
      <c r="L559" s="421" t="s">
        <v>3121</v>
      </c>
      <c r="M559" s="421"/>
      <c r="N559" s="420">
        <v>308</v>
      </c>
      <c r="O559" s="420">
        <v>0</v>
      </c>
      <c r="P559" s="420">
        <v>0</v>
      </c>
    </row>
    <row r="560" spans="12:16">
      <c r="L560" s="421" t="s">
        <v>3050</v>
      </c>
      <c r="M560" s="421" t="s">
        <v>2785</v>
      </c>
      <c r="N560" s="420">
        <v>126</v>
      </c>
      <c r="O560" s="420">
        <v>0</v>
      </c>
      <c r="P560" s="420">
        <v>0</v>
      </c>
    </row>
    <row r="561" spans="12:16">
      <c r="M561" s="421" t="s">
        <v>2786</v>
      </c>
      <c r="N561" s="420">
        <v>0</v>
      </c>
      <c r="O561" s="420">
        <v>0</v>
      </c>
      <c r="P561" s="420">
        <v>0</v>
      </c>
    </row>
    <row r="562" spans="12:16">
      <c r="L562" s="421" t="s">
        <v>3122</v>
      </c>
      <c r="M562" s="421"/>
      <c r="N562" s="420">
        <v>126</v>
      </c>
      <c r="O562" s="420">
        <v>0</v>
      </c>
      <c r="P562" s="420">
        <v>0</v>
      </c>
    </row>
    <row r="563" spans="12:16">
      <c r="L563" s="421" t="s">
        <v>3051</v>
      </c>
      <c r="M563" s="421" t="s">
        <v>2785</v>
      </c>
      <c r="N563" s="420">
        <v>71</v>
      </c>
      <c r="O563" s="420">
        <v>0</v>
      </c>
      <c r="P563" s="420">
        <v>0</v>
      </c>
    </row>
    <row r="564" spans="12:16">
      <c r="M564" s="421" t="s">
        <v>2786</v>
      </c>
      <c r="N564" s="420">
        <v>0</v>
      </c>
      <c r="O564" s="420">
        <v>0</v>
      </c>
      <c r="P564" s="420">
        <v>0</v>
      </c>
    </row>
    <row r="565" spans="12:16">
      <c r="L565" s="421" t="s">
        <v>3123</v>
      </c>
      <c r="M565" s="421"/>
      <c r="N565" s="420">
        <v>71</v>
      </c>
      <c r="O565" s="420">
        <v>0</v>
      </c>
      <c r="P565" s="420">
        <v>0</v>
      </c>
    </row>
    <row r="566" spans="12:16">
      <c r="L566" s="421" t="s">
        <v>3046</v>
      </c>
      <c r="M566" s="421" t="s">
        <v>2785</v>
      </c>
      <c r="N566" s="420">
        <v>50</v>
      </c>
      <c r="O566" s="420">
        <v>0</v>
      </c>
      <c r="P566" s="420">
        <v>0</v>
      </c>
    </row>
    <row r="567" spans="12:16">
      <c r="M567" s="421" t="s">
        <v>2786</v>
      </c>
      <c r="N567" s="420">
        <v>0</v>
      </c>
      <c r="O567" s="420">
        <v>0</v>
      </c>
      <c r="P567" s="420">
        <v>0</v>
      </c>
    </row>
    <row r="568" spans="12:16">
      <c r="L568" s="421" t="s">
        <v>3124</v>
      </c>
      <c r="M568" s="421"/>
      <c r="N568" s="420">
        <v>50</v>
      </c>
      <c r="O568" s="420">
        <v>0</v>
      </c>
      <c r="P568" s="420">
        <v>0</v>
      </c>
    </row>
    <row r="569" spans="12:16">
      <c r="L569" s="421" t="s">
        <v>3043</v>
      </c>
      <c r="M569" s="421" t="s">
        <v>2785</v>
      </c>
      <c r="N569" s="420">
        <v>101</v>
      </c>
      <c r="O569" s="420">
        <v>0</v>
      </c>
      <c r="P569" s="420">
        <v>0</v>
      </c>
    </row>
    <row r="570" spans="12:16">
      <c r="M570" s="421" t="s">
        <v>2786</v>
      </c>
      <c r="N570" s="420">
        <v>0</v>
      </c>
      <c r="O570" s="420">
        <v>0</v>
      </c>
      <c r="P570" s="420">
        <v>0</v>
      </c>
    </row>
    <row r="571" spans="12:16">
      <c r="L571" s="421" t="s">
        <v>3125</v>
      </c>
      <c r="M571" s="421"/>
      <c r="N571" s="420">
        <v>101</v>
      </c>
      <c r="O571" s="420">
        <v>0</v>
      </c>
      <c r="P571" s="420">
        <v>0</v>
      </c>
    </row>
    <row r="572" spans="12:16">
      <c r="L572" s="421" t="s">
        <v>3042</v>
      </c>
      <c r="M572" s="421" t="s">
        <v>2785</v>
      </c>
      <c r="N572" s="420">
        <v>83</v>
      </c>
      <c r="O572" s="420">
        <v>83</v>
      </c>
      <c r="P572" s="420">
        <v>83</v>
      </c>
    </row>
    <row r="573" spans="12:16">
      <c r="M573" s="421" t="s">
        <v>2786</v>
      </c>
      <c r="N573" s="420">
        <v>85</v>
      </c>
      <c r="O573" s="420">
        <v>85</v>
      </c>
      <c r="P573" s="420">
        <v>85</v>
      </c>
    </row>
    <row r="574" spans="12:16">
      <c r="L574" s="421" t="s">
        <v>3126</v>
      </c>
      <c r="M574" s="421"/>
      <c r="N574" s="420">
        <v>168</v>
      </c>
      <c r="O574" s="420">
        <v>168</v>
      </c>
      <c r="P574" s="420">
        <v>168</v>
      </c>
    </row>
    <row r="575" spans="12:16">
      <c r="L575" s="421" t="s">
        <v>3032</v>
      </c>
      <c r="M575" s="421" t="s">
        <v>2785</v>
      </c>
      <c r="N575" s="420">
        <v>0</v>
      </c>
      <c r="O575" s="420">
        <v>164</v>
      </c>
      <c r="P575" s="420">
        <v>189</v>
      </c>
    </row>
    <row r="576" spans="12:16">
      <c r="L576" s="421" t="s">
        <v>3127</v>
      </c>
      <c r="M576" s="421"/>
      <c r="N576" s="420">
        <v>0</v>
      </c>
      <c r="O576" s="420">
        <v>164</v>
      </c>
      <c r="P576" s="420">
        <v>189</v>
      </c>
    </row>
    <row r="577" spans="12:16">
      <c r="L577" s="421" t="s">
        <v>3024</v>
      </c>
      <c r="M577" s="421" t="s">
        <v>2785</v>
      </c>
      <c r="N577" s="420">
        <v>319</v>
      </c>
      <c r="O577" s="420">
        <v>319</v>
      </c>
      <c r="P577" s="420">
        <v>319</v>
      </c>
    </row>
    <row r="578" spans="12:16">
      <c r="M578" s="421" t="s">
        <v>2786</v>
      </c>
      <c r="N578" s="420">
        <v>344</v>
      </c>
      <c r="O578" s="420">
        <v>344</v>
      </c>
      <c r="P578" s="420">
        <v>344</v>
      </c>
    </row>
    <row r="579" spans="12:16">
      <c r="L579" s="421" t="s">
        <v>3128</v>
      </c>
      <c r="M579" s="421"/>
      <c r="N579" s="420">
        <v>663</v>
      </c>
      <c r="O579" s="420">
        <v>663</v>
      </c>
      <c r="P579" s="420">
        <v>663</v>
      </c>
    </row>
    <row r="580" spans="12:16">
      <c r="L580" s="421" t="s">
        <v>3004</v>
      </c>
      <c r="M580" s="421" t="s">
        <v>2786</v>
      </c>
      <c r="N580" s="420">
        <v>0</v>
      </c>
      <c r="O580" s="420">
        <v>40</v>
      </c>
      <c r="P580" s="420">
        <v>0</v>
      </c>
    </row>
    <row r="581" spans="12:16">
      <c r="L581" s="421" t="s">
        <v>3129</v>
      </c>
      <c r="M581" s="421"/>
      <c r="N581" s="420">
        <v>0</v>
      </c>
      <c r="O581" s="420">
        <v>40</v>
      </c>
      <c r="P581" s="420">
        <v>0</v>
      </c>
    </row>
    <row r="582" spans="12:16">
      <c r="L582" s="421" t="s">
        <v>3005</v>
      </c>
      <c r="M582" s="421" t="s">
        <v>2786</v>
      </c>
      <c r="N582" s="420">
        <v>0</v>
      </c>
      <c r="O582" s="420">
        <v>28</v>
      </c>
      <c r="P582" s="420">
        <v>0</v>
      </c>
    </row>
    <row r="583" spans="12:16">
      <c r="L583" s="421" t="s">
        <v>3130</v>
      </c>
      <c r="M583" s="421"/>
      <c r="N583" s="420">
        <v>0</v>
      </c>
      <c r="O583" s="420">
        <v>28</v>
      </c>
      <c r="P583" s="420">
        <v>0</v>
      </c>
    </row>
    <row r="584" spans="12:16">
      <c r="L584" s="421" t="s">
        <v>3006</v>
      </c>
      <c r="M584" s="421" t="s">
        <v>2786</v>
      </c>
      <c r="N584" s="420">
        <v>0</v>
      </c>
      <c r="O584" s="420">
        <v>31</v>
      </c>
      <c r="P584" s="420">
        <v>0</v>
      </c>
    </row>
    <row r="585" spans="12:16">
      <c r="L585" s="421" t="s">
        <v>3131</v>
      </c>
      <c r="M585" s="421"/>
      <c r="N585" s="420">
        <v>0</v>
      </c>
      <c r="O585" s="420">
        <v>31</v>
      </c>
      <c r="P585" s="420">
        <v>0</v>
      </c>
    </row>
    <row r="586" spans="12:16">
      <c r="L586" s="421" t="s">
        <v>3007</v>
      </c>
      <c r="M586" s="421" t="s">
        <v>2786</v>
      </c>
      <c r="N586" s="420">
        <v>0</v>
      </c>
      <c r="O586" s="420">
        <v>179</v>
      </c>
      <c r="P586" s="420">
        <v>179</v>
      </c>
    </row>
    <row r="587" spans="12:16">
      <c r="L587" s="421" t="s">
        <v>3132</v>
      </c>
      <c r="M587" s="421"/>
      <c r="N587" s="420">
        <v>0</v>
      </c>
      <c r="O587" s="420">
        <v>179</v>
      </c>
      <c r="P587" s="420">
        <v>179</v>
      </c>
    </row>
    <row r="588" spans="12:16">
      <c r="L588" s="421" t="s">
        <v>3008</v>
      </c>
      <c r="M588" s="421" t="s">
        <v>2786</v>
      </c>
      <c r="N588" s="420">
        <v>0</v>
      </c>
      <c r="O588" s="420">
        <v>26</v>
      </c>
      <c r="P588" s="420">
        <v>26</v>
      </c>
    </row>
    <row r="589" spans="12:16">
      <c r="L589" s="421" t="s">
        <v>3133</v>
      </c>
      <c r="M589" s="421"/>
      <c r="N589" s="420">
        <v>0</v>
      </c>
      <c r="O589" s="420">
        <v>26</v>
      </c>
      <c r="P589" s="420">
        <v>26</v>
      </c>
    </row>
    <row r="590" spans="12:16">
      <c r="L590" s="421" t="s">
        <v>3009</v>
      </c>
      <c r="M590" s="421" t="s">
        <v>2786</v>
      </c>
      <c r="N590" s="420">
        <v>0</v>
      </c>
      <c r="O590" s="420">
        <v>0</v>
      </c>
      <c r="P590" s="420">
        <v>0</v>
      </c>
    </row>
    <row r="591" spans="12:16">
      <c r="L591" s="421" t="s">
        <v>3134</v>
      </c>
      <c r="M591" s="421"/>
      <c r="N591" s="420">
        <v>0</v>
      </c>
      <c r="O591" s="420">
        <v>0</v>
      </c>
      <c r="P591" s="420">
        <v>0</v>
      </c>
    </row>
    <row r="592" spans="12:16">
      <c r="L592" s="421" t="s">
        <v>2975</v>
      </c>
      <c r="M592" s="421" t="s">
        <v>2785</v>
      </c>
      <c r="N592" s="420">
        <v>292</v>
      </c>
      <c r="O592" s="420">
        <v>125</v>
      </c>
      <c r="P592" s="420">
        <v>292</v>
      </c>
    </row>
    <row r="593" spans="12:16">
      <c r="M593" s="421" t="s">
        <v>2786</v>
      </c>
      <c r="N593" s="420">
        <v>292</v>
      </c>
      <c r="O593" s="420">
        <v>275</v>
      </c>
      <c r="P593" s="420">
        <v>292</v>
      </c>
    </row>
    <row r="594" spans="12:16">
      <c r="L594" s="421" t="s">
        <v>3135</v>
      </c>
      <c r="M594" s="421"/>
      <c r="N594" s="420">
        <v>584</v>
      </c>
      <c r="O594" s="420">
        <v>400</v>
      </c>
      <c r="P594" s="420">
        <v>584</v>
      </c>
    </row>
    <row r="595" spans="12:16">
      <c r="L595" s="421" t="s">
        <v>2976</v>
      </c>
      <c r="M595" s="421" t="s">
        <v>2785</v>
      </c>
      <c r="N595" s="420">
        <v>77</v>
      </c>
      <c r="O595" s="420">
        <v>20</v>
      </c>
      <c r="P595" s="420">
        <v>0</v>
      </c>
    </row>
    <row r="596" spans="12:16">
      <c r="M596" s="421" t="s">
        <v>2786</v>
      </c>
      <c r="N596" s="420">
        <v>0</v>
      </c>
      <c r="O596" s="420">
        <v>20</v>
      </c>
      <c r="P596" s="420">
        <v>77</v>
      </c>
    </row>
    <row r="597" spans="12:16">
      <c r="L597" s="421" t="s">
        <v>3136</v>
      </c>
      <c r="M597" s="421"/>
      <c r="N597" s="420">
        <v>77</v>
      </c>
      <c r="O597" s="420">
        <v>40</v>
      </c>
      <c r="P597" s="420">
        <v>77</v>
      </c>
    </row>
    <row r="598" spans="12:16">
      <c r="L598" s="421" t="s">
        <v>3025</v>
      </c>
      <c r="M598" s="421" t="s">
        <v>2785</v>
      </c>
      <c r="N598" s="420">
        <v>221</v>
      </c>
      <c r="O598" s="420">
        <v>160</v>
      </c>
      <c r="P598" s="420">
        <v>221</v>
      </c>
    </row>
    <row r="599" spans="12:16">
      <c r="M599" s="421" t="s">
        <v>2786</v>
      </c>
      <c r="N599" s="420">
        <v>221</v>
      </c>
      <c r="O599" s="420">
        <v>160</v>
      </c>
      <c r="P599" s="420">
        <v>221</v>
      </c>
    </row>
    <row r="600" spans="12:16">
      <c r="L600" s="421" t="s">
        <v>3137</v>
      </c>
      <c r="M600" s="421"/>
      <c r="N600" s="420">
        <v>442</v>
      </c>
      <c r="O600" s="420">
        <v>320</v>
      </c>
      <c r="P600" s="420">
        <v>442</v>
      </c>
    </row>
    <row r="601" spans="12:16">
      <c r="L601" s="421" t="s">
        <v>1285</v>
      </c>
      <c r="N601" s="420">
        <v>154338</v>
      </c>
      <c r="O601" s="420">
        <v>164030</v>
      </c>
      <c r="P601" s="420">
        <v>139479.71851851852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6"/>
  <cols>
    <col min="1" max="1" width="14.59765625" bestFit="1" customWidth="1"/>
    <col min="2" max="2" width="57.09765625" bestFit="1" customWidth="1"/>
    <col min="3" max="3" width="59" bestFit="1" customWidth="1"/>
  </cols>
  <sheetData>
    <row r="1" spans="1:2">
      <c r="A1" s="427" t="s">
        <v>20</v>
      </c>
      <c r="B1" s="421" t="s">
        <v>1284</v>
      </c>
    </row>
    <row r="3" spans="1:2">
      <c r="A3" s="427" t="s">
        <v>1283</v>
      </c>
      <c r="B3" t="s">
        <v>2645</v>
      </c>
    </row>
    <row r="4" spans="1:2">
      <c r="A4" s="492" t="s">
        <v>1285</v>
      </c>
      <c r="B4" s="42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35" workbookViewId="0">
      <selection activeCell="D49" sqref="D49"/>
    </sheetView>
  </sheetViews>
  <sheetFormatPr defaultColWidth="9" defaultRowHeight="13.8"/>
  <cols>
    <col min="1" max="3" width="9" style="18"/>
    <col min="4" max="4" width="9" style="67"/>
    <col min="5" max="5" width="15.69921875" style="66" customWidth="1"/>
    <col min="6" max="14" width="9" style="18"/>
    <col min="15" max="15" width="15.69921875" style="18" customWidth="1"/>
    <col min="16" max="27" width="9" style="18"/>
    <col min="28" max="28" width="13" style="62" customWidth="1"/>
    <col min="29" max="29" width="16.69921875" style="62" customWidth="1"/>
    <col min="30" max="16384" width="9" style="18"/>
  </cols>
  <sheetData>
    <row r="1" spans="1:29" ht="15" thickTop="1" thickBot="1">
      <c r="A1" s="1" t="s">
        <v>0</v>
      </c>
      <c r="B1" s="1" t="s">
        <v>1</v>
      </c>
      <c r="C1" s="1" t="s">
        <v>2</v>
      </c>
      <c r="D1" s="49" t="s">
        <v>3</v>
      </c>
      <c r="E1" s="49" t="s">
        <v>4</v>
      </c>
      <c r="F1" s="1" t="s">
        <v>874</v>
      </c>
      <c r="G1" s="1" t="s">
        <v>5</v>
      </c>
      <c r="H1" s="1" t="s">
        <v>6</v>
      </c>
      <c r="I1" s="1" t="s">
        <v>47</v>
      </c>
      <c r="J1" s="1" t="s">
        <v>48</v>
      </c>
      <c r="K1" s="1" t="s">
        <v>51</v>
      </c>
      <c r="L1" s="2" t="s">
        <v>53</v>
      </c>
      <c r="M1" s="2" t="s">
        <v>54</v>
      </c>
      <c r="N1" s="2" t="s">
        <v>115</v>
      </c>
      <c r="O1" s="2" t="s">
        <v>116</v>
      </c>
      <c r="P1" s="2" t="s">
        <v>59</v>
      </c>
      <c r="Q1" s="2" t="s">
        <v>57</v>
      </c>
      <c r="R1" s="3" t="s">
        <v>61</v>
      </c>
      <c r="S1" s="3" t="s">
        <v>875</v>
      </c>
      <c r="T1" s="4" t="s">
        <v>62</v>
      </c>
      <c r="U1" s="3" t="s">
        <v>63</v>
      </c>
      <c r="V1" s="3" t="s">
        <v>64</v>
      </c>
      <c r="W1" s="5" t="s">
        <v>66</v>
      </c>
      <c r="X1" s="5"/>
      <c r="Y1" s="5" t="s">
        <v>876</v>
      </c>
      <c r="Z1" s="5" t="s">
        <v>67</v>
      </c>
      <c r="AA1" s="47" t="s">
        <v>68</v>
      </c>
      <c r="AB1" s="62" t="s">
        <v>877</v>
      </c>
    </row>
    <row r="2" spans="1:29" ht="14.4"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878</v>
      </c>
      <c r="V2" s="12" t="s">
        <v>878</v>
      </c>
      <c r="W2" s="11" t="s">
        <v>17</v>
      </c>
      <c r="X2" s="11"/>
      <c r="Y2" s="12" t="s">
        <v>17</v>
      </c>
      <c r="Z2" s="11" t="s">
        <v>17</v>
      </c>
      <c r="AA2" s="48" t="s">
        <v>17</v>
      </c>
    </row>
    <row r="3" spans="1:29" ht="139.19999999999999" thickTop="1" thickBot="1">
      <c r="A3" s="14" t="s">
        <v>20</v>
      </c>
      <c r="B3" s="13" t="s">
        <v>879</v>
      </c>
      <c r="C3" s="14" t="s">
        <v>21</v>
      </c>
      <c r="D3" s="54" t="s">
        <v>22</v>
      </c>
      <c r="E3" s="51" t="s">
        <v>23</v>
      </c>
      <c r="F3" s="13" t="s">
        <v>25</v>
      </c>
      <c r="G3" s="14" t="s">
        <v>880</v>
      </c>
      <c r="H3" s="13" t="s">
        <v>881</v>
      </c>
      <c r="I3" s="14" t="s">
        <v>882</v>
      </c>
      <c r="J3" s="13" t="s">
        <v>883</v>
      </c>
      <c r="K3" s="14" t="s">
        <v>884</v>
      </c>
      <c r="L3" s="13" t="s">
        <v>885</v>
      </c>
      <c r="M3" s="14" t="s">
        <v>886</v>
      </c>
      <c r="N3" s="13" t="s">
        <v>887</v>
      </c>
      <c r="O3" s="14" t="s">
        <v>888</v>
      </c>
      <c r="P3" s="13" t="s">
        <v>889</v>
      </c>
      <c r="Q3" s="14" t="s">
        <v>890</v>
      </c>
      <c r="R3" s="13" t="s">
        <v>891</v>
      </c>
      <c r="S3" s="14" t="s">
        <v>892</v>
      </c>
      <c r="T3" s="13" t="s">
        <v>893</v>
      </c>
      <c r="U3" s="14" t="s">
        <v>894</v>
      </c>
      <c r="V3" s="13" t="s">
        <v>895</v>
      </c>
      <c r="W3" s="16" t="s">
        <v>896</v>
      </c>
      <c r="X3" s="16" t="s">
        <v>897</v>
      </c>
      <c r="Y3" s="13" t="s">
        <v>898</v>
      </c>
      <c r="Z3" s="14" t="s">
        <v>899</v>
      </c>
      <c r="AA3" s="57" t="s">
        <v>900</v>
      </c>
      <c r="AB3" s="63" t="s">
        <v>901</v>
      </c>
      <c r="AC3" s="63" t="s">
        <v>902</v>
      </c>
    </row>
    <row r="4" spans="1:29" ht="15" thickTop="1" thickBot="1">
      <c r="A4" s="42" t="s">
        <v>2785</v>
      </c>
      <c r="B4" s="10" t="s">
        <v>903</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8"/>
      <c r="AB4" s="62" t="s">
        <v>2094</v>
      </c>
      <c r="AC4" s="62" t="s">
        <v>346</v>
      </c>
    </row>
    <row r="5" spans="1:29" ht="15" thickTop="1" thickBot="1">
      <c r="A5" s="42" t="s">
        <v>2786</v>
      </c>
      <c r="B5" s="10" t="s">
        <v>319</v>
      </c>
      <c r="C5" s="8" t="s">
        <v>304</v>
      </c>
      <c r="D5" s="52" t="s">
        <v>195</v>
      </c>
      <c r="E5" s="52" t="s">
        <v>431</v>
      </c>
      <c r="F5" s="7"/>
      <c r="G5" s="8"/>
      <c r="H5" s="7" t="s">
        <v>136</v>
      </c>
      <c r="I5" s="41" t="s">
        <v>150</v>
      </c>
      <c r="J5" s="7"/>
      <c r="K5" s="15">
        <v>0.1</v>
      </c>
      <c r="L5" s="7"/>
      <c r="M5" s="8"/>
      <c r="N5" s="7"/>
      <c r="O5" s="8"/>
      <c r="P5" s="7"/>
      <c r="Q5" s="7"/>
      <c r="R5" s="8"/>
      <c r="S5" s="7"/>
      <c r="T5" s="9"/>
      <c r="U5" s="7" t="s">
        <v>904</v>
      </c>
      <c r="V5" s="7" t="s">
        <v>151</v>
      </c>
      <c r="W5" s="7"/>
      <c r="X5" s="7" t="s">
        <v>229</v>
      </c>
      <c r="Y5" s="8"/>
      <c r="Z5" s="7"/>
      <c r="AA5" s="58"/>
      <c r="AB5" s="62" t="s">
        <v>2094</v>
      </c>
      <c r="AC5" s="62" t="s">
        <v>310</v>
      </c>
    </row>
    <row r="6" spans="1:29" ht="15" thickTop="1" thickBot="1">
      <c r="A6" s="42" t="s">
        <v>2787</v>
      </c>
      <c r="B6" s="10" t="s">
        <v>905</v>
      </c>
      <c r="C6" s="8" t="s">
        <v>515</v>
      </c>
      <c r="D6" s="52" t="s">
        <v>324</v>
      </c>
      <c r="E6" s="52" t="s">
        <v>503</v>
      </c>
      <c r="F6" s="7"/>
      <c r="G6" s="8"/>
      <c r="H6" s="7" t="s">
        <v>293</v>
      </c>
      <c r="I6" s="6" t="s">
        <v>906</v>
      </c>
      <c r="J6" s="7"/>
      <c r="K6" s="15">
        <v>0.2</v>
      </c>
      <c r="L6" s="7"/>
      <c r="M6" s="8"/>
      <c r="N6" s="7"/>
      <c r="O6" s="8"/>
      <c r="P6" s="7"/>
      <c r="Q6" s="7"/>
      <c r="R6" s="8"/>
      <c r="S6" s="7"/>
      <c r="T6" s="9"/>
      <c r="U6" s="7" t="s">
        <v>186</v>
      </c>
      <c r="V6" s="7" t="s">
        <v>186</v>
      </c>
      <c r="W6" s="7"/>
      <c r="X6" s="7" t="s">
        <v>145</v>
      </c>
      <c r="Y6" s="8"/>
      <c r="Z6" s="7"/>
      <c r="AA6" s="58"/>
      <c r="AB6" s="62" t="s">
        <v>2094</v>
      </c>
      <c r="AC6" s="62" t="s">
        <v>318</v>
      </c>
    </row>
    <row r="7" spans="1:29" ht="15" thickTop="1" thickBot="1">
      <c r="A7" s="42" t="s">
        <v>2788</v>
      </c>
      <c r="B7" s="10" t="s">
        <v>907</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8"/>
      <c r="AB7" s="62" t="s">
        <v>2094</v>
      </c>
      <c r="AC7" s="62" t="s">
        <v>397</v>
      </c>
    </row>
    <row r="8" spans="1:29" ht="15" thickTop="1" thickBot="1">
      <c r="A8" s="65"/>
      <c r="B8" s="10" t="s">
        <v>908</v>
      </c>
      <c r="D8" s="52" t="s">
        <v>148</v>
      </c>
      <c r="E8" s="52" t="s">
        <v>475</v>
      </c>
      <c r="F8" s="7"/>
      <c r="G8" s="8"/>
      <c r="H8" s="7"/>
      <c r="I8" s="55" t="s">
        <v>909</v>
      </c>
      <c r="J8" s="7"/>
      <c r="K8" s="15">
        <v>0.4</v>
      </c>
      <c r="L8" s="7"/>
      <c r="M8" s="8"/>
      <c r="N8" s="7"/>
      <c r="O8" s="8"/>
      <c r="P8" s="7"/>
      <c r="Q8" s="7"/>
      <c r="R8" s="8"/>
      <c r="S8" s="7"/>
      <c r="T8" s="9"/>
      <c r="U8" s="65"/>
      <c r="V8" s="65"/>
      <c r="W8" s="7"/>
      <c r="X8" s="7"/>
      <c r="Y8" s="8"/>
      <c r="Z8" s="7"/>
      <c r="AA8" s="58"/>
      <c r="AB8" s="62" t="s">
        <v>2094</v>
      </c>
      <c r="AC8" s="62" t="s">
        <v>359</v>
      </c>
    </row>
    <row r="9" spans="1:29" ht="14.4" thickBot="1">
      <c r="A9" s="65"/>
      <c r="B9" s="10" t="s">
        <v>1757</v>
      </c>
      <c r="D9" s="52" t="s">
        <v>534</v>
      </c>
      <c r="E9" s="52" t="s">
        <v>495</v>
      </c>
      <c r="F9" s="7"/>
      <c r="G9" s="8"/>
      <c r="H9" s="7"/>
      <c r="I9" s="40" t="s">
        <v>910</v>
      </c>
      <c r="J9" s="7"/>
      <c r="K9" s="15">
        <v>0.5</v>
      </c>
      <c r="L9" s="7"/>
      <c r="M9" s="8"/>
      <c r="N9" s="7"/>
      <c r="O9" s="8"/>
      <c r="P9" s="7"/>
      <c r="Q9" s="7"/>
      <c r="R9" s="8"/>
      <c r="S9" s="7"/>
      <c r="T9" s="9"/>
      <c r="U9" s="7"/>
      <c r="V9" s="8"/>
      <c r="W9" s="7"/>
      <c r="X9" s="7"/>
      <c r="Y9" s="8"/>
      <c r="Z9" s="7"/>
      <c r="AA9" s="58"/>
      <c r="AB9" s="62" t="s">
        <v>2094</v>
      </c>
      <c r="AC9" s="62" t="s">
        <v>362</v>
      </c>
    </row>
    <row r="10" spans="1:29" ht="14.4" thickBot="1">
      <c r="B10" s="10" t="s">
        <v>311</v>
      </c>
      <c r="D10" s="52" t="s">
        <v>556</v>
      </c>
      <c r="E10" s="52" t="s">
        <v>676</v>
      </c>
      <c r="F10" s="7"/>
      <c r="G10" s="8"/>
      <c r="H10" s="7"/>
      <c r="I10" s="40" t="s">
        <v>912</v>
      </c>
      <c r="J10" s="7"/>
      <c r="K10" s="15">
        <v>0.6</v>
      </c>
      <c r="L10" s="7"/>
      <c r="M10" s="8"/>
      <c r="N10" s="7"/>
      <c r="O10" s="8"/>
      <c r="P10" s="7"/>
      <c r="Q10" s="7"/>
      <c r="R10" s="8"/>
      <c r="S10" s="7"/>
      <c r="T10" s="9"/>
      <c r="U10" s="7"/>
      <c r="V10" s="8"/>
      <c r="W10" s="7"/>
      <c r="X10" s="7"/>
      <c r="Y10" s="8"/>
      <c r="Z10" s="7"/>
      <c r="AA10" s="58"/>
      <c r="AB10" s="62" t="s">
        <v>2094</v>
      </c>
      <c r="AC10" s="62" t="s">
        <v>388</v>
      </c>
    </row>
    <row r="11" spans="1:29" ht="14.4" thickBot="1">
      <c r="B11" s="10" t="s">
        <v>911</v>
      </c>
      <c r="D11" s="52" t="s">
        <v>587</v>
      </c>
      <c r="E11" s="52" t="s">
        <v>430</v>
      </c>
      <c r="F11" s="7"/>
      <c r="G11" s="8"/>
      <c r="H11" s="7"/>
      <c r="I11" s="423" t="s">
        <v>307</v>
      </c>
      <c r="J11" s="7"/>
      <c r="K11" s="15">
        <v>0.7</v>
      </c>
      <c r="L11" s="7"/>
      <c r="M11" s="8"/>
      <c r="N11" s="7"/>
      <c r="O11" s="8"/>
      <c r="P11" s="7"/>
      <c r="Q11" s="7"/>
      <c r="R11" s="8"/>
      <c r="S11" s="7"/>
      <c r="T11" s="9"/>
      <c r="U11" s="7"/>
      <c r="V11" s="8"/>
      <c r="W11" s="7"/>
      <c r="X11" s="7"/>
      <c r="Y11" s="8"/>
      <c r="Z11" s="7"/>
      <c r="AA11" s="58"/>
      <c r="AB11" s="62" t="s">
        <v>2094</v>
      </c>
      <c r="AC11" s="62" t="s">
        <v>344</v>
      </c>
    </row>
    <row r="12" spans="1:29" ht="14.4" thickBot="1">
      <c r="A12" s="65"/>
      <c r="B12" s="10" t="s">
        <v>323</v>
      </c>
      <c r="D12" s="52" t="s">
        <v>801</v>
      </c>
      <c r="E12" s="52" t="s">
        <v>447</v>
      </c>
      <c r="F12" s="7"/>
      <c r="G12" s="8"/>
      <c r="H12" s="7"/>
      <c r="I12" s="30" t="s">
        <v>228</v>
      </c>
      <c r="J12" s="7"/>
      <c r="K12" s="15">
        <v>0.8</v>
      </c>
      <c r="L12" s="7"/>
      <c r="M12" s="8"/>
      <c r="N12" s="7"/>
      <c r="O12" s="8"/>
      <c r="P12" s="7"/>
      <c r="Q12" s="7"/>
      <c r="R12" s="8"/>
      <c r="S12" s="7"/>
      <c r="T12" s="9"/>
      <c r="U12" s="7"/>
      <c r="V12" s="8"/>
      <c r="W12" s="7"/>
      <c r="X12" s="7"/>
      <c r="Y12" s="8"/>
      <c r="Z12" s="7"/>
      <c r="AA12" s="58"/>
      <c r="AB12" s="62" t="s">
        <v>2094</v>
      </c>
      <c r="AC12" s="62" t="s">
        <v>305</v>
      </c>
    </row>
    <row r="13" spans="1:29" ht="14.4" thickBot="1">
      <c r="A13" s="65"/>
      <c r="B13" s="10" t="s">
        <v>913</v>
      </c>
      <c r="C13" s="65"/>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8"/>
      <c r="AB13" s="62" t="s">
        <v>37</v>
      </c>
      <c r="AC13" s="62" t="s">
        <v>195</v>
      </c>
    </row>
    <row r="14" spans="1:29" ht="14.4" thickBot="1">
      <c r="A14" s="65"/>
      <c r="B14" s="10" t="s">
        <v>914</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8"/>
      <c r="AB14" s="62" t="s">
        <v>37</v>
      </c>
      <c r="AC14" s="62" t="s">
        <v>146</v>
      </c>
    </row>
    <row r="15" spans="1:29" ht="14.4" thickBot="1">
      <c r="A15" s="65"/>
      <c r="B15" s="10" t="s">
        <v>915</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8"/>
      <c r="AB15" s="62" t="s">
        <v>37</v>
      </c>
      <c r="AC15" s="62" t="s">
        <v>148</v>
      </c>
    </row>
    <row r="16" spans="1:29" ht="14.4" thickBot="1">
      <c r="B16" s="10" t="s">
        <v>916</v>
      </c>
      <c r="D16" s="52" t="s">
        <v>806</v>
      </c>
      <c r="E16" s="52" t="s">
        <v>437</v>
      </c>
      <c r="F16" s="7"/>
      <c r="G16" s="8"/>
      <c r="H16" s="7"/>
      <c r="I16" s="30" t="s">
        <v>518</v>
      </c>
      <c r="J16" s="7"/>
      <c r="K16" s="8"/>
      <c r="L16" s="7"/>
      <c r="M16" s="8"/>
      <c r="N16" s="7"/>
      <c r="O16" s="8"/>
      <c r="P16" s="7"/>
      <c r="Q16" s="7"/>
      <c r="R16" s="8"/>
      <c r="S16" s="7"/>
      <c r="T16" s="9"/>
      <c r="U16" s="7"/>
      <c r="V16" s="8"/>
      <c r="W16" s="7"/>
      <c r="X16" s="7"/>
      <c r="Y16" s="8"/>
      <c r="Z16" s="7"/>
      <c r="AA16" s="58"/>
      <c r="AB16" s="62" t="s">
        <v>37</v>
      </c>
      <c r="AC16" s="62" t="s">
        <v>587</v>
      </c>
    </row>
    <row r="17" spans="1:29" ht="14.4"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8"/>
      <c r="AB17" s="62" t="s">
        <v>37</v>
      </c>
      <c r="AC17" s="62" t="s">
        <v>801</v>
      </c>
    </row>
    <row r="18" spans="1:29" ht="14.4" thickBot="1">
      <c r="A18" s="65"/>
      <c r="B18" s="10" t="s">
        <v>918</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8"/>
      <c r="AB18" s="62" t="s">
        <v>37</v>
      </c>
      <c r="AC18" s="62" t="s">
        <v>806</v>
      </c>
    </row>
    <row r="19" spans="1:29" ht="14.4" thickBot="1">
      <c r="B19" s="422" t="s">
        <v>2162</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8"/>
      <c r="AB19" s="62" t="s">
        <v>37</v>
      </c>
      <c r="AC19" s="62" t="s">
        <v>1025</v>
      </c>
    </row>
    <row r="20" spans="1:29" ht="14.4" thickBot="1">
      <c r="B20" s="10" t="s">
        <v>919</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8"/>
      <c r="AB20" s="62" t="s">
        <v>37</v>
      </c>
      <c r="AC20" s="62" t="s">
        <v>38</v>
      </c>
    </row>
    <row r="21" spans="1:29" ht="14.4" thickBot="1">
      <c r="B21" s="10" t="s">
        <v>141</v>
      </c>
      <c r="D21" s="52" t="s">
        <v>152</v>
      </c>
      <c r="E21" s="52" t="s">
        <v>456</v>
      </c>
      <c r="F21" s="7"/>
      <c r="G21" s="8"/>
      <c r="H21" s="7"/>
      <c r="I21" s="40" t="s">
        <v>922</v>
      </c>
      <c r="J21" s="7"/>
      <c r="K21" s="8"/>
      <c r="L21" s="7"/>
      <c r="M21" s="8"/>
      <c r="N21" s="7"/>
      <c r="O21" s="8"/>
      <c r="P21" s="7"/>
      <c r="Q21" s="7"/>
      <c r="R21" s="8"/>
      <c r="S21" s="7"/>
      <c r="T21" s="9"/>
      <c r="U21" s="7"/>
      <c r="V21" s="8"/>
      <c r="W21" s="7"/>
      <c r="X21" s="7"/>
      <c r="Y21" s="8"/>
      <c r="Z21" s="7"/>
      <c r="AA21" s="58"/>
      <c r="AB21" s="62" t="s">
        <v>37</v>
      </c>
      <c r="AC21" s="62" t="s">
        <v>152</v>
      </c>
    </row>
    <row r="22" spans="1:29" ht="14.4" thickBot="1">
      <c r="B22" s="10" t="s">
        <v>36</v>
      </c>
      <c r="D22" s="52" t="s">
        <v>157</v>
      </c>
      <c r="E22" s="52" t="s">
        <v>432</v>
      </c>
      <c r="F22" s="7"/>
      <c r="G22" s="8"/>
      <c r="H22" s="7"/>
      <c r="I22" s="40" t="s">
        <v>924</v>
      </c>
      <c r="J22" s="7"/>
      <c r="K22" s="8"/>
      <c r="L22" s="7"/>
      <c r="M22" s="8"/>
      <c r="N22" s="7"/>
      <c r="O22" s="8"/>
      <c r="P22" s="7"/>
      <c r="Q22" s="7"/>
      <c r="R22" s="8"/>
      <c r="S22" s="7"/>
      <c r="T22" s="9"/>
      <c r="U22" s="7"/>
      <c r="V22" s="8"/>
      <c r="W22" s="7"/>
      <c r="X22" s="7"/>
      <c r="Y22" s="8"/>
      <c r="Z22" s="7"/>
      <c r="AA22" s="58"/>
      <c r="AB22" s="62" t="s">
        <v>37</v>
      </c>
      <c r="AC22" s="62" t="s">
        <v>157</v>
      </c>
    </row>
    <row r="23" spans="1:29" ht="14.4" thickBot="1">
      <c r="B23" s="10" t="s">
        <v>921</v>
      </c>
      <c r="D23" s="52" t="s">
        <v>205</v>
      </c>
      <c r="E23" s="52" t="s">
        <v>501</v>
      </c>
      <c r="F23" s="7"/>
      <c r="G23" s="8"/>
      <c r="H23" s="7"/>
      <c r="I23" s="423" t="s">
        <v>331</v>
      </c>
      <c r="J23" s="7"/>
      <c r="K23" s="8"/>
      <c r="L23" s="7"/>
      <c r="M23" s="8"/>
      <c r="N23" s="7"/>
      <c r="O23" s="8"/>
      <c r="P23" s="7"/>
      <c r="Q23" s="7"/>
      <c r="R23" s="8"/>
      <c r="S23" s="7"/>
      <c r="T23" s="9"/>
      <c r="U23" s="7"/>
      <c r="V23" s="8"/>
      <c r="W23" s="7"/>
      <c r="X23" s="7"/>
      <c r="Y23" s="8"/>
      <c r="Z23" s="7"/>
      <c r="AA23" s="58"/>
      <c r="AB23" s="62" t="s">
        <v>37</v>
      </c>
      <c r="AC23" s="62" t="s">
        <v>205</v>
      </c>
    </row>
    <row r="24" spans="1:29" ht="14.4" thickBot="1">
      <c r="B24" s="10" t="s">
        <v>923</v>
      </c>
      <c r="D24" s="52" t="s">
        <v>397</v>
      </c>
      <c r="E24" s="52" t="s">
        <v>484</v>
      </c>
      <c r="F24" s="7"/>
      <c r="G24" s="8"/>
      <c r="H24" s="7"/>
      <c r="I24" s="423" t="s">
        <v>521</v>
      </c>
      <c r="J24" s="7"/>
      <c r="K24" s="8"/>
      <c r="L24" s="7"/>
      <c r="M24" s="8"/>
      <c r="N24" s="7"/>
      <c r="O24" s="8"/>
      <c r="P24" s="7"/>
      <c r="Q24" s="7"/>
      <c r="R24" s="8"/>
      <c r="S24" s="7"/>
      <c r="T24" s="9"/>
      <c r="U24" s="7"/>
      <c r="V24" s="8"/>
      <c r="W24" s="7"/>
      <c r="X24" s="7"/>
      <c r="Y24" s="8"/>
      <c r="Z24" s="7"/>
      <c r="AA24" s="58"/>
      <c r="AB24" s="62" t="s">
        <v>37</v>
      </c>
      <c r="AC24" s="62" t="s">
        <v>159</v>
      </c>
    </row>
    <row r="25" spans="1:29" ht="14.4" thickBot="1">
      <c r="B25" s="10" t="s">
        <v>925</v>
      </c>
      <c r="D25" s="52" t="s">
        <v>525</v>
      </c>
      <c r="E25" s="52" t="s">
        <v>481</v>
      </c>
      <c r="F25" s="7"/>
      <c r="G25" s="8"/>
      <c r="H25" s="7"/>
      <c r="I25" s="40" t="s">
        <v>928</v>
      </c>
      <c r="J25" s="7"/>
      <c r="K25" s="8"/>
      <c r="L25" s="7"/>
      <c r="M25" s="8"/>
      <c r="N25" s="7"/>
      <c r="O25" s="8"/>
      <c r="P25" s="7"/>
      <c r="Q25" s="7"/>
      <c r="R25" s="8"/>
      <c r="S25" s="7"/>
      <c r="T25" s="9"/>
      <c r="U25" s="7"/>
      <c r="V25" s="8"/>
      <c r="W25" s="7"/>
      <c r="X25" s="7"/>
      <c r="Y25" s="8"/>
      <c r="Z25" s="7"/>
      <c r="AA25" s="58"/>
      <c r="AB25" s="62" t="s">
        <v>37</v>
      </c>
      <c r="AC25" s="62" t="s">
        <v>917</v>
      </c>
    </row>
    <row r="26" spans="1:29" ht="14.4" thickBot="1">
      <c r="B26" s="10" t="s">
        <v>926</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8"/>
      <c r="AB26" s="62" t="s">
        <v>37</v>
      </c>
      <c r="AC26" s="62" t="s">
        <v>173</v>
      </c>
    </row>
    <row r="27" spans="1:29" ht="14.4"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8"/>
      <c r="AB27" s="62" t="s">
        <v>37</v>
      </c>
      <c r="AC27" s="62" t="s">
        <v>214</v>
      </c>
    </row>
    <row r="28" spans="1:29" ht="14.4"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8"/>
      <c r="AB28" s="62" t="s">
        <v>37</v>
      </c>
      <c r="AC28" s="62" t="s">
        <v>184</v>
      </c>
    </row>
    <row r="29" spans="1:29" ht="14.4" thickBot="1">
      <c r="B29" s="10" t="s">
        <v>929</v>
      </c>
      <c r="C29" s="65"/>
      <c r="D29" s="52" t="s">
        <v>536</v>
      </c>
      <c r="E29" s="52" t="s">
        <v>464</v>
      </c>
      <c r="F29" s="7"/>
      <c r="G29" s="8"/>
      <c r="H29" s="7"/>
      <c r="I29" s="30" t="s">
        <v>299</v>
      </c>
      <c r="J29" s="7"/>
      <c r="K29" s="8"/>
      <c r="L29" s="7"/>
      <c r="M29" s="8"/>
      <c r="N29" s="7"/>
      <c r="O29" s="8"/>
      <c r="P29" s="7"/>
      <c r="Q29" s="7"/>
      <c r="R29" s="8"/>
      <c r="S29" s="7"/>
      <c r="T29" s="9"/>
      <c r="U29" s="7"/>
      <c r="V29" s="8"/>
      <c r="W29" s="7"/>
      <c r="X29" s="7"/>
      <c r="Y29" s="8"/>
      <c r="Z29" s="7"/>
      <c r="AA29" s="58"/>
      <c r="AB29" s="62" t="s">
        <v>37</v>
      </c>
      <c r="AC29" s="62" t="s">
        <v>863</v>
      </c>
    </row>
    <row r="30" spans="1:29" ht="14.4" thickBot="1">
      <c r="B30" s="10" t="s">
        <v>930</v>
      </c>
      <c r="D30" s="52" t="s">
        <v>853</v>
      </c>
      <c r="E30" s="52" t="s">
        <v>496</v>
      </c>
      <c r="F30" s="7"/>
      <c r="G30" s="8"/>
      <c r="H30" s="7"/>
      <c r="I30" s="40" t="s">
        <v>932</v>
      </c>
      <c r="J30" s="7"/>
      <c r="K30" s="8"/>
      <c r="L30" s="7"/>
      <c r="M30" s="8"/>
      <c r="N30" s="7"/>
      <c r="O30" s="8"/>
      <c r="P30" s="7"/>
      <c r="Q30" s="7"/>
      <c r="R30" s="8"/>
      <c r="S30" s="7"/>
      <c r="T30" s="9"/>
      <c r="U30" s="7"/>
      <c r="V30" s="8"/>
      <c r="W30" s="7"/>
      <c r="X30" s="7"/>
      <c r="Y30" s="8"/>
      <c r="Z30" s="7"/>
      <c r="AA30" s="58"/>
      <c r="AB30" s="62" t="s">
        <v>37</v>
      </c>
      <c r="AC30" s="62" t="s">
        <v>920</v>
      </c>
    </row>
    <row r="31" spans="1:29" ht="14.4" thickBot="1">
      <c r="B31" s="10" t="s">
        <v>192</v>
      </c>
      <c r="D31" s="52" t="s">
        <v>362</v>
      </c>
      <c r="E31" s="52" t="s">
        <v>497</v>
      </c>
      <c r="F31" s="7"/>
      <c r="G31" s="8"/>
      <c r="H31" s="7"/>
      <c r="I31" s="423" t="s">
        <v>244</v>
      </c>
      <c r="J31" s="7"/>
      <c r="K31" s="8"/>
      <c r="L31" s="7"/>
      <c r="M31" s="8"/>
      <c r="N31" s="7"/>
      <c r="O31" s="8"/>
      <c r="P31" s="7"/>
      <c r="Q31" s="7"/>
      <c r="R31" s="8"/>
      <c r="S31" s="7"/>
      <c r="T31" s="9"/>
      <c r="U31" s="7"/>
      <c r="V31" s="8"/>
      <c r="W31" s="7"/>
      <c r="X31" s="7"/>
      <c r="Y31" s="8"/>
      <c r="Z31" s="7"/>
      <c r="AA31" s="58"/>
      <c r="AB31" s="62" t="s">
        <v>37</v>
      </c>
      <c r="AC31" s="62" t="s">
        <v>142</v>
      </c>
    </row>
    <row r="32" spans="1:29" ht="14.4" thickBot="1">
      <c r="B32" s="10" t="s">
        <v>931</v>
      </c>
      <c r="D32" s="52" t="s">
        <v>388</v>
      </c>
      <c r="E32" s="52" t="s">
        <v>681</v>
      </c>
      <c r="F32" s="7"/>
      <c r="G32" s="8"/>
      <c r="H32" s="7"/>
      <c r="I32" s="30" t="s">
        <v>539</v>
      </c>
      <c r="J32" s="7"/>
      <c r="K32" s="8"/>
      <c r="L32" s="7"/>
      <c r="M32" s="8"/>
      <c r="N32" s="7"/>
      <c r="O32" s="8"/>
      <c r="P32" s="7"/>
      <c r="Q32" s="7"/>
      <c r="R32" s="8"/>
      <c r="S32" s="7"/>
      <c r="T32" s="9"/>
      <c r="U32" s="7"/>
      <c r="V32" s="8"/>
      <c r="W32" s="7"/>
      <c r="X32" s="7"/>
      <c r="Y32" s="8"/>
      <c r="Z32" s="7"/>
      <c r="AA32" s="58"/>
      <c r="AB32" s="62" t="s">
        <v>2093</v>
      </c>
      <c r="AC32" s="62" t="s">
        <v>324</v>
      </c>
    </row>
    <row r="33" spans="2:29" ht="14.4" thickBot="1">
      <c r="B33" s="10" t="s">
        <v>934</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8"/>
      <c r="AB33" s="62" t="s">
        <v>2093</v>
      </c>
      <c r="AC33" s="62" t="s">
        <v>312</v>
      </c>
    </row>
    <row r="34" spans="2:29" ht="14.4" thickBot="1">
      <c r="B34" s="10" t="s">
        <v>935</v>
      </c>
      <c r="D34" s="52" t="s">
        <v>344</v>
      </c>
      <c r="E34" s="52" t="s">
        <v>502</v>
      </c>
      <c r="F34" s="7"/>
      <c r="G34" s="8"/>
      <c r="H34" s="7"/>
      <c r="I34" s="18" t="s">
        <v>1293</v>
      </c>
      <c r="J34" s="7"/>
      <c r="K34" s="8"/>
      <c r="L34" s="7"/>
      <c r="M34" s="8"/>
      <c r="N34" s="7"/>
      <c r="O34" s="8"/>
      <c r="P34" s="7"/>
      <c r="Q34" s="7"/>
      <c r="R34" s="8"/>
      <c r="S34" s="7"/>
      <c r="T34" s="9"/>
      <c r="U34" s="7"/>
      <c r="V34" s="8"/>
      <c r="W34" s="7"/>
      <c r="X34" s="7"/>
      <c r="Y34" s="8"/>
      <c r="Z34" s="7"/>
      <c r="AA34" s="58"/>
      <c r="AB34" s="62" t="s">
        <v>2093</v>
      </c>
      <c r="AC34" s="62" t="s">
        <v>333</v>
      </c>
    </row>
    <row r="35" spans="2:29" ht="14.4" thickBot="1">
      <c r="B35" s="10" t="s">
        <v>1495</v>
      </c>
      <c r="D35" s="52" t="s">
        <v>333</v>
      </c>
      <c r="E35" s="52" t="s">
        <v>483</v>
      </c>
      <c r="F35" s="7"/>
      <c r="G35" s="8"/>
      <c r="H35" s="7"/>
      <c r="I35" s="30" t="s">
        <v>1474</v>
      </c>
      <c r="J35" s="7"/>
      <c r="K35" s="8"/>
      <c r="L35" s="7"/>
      <c r="M35" s="8"/>
      <c r="N35" s="7"/>
      <c r="O35" s="8"/>
      <c r="P35" s="7"/>
      <c r="Q35" s="7"/>
      <c r="R35" s="8"/>
      <c r="S35" s="7"/>
      <c r="T35" s="9"/>
      <c r="U35" s="7"/>
      <c r="V35" s="8"/>
      <c r="W35" s="7"/>
      <c r="X35" s="7"/>
      <c r="Y35" s="8"/>
      <c r="Z35" s="7"/>
      <c r="AA35" s="58"/>
      <c r="AB35" s="62" t="s">
        <v>304</v>
      </c>
      <c r="AC35" s="62" t="s">
        <v>327</v>
      </c>
    </row>
    <row r="36" spans="2:29" ht="14.4" thickBot="1">
      <c r="B36" s="10" t="s">
        <v>936</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8"/>
      <c r="AB36" s="62" t="s">
        <v>304</v>
      </c>
      <c r="AC36" s="62" t="s">
        <v>927</v>
      </c>
    </row>
    <row r="37" spans="2:29" ht="14.4" thickBot="1">
      <c r="B37" s="10" t="s">
        <v>357</v>
      </c>
      <c r="D37" s="52" t="s">
        <v>305</v>
      </c>
      <c r="E37" s="52" t="s">
        <v>448</v>
      </c>
      <c r="F37" s="7"/>
      <c r="G37" s="8"/>
      <c r="H37" s="7"/>
      <c r="I37" s="30" t="s">
        <v>1474</v>
      </c>
      <c r="J37" s="7"/>
      <c r="K37" s="8"/>
      <c r="L37" s="7"/>
      <c r="M37" s="8"/>
      <c r="N37" s="7"/>
      <c r="O37" s="8"/>
      <c r="P37" s="7"/>
      <c r="Q37" s="7"/>
      <c r="R37" s="8"/>
      <c r="S37" s="7"/>
      <c r="T37" s="9"/>
      <c r="U37" s="7"/>
      <c r="V37" s="8"/>
      <c r="W37" s="7"/>
      <c r="X37" s="7"/>
      <c r="Y37" s="8"/>
      <c r="Z37" s="7"/>
      <c r="AA37" s="58"/>
      <c r="AB37" s="62" t="s">
        <v>304</v>
      </c>
      <c r="AC37" s="62" t="s">
        <v>933</v>
      </c>
    </row>
    <row r="38" spans="2:29" ht="14.4" thickBot="1">
      <c r="B38" s="10" t="s">
        <v>937</v>
      </c>
      <c r="D38" s="52" t="s">
        <v>184</v>
      </c>
      <c r="E38" s="52" t="s">
        <v>476</v>
      </c>
      <c r="F38" s="7"/>
      <c r="G38" s="8"/>
      <c r="H38" s="7"/>
      <c r="I38" s="40" t="s">
        <v>605</v>
      </c>
      <c r="J38" s="7"/>
      <c r="K38" s="8"/>
      <c r="L38" s="7"/>
      <c r="M38" s="8"/>
      <c r="N38" s="7"/>
      <c r="O38" s="8"/>
      <c r="P38" s="7"/>
      <c r="Q38" s="7"/>
      <c r="R38" s="8"/>
      <c r="S38" s="7"/>
      <c r="T38" s="9"/>
      <c r="U38" s="7"/>
      <c r="V38" s="8"/>
      <c r="W38" s="7"/>
      <c r="X38" s="7"/>
      <c r="Y38" s="8"/>
      <c r="Z38" s="7"/>
      <c r="AA38" s="58"/>
      <c r="AB38" s="62" t="s">
        <v>304</v>
      </c>
      <c r="AC38" s="62" t="s">
        <v>938</v>
      </c>
    </row>
    <row r="39" spans="2:29" ht="14.4" thickBot="1">
      <c r="B39" s="10" t="s">
        <v>309</v>
      </c>
      <c r="D39" s="52" t="s">
        <v>142</v>
      </c>
      <c r="E39" s="52" t="s">
        <v>941</v>
      </c>
      <c r="F39" s="7"/>
      <c r="G39" s="8"/>
      <c r="H39" s="7"/>
      <c r="I39" s="423" t="s">
        <v>241</v>
      </c>
      <c r="J39" s="7"/>
      <c r="K39" s="8"/>
      <c r="L39" s="7"/>
      <c r="M39" s="8"/>
      <c r="N39" s="7"/>
      <c r="O39" s="8"/>
      <c r="P39" s="7"/>
      <c r="Q39" s="7"/>
      <c r="R39" s="8"/>
      <c r="S39" s="7"/>
      <c r="T39" s="9"/>
      <c r="U39" s="7"/>
      <c r="V39" s="8"/>
      <c r="W39" s="7"/>
      <c r="X39" s="7"/>
      <c r="Y39" s="8"/>
      <c r="Z39" s="7"/>
      <c r="AA39" s="58"/>
      <c r="AB39" s="62" t="s">
        <v>304</v>
      </c>
      <c r="AC39" s="62" t="s">
        <v>940</v>
      </c>
    </row>
    <row r="40" spans="2:29" ht="14.4" thickBot="1">
      <c r="B40" s="422" t="s">
        <v>939</v>
      </c>
      <c r="D40" s="52"/>
      <c r="E40" s="52" t="s">
        <v>489</v>
      </c>
      <c r="F40" s="7"/>
      <c r="G40" s="8"/>
      <c r="H40" s="7"/>
      <c r="I40" s="30" t="s">
        <v>246</v>
      </c>
      <c r="J40" s="7"/>
      <c r="K40" s="8"/>
      <c r="L40" s="7"/>
      <c r="M40" s="8"/>
      <c r="N40" s="7"/>
      <c r="O40" s="8"/>
      <c r="P40" s="7"/>
      <c r="Q40" s="7"/>
      <c r="R40" s="8"/>
      <c r="S40" s="7"/>
      <c r="T40" s="9"/>
      <c r="U40" s="7"/>
      <c r="V40" s="8"/>
      <c r="W40" s="7"/>
      <c r="X40" s="7"/>
      <c r="Y40" s="8"/>
      <c r="Z40" s="7"/>
      <c r="AA40" s="58"/>
      <c r="AB40" s="62" t="s">
        <v>515</v>
      </c>
      <c r="AC40" s="62" t="s">
        <v>942</v>
      </c>
    </row>
    <row r="41" spans="2:29" ht="14.4"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8"/>
      <c r="AB41" s="62" t="s">
        <v>515</v>
      </c>
      <c r="AC41" s="62" t="s">
        <v>944</v>
      </c>
    </row>
    <row r="42" spans="2:29" ht="14.4" thickBot="1">
      <c r="B42" s="10" t="s">
        <v>943</v>
      </c>
      <c r="D42" s="52"/>
      <c r="E42" s="52" t="s">
        <v>460</v>
      </c>
      <c r="F42" s="7"/>
      <c r="G42" s="8"/>
      <c r="H42" s="7"/>
      <c r="I42" s="30" t="s">
        <v>199</v>
      </c>
      <c r="J42" s="7"/>
      <c r="K42" s="8"/>
      <c r="L42" s="7"/>
      <c r="M42" s="8"/>
      <c r="N42" s="7"/>
      <c r="O42" s="8"/>
      <c r="P42" s="7"/>
      <c r="Q42" s="7"/>
      <c r="R42" s="8"/>
      <c r="S42" s="7"/>
      <c r="T42" s="9"/>
      <c r="U42" s="7"/>
      <c r="V42" s="8"/>
      <c r="W42" s="7"/>
      <c r="X42" s="7"/>
      <c r="Y42" s="8"/>
      <c r="Z42" s="7"/>
      <c r="AA42" s="58"/>
      <c r="AB42" s="62" t="s">
        <v>515</v>
      </c>
      <c r="AC42" s="62" t="s">
        <v>946</v>
      </c>
    </row>
    <row r="43" spans="2:29" ht="14.4" thickBot="1">
      <c r="B43" s="10" t="s">
        <v>945</v>
      </c>
      <c r="D43" s="52"/>
      <c r="E43" s="52" t="s">
        <v>434</v>
      </c>
      <c r="F43" s="7"/>
      <c r="G43" s="8"/>
      <c r="H43" s="7"/>
      <c r="I43" s="30" t="s">
        <v>208</v>
      </c>
      <c r="J43" s="7"/>
      <c r="K43" s="8"/>
      <c r="L43" s="7"/>
      <c r="M43" s="8"/>
      <c r="N43" s="7"/>
      <c r="O43" s="8"/>
      <c r="P43" s="7"/>
      <c r="Q43" s="7"/>
      <c r="R43" s="8"/>
      <c r="S43" s="7"/>
      <c r="T43" s="9"/>
      <c r="U43" s="7"/>
      <c r="V43" s="8"/>
      <c r="W43" s="7"/>
      <c r="X43" s="7"/>
      <c r="Y43" s="8"/>
      <c r="Z43" s="7"/>
      <c r="AA43" s="58"/>
      <c r="AB43" s="62" t="s">
        <v>515</v>
      </c>
      <c r="AC43" s="62" t="s">
        <v>948</v>
      </c>
    </row>
    <row r="44" spans="2:29" ht="14.4" thickBot="1">
      <c r="B44" s="365" t="s">
        <v>1758</v>
      </c>
      <c r="D44" s="52"/>
      <c r="E44" s="52" t="s">
        <v>498</v>
      </c>
      <c r="F44" s="7"/>
      <c r="G44" s="8"/>
      <c r="H44" s="7"/>
      <c r="I44" s="30" t="s">
        <v>529</v>
      </c>
      <c r="J44" s="7"/>
      <c r="K44" s="8"/>
      <c r="L44" s="7"/>
      <c r="M44" s="8"/>
      <c r="N44" s="7"/>
      <c r="O44" s="8"/>
      <c r="P44" s="7"/>
      <c r="Q44" s="7"/>
      <c r="R44" s="8"/>
      <c r="S44" s="7"/>
      <c r="T44" s="9"/>
      <c r="U44" s="7"/>
      <c r="V44" s="8"/>
      <c r="W44" s="7"/>
      <c r="X44" s="7"/>
      <c r="Y44" s="8"/>
      <c r="Z44" s="7"/>
      <c r="AA44" s="58"/>
      <c r="AB44" s="62" t="s">
        <v>515</v>
      </c>
      <c r="AC44" s="62" t="s">
        <v>949</v>
      </c>
    </row>
    <row r="45" spans="2:29" ht="14.4" thickBot="1">
      <c r="B45" s="365" t="s">
        <v>2091</v>
      </c>
      <c r="D45" s="52"/>
      <c r="E45" s="52" t="s">
        <v>435</v>
      </c>
      <c r="F45" s="7"/>
      <c r="G45" s="8"/>
      <c r="H45" s="7"/>
      <c r="I45" s="30" t="s">
        <v>197</v>
      </c>
      <c r="J45" s="7"/>
      <c r="K45" s="8"/>
      <c r="L45" s="7"/>
      <c r="M45" s="8"/>
      <c r="N45" s="7"/>
      <c r="O45" s="8"/>
      <c r="P45" s="7"/>
      <c r="Q45" s="7"/>
      <c r="R45" s="8"/>
      <c r="S45" s="7"/>
      <c r="T45" s="9"/>
      <c r="U45" s="7"/>
      <c r="V45" s="8"/>
      <c r="W45" s="7"/>
      <c r="X45" s="7"/>
      <c r="Y45" s="8"/>
      <c r="Z45" s="7"/>
      <c r="AA45" s="58"/>
      <c r="AB45" s="62" t="s">
        <v>515</v>
      </c>
      <c r="AC45" s="62" t="s">
        <v>534</v>
      </c>
    </row>
    <row r="46" spans="2:29" ht="14.4" thickBot="1">
      <c r="B46" s="365" t="s">
        <v>2082</v>
      </c>
      <c r="D46" s="52"/>
      <c r="E46" s="52" t="s">
        <v>680</v>
      </c>
      <c r="F46" s="7"/>
      <c r="G46" s="8"/>
      <c r="H46" s="7"/>
      <c r="I46" s="30" t="s">
        <v>212</v>
      </c>
      <c r="J46" s="7"/>
      <c r="K46" s="8"/>
      <c r="L46" s="7"/>
      <c r="M46" s="8"/>
      <c r="N46" s="7"/>
      <c r="O46" s="8"/>
      <c r="P46" s="7"/>
      <c r="Q46" s="7"/>
      <c r="R46" s="8"/>
      <c r="S46" s="7"/>
      <c r="T46" s="9"/>
      <c r="U46" s="7"/>
      <c r="V46" s="8"/>
      <c r="W46" s="7"/>
      <c r="X46" s="7"/>
      <c r="Y46" s="8"/>
      <c r="Z46" s="7"/>
      <c r="AA46" s="58"/>
      <c r="AB46" s="62" t="s">
        <v>515</v>
      </c>
      <c r="AC46" s="62" t="s">
        <v>556</v>
      </c>
    </row>
    <row r="47" spans="2:29" ht="14.4" thickBot="1">
      <c r="B47" s="10" t="s">
        <v>947</v>
      </c>
      <c r="D47" s="52"/>
      <c r="E47" s="52" t="s">
        <v>492</v>
      </c>
      <c r="F47" s="7"/>
      <c r="G47" s="8"/>
      <c r="H47" s="7"/>
      <c r="I47" s="30" t="s">
        <v>202</v>
      </c>
      <c r="J47" s="7"/>
      <c r="K47" s="8"/>
      <c r="L47" s="7"/>
      <c r="M47" s="8"/>
      <c r="N47" s="7"/>
      <c r="O47" s="8"/>
      <c r="P47" s="7"/>
      <c r="Q47" s="7"/>
      <c r="R47" s="8"/>
      <c r="S47" s="7"/>
      <c r="T47" s="9"/>
      <c r="U47" s="7"/>
      <c r="V47" s="8"/>
      <c r="W47" s="7"/>
      <c r="X47" s="7"/>
      <c r="Y47" s="8"/>
      <c r="Z47" s="7"/>
      <c r="AA47" s="58"/>
      <c r="AB47" s="62" t="s">
        <v>515</v>
      </c>
      <c r="AC47" s="62" t="s">
        <v>952</v>
      </c>
    </row>
    <row r="48" spans="2:29" ht="14.4" thickBot="1">
      <c r="B48" s="10" t="s">
        <v>358</v>
      </c>
      <c r="D48" s="52"/>
      <c r="E48" s="52" t="s">
        <v>665</v>
      </c>
      <c r="F48" s="7"/>
      <c r="G48" s="8"/>
      <c r="H48" s="7"/>
      <c r="I48" s="30" t="s">
        <v>533</v>
      </c>
      <c r="J48" s="7"/>
      <c r="K48" s="8"/>
      <c r="L48" s="7"/>
      <c r="M48" s="8"/>
      <c r="N48" s="7"/>
      <c r="O48" s="8"/>
      <c r="P48" s="7"/>
      <c r="Q48" s="7"/>
      <c r="R48" s="8"/>
      <c r="S48" s="7"/>
      <c r="T48" s="9"/>
      <c r="U48" s="7"/>
      <c r="V48" s="8"/>
      <c r="W48" s="7"/>
      <c r="X48" s="7"/>
      <c r="Y48" s="8"/>
      <c r="Z48" s="7"/>
      <c r="AA48" s="58"/>
      <c r="AB48" s="62" t="s">
        <v>515</v>
      </c>
      <c r="AC48" s="62" t="s">
        <v>954</v>
      </c>
    </row>
    <row r="49" spans="2:29" ht="14.4"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8"/>
      <c r="AB49" s="62" t="s">
        <v>515</v>
      </c>
      <c r="AC49" s="62" t="s">
        <v>955</v>
      </c>
    </row>
    <row r="50" spans="2:29" ht="14.4" thickBot="1">
      <c r="B50" s="10" t="s">
        <v>950</v>
      </c>
      <c r="D50" s="52"/>
      <c r="E50" s="52" t="s">
        <v>451</v>
      </c>
      <c r="F50" s="7"/>
      <c r="G50" s="8"/>
      <c r="H50" s="7"/>
      <c r="I50" s="30" t="s">
        <v>532</v>
      </c>
      <c r="J50" s="7"/>
      <c r="K50" s="8"/>
      <c r="L50" s="7"/>
      <c r="M50" s="8"/>
      <c r="N50" s="7"/>
      <c r="O50" s="8"/>
      <c r="P50" s="7"/>
      <c r="Q50" s="7"/>
      <c r="R50" s="8"/>
      <c r="S50" s="7"/>
      <c r="T50" s="9"/>
      <c r="U50" s="7"/>
      <c r="V50" s="8"/>
      <c r="W50" s="7"/>
      <c r="X50" s="7"/>
      <c r="Y50" s="8"/>
      <c r="Z50" s="7"/>
      <c r="AA50" s="58"/>
      <c r="AB50" s="62" t="s">
        <v>515</v>
      </c>
      <c r="AC50" s="62" t="s">
        <v>956</v>
      </c>
    </row>
    <row r="51" spans="2:29" ht="14.4" thickBot="1">
      <c r="B51" s="10" t="s">
        <v>951</v>
      </c>
      <c r="D51" s="52"/>
      <c r="E51" s="52" t="s">
        <v>429</v>
      </c>
      <c r="F51" s="7"/>
      <c r="G51" s="8"/>
      <c r="H51" s="7"/>
      <c r="I51" s="30" t="s">
        <v>218</v>
      </c>
      <c r="J51" s="7"/>
      <c r="K51" s="8"/>
      <c r="L51" s="7"/>
      <c r="M51" s="8"/>
      <c r="N51" s="7"/>
      <c r="O51" s="8"/>
      <c r="P51" s="7"/>
      <c r="Q51" s="7"/>
      <c r="R51" s="8"/>
      <c r="S51" s="7"/>
      <c r="T51" s="9"/>
      <c r="U51" s="7"/>
      <c r="V51" s="8"/>
      <c r="W51" s="7"/>
      <c r="X51" s="7"/>
      <c r="Y51" s="8"/>
      <c r="Z51" s="7"/>
      <c r="AA51" s="58"/>
      <c r="AB51" s="62" t="s">
        <v>515</v>
      </c>
      <c r="AC51" s="62" t="s">
        <v>958</v>
      </c>
    </row>
    <row r="52" spans="2:29" ht="14.4" thickBot="1">
      <c r="B52" s="10" t="s">
        <v>953</v>
      </c>
      <c r="C52" s="65"/>
      <c r="D52" s="52"/>
      <c r="E52" s="52" t="s">
        <v>463</v>
      </c>
      <c r="F52" s="7"/>
      <c r="G52" s="8"/>
      <c r="H52" s="7"/>
      <c r="I52" s="423" t="s">
        <v>325</v>
      </c>
      <c r="J52" s="7"/>
      <c r="K52" s="8"/>
      <c r="L52" s="7"/>
      <c r="M52" s="8"/>
      <c r="N52" s="7"/>
      <c r="O52" s="8"/>
      <c r="P52" s="7"/>
      <c r="Q52" s="7"/>
      <c r="R52" s="8"/>
      <c r="S52" s="7"/>
      <c r="T52" s="9"/>
      <c r="U52" s="7"/>
      <c r="V52" s="8"/>
      <c r="W52" s="7"/>
      <c r="X52" s="7"/>
      <c r="Y52" s="8"/>
      <c r="Z52" s="7"/>
      <c r="AA52" s="58"/>
      <c r="AB52" s="62" t="s">
        <v>515</v>
      </c>
      <c r="AC52" s="62" t="s">
        <v>519</v>
      </c>
    </row>
    <row r="53" spans="2:29" ht="15"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8"/>
      <c r="AB53" s="62" t="s">
        <v>515</v>
      </c>
      <c r="AC53" s="62" t="s">
        <v>960</v>
      </c>
    </row>
    <row r="54" spans="2:29" ht="15"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8"/>
      <c r="AB54" s="62" t="s">
        <v>515</v>
      </c>
      <c r="AC54" s="62" t="s">
        <v>961</v>
      </c>
    </row>
    <row r="55" spans="2:29" ht="15" thickTop="1" thickBot="1">
      <c r="B55" s="10" t="s">
        <v>957</v>
      </c>
      <c r="D55" s="52"/>
      <c r="E55" s="52" t="s">
        <v>423</v>
      </c>
      <c r="F55" s="7"/>
      <c r="G55" s="8"/>
      <c r="H55" s="7"/>
      <c r="I55" s="6"/>
      <c r="J55" s="7"/>
      <c r="K55" s="8"/>
      <c r="L55" s="7"/>
      <c r="M55" s="8"/>
      <c r="N55" s="7"/>
      <c r="O55" s="8"/>
      <c r="P55" s="7"/>
      <c r="Q55" s="7"/>
      <c r="R55" s="8"/>
      <c r="S55" s="7"/>
      <c r="T55" s="9"/>
      <c r="U55" s="7"/>
      <c r="V55" s="8"/>
      <c r="W55" s="7"/>
      <c r="X55" s="7"/>
      <c r="Y55" s="8"/>
      <c r="Z55" s="7"/>
      <c r="AA55" s="58"/>
      <c r="AB55" s="62" t="s">
        <v>515</v>
      </c>
      <c r="AC55" s="62" t="s">
        <v>962</v>
      </c>
    </row>
    <row r="56" spans="2:29" ht="15" thickTop="1" thickBot="1">
      <c r="B56" s="10" t="s">
        <v>959</v>
      </c>
      <c r="D56" s="52"/>
      <c r="E56" s="52" t="s">
        <v>472</v>
      </c>
      <c r="F56" s="7"/>
      <c r="G56" s="8"/>
      <c r="H56" s="7"/>
      <c r="I56" s="6"/>
      <c r="J56" s="7"/>
      <c r="K56" s="8"/>
      <c r="L56" s="7"/>
      <c r="M56" s="8"/>
      <c r="N56" s="7"/>
      <c r="O56" s="8"/>
      <c r="P56" s="7"/>
      <c r="Q56" s="7"/>
      <c r="R56" s="8"/>
      <c r="S56" s="7"/>
      <c r="T56" s="9"/>
      <c r="U56" s="7"/>
      <c r="V56" s="8"/>
      <c r="W56" s="7"/>
      <c r="X56" s="7"/>
      <c r="Y56" s="8"/>
      <c r="Z56" s="7"/>
      <c r="AA56" s="58"/>
      <c r="AB56" s="62" t="s">
        <v>515</v>
      </c>
      <c r="AC56" s="62" t="s">
        <v>963</v>
      </c>
    </row>
    <row r="57" spans="2:29" ht="15" thickTop="1" thickBot="1">
      <c r="B57" s="422" t="s">
        <v>2697</v>
      </c>
      <c r="D57" s="52"/>
      <c r="E57" s="52" t="s">
        <v>474</v>
      </c>
      <c r="F57" s="7"/>
      <c r="G57" s="8"/>
      <c r="H57" s="7"/>
      <c r="I57" s="6"/>
      <c r="J57" s="7"/>
      <c r="K57" s="8"/>
      <c r="L57" s="7"/>
      <c r="M57" s="8"/>
      <c r="N57" s="7"/>
      <c r="O57" s="8"/>
      <c r="P57" s="7"/>
      <c r="Q57" s="7"/>
      <c r="R57" s="8"/>
      <c r="S57" s="7"/>
      <c r="T57" s="9"/>
      <c r="U57" s="7"/>
      <c r="V57" s="8"/>
      <c r="W57" s="7"/>
      <c r="X57" s="7"/>
      <c r="Y57" s="8"/>
      <c r="Z57" s="7"/>
      <c r="AA57" s="58"/>
      <c r="AB57" s="62" t="s">
        <v>515</v>
      </c>
      <c r="AC57" s="62" t="s">
        <v>964</v>
      </c>
    </row>
    <row r="58" spans="2:29" ht="15" thickTop="1" thickBot="1">
      <c r="B58" s="10" t="s">
        <v>241</v>
      </c>
      <c r="D58" s="52"/>
      <c r="E58" s="52" t="s">
        <v>439</v>
      </c>
      <c r="F58" s="7"/>
      <c r="G58" s="8"/>
      <c r="H58" s="7"/>
      <c r="I58" s="6"/>
      <c r="J58" s="7"/>
      <c r="K58" s="8"/>
      <c r="L58" s="7"/>
      <c r="M58" s="8"/>
      <c r="N58" s="7"/>
      <c r="O58" s="8"/>
      <c r="P58" s="7"/>
      <c r="Q58" s="7"/>
      <c r="R58" s="8"/>
      <c r="S58" s="7"/>
      <c r="T58" s="9"/>
      <c r="U58" s="7"/>
      <c r="V58" s="8"/>
      <c r="W58" s="7"/>
      <c r="X58" s="7"/>
      <c r="Y58" s="8"/>
      <c r="Z58" s="7"/>
      <c r="AA58" s="58"/>
      <c r="AB58" s="62" t="s">
        <v>515</v>
      </c>
      <c r="AC58" s="62" t="s">
        <v>965</v>
      </c>
    </row>
    <row r="59" spans="2:29" ht="15" thickTop="1" thickBot="1">
      <c r="B59" s="422" t="s">
        <v>2151</v>
      </c>
      <c r="D59" s="52"/>
      <c r="E59" s="52" t="s">
        <v>461</v>
      </c>
      <c r="F59" s="7"/>
      <c r="G59" s="8"/>
      <c r="H59" s="7"/>
      <c r="I59" s="6"/>
      <c r="J59" s="7"/>
      <c r="K59" s="8"/>
      <c r="L59" s="7"/>
      <c r="M59" s="8"/>
      <c r="N59" s="7"/>
      <c r="O59" s="8"/>
      <c r="P59" s="7"/>
      <c r="Q59" s="7"/>
      <c r="R59" s="8"/>
      <c r="S59" s="7"/>
      <c r="T59" s="9"/>
      <c r="U59" s="7"/>
      <c r="V59" s="8"/>
      <c r="W59" s="7"/>
      <c r="X59" s="7"/>
      <c r="Y59" s="8"/>
      <c r="Z59" s="7"/>
      <c r="AA59" s="58"/>
      <c r="AB59" s="62" t="s">
        <v>515</v>
      </c>
      <c r="AC59" s="62" t="s">
        <v>966</v>
      </c>
    </row>
    <row r="60" spans="2:29" ht="15" thickTop="1" thickBot="1">
      <c r="B60" s="422" t="s">
        <v>291</v>
      </c>
      <c r="D60" s="52"/>
      <c r="E60" s="52" t="s">
        <v>433</v>
      </c>
      <c r="F60" s="7"/>
      <c r="G60" s="8"/>
      <c r="H60" s="7"/>
      <c r="I60" s="6"/>
      <c r="J60" s="7"/>
      <c r="K60" s="8"/>
      <c r="L60" s="7"/>
      <c r="M60" s="8"/>
      <c r="N60" s="7"/>
      <c r="O60" s="8"/>
      <c r="P60" s="7"/>
      <c r="Q60" s="7"/>
      <c r="R60" s="8"/>
      <c r="S60" s="7"/>
      <c r="T60" s="9"/>
      <c r="U60" s="7"/>
      <c r="V60" s="8"/>
      <c r="W60" s="7"/>
      <c r="X60" s="7"/>
      <c r="Y60" s="8"/>
      <c r="Z60" s="7"/>
      <c r="AA60" s="58"/>
      <c r="AB60" s="62" t="s">
        <v>515</v>
      </c>
      <c r="AC60" s="62" t="s">
        <v>967</v>
      </c>
    </row>
    <row r="61" spans="2:29" ht="15" thickTop="1" thickBot="1">
      <c r="B61" s="399" t="s">
        <v>2130</v>
      </c>
      <c r="D61" s="52"/>
      <c r="E61" s="52" t="s">
        <v>682</v>
      </c>
      <c r="F61" s="7"/>
      <c r="G61" s="8"/>
      <c r="H61" s="7"/>
      <c r="I61" s="6"/>
      <c r="J61" s="7"/>
      <c r="K61" s="8"/>
      <c r="L61" s="7"/>
      <c r="M61" s="8"/>
      <c r="N61" s="7"/>
      <c r="O61" s="8"/>
      <c r="P61" s="7"/>
      <c r="Q61" s="7"/>
      <c r="R61" s="8"/>
      <c r="S61" s="7"/>
      <c r="T61" s="9"/>
      <c r="U61" s="7"/>
      <c r="V61" s="8"/>
      <c r="W61" s="7"/>
      <c r="X61" s="7"/>
      <c r="Y61" s="8"/>
      <c r="Z61" s="7"/>
      <c r="AA61" s="58"/>
      <c r="AB61" s="62" t="s">
        <v>515</v>
      </c>
      <c r="AC61" s="62" t="s">
        <v>968</v>
      </c>
    </row>
    <row r="62" spans="2:29" ht="15" thickTop="1" thickBot="1">
      <c r="B62" s="65" t="s">
        <v>1486</v>
      </c>
      <c r="D62" s="52"/>
      <c r="E62" s="52" t="s">
        <v>455</v>
      </c>
      <c r="F62" s="7"/>
      <c r="G62" s="8"/>
      <c r="H62" s="7"/>
      <c r="I62" s="6"/>
      <c r="J62" s="7"/>
      <c r="K62" s="8"/>
      <c r="L62" s="7"/>
      <c r="M62" s="8"/>
      <c r="N62" s="7"/>
      <c r="O62" s="8"/>
      <c r="P62" s="7"/>
      <c r="Q62" s="7"/>
      <c r="R62" s="8"/>
      <c r="S62" s="7"/>
      <c r="T62" s="9"/>
      <c r="U62" s="7"/>
      <c r="V62" s="8"/>
      <c r="W62" s="7"/>
      <c r="X62" s="7"/>
      <c r="Y62" s="8"/>
      <c r="Z62" s="7"/>
      <c r="AA62" s="58"/>
      <c r="AB62" s="62" t="s">
        <v>515</v>
      </c>
      <c r="AC62" s="62" t="s">
        <v>522</v>
      </c>
    </row>
    <row r="63" spans="2:29" ht="15"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8"/>
      <c r="AB63" s="62" t="s">
        <v>515</v>
      </c>
      <c r="AC63" s="62" t="s">
        <v>969</v>
      </c>
    </row>
    <row r="64" spans="2:29" ht="15"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8"/>
      <c r="AB64" s="62" t="s">
        <v>515</v>
      </c>
      <c r="AC64" s="62" t="s">
        <v>970</v>
      </c>
    </row>
    <row r="65" spans="2:29" ht="15"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8"/>
      <c r="AB65" s="62" t="s">
        <v>515</v>
      </c>
      <c r="AC65" s="62" t="s">
        <v>971</v>
      </c>
    </row>
    <row r="66" spans="2:29" ht="15"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8"/>
      <c r="AB66" s="62" t="s">
        <v>515</v>
      </c>
      <c r="AC66" s="62" t="s">
        <v>972</v>
      </c>
    </row>
    <row r="67" spans="2:29" ht="15"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8"/>
      <c r="AB67" s="62" t="s">
        <v>515</v>
      </c>
      <c r="AC67" s="62" t="s">
        <v>525</v>
      </c>
    </row>
    <row r="68" spans="2:29" ht="15"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8"/>
      <c r="AB68" s="62" t="s">
        <v>515</v>
      </c>
      <c r="AC68" s="62" t="s">
        <v>973</v>
      </c>
    </row>
    <row r="69" spans="2:29" ht="15" thickTop="1" thickBot="1">
      <c r="B69" s="10"/>
      <c r="D69" s="66"/>
      <c r="E69" s="52" t="s">
        <v>490</v>
      </c>
      <c r="F69" s="7"/>
      <c r="G69" s="8"/>
      <c r="H69" s="7"/>
      <c r="I69" s="6"/>
      <c r="J69" s="7"/>
      <c r="K69" s="8"/>
      <c r="L69" s="7"/>
      <c r="M69" s="8"/>
      <c r="N69" s="7"/>
      <c r="O69" s="8"/>
      <c r="P69" s="7"/>
      <c r="Q69" s="7"/>
      <c r="R69" s="8"/>
      <c r="S69" s="7"/>
      <c r="T69" s="9"/>
      <c r="U69" s="7"/>
      <c r="V69" s="8"/>
      <c r="W69" s="7"/>
      <c r="X69" s="7"/>
      <c r="Y69" s="8"/>
      <c r="Z69" s="7"/>
      <c r="AA69" s="58"/>
      <c r="AB69" s="62" t="s">
        <v>515</v>
      </c>
      <c r="AC69" s="62" t="s">
        <v>516</v>
      </c>
    </row>
    <row r="70" spans="2:29" ht="15" thickTop="1" thickBot="1">
      <c r="B70" s="10"/>
      <c r="D70" s="66"/>
      <c r="E70" s="52" t="s">
        <v>664</v>
      </c>
      <c r="F70" s="7"/>
      <c r="G70" s="8"/>
      <c r="H70" s="7"/>
      <c r="I70" s="6"/>
      <c r="J70" s="7"/>
      <c r="K70" s="8"/>
      <c r="L70" s="7"/>
      <c r="M70" s="8"/>
      <c r="N70" s="7"/>
      <c r="O70" s="8"/>
      <c r="P70" s="7"/>
      <c r="Q70" s="7"/>
      <c r="R70" s="8"/>
      <c r="S70" s="7"/>
      <c r="T70" s="9"/>
      <c r="U70" s="7"/>
      <c r="V70" s="8"/>
      <c r="W70" s="7"/>
      <c r="X70" s="7"/>
      <c r="Y70" s="8"/>
      <c r="Z70" s="7"/>
      <c r="AA70" s="58"/>
      <c r="AB70" s="62" t="s">
        <v>515</v>
      </c>
      <c r="AC70" s="62" t="s">
        <v>974</v>
      </c>
    </row>
    <row r="71" spans="2:29" ht="15" thickTop="1" thickBot="1">
      <c r="B71" s="10"/>
      <c r="D71" s="66"/>
      <c r="E71" s="52" t="s">
        <v>506</v>
      </c>
      <c r="F71" s="7"/>
      <c r="G71" s="8"/>
      <c r="H71" s="7"/>
      <c r="I71" s="6"/>
      <c r="J71" s="7"/>
      <c r="K71" s="8"/>
      <c r="L71" s="7"/>
      <c r="M71" s="8"/>
      <c r="N71" s="7"/>
      <c r="O71" s="8"/>
      <c r="P71" s="7"/>
      <c r="Q71" s="7"/>
      <c r="R71" s="8"/>
      <c r="S71" s="7"/>
      <c r="T71" s="9"/>
      <c r="U71" s="7"/>
      <c r="V71" s="8"/>
      <c r="W71" s="7"/>
      <c r="X71" s="7"/>
      <c r="Y71" s="8"/>
      <c r="Z71" s="7"/>
      <c r="AA71" s="58"/>
      <c r="AB71" s="62" t="s">
        <v>515</v>
      </c>
      <c r="AC71" s="62" t="s">
        <v>536</v>
      </c>
    </row>
    <row r="72" spans="2:29" ht="15" thickTop="1" thickBot="1">
      <c r="B72" s="10"/>
      <c r="D72" s="66"/>
      <c r="E72" s="52" t="s">
        <v>453</v>
      </c>
      <c r="F72" s="7"/>
      <c r="G72" s="8"/>
      <c r="H72" s="7"/>
      <c r="I72" s="6"/>
      <c r="J72" s="7"/>
      <c r="K72" s="8"/>
      <c r="L72" s="7"/>
      <c r="M72" s="8"/>
      <c r="N72" s="7"/>
      <c r="O72" s="8"/>
      <c r="P72" s="7"/>
      <c r="Q72" s="7"/>
      <c r="R72" s="8"/>
      <c r="S72" s="7"/>
      <c r="T72" s="9"/>
      <c r="U72" s="7"/>
      <c r="V72" s="8"/>
      <c r="W72" s="7"/>
      <c r="X72" s="7"/>
      <c r="Y72" s="8"/>
      <c r="Z72" s="7"/>
      <c r="AA72" s="58"/>
      <c r="AB72" s="62" t="s">
        <v>515</v>
      </c>
      <c r="AC72" s="62" t="s">
        <v>975</v>
      </c>
    </row>
    <row r="73" spans="2:29" ht="15" thickTop="1" thickBot="1">
      <c r="B73" s="10"/>
      <c r="D73" s="66"/>
      <c r="E73" s="52" t="s">
        <v>349</v>
      </c>
      <c r="F73" s="7"/>
      <c r="G73" s="8"/>
      <c r="H73" s="7"/>
      <c r="I73" s="6"/>
      <c r="J73" s="7"/>
      <c r="K73" s="8"/>
      <c r="L73" s="7"/>
      <c r="M73" s="8"/>
      <c r="N73" s="7"/>
      <c r="O73" s="8"/>
      <c r="P73" s="7"/>
      <c r="Q73" s="7"/>
      <c r="R73" s="8"/>
      <c r="S73" s="7"/>
      <c r="T73" s="9"/>
      <c r="U73" s="7"/>
      <c r="V73" s="8"/>
      <c r="W73" s="7"/>
      <c r="X73" s="7"/>
      <c r="Y73" s="8"/>
      <c r="Z73" s="7"/>
      <c r="AA73" s="58"/>
      <c r="AB73" s="62" t="s">
        <v>515</v>
      </c>
      <c r="AC73" s="62" t="s">
        <v>976</v>
      </c>
    </row>
    <row r="74" spans="2:29" ht="15" thickTop="1" thickBot="1">
      <c r="B74" s="10"/>
      <c r="D74" s="66"/>
      <c r="E74" s="52" t="s">
        <v>351</v>
      </c>
      <c r="F74" s="7"/>
      <c r="G74" s="8"/>
      <c r="H74" s="7"/>
      <c r="I74" s="6"/>
      <c r="J74" s="7"/>
      <c r="K74" s="8"/>
      <c r="L74" s="7"/>
      <c r="M74" s="8"/>
      <c r="N74" s="7"/>
      <c r="O74" s="8"/>
      <c r="P74" s="7"/>
      <c r="Q74" s="7"/>
      <c r="R74" s="8"/>
      <c r="S74" s="7"/>
      <c r="T74" s="9"/>
      <c r="U74" s="7"/>
      <c r="V74" s="8"/>
      <c r="W74" s="7"/>
      <c r="X74" s="7"/>
      <c r="Y74" s="8"/>
      <c r="Z74" s="7"/>
      <c r="AA74" s="58"/>
      <c r="AB74" s="62" t="s">
        <v>515</v>
      </c>
      <c r="AC74" s="62" t="s">
        <v>977</v>
      </c>
    </row>
    <row r="75" spans="2:29" ht="15" thickTop="1" thickBot="1">
      <c r="B75" s="10"/>
      <c r="D75" s="66"/>
      <c r="E75" s="52" t="s">
        <v>356</v>
      </c>
      <c r="F75" s="7"/>
      <c r="G75" s="8"/>
      <c r="H75" s="7"/>
      <c r="I75" s="6"/>
      <c r="J75" s="7"/>
      <c r="K75" s="8"/>
      <c r="L75" s="7"/>
      <c r="M75" s="8"/>
      <c r="N75" s="7"/>
      <c r="O75" s="8"/>
      <c r="P75" s="7"/>
      <c r="Q75" s="7"/>
      <c r="R75" s="8"/>
      <c r="S75" s="7"/>
      <c r="T75" s="9"/>
      <c r="U75" s="7"/>
      <c r="V75" s="8"/>
      <c r="W75" s="7"/>
      <c r="X75" s="7"/>
      <c r="Y75" s="8"/>
      <c r="Z75" s="7"/>
      <c r="AA75" s="58"/>
      <c r="AB75" s="62" t="s">
        <v>515</v>
      </c>
      <c r="AC75" s="62" t="s">
        <v>978</v>
      </c>
    </row>
    <row r="76" spans="2:29" ht="15" thickTop="1" thickBot="1">
      <c r="B76" s="10"/>
      <c r="D76" s="66"/>
      <c r="E76" s="52" t="s">
        <v>348</v>
      </c>
      <c r="F76" s="7"/>
      <c r="G76" s="8"/>
      <c r="H76" s="7"/>
      <c r="I76" s="6"/>
      <c r="J76" s="7"/>
      <c r="K76" s="8"/>
      <c r="L76" s="7"/>
      <c r="M76" s="8"/>
      <c r="N76" s="7"/>
      <c r="O76" s="8"/>
      <c r="P76" s="7"/>
      <c r="Q76" s="7"/>
      <c r="R76" s="8"/>
      <c r="S76" s="7"/>
      <c r="T76" s="9"/>
      <c r="U76" s="7"/>
      <c r="V76" s="8"/>
      <c r="W76" s="7"/>
      <c r="X76" s="7"/>
      <c r="Y76" s="8"/>
      <c r="Z76" s="7"/>
      <c r="AA76" s="58"/>
      <c r="AB76" s="62" t="s">
        <v>515</v>
      </c>
      <c r="AC76" s="62" t="s">
        <v>979</v>
      </c>
    </row>
    <row r="77" spans="2:29" ht="15" thickTop="1" thickBot="1">
      <c r="B77" s="10"/>
      <c r="D77" s="66"/>
      <c r="E77" s="52" t="s">
        <v>610</v>
      </c>
      <c r="F77" s="7"/>
      <c r="G77" s="8"/>
      <c r="H77" s="7"/>
      <c r="I77" s="6"/>
      <c r="J77" s="7"/>
      <c r="K77" s="8"/>
      <c r="L77" s="7"/>
      <c r="M77" s="8"/>
      <c r="N77" s="7"/>
      <c r="O77" s="8"/>
      <c r="P77" s="7"/>
      <c r="Q77" s="7"/>
      <c r="R77" s="8"/>
      <c r="S77" s="7"/>
      <c r="T77" s="9"/>
      <c r="U77" s="7"/>
      <c r="V77" s="8"/>
      <c r="W77" s="7"/>
      <c r="X77" s="7"/>
      <c r="Y77" s="8"/>
      <c r="Z77" s="7"/>
      <c r="AA77" s="58"/>
      <c r="AB77" s="62" t="s">
        <v>515</v>
      </c>
      <c r="AC77" s="62" t="s">
        <v>980</v>
      </c>
    </row>
    <row r="78" spans="2:29" ht="15" thickTop="1" thickBot="1">
      <c r="B78" s="10"/>
      <c r="D78" s="66"/>
      <c r="E78" s="52" t="s">
        <v>609</v>
      </c>
      <c r="F78" s="7"/>
      <c r="G78" s="8"/>
      <c r="H78" s="7"/>
      <c r="I78" s="6"/>
      <c r="J78" s="7"/>
      <c r="K78" s="8"/>
      <c r="L78" s="7"/>
      <c r="M78" s="8"/>
      <c r="N78" s="7"/>
      <c r="O78" s="8"/>
      <c r="P78" s="7"/>
      <c r="Q78" s="7"/>
      <c r="R78" s="8"/>
      <c r="S78" s="7"/>
      <c r="T78" s="9"/>
      <c r="U78" s="7"/>
      <c r="V78" s="8"/>
      <c r="W78" s="7"/>
      <c r="X78" s="7"/>
      <c r="Y78" s="8"/>
      <c r="Z78" s="7"/>
      <c r="AA78" s="58"/>
      <c r="AB78" s="62" t="s">
        <v>515</v>
      </c>
      <c r="AC78" s="62" t="s">
        <v>981</v>
      </c>
    </row>
    <row r="79" spans="2:29" ht="15" thickTop="1" thickBot="1">
      <c r="B79" s="10"/>
      <c r="D79" s="66"/>
      <c r="E79" s="52" t="s">
        <v>353</v>
      </c>
      <c r="F79" s="7"/>
      <c r="G79" s="8"/>
      <c r="H79" s="7"/>
      <c r="I79" s="6"/>
      <c r="J79" s="7"/>
      <c r="K79" s="8"/>
      <c r="L79" s="7"/>
      <c r="M79" s="8"/>
      <c r="N79" s="7"/>
      <c r="O79" s="8"/>
      <c r="P79" s="7"/>
      <c r="Q79" s="7"/>
      <c r="R79" s="8"/>
      <c r="S79" s="7"/>
      <c r="T79" s="9"/>
      <c r="U79" s="7"/>
      <c r="V79" s="8"/>
      <c r="W79" s="7"/>
      <c r="X79" s="7"/>
      <c r="Y79" s="8"/>
      <c r="Z79" s="7"/>
      <c r="AA79" s="58"/>
      <c r="AB79" s="62" t="s">
        <v>515</v>
      </c>
      <c r="AC79" s="62" t="s">
        <v>982</v>
      </c>
    </row>
    <row r="80" spans="2:29" ht="15" thickTop="1" thickBot="1">
      <c r="B80" s="10"/>
      <c r="D80" s="66"/>
      <c r="E80" s="52" t="s">
        <v>350</v>
      </c>
      <c r="F80" s="7"/>
      <c r="G80" s="8"/>
      <c r="H80" s="7"/>
      <c r="I80" s="6"/>
      <c r="J80" s="7"/>
      <c r="K80" s="8"/>
      <c r="L80" s="7"/>
      <c r="M80" s="8"/>
      <c r="N80" s="7"/>
      <c r="O80" s="8"/>
      <c r="P80" s="7"/>
      <c r="Q80" s="7"/>
      <c r="R80" s="8"/>
      <c r="S80" s="7"/>
      <c r="T80" s="9"/>
      <c r="U80" s="7"/>
      <c r="V80" s="8"/>
      <c r="W80" s="7"/>
      <c r="X80" s="7"/>
      <c r="Y80" s="8"/>
      <c r="Z80" s="7"/>
      <c r="AA80" s="58"/>
      <c r="AB80" s="62" t="s">
        <v>515</v>
      </c>
      <c r="AC80" s="62" t="s">
        <v>983</v>
      </c>
    </row>
    <row r="81" spans="2:29" ht="15" thickTop="1" thickBot="1">
      <c r="B81" s="10"/>
      <c r="D81" s="66"/>
      <c r="E81" s="52" t="s">
        <v>352</v>
      </c>
      <c r="F81" s="7"/>
      <c r="G81" s="8"/>
      <c r="H81" s="7"/>
      <c r="I81" s="6"/>
      <c r="J81" s="7"/>
      <c r="K81" s="8"/>
      <c r="L81" s="7"/>
      <c r="M81" s="8"/>
      <c r="N81" s="7"/>
      <c r="O81" s="8"/>
      <c r="P81" s="7"/>
      <c r="Q81" s="7"/>
      <c r="R81" s="8"/>
      <c r="S81" s="7"/>
      <c r="T81" s="9"/>
      <c r="U81" s="7"/>
      <c r="V81" s="8"/>
      <c r="W81" s="7"/>
      <c r="X81" s="7"/>
      <c r="Y81" s="8"/>
      <c r="Z81" s="7"/>
      <c r="AA81" s="58"/>
      <c r="AB81" s="62" t="s">
        <v>515</v>
      </c>
      <c r="AC81" s="62" t="s">
        <v>984</v>
      </c>
    </row>
    <row r="82" spans="2:29" ht="15" thickTop="1" thickBot="1">
      <c r="B82" s="10"/>
      <c r="D82" s="66"/>
      <c r="E82" s="52" t="s">
        <v>354</v>
      </c>
      <c r="F82" s="7"/>
      <c r="G82" s="8"/>
      <c r="H82" s="7"/>
      <c r="I82" s="6"/>
      <c r="J82" s="7"/>
      <c r="K82" s="8"/>
      <c r="L82" s="7"/>
      <c r="M82" s="8"/>
      <c r="N82" s="7"/>
      <c r="O82" s="8"/>
      <c r="P82" s="7"/>
      <c r="Q82" s="7"/>
      <c r="R82" s="8"/>
      <c r="S82" s="7"/>
      <c r="T82" s="9"/>
      <c r="U82" s="7"/>
      <c r="V82" s="8"/>
      <c r="W82" s="7"/>
      <c r="X82" s="7"/>
      <c r="Y82" s="8"/>
      <c r="Z82" s="7"/>
      <c r="AA82" s="58"/>
      <c r="AB82" s="62" t="s">
        <v>515</v>
      </c>
      <c r="AC82" s="62" t="s">
        <v>985</v>
      </c>
    </row>
    <row r="83" spans="2:29" ht="15" thickTop="1" thickBot="1">
      <c r="B83" s="10"/>
      <c r="D83" s="66"/>
      <c r="E83" s="52" t="s">
        <v>347</v>
      </c>
      <c r="F83" s="7"/>
      <c r="G83" s="8"/>
      <c r="H83" s="7"/>
      <c r="I83" s="6"/>
      <c r="J83" s="7"/>
      <c r="K83" s="8"/>
      <c r="L83" s="7"/>
      <c r="M83" s="8"/>
      <c r="N83" s="7"/>
      <c r="O83" s="8"/>
      <c r="P83" s="7"/>
      <c r="Q83" s="7"/>
      <c r="R83" s="8"/>
      <c r="S83" s="7"/>
      <c r="T83" s="9"/>
      <c r="U83" s="7"/>
      <c r="V83" s="8"/>
      <c r="W83" s="7"/>
      <c r="X83" s="7"/>
      <c r="Y83" s="8"/>
      <c r="Z83" s="7"/>
      <c r="AA83" s="58"/>
      <c r="AB83" s="64" t="s">
        <v>515</v>
      </c>
      <c r="AC83" s="64" t="s">
        <v>986</v>
      </c>
    </row>
    <row r="84" spans="2:29" ht="15" thickTop="1" thickBot="1">
      <c r="B84" s="10"/>
      <c r="D84" s="66"/>
      <c r="E84" s="52" t="s">
        <v>684</v>
      </c>
      <c r="F84" s="7"/>
      <c r="G84" s="8"/>
      <c r="H84" s="7"/>
      <c r="I84" s="6"/>
      <c r="J84" s="7"/>
      <c r="K84" s="8"/>
      <c r="L84" s="7"/>
      <c r="M84" s="8"/>
      <c r="N84" s="7"/>
      <c r="O84" s="8"/>
      <c r="P84" s="7"/>
      <c r="Q84" s="7"/>
      <c r="R84" s="8"/>
      <c r="S84" s="7"/>
      <c r="T84" s="9"/>
      <c r="U84" s="7"/>
      <c r="V84" s="8"/>
      <c r="W84" s="7"/>
      <c r="X84" s="7"/>
      <c r="Y84" s="8"/>
      <c r="Z84" s="7"/>
      <c r="AA84" s="8"/>
    </row>
    <row r="85" spans="2:29" ht="15" thickTop="1" thickBot="1">
      <c r="B85" s="10"/>
      <c r="D85" s="66"/>
      <c r="E85" s="52" t="s">
        <v>683</v>
      </c>
      <c r="F85" s="7"/>
      <c r="G85" s="8"/>
      <c r="H85" s="7"/>
      <c r="I85" s="6"/>
      <c r="J85" s="7"/>
      <c r="K85" s="8"/>
      <c r="L85" s="7"/>
      <c r="M85" s="8"/>
      <c r="N85" s="7"/>
      <c r="O85" s="8"/>
      <c r="P85" s="7"/>
      <c r="Q85" s="7"/>
      <c r="R85" s="8"/>
      <c r="S85" s="7"/>
      <c r="T85" s="9"/>
      <c r="U85" s="7"/>
      <c r="V85" s="8"/>
      <c r="W85" s="7"/>
      <c r="X85" s="7"/>
      <c r="Y85" s="8"/>
      <c r="Z85" s="7"/>
      <c r="AA85" s="8"/>
    </row>
    <row r="86" spans="2:29" ht="15" thickTop="1" thickBot="1">
      <c r="B86" s="10"/>
      <c r="D86" s="66"/>
      <c r="E86" s="52" t="s">
        <v>446</v>
      </c>
      <c r="F86" s="7"/>
      <c r="G86" s="8"/>
      <c r="H86" s="7"/>
      <c r="I86" s="6"/>
      <c r="J86" s="7"/>
      <c r="K86" s="8"/>
      <c r="L86" s="7"/>
      <c r="M86" s="8"/>
      <c r="N86" s="7"/>
      <c r="O86" s="8"/>
      <c r="P86" s="7"/>
      <c r="Q86" s="7"/>
      <c r="R86" s="8"/>
      <c r="S86" s="7"/>
      <c r="T86" s="9"/>
      <c r="U86" s="7"/>
      <c r="V86" s="8"/>
      <c r="W86" s="7"/>
      <c r="X86" s="7"/>
      <c r="Y86" s="8"/>
      <c r="Z86" s="7"/>
      <c r="AA86" s="8"/>
    </row>
    <row r="87" spans="2:29" ht="15" thickTop="1" thickBot="1">
      <c r="B87" s="10"/>
      <c r="D87" s="66"/>
      <c r="E87" s="52" t="s">
        <v>438</v>
      </c>
      <c r="F87" s="7"/>
      <c r="G87" s="8"/>
      <c r="H87" s="7"/>
      <c r="I87" s="6"/>
      <c r="J87" s="7"/>
      <c r="K87" s="8"/>
      <c r="L87" s="7"/>
      <c r="M87" s="8"/>
      <c r="N87" s="7"/>
      <c r="O87" s="8"/>
      <c r="P87" s="7"/>
      <c r="Q87" s="7"/>
      <c r="R87" s="8"/>
      <c r="S87" s="7"/>
      <c r="T87" s="9"/>
      <c r="U87" s="7"/>
      <c r="V87" s="8"/>
      <c r="W87" s="7"/>
      <c r="X87" s="7"/>
      <c r="Y87" s="8"/>
      <c r="Z87" s="7"/>
      <c r="AA87" s="8"/>
    </row>
    <row r="88" spans="2:29" ht="15" thickTop="1" thickBot="1">
      <c r="B88" s="10"/>
      <c r="D88" s="66"/>
      <c r="E88" s="52" t="s">
        <v>440</v>
      </c>
      <c r="F88" s="7"/>
      <c r="G88" s="8"/>
      <c r="H88" s="7"/>
      <c r="I88" s="6"/>
      <c r="J88" s="7"/>
      <c r="K88" s="8"/>
      <c r="L88" s="7"/>
      <c r="M88" s="8"/>
      <c r="N88" s="7"/>
      <c r="O88" s="8"/>
      <c r="P88" s="7"/>
      <c r="Q88" s="7"/>
      <c r="R88" s="8"/>
      <c r="S88" s="7"/>
      <c r="T88" s="9"/>
      <c r="U88" s="7"/>
      <c r="V88" s="8"/>
      <c r="W88" s="7"/>
      <c r="X88" s="7"/>
      <c r="Y88" s="8"/>
      <c r="Z88" s="7"/>
      <c r="AA88" s="8"/>
    </row>
    <row r="89" spans="2:29" ht="15" thickTop="1" thickBot="1">
      <c r="B89" s="10"/>
      <c r="D89" s="66"/>
      <c r="E89" s="52" t="s">
        <v>479</v>
      </c>
      <c r="F89" s="7"/>
      <c r="G89" s="8"/>
      <c r="H89" s="7"/>
      <c r="I89" s="6"/>
      <c r="J89" s="7"/>
      <c r="K89" s="8"/>
      <c r="L89" s="7"/>
      <c r="M89" s="8"/>
      <c r="N89" s="7"/>
      <c r="O89" s="8"/>
      <c r="P89" s="7"/>
      <c r="Q89" s="7"/>
      <c r="R89" s="8"/>
      <c r="S89" s="7"/>
      <c r="T89" s="9"/>
      <c r="U89" s="7"/>
      <c r="V89" s="8"/>
      <c r="W89" s="7"/>
      <c r="X89" s="7"/>
      <c r="Y89" s="8"/>
      <c r="Z89" s="7"/>
      <c r="AA89" s="8"/>
    </row>
    <row r="90" spans="2:29" ht="15" thickTop="1" thickBot="1">
      <c r="B90" s="10"/>
      <c r="D90" s="66"/>
      <c r="E90" s="52" t="s">
        <v>668</v>
      </c>
      <c r="F90" s="7"/>
      <c r="G90" s="8"/>
      <c r="H90" s="7"/>
      <c r="I90" s="6"/>
      <c r="J90" s="7"/>
      <c r="K90" s="8"/>
      <c r="L90" s="7"/>
      <c r="M90" s="8"/>
      <c r="N90" s="7"/>
      <c r="O90" s="8"/>
      <c r="P90" s="7"/>
      <c r="Q90" s="7"/>
      <c r="R90" s="8"/>
      <c r="S90" s="7"/>
      <c r="T90" s="9"/>
      <c r="U90" s="7"/>
      <c r="V90" s="8"/>
      <c r="W90" s="7"/>
      <c r="X90" s="7"/>
      <c r="Y90" s="8"/>
      <c r="Z90" s="7"/>
      <c r="AA90" s="8"/>
    </row>
    <row r="91" spans="2:29" ht="15" thickTop="1" thickBot="1">
      <c r="B91" s="10"/>
      <c r="D91" s="66"/>
      <c r="E91" s="52" t="s">
        <v>493</v>
      </c>
      <c r="F91" s="7"/>
      <c r="G91" s="8"/>
      <c r="H91" s="7"/>
      <c r="I91" s="6"/>
      <c r="J91" s="7"/>
      <c r="K91" s="8"/>
      <c r="L91" s="7"/>
      <c r="M91" s="8"/>
      <c r="N91" s="7"/>
      <c r="O91" s="8"/>
      <c r="P91" s="7"/>
      <c r="Q91" s="7"/>
      <c r="R91" s="8"/>
      <c r="S91" s="7"/>
      <c r="T91" s="9"/>
      <c r="U91" s="7"/>
      <c r="V91" s="8"/>
      <c r="W91" s="7"/>
      <c r="X91" s="7"/>
      <c r="Y91" s="8"/>
      <c r="Z91" s="7"/>
      <c r="AA91" s="8"/>
    </row>
    <row r="92" spans="2:29" ht="15" thickTop="1" thickBot="1">
      <c r="B92" s="10"/>
      <c r="D92" s="66"/>
      <c r="E92" s="52" t="s">
        <v>663</v>
      </c>
      <c r="F92" s="7"/>
      <c r="G92" s="8"/>
      <c r="H92" s="7"/>
      <c r="I92" s="6"/>
      <c r="J92" s="7"/>
      <c r="K92" s="8"/>
      <c r="L92" s="7"/>
      <c r="M92" s="8"/>
      <c r="N92" s="7"/>
      <c r="O92" s="8"/>
      <c r="P92" s="7"/>
      <c r="Q92" s="7"/>
      <c r="R92" s="8"/>
      <c r="S92" s="7"/>
      <c r="T92" s="9"/>
      <c r="U92" s="7"/>
      <c r="V92" s="8"/>
      <c r="W92" s="7"/>
      <c r="X92" s="7"/>
      <c r="Y92" s="8"/>
      <c r="Z92" s="7"/>
      <c r="AA92" s="8"/>
    </row>
    <row r="93" spans="2:29" ht="15" thickTop="1" thickBot="1">
      <c r="B93" s="10"/>
      <c r="D93" s="66"/>
      <c r="E93" s="52" t="s">
        <v>480</v>
      </c>
      <c r="F93" s="7"/>
      <c r="G93" s="8"/>
      <c r="H93" s="7"/>
      <c r="I93" s="6"/>
      <c r="J93" s="7"/>
      <c r="K93" s="8"/>
      <c r="L93" s="7"/>
      <c r="M93" s="8"/>
      <c r="N93" s="7"/>
      <c r="O93" s="8"/>
      <c r="P93" s="7"/>
      <c r="Q93" s="7"/>
      <c r="R93" s="8"/>
      <c r="S93" s="7"/>
      <c r="T93" s="9"/>
      <c r="U93" s="7"/>
      <c r="V93" s="8"/>
      <c r="W93" s="7"/>
      <c r="X93" s="7"/>
      <c r="Y93" s="8"/>
      <c r="Z93" s="7"/>
      <c r="AA93" s="8"/>
    </row>
    <row r="94" spans="2:29" ht="15" thickTop="1" thickBot="1">
      <c r="B94" s="10"/>
      <c r="D94" s="66"/>
      <c r="E94" s="52" t="s">
        <v>679</v>
      </c>
      <c r="F94" s="7"/>
      <c r="G94" s="8"/>
      <c r="H94" s="7"/>
      <c r="I94" s="6"/>
      <c r="J94" s="7"/>
      <c r="K94" s="8"/>
      <c r="L94" s="7"/>
      <c r="M94" s="8"/>
      <c r="N94" s="7"/>
      <c r="O94" s="8"/>
      <c r="P94" s="7"/>
      <c r="Q94" s="7"/>
      <c r="R94" s="8"/>
      <c r="S94" s="7"/>
      <c r="T94" s="9"/>
      <c r="U94" s="7"/>
      <c r="V94" s="8"/>
      <c r="W94" s="7"/>
      <c r="X94" s="7"/>
      <c r="Y94" s="8"/>
      <c r="Z94" s="7"/>
      <c r="AA94" s="8"/>
    </row>
    <row r="95" spans="2:29" ht="15" thickTop="1" thickBot="1">
      <c r="B95" s="10"/>
      <c r="D95" s="66"/>
      <c r="E95" s="52" t="s">
        <v>860</v>
      </c>
      <c r="F95" s="7"/>
      <c r="G95" s="8"/>
      <c r="H95" s="7"/>
      <c r="I95" s="6"/>
      <c r="J95" s="7"/>
      <c r="K95" s="8"/>
      <c r="L95" s="7"/>
      <c r="M95" s="8"/>
      <c r="N95" s="7"/>
      <c r="O95" s="8"/>
      <c r="P95" s="7"/>
      <c r="Q95" s="7"/>
      <c r="R95" s="8"/>
      <c r="S95" s="7"/>
      <c r="T95" s="9"/>
      <c r="U95" s="7"/>
      <c r="V95" s="8"/>
      <c r="W95" s="7"/>
      <c r="X95" s="7"/>
      <c r="Y95" s="8"/>
      <c r="Z95" s="7"/>
      <c r="AA95" s="8"/>
    </row>
    <row r="96" spans="2:29" ht="15" thickTop="1" thickBot="1">
      <c r="B96" s="10"/>
      <c r="D96" s="66"/>
      <c r="E96" s="52" t="s">
        <v>468</v>
      </c>
      <c r="F96" s="7"/>
      <c r="G96" s="8"/>
      <c r="H96" s="7"/>
      <c r="I96" s="6"/>
      <c r="J96" s="7"/>
      <c r="K96" s="8"/>
      <c r="L96" s="7"/>
      <c r="M96" s="8"/>
      <c r="N96" s="7"/>
      <c r="O96" s="8"/>
      <c r="P96" s="7"/>
      <c r="Q96" s="7"/>
      <c r="R96" s="8"/>
      <c r="S96" s="7"/>
      <c r="T96" s="9"/>
      <c r="U96" s="7"/>
      <c r="V96" s="8"/>
      <c r="W96" s="7"/>
      <c r="X96" s="7"/>
      <c r="Y96" s="8"/>
      <c r="Z96" s="7"/>
      <c r="AA96" s="8"/>
    </row>
    <row r="97" spans="2:27" ht="15" thickTop="1" thickBot="1">
      <c r="B97" s="10"/>
      <c r="D97" s="66"/>
      <c r="E97" s="52" t="s">
        <v>470</v>
      </c>
      <c r="F97" s="7"/>
      <c r="G97" s="8"/>
      <c r="H97" s="7"/>
      <c r="I97" s="6"/>
      <c r="J97" s="7"/>
      <c r="K97" s="8"/>
      <c r="L97" s="7"/>
      <c r="M97" s="8"/>
      <c r="N97" s="7"/>
      <c r="O97" s="8"/>
      <c r="P97" s="7"/>
      <c r="Q97" s="7"/>
      <c r="R97" s="8"/>
      <c r="S97" s="7"/>
      <c r="T97" s="9"/>
      <c r="U97" s="7"/>
      <c r="V97" s="8"/>
      <c r="W97" s="7"/>
      <c r="X97" s="7"/>
      <c r="Y97" s="8"/>
      <c r="Z97" s="7"/>
      <c r="AA97" s="8"/>
    </row>
    <row r="98" spans="2:27" ht="15" thickTop="1" thickBot="1">
      <c r="B98" s="10"/>
      <c r="D98" s="66"/>
      <c r="E98" s="52" t="s">
        <v>685</v>
      </c>
      <c r="F98" s="7"/>
      <c r="G98" s="8"/>
      <c r="H98" s="7"/>
      <c r="I98" s="6"/>
      <c r="J98" s="7"/>
      <c r="K98" s="8"/>
      <c r="L98" s="7"/>
      <c r="M98" s="8"/>
      <c r="N98" s="7"/>
      <c r="O98" s="8"/>
      <c r="P98" s="7"/>
      <c r="Q98" s="7"/>
      <c r="R98" s="8"/>
      <c r="S98" s="7"/>
      <c r="T98" s="9"/>
      <c r="U98" s="7"/>
      <c r="V98" s="8"/>
      <c r="W98" s="7"/>
      <c r="X98" s="7"/>
      <c r="Y98" s="8"/>
      <c r="Z98" s="7"/>
      <c r="AA98" s="8"/>
    </row>
    <row r="99" spans="2:27" ht="15" thickTop="1" thickBot="1">
      <c r="B99" s="10"/>
      <c r="D99" s="66"/>
      <c r="E99" s="52" t="s">
        <v>482</v>
      </c>
      <c r="F99" s="7"/>
      <c r="G99" s="8"/>
      <c r="H99" s="7"/>
      <c r="I99" s="6"/>
      <c r="J99" s="7"/>
      <c r="K99" s="8"/>
      <c r="L99" s="7"/>
      <c r="M99" s="8"/>
      <c r="N99" s="7"/>
      <c r="O99" s="8"/>
      <c r="P99" s="7"/>
      <c r="Q99" s="7"/>
      <c r="R99" s="8"/>
      <c r="S99" s="7"/>
      <c r="T99" s="9"/>
      <c r="U99" s="7"/>
      <c r="V99" s="8"/>
      <c r="W99" s="7"/>
      <c r="X99" s="7"/>
      <c r="Y99" s="8"/>
      <c r="Z99" s="7"/>
      <c r="AA99" s="8"/>
    </row>
    <row r="100" spans="2:27" ht="15" thickTop="1" thickBot="1">
      <c r="B100" s="10"/>
      <c r="D100" s="66"/>
      <c r="E100" s="52" t="s">
        <v>686</v>
      </c>
      <c r="F100" s="7"/>
      <c r="G100" s="8"/>
      <c r="H100" s="7"/>
      <c r="I100" s="6"/>
      <c r="J100" s="7"/>
      <c r="K100" s="8"/>
      <c r="L100" s="7"/>
      <c r="M100" s="8"/>
      <c r="N100" s="7"/>
      <c r="O100" s="8"/>
      <c r="P100" s="7"/>
      <c r="Q100" s="7"/>
      <c r="R100" s="8"/>
      <c r="S100" s="7"/>
      <c r="T100" s="9"/>
      <c r="U100" s="7"/>
      <c r="V100" s="8"/>
      <c r="W100" s="7"/>
      <c r="X100" s="7"/>
      <c r="Y100" s="8"/>
      <c r="Z100" s="7"/>
      <c r="AA100" s="8"/>
    </row>
    <row r="101" spans="2:27" ht="15" thickTop="1" thickBot="1">
      <c r="B101" s="10"/>
      <c r="D101" s="66"/>
      <c r="E101" s="52" t="s">
        <v>670</v>
      </c>
      <c r="F101" s="7"/>
      <c r="G101" s="8"/>
      <c r="H101" s="7"/>
      <c r="I101" s="6"/>
      <c r="J101" s="7"/>
      <c r="K101" s="8"/>
      <c r="L101" s="7"/>
      <c r="M101" s="8"/>
      <c r="N101" s="7"/>
      <c r="O101" s="8"/>
      <c r="P101" s="7"/>
      <c r="Q101" s="7"/>
      <c r="R101" s="8"/>
      <c r="S101" s="7"/>
      <c r="T101" s="9"/>
      <c r="U101" s="7"/>
      <c r="V101" s="8"/>
      <c r="W101" s="7"/>
      <c r="X101" s="7"/>
      <c r="Y101" s="8"/>
      <c r="Z101" s="7"/>
      <c r="AA101" s="8"/>
    </row>
    <row r="102" spans="2:27" ht="15" thickTop="1" thickBot="1">
      <c r="B102" s="10"/>
      <c r="D102" s="66"/>
      <c r="E102" s="52" t="s">
        <v>606</v>
      </c>
      <c r="F102" s="7"/>
      <c r="G102" s="8"/>
      <c r="H102" s="7"/>
      <c r="I102" s="6"/>
      <c r="J102" s="7"/>
      <c r="K102" s="8"/>
      <c r="L102" s="7"/>
      <c r="M102" s="8"/>
      <c r="N102" s="7"/>
      <c r="O102" s="8"/>
      <c r="P102" s="7"/>
      <c r="Q102" s="7"/>
      <c r="R102" s="8"/>
      <c r="S102" s="7"/>
      <c r="T102" s="9"/>
      <c r="U102" s="7"/>
      <c r="V102" s="8"/>
      <c r="W102" s="7"/>
      <c r="X102" s="7"/>
      <c r="Y102" s="8"/>
      <c r="Z102" s="7"/>
      <c r="AA102" s="8"/>
    </row>
    <row r="103" spans="2:27" ht="15" thickTop="1" thickBot="1">
      <c r="B103" s="10"/>
      <c r="D103" s="66"/>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5" thickTop="1" thickBot="1">
      <c r="B104" s="10"/>
      <c r="D104" s="66"/>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5" thickTop="1" thickBot="1">
      <c r="B105" s="10"/>
      <c r="D105" s="66"/>
      <c r="E105" s="52" t="s">
        <v>673</v>
      </c>
      <c r="F105" s="7"/>
      <c r="G105" s="8"/>
      <c r="H105" s="7"/>
      <c r="I105" s="6"/>
      <c r="J105" s="7"/>
      <c r="K105" s="8"/>
      <c r="L105" s="7"/>
      <c r="M105" s="8"/>
      <c r="N105" s="7"/>
      <c r="O105" s="8"/>
      <c r="P105" s="7"/>
      <c r="Q105" s="7"/>
      <c r="R105" s="8"/>
      <c r="S105" s="7"/>
      <c r="T105" s="9"/>
      <c r="U105" s="7"/>
      <c r="V105" s="8"/>
      <c r="W105" s="7"/>
      <c r="X105" s="7"/>
      <c r="Y105" s="8"/>
      <c r="Z105" s="7"/>
      <c r="AA105" s="8"/>
    </row>
    <row r="106" spans="2:27" ht="15" thickTop="1" thickBot="1">
      <c r="B106" s="10"/>
      <c r="D106" s="66"/>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5" thickTop="1" thickBot="1">
      <c r="B107" s="10"/>
      <c r="D107" s="66"/>
      <c r="E107" s="52" t="s">
        <v>987</v>
      </c>
      <c r="F107" s="7"/>
      <c r="G107" s="8"/>
      <c r="H107" s="7"/>
      <c r="I107" s="6"/>
      <c r="J107" s="7"/>
      <c r="K107" s="8"/>
      <c r="L107" s="7"/>
      <c r="M107" s="8"/>
      <c r="N107" s="7"/>
      <c r="O107" s="8"/>
      <c r="P107" s="7"/>
      <c r="Q107" s="7"/>
      <c r="R107" s="8"/>
      <c r="S107" s="7"/>
      <c r="T107" s="9"/>
      <c r="U107" s="7"/>
      <c r="V107" s="8"/>
      <c r="W107" s="7"/>
      <c r="X107" s="7"/>
      <c r="Y107" s="8"/>
      <c r="Z107" s="7"/>
      <c r="AA107" s="8"/>
    </row>
    <row r="108" spans="2:27" ht="15" thickTop="1" thickBot="1">
      <c r="B108" s="10"/>
      <c r="D108" s="66"/>
      <c r="E108" s="52" t="s">
        <v>672</v>
      </c>
      <c r="F108" s="7"/>
      <c r="G108" s="8"/>
      <c r="H108" s="7"/>
      <c r="I108" s="6"/>
      <c r="J108" s="7"/>
      <c r="K108" s="8"/>
      <c r="L108" s="7"/>
      <c r="M108" s="8"/>
      <c r="N108" s="7"/>
      <c r="O108" s="8"/>
      <c r="P108" s="7"/>
      <c r="Q108" s="7"/>
      <c r="R108" s="8"/>
      <c r="S108" s="7"/>
      <c r="T108" s="9"/>
      <c r="U108" s="7"/>
      <c r="V108" s="8"/>
      <c r="W108" s="7"/>
      <c r="X108" s="7"/>
      <c r="Y108" s="8"/>
      <c r="Z108" s="7"/>
      <c r="AA108" s="8"/>
    </row>
    <row r="109" spans="2:27" ht="15" thickTop="1" thickBot="1">
      <c r="B109" s="10"/>
      <c r="D109" s="66"/>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5" thickTop="1" thickBot="1">
      <c r="B110" s="10"/>
      <c r="D110" s="66"/>
      <c r="E110" s="52" t="s">
        <v>819</v>
      </c>
      <c r="F110" s="7"/>
      <c r="G110" s="8"/>
      <c r="H110" s="7"/>
      <c r="I110" s="6"/>
      <c r="J110" s="7"/>
      <c r="K110" s="8"/>
      <c r="L110" s="7"/>
      <c r="M110" s="8"/>
      <c r="N110" s="7"/>
      <c r="O110" s="8"/>
      <c r="P110" s="7"/>
      <c r="Q110" s="7"/>
      <c r="R110" s="8"/>
      <c r="S110" s="7"/>
      <c r="T110" s="9"/>
      <c r="U110" s="7"/>
      <c r="V110" s="8"/>
      <c r="W110" s="7"/>
      <c r="X110" s="7"/>
      <c r="Y110" s="8"/>
      <c r="Z110" s="7"/>
      <c r="AA110" s="8"/>
    </row>
    <row r="111" spans="2:27" ht="15" thickTop="1" thickBot="1">
      <c r="B111" s="10"/>
      <c r="D111" s="66"/>
      <c r="E111" s="52" t="s">
        <v>687</v>
      </c>
      <c r="F111" s="7"/>
      <c r="G111" s="8"/>
      <c r="H111" s="7"/>
      <c r="I111" s="6"/>
      <c r="J111" s="7"/>
      <c r="K111" s="8"/>
      <c r="L111" s="7"/>
      <c r="M111" s="8"/>
      <c r="N111" s="7"/>
      <c r="O111" s="8"/>
      <c r="P111" s="7"/>
      <c r="Q111" s="7"/>
      <c r="R111" s="8"/>
      <c r="S111" s="7"/>
      <c r="T111" s="9"/>
      <c r="U111" s="7"/>
      <c r="V111" s="8"/>
      <c r="W111" s="7"/>
      <c r="X111" s="7"/>
      <c r="Y111" s="8"/>
      <c r="Z111" s="7"/>
      <c r="AA111" s="8"/>
    </row>
    <row r="112" spans="2:27" ht="15" thickTop="1" thickBot="1">
      <c r="B112" s="10"/>
      <c r="D112" s="66"/>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5" thickTop="1" thickBot="1">
      <c r="B113" s="10"/>
      <c r="D113" s="66"/>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5" thickTop="1" thickBot="1">
      <c r="B114" s="10"/>
      <c r="D114" s="66"/>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5" thickTop="1" thickBot="1">
      <c r="B115" s="10"/>
      <c r="D115" s="66"/>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5" thickTop="1" thickBot="1">
      <c r="B116" s="10"/>
      <c r="D116" s="66"/>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5" thickTop="1" thickBot="1">
      <c r="B117" s="10"/>
      <c r="D117" s="66"/>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5" thickTop="1" thickBot="1">
      <c r="B118" s="10"/>
      <c r="D118" s="66"/>
      <c r="E118" s="52" t="s">
        <v>669</v>
      </c>
      <c r="F118" s="7"/>
      <c r="G118" s="8"/>
      <c r="H118" s="7"/>
      <c r="I118" s="6"/>
      <c r="J118" s="7"/>
      <c r="K118" s="8"/>
      <c r="L118" s="7"/>
      <c r="M118" s="8"/>
      <c r="N118" s="7"/>
      <c r="O118" s="8"/>
      <c r="P118" s="7"/>
      <c r="Q118" s="7"/>
      <c r="R118" s="8"/>
      <c r="S118" s="7"/>
      <c r="T118" s="9"/>
      <c r="U118" s="7"/>
      <c r="V118" s="8"/>
      <c r="W118" s="7"/>
      <c r="X118" s="7"/>
      <c r="Y118" s="8"/>
      <c r="Z118" s="7"/>
      <c r="AA118" s="8"/>
    </row>
    <row r="119" spans="2:27" ht="15" thickTop="1" thickBot="1">
      <c r="B119" s="10"/>
      <c r="D119" s="66"/>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5" thickTop="1" thickBot="1">
      <c r="B120" s="10"/>
      <c r="D120" s="66"/>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5" thickTop="1" thickBot="1">
      <c r="B121" s="10"/>
      <c r="D121" s="66"/>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5" thickTop="1" thickBot="1">
      <c r="B122" s="10"/>
      <c r="D122" s="66"/>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5" thickTop="1" thickBot="1">
      <c r="B123" s="10"/>
      <c r="D123" s="66"/>
      <c r="E123" s="52" t="s">
        <v>671</v>
      </c>
      <c r="F123" s="7"/>
      <c r="G123" s="8"/>
      <c r="H123" s="7"/>
      <c r="I123" s="6"/>
      <c r="J123" s="7"/>
      <c r="K123" s="8"/>
      <c r="L123" s="7"/>
      <c r="M123" s="8"/>
      <c r="N123" s="7"/>
      <c r="O123" s="8"/>
      <c r="P123" s="7"/>
      <c r="Q123" s="7"/>
      <c r="R123" s="8"/>
      <c r="S123" s="7"/>
      <c r="T123" s="9"/>
      <c r="U123" s="7"/>
      <c r="V123" s="8"/>
      <c r="W123" s="7"/>
      <c r="X123" s="7"/>
      <c r="Y123" s="8"/>
      <c r="Z123" s="7"/>
      <c r="AA123" s="8"/>
    </row>
    <row r="124" spans="2:27" ht="15" thickTop="1" thickBot="1">
      <c r="B124" s="10"/>
      <c r="D124" s="66"/>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5" thickTop="1" thickBot="1">
      <c r="B125" s="10"/>
      <c r="D125" s="66"/>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5" thickTop="1" thickBot="1">
      <c r="B126" s="10"/>
      <c r="D126" s="66"/>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5" thickTop="1" thickBot="1">
      <c r="B127" s="10"/>
      <c r="D127" s="66"/>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5" thickTop="1" thickBot="1">
      <c r="B128" s="10"/>
      <c r="D128" s="66"/>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5" thickTop="1" thickBot="1">
      <c r="B129" s="10"/>
      <c r="D129" s="66"/>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5" thickTop="1" thickBot="1">
      <c r="B130" s="10"/>
      <c r="D130" s="66"/>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5" thickTop="1" thickBot="1">
      <c r="B131" s="10"/>
      <c r="D131" s="66"/>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5" thickTop="1" thickBot="1">
      <c r="B132" s="10"/>
      <c r="D132" s="66"/>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5" thickTop="1" thickBot="1">
      <c r="B133" s="10"/>
      <c r="D133" s="66"/>
      <c r="E133" s="52" t="s">
        <v>675</v>
      </c>
      <c r="F133" s="7"/>
      <c r="G133" s="8"/>
      <c r="H133" s="7"/>
      <c r="I133" s="6"/>
      <c r="J133" s="7"/>
      <c r="K133" s="8"/>
      <c r="L133" s="7"/>
      <c r="M133" s="8"/>
      <c r="N133" s="7"/>
      <c r="O133" s="8"/>
      <c r="P133" s="7"/>
      <c r="Q133" s="7"/>
      <c r="R133" s="8"/>
      <c r="S133" s="7"/>
      <c r="T133" s="9"/>
      <c r="U133" s="7"/>
      <c r="V133" s="8"/>
      <c r="W133" s="7"/>
      <c r="X133" s="7"/>
      <c r="Y133" s="8"/>
      <c r="Z133" s="7"/>
      <c r="AA133" s="8"/>
    </row>
    <row r="134" spans="2:27" ht="15" thickTop="1" thickBot="1">
      <c r="B134" s="10"/>
      <c r="D134" s="66"/>
      <c r="E134" s="52" t="s">
        <v>843</v>
      </c>
      <c r="F134" s="7"/>
      <c r="G134" s="8"/>
      <c r="H134" s="7"/>
      <c r="I134" s="6"/>
      <c r="J134" s="7"/>
      <c r="K134" s="8"/>
      <c r="L134" s="7"/>
      <c r="M134" s="8"/>
      <c r="N134" s="7"/>
      <c r="O134" s="8"/>
      <c r="P134" s="7"/>
      <c r="Q134" s="7"/>
      <c r="R134" s="8"/>
      <c r="S134" s="7"/>
      <c r="T134" s="9"/>
      <c r="U134" s="7"/>
      <c r="V134" s="8"/>
      <c r="W134" s="7"/>
      <c r="X134" s="7"/>
      <c r="Y134" s="8"/>
      <c r="Z134" s="7"/>
      <c r="AA134" s="8"/>
    </row>
    <row r="135" spans="2:27" ht="15" thickTop="1" thickBot="1">
      <c r="B135" s="10"/>
      <c r="D135" s="66"/>
      <c r="E135" s="52" t="s">
        <v>845</v>
      </c>
      <c r="F135" s="7"/>
      <c r="G135" s="8"/>
      <c r="H135" s="7"/>
      <c r="I135" s="6"/>
      <c r="J135" s="7"/>
      <c r="K135" s="8"/>
      <c r="L135" s="7"/>
      <c r="M135" s="8"/>
      <c r="N135" s="7"/>
      <c r="O135" s="8"/>
      <c r="P135" s="7"/>
      <c r="Q135" s="7"/>
      <c r="R135" s="8"/>
      <c r="S135" s="7"/>
      <c r="T135" s="9"/>
      <c r="U135" s="7"/>
      <c r="V135" s="8"/>
      <c r="W135" s="7"/>
      <c r="X135" s="7"/>
      <c r="Y135" s="8"/>
      <c r="Z135" s="7"/>
      <c r="AA135" s="8"/>
    </row>
    <row r="136" spans="2:27" ht="15" thickTop="1" thickBot="1">
      <c r="B136" s="10"/>
      <c r="D136" s="66"/>
      <c r="E136" s="52" t="s">
        <v>844</v>
      </c>
      <c r="F136" s="7"/>
      <c r="G136" s="8"/>
      <c r="H136" s="7"/>
      <c r="I136" s="6"/>
      <c r="J136" s="7"/>
      <c r="K136" s="8"/>
      <c r="L136" s="7"/>
      <c r="M136" s="8"/>
      <c r="N136" s="7"/>
      <c r="O136" s="8"/>
      <c r="P136" s="7"/>
      <c r="Q136" s="7"/>
      <c r="R136" s="8"/>
      <c r="S136" s="7"/>
      <c r="T136" s="9"/>
      <c r="U136" s="7"/>
      <c r="V136" s="8"/>
      <c r="W136" s="7"/>
      <c r="X136" s="7"/>
      <c r="Y136" s="8"/>
      <c r="Z136" s="7"/>
      <c r="AA136" s="8"/>
    </row>
    <row r="137" spans="2:27" ht="15" thickTop="1" thickBot="1">
      <c r="B137" s="10"/>
      <c r="D137" s="66"/>
      <c r="E137" s="52" t="s">
        <v>988</v>
      </c>
      <c r="F137" s="7"/>
      <c r="G137" s="8"/>
      <c r="H137" s="7"/>
      <c r="I137" s="6"/>
      <c r="J137" s="7"/>
      <c r="K137" s="8"/>
      <c r="L137" s="7"/>
      <c r="M137" s="8"/>
      <c r="N137" s="7"/>
      <c r="O137" s="8"/>
      <c r="P137" s="7"/>
      <c r="Q137" s="7"/>
      <c r="R137" s="8"/>
      <c r="S137" s="7"/>
      <c r="T137" s="9"/>
      <c r="U137" s="7"/>
      <c r="V137" s="8"/>
      <c r="W137" s="7"/>
      <c r="X137" s="7"/>
      <c r="Y137" s="8"/>
      <c r="Z137" s="7"/>
      <c r="AA137" s="8"/>
    </row>
    <row r="138" spans="2:27" ht="15" thickTop="1" thickBot="1">
      <c r="B138" s="10"/>
      <c r="D138" s="66"/>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5" thickTop="1" thickBot="1">
      <c r="B139" s="10"/>
      <c r="D139" s="66"/>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5" thickTop="1" thickBot="1">
      <c r="B140" s="10"/>
      <c r="D140" s="66"/>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5" thickTop="1" thickBot="1">
      <c r="B141" s="10"/>
      <c r="D141" s="66"/>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5" thickTop="1" thickBot="1">
      <c r="B142" s="10"/>
      <c r="D142" s="66"/>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5" thickTop="1" thickBot="1">
      <c r="B143" s="10"/>
      <c r="D143" s="66"/>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5" thickTop="1" thickBot="1">
      <c r="B144" s="10"/>
      <c r="D144" s="66"/>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5" thickTop="1" thickBot="1">
      <c r="B145" s="10"/>
      <c r="D145" s="66"/>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5" thickTop="1" thickBot="1">
      <c r="B146" s="10"/>
      <c r="D146" s="66"/>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5" thickTop="1" thickBot="1">
      <c r="B147" s="10"/>
      <c r="D147" s="66"/>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5" thickTop="1" thickBot="1">
      <c r="B148" s="10"/>
      <c r="D148" s="66"/>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5" thickTop="1" thickBot="1">
      <c r="B149" s="10"/>
      <c r="D149" s="66"/>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5" thickTop="1" thickBot="1">
      <c r="B150" s="10"/>
      <c r="D150" s="66"/>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5" thickTop="1" thickBot="1">
      <c r="B151" s="10"/>
      <c r="D151" s="66"/>
      <c r="E151" s="52" t="s">
        <v>677</v>
      </c>
      <c r="F151" s="7"/>
      <c r="G151" s="8"/>
      <c r="H151" s="7"/>
      <c r="I151" s="6"/>
      <c r="J151" s="7"/>
      <c r="K151" s="8"/>
      <c r="L151" s="7"/>
      <c r="M151" s="8"/>
      <c r="N151" s="7"/>
      <c r="O151" s="8"/>
      <c r="P151" s="7"/>
      <c r="Q151" s="7"/>
      <c r="R151" s="8"/>
      <c r="S151" s="7"/>
      <c r="T151" s="9"/>
      <c r="U151" s="7"/>
      <c r="V151" s="8"/>
      <c r="W151" s="7"/>
      <c r="X151" s="7"/>
      <c r="Y151" s="8"/>
      <c r="Z151" s="7"/>
      <c r="AA151" s="8"/>
    </row>
    <row r="152" spans="2:27" ht="15" thickTop="1" thickBot="1">
      <c r="B152" s="10"/>
      <c r="D152" s="66"/>
      <c r="E152" s="52" t="s">
        <v>688</v>
      </c>
      <c r="F152" s="7"/>
      <c r="G152" s="8"/>
      <c r="H152" s="7"/>
      <c r="I152" s="6"/>
      <c r="J152" s="7"/>
      <c r="K152" s="8"/>
      <c r="L152" s="7"/>
      <c r="M152" s="8"/>
      <c r="N152" s="7"/>
      <c r="O152" s="8"/>
      <c r="P152" s="7"/>
      <c r="Q152" s="7"/>
      <c r="R152" s="8"/>
      <c r="S152" s="7"/>
      <c r="T152" s="9"/>
      <c r="U152" s="7"/>
      <c r="V152" s="8"/>
      <c r="W152" s="7"/>
      <c r="X152" s="7"/>
      <c r="Y152" s="8"/>
      <c r="Z152" s="7"/>
      <c r="AA152" s="8"/>
    </row>
    <row r="153" spans="2:27" ht="15" thickTop="1" thickBot="1">
      <c r="B153" s="10"/>
      <c r="D153" s="66"/>
      <c r="E153" s="52" t="s">
        <v>689</v>
      </c>
      <c r="F153" s="7"/>
      <c r="G153" s="8"/>
      <c r="H153" s="7"/>
      <c r="I153" s="6"/>
      <c r="J153" s="7"/>
      <c r="K153" s="8"/>
      <c r="L153" s="7"/>
      <c r="M153" s="8"/>
      <c r="N153" s="7"/>
      <c r="O153" s="8"/>
      <c r="P153" s="7"/>
      <c r="Q153" s="7"/>
      <c r="R153" s="8"/>
      <c r="S153" s="7"/>
      <c r="T153" s="9"/>
      <c r="U153" s="7"/>
      <c r="V153" s="8"/>
      <c r="W153" s="7"/>
      <c r="X153" s="7"/>
      <c r="Y153" s="8"/>
      <c r="Z153" s="7"/>
      <c r="AA153" s="8"/>
    </row>
    <row r="154" spans="2:27" ht="15" thickTop="1" thickBot="1">
      <c r="B154" s="10"/>
      <c r="D154" s="66"/>
      <c r="E154" s="52" t="s">
        <v>690</v>
      </c>
      <c r="F154" s="7"/>
      <c r="G154" s="8"/>
      <c r="H154" s="7"/>
      <c r="I154" s="6"/>
      <c r="J154" s="7"/>
      <c r="K154" s="8"/>
      <c r="L154" s="7"/>
      <c r="M154" s="8"/>
      <c r="N154" s="7"/>
      <c r="O154" s="8"/>
      <c r="P154" s="7"/>
      <c r="Q154" s="7"/>
      <c r="R154" s="8"/>
      <c r="S154" s="7"/>
      <c r="T154" s="9"/>
      <c r="U154" s="7"/>
      <c r="V154" s="8"/>
      <c r="W154" s="7"/>
      <c r="X154" s="7"/>
      <c r="Y154" s="8"/>
      <c r="Z154" s="7"/>
      <c r="AA154" s="8"/>
    </row>
    <row r="155" spans="2:27" ht="15" thickTop="1" thickBot="1">
      <c r="B155" s="10"/>
      <c r="D155" s="66"/>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5" thickTop="1" thickBot="1">
      <c r="B156" s="10"/>
      <c r="D156" s="66"/>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5" thickTop="1" thickBot="1">
      <c r="B157" s="10"/>
      <c r="D157" s="66"/>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5" thickTop="1" thickBot="1">
      <c r="B158" s="10"/>
      <c r="D158" s="66"/>
      <c r="E158" s="52" t="s">
        <v>870</v>
      </c>
      <c r="F158" s="7"/>
      <c r="G158" s="8"/>
      <c r="H158" s="7"/>
      <c r="I158" s="6"/>
      <c r="J158" s="7"/>
      <c r="K158" s="8"/>
      <c r="L158" s="7"/>
      <c r="M158" s="8"/>
      <c r="N158" s="7"/>
      <c r="O158" s="8"/>
      <c r="P158" s="7"/>
      <c r="Q158" s="7"/>
      <c r="R158" s="8"/>
      <c r="S158" s="7"/>
      <c r="T158" s="9"/>
      <c r="U158" s="7"/>
      <c r="V158" s="8"/>
      <c r="W158" s="7"/>
      <c r="X158" s="7"/>
      <c r="Y158" s="8"/>
      <c r="Z158" s="7"/>
      <c r="AA158" s="8"/>
    </row>
    <row r="159" spans="2:27" ht="15" thickTop="1" thickBot="1">
      <c r="B159" s="10"/>
      <c r="D159" s="66"/>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5" thickTop="1" thickBot="1">
      <c r="B160" s="10"/>
      <c r="D160" s="66"/>
      <c r="E160" s="52" t="s">
        <v>674</v>
      </c>
      <c r="F160" s="7"/>
      <c r="G160" s="8"/>
      <c r="H160" s="7"/>
      <c r="I160" s="6"/>
      <c r="J160" s="7"/>
      <c r="K160" s="8"/>
      <c r="L160" s="7"/>
      <c r="M160" s="8"/>
      <c r="N160" s="7"/>
      <c r="O160" s="8"/>
      <c r="P160" s="7"/>
      <c r="Q160" s="7"/>
      <c r="R160" s="8"/>
      <c r="S160" s="7"/>
      <c r="T160" s="9"/>
      <c r="U160" s="7"/>
      <c r="V160" s="8"/>
      <c r="W160" s="7"/>
      <c r="X160" s="7"/>
      <c r="Y160" s="8"/>
      <c r="Z160" s="7"/>
      <c r="AA160" s="8"/>
    </row>
    <row r="161" spans="2:27" ht="15" thickTop="1" thickBot="1">
      <c r="B161" s="10"/>
      <c r="D161" s="66"/>
      <c r="E161" s="52" t="s">
        <v>678</v>
      </c>
      <c r="F161" s="7"/>
      <c r="G161" s="8"/>
      <c r="H161" s="7"/>
      <c r="I161" s="6"/>
      <c r="J161" s="7"/>
      <c r="K161" s="8"/>
      <c r="L161" s="7"/>
      <c r="M161" s="8"/>
      <c r="N161" s="7"/>
      <c r="O161" s="8"/>
      <c r="P161" s="7"/>
      <c r="Q161" s="7"/>
      <c r="R161" s="8"/>
      <c r="S161" s="7"/>
      <c r="T161" s="9"/>
      <c r="U161" s="7"/>
      <c r="V161" s="8"/>
      <c r="W161" s="7"/>
      <c r="X161" s="7"/>
      <c r="Y161" s="8"/>
      <c r="Z161" s="7"/>
      <c r="AA161" s="8"/>
    </row>
    <row r="162" spans="2:27" ht="15" thickTop="1" thickBot="1">
      <c r="B162" s="10"/>
      <c r="D162" s="66"/>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5" thickTop="1" thickBot="1">
      <c r="B163" s="10"/>
      <c r="D163" s="66"/>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5" thickTop="1" thickBot="1">
      <c r="D164" s="66"/>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5" thickTop="1" thickBot="1">
      <c r="D165" s="66"/>
      <c r="E165" s="52" t="s">
        <v>666</v>
      </c>
      <c r="F165" s="7"/>
      <c r="G165" s="8"/>
      <c r="H165" s="7"/>
      <c r="I165" s="6"/>
      <c r="J165" s="7"/>
      <c r="K165" s="8"/>
      <c r="L165" s="7"/>
      <c r="M165" s="8"/>
      <c r="N165" s="7"/>
      <c r="O165" s="8"/>
      <c r="P165" s="7"/>
      <c r="Q165" s="7"/>
      <c r="R165" s="8"/>
      <c r="S165" s="7"/>
      <c r="T165" s="9"/>
      <c r="U165" s="7"/>
      <c r="V165" s="8"/>
      <c r="W165" s="7"/>
      <c r="X165" s="7"/>
      <c r="Y165" s="8"/>
      <c r="Z165" s="7"/>
      <c r="AA165" s="8"/>
    </row>
    <row r="166" spans="2:27" ht="15" thickTop="1" thickBot="1">
      <c r="D166" s="66"/>
      <c r="E166" s="52" t="s">
        <v>657</v>
      </c>
      <c r="F166" s="7"/>
      <c r="G166" s="8"/>
      <c r="H166" s="7"/>
      <c r="I166" s="6"/>
      <c r="J166" s="7"/>
      <c r="K166" s="8"/>
      <c r="L166" s="7"/>
      <c r="M166" s="8"/>
      <c r="N166" s="7"/>
      <c r="O166" s="8"/>
      <c r="P166" s="7"/>
      <c r="Q166" s="7"/>
      <c r="R166" s="8"/>
      <c r="S166" s="7"/>
      <c r="T166" s="9"/>
      <c r="U166" s="7"/>
      <c r="V166" s="8"/>
      <c r="W166" s="7"/>
      <c r="X166" s="7"/>
      <c r="Y166" s="8"/>
      <c r="Z166" s="7"/>
      <c r="AA166" s="8"/>
    </row>
    <row r="167" spans="2:27" ht="15" thickTop="1" thickBot="1">
      <c r="D167" s="66"/>
      <c r="E167" s="52" t="s">
        <v>615</v>
      </c>
      <c r="F167" s="7"/>
      <c r="G167" s="8"/>
      <c r="H167" s="7"/>
      <c r="I167" s="6"/>
      <c r="J167" s="7"/>
      <c r="K167" s="8"/>
      <c r="L167" s="7"/>
      <c r="M167" s="8"/>
      <c r="N167" s="7"/>
      <c r="O167" s="8"/>
      <c r="P167" s="7"/>
      <c r="Q167" s="7"/>
      <c r="R167" s="8"/>
      <c r="S167" s="7"/>
      <c r="T167" s="9"/>
      <c r="U167" s="7"/>
      <c r="V167" s="8"/>
      <c r="W167" s="7"/>
      <c r="X167" s="7"/>
      <c r="Y167" s="8"/>
      <c r="Z167" s="7"/>
      <c r="AA167" s="8"/>
    </row>
    <row r="168" spans="2:27" ht="15" thickTop="1" thickBot="1">
      <c r="D168" s="66"/>
      <c r="E168" s="52" t="s">
        <v>616</v>
      </c>
      <c r="F168" s="7"/>
      <c r="G168" s="8"/>
      <c r="H168" s="7"/>
      <c r="I168" s="6"/>
      <c r="J168" s="7"/>
      <c r="K168" s="8"/>
      <c r="L168" s="7"/>
      <c r="M168" s="8"/>
      <c r="N168" s="7"/>
      <c r="O168" s="8"/>
      <c r="P168" s="7"/>
      <c r="Q168" s="7"/>
      <c r="R168" s="8"/>
      <c r="S168" s="7"/>
      <c r="T168" s="9"/>
      <c r="U168" s="7"/>
      <c r="V168" s="8"/>
      <c r="W168" s="7"/>
      <c r="X168" s="7"/>
      <c r="Y168" s="8"/>
      <c r="Z168" s="7"/>
      <c r="AA168" s="8"/>
    </row>
    <row r="169" spans="2:27" ht="15" thickTop="1" thickBot="1">
      <c r="D169" s="66"/>
      <c r="E169" s="52" t="s">
        <v>618</v>
      </c>
      <c r="F169" s="7"/>
      <c r="G169" s="8"/>
      <c r="H169" s="7"/>
      <c r="I169" s="6"/>
      <c r="J169" s="7"/>
      <c r="K169" s="8"/>
      <c r="L169" s="7"/>
      <c r="M169" s="8"/>
      <c r="N169" s="7"/>
      <c r="O169" s="8"/>
      <c r="P169" s="7"/>
      <c r="Q169" s="7"/>
      <c r="R169" s="8"/>
      <c r="S169" s="7"/>
      <c r="T169" s="9"/>
      <c r="U169" s="7"/>
      <c r="V169" s="8"/>
      <c r="W169" s="7"/>
      <c r="X169" s="7"/>
      <c r="Y169" s="8"/>
      <c r="Z169" s="7"/>
      <c r="AA169" s="8"/>
    </row>
    <row r="170" spans="2:27" ht="15" thickTop="1" thickBot="1">
      <c r="D170" s="66"/>
      <c r="E170" s="52" t="s">
        <v>625</v>
      </c>
      <c r="F170" s="7"/>
      <c r="G170" s="8"/>
      <c r="H170" s="7"/>
      <c r="I170" s="6"/>
      <c r="J170" s="7"/>
      <c r="K170" s="8"/>
      <c r="L170" s="7"/>
      <c r="M170" s="8"/>
      <c r="N170" s="7"/>
      <c r="O170" s="8"/>
      <c r="P170" s="7"/>
      <c r="Q170" s="7"/>
      <c r="R170" s="8"/>
      <c r="S170" s="7"/>
      <c r="T170" s="9"/>
      <c r="U170" s="7"/>
      <c r="V170" s="8"/>
      <c r="W170" s="7"/>
      <c r="X170" s="7"/>
      <c r="Y170" s="8"/>
      <c r="Z170" s="7"/>
      <c r="AA170" s="8"/>
    </row>
    <row r="171" spans="2:27" ht="15" thickTop="1" thickBot="1">
      <c r="D171" s="66"/>
      <c r="E171" s="52" t="s">
        <v>623</v>
      </c>
      <c r="F171" s="7"/>
      <c r="G171" s="8"/>
      <c r="H171" s="7"/>
      <c r="I171" s="6"/>
      <c r="J171" s="7"/>
      <c r="K171" s="8"/>
      <c r="L171" s="7"/>
      <c r="M171" s="8"/>
      <c r="N171" s="7"/>
      <c r="O171" s="8"/>
      <c r="P171" s="7"/>
      <c r="Q171" s="7"/>
      <c r="R171" s="8"/>
      <c r="S171" s="7"/>
      <c r="T171" s="9"/>
      <c r="U171" s="7"/>
      <c r="V171" s="8"/>
      <c r="W171" s="7"/>
      <c r="X171" s="7"/>
      <c r="Y171" s="8"/>
      <c r="Z171" s="7"/>
      <c r="AA171" s="8"/>
    </row>
    <row r="172" spans="2:27" ht="15" thickTop="1" thickBot="1">
      <c r="D172" s="66"/>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5" thickTop="1" thickBot="1">
      <c r="D173" s="66"/>
      <c r="E173" s="52" t="s">
        <v>635</v>
      </c>
      <c r="F173" s="7"/>
      <c r="G173" s="8"/>
      <c r="H173" s="7"/>
      <c r="I173" s="6"/>
      <c r="J173" s="7"/>
      <c r="K173" s="8"/>
      <c r="L173" s="7"/>
      <c r="M173" s="8"/>
      <c r="N173" s="7"/>
      <c r="O173" s="8"/>
      <c r="P173" s="7"/>
      <c r="Q173" s="7"/>
      <c r="R173" s="8"/>
      <c r="S173" s="7"/>
      <c r="T173" s="9"/>
      <c r="U173" s="7"/>
      <c r="V173" s="8"/>
      <c r="W173" s="7"/>
      <c r="X173" s="7"/>
      <c r="Y173" s="8"/>
      <c r="Z173" s="7"/>
      <c r="AA173" s="8"/>
    </row>
    <row r="174" spans="2:27" ht="15" thickTop="1" thickBot="1">
      <c r="D174" s="66"/>
      <c r="E174" s="52" t="s">
        <v>614</v>
      </c>
      <c r="F174" s="7"/>
      <c r="G174" s="8"/>
      <c r="H174" s="7"/>
      <c r="I174" s="6"/>
      <c r="J174" s="7"/>
      <c r="K174" s="8"/>
      <c r="L174" s="7"/>
      <c r="M174" s="8"/>
      <c r="N174" s="7"/>
      <c r="O174" s="8"/>
      <c r="P174" s="7"/>
      <c r="Q174" s="7"/>
      <c r="R174" s="8"/>
      <c r="S174" s="7"/>
      <c r="T174" s="9"/>
      <c r="U174" s="7"/>
      <c r="V174" s="8"/>
      <c r="W174" s="7"/>
      <c r="X174" s="7"/>
      <c r="Y174" s="8"/>
      <c r="Z174" s="7"/>
      <c r="AA174" s="8"/>
    </row>
    <row r="175" spans="2:27" ht="15" thickTop="1" thickBot="1">
      <c r="D175" s="66"/>
      <c r="E175" s="52" t="s">
        <v>617</v>
      </c>
      <c r="F175" s="7"/>
      <c r="G175" s="8"/>
      <c r="H175" s="7"/>
      <c r="I175" s="6"/>
      <c r="J175" s="7"/>
      <c r="K175" s="8"/>
      <c r="L175" s="7"/>
      <c r="M175" s="8"/>
      <c r="N175" s="7"/>
      <c r="O175" s="8"/>
      <c r="P175" s="7"/>
      <c r="Q175" s="7"/>
      <c r="R175" s="8"/>
      <c r="S175" s="7"/>
      <c r="T175" s="9"/>
      <c r="U175" s="7"/>
      <c r="V175" s="8"/>
      <c r="W175" s="7"/>
      <c r="X175" s="7"/>
      <c r="Y175" s="8"/>
      <c r="Z175" s="7"/>
      <c r="AA175" s="8"/>
    </row>
    <row r="176" spans="2:27" ht="15" thickTop="1" thickBot="1">
      <c r="D176" s="66"/>
      <c r="E176" s="52" t="s">
        <v>619</v>
      </c>
      <c r="F176" s="7"/>
      <c r="G176" s="8"/>
      <c r="H176" s="7"/>
      <c r="I176" s="6"/>
      <c r="J176" s="7"/>
      <c r="K176" s="8"/>
      <c r="L176" s="7"/>
      <c r="M176" s="8"/>
      <c r="N176" s="7"/>
      <c r="O176" s="8"/>
      <c r="P176" s="7"/>
      <c r="Q176" s="7"/>
      <c r="R176" s="8"/>
      <c r="S176" s="7"/>
      <c r="T176" s="9"/>
      <c r="U176" s="7"/>
      <c r="V176" s="8"/>
      <c r="W176" s="7"/>
      <c r="X176" s="7"/>
      <c r="Y176" s="8"/>
      <c r="Z176" s="7"/>
      <c r="AA176" s="8"/>
    </row>
    <row r="177" spans="4:27" ht="15" thickTop="1" thickBot="1">
      <c r="D177" s="66"/>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5" thickTop="1" thickBot="1">
      <c r="D178" s="66"/>
      <c r="E178" s="52" t="s">
        <v>621</v>
      </c>
      <c r="F178" s="7"/>
      <c r="G178" s="8"/>
      <c r="H178" s="7"/>
      <c r="I178" s="6"/>
      <c r="J178" s="7"/>
      <c r="K178" s="8"/>
      <c r="L178" s="7"/>
      <c r="M178" s="8"/>
      <c r="N178" s="7"/>
      <c r="O178" s="8"/>
      <c r="P178" s="7"/>
      <c r="Q178" s="7"/>
      <c r="R178" s="8"/>
      <c r="S178" s="7"/>
      <c r="T178" s="9"/>
      <c r="U178" s="7"/>
      <c r="V178" s="8"/>
      <c r="W178" s="7"/>
      <c r="X178" s="7"/>
      <c r="Y178" s="8"/>
      <c r="Z178" s="7"/>
      <c r="AA178" s="8"/>
    </row>
    <row r="179" spans="4:27" ht="15" thickTop="1" thickBot="1">
      <c r="D179" s="66"/>
      <c r="E179" s="52" t="s">
        <v>627</v>
      </c>
      <c r="F179" s="7"/>
      <c r="G179" s="8"/>
      <c r="H179" s="7"/>
      <c r="I179" s="6"/>
      <c r="J179" s="7"/>
      <c r="K179" s="8"/>
      <c r="L179" s="7"/>
      <c r="M179" s="8"/>
      <c r="N179" s="7"/>
      <c r="O179" s="8"/>
      <c r="P179" s="7"/>
      <c r="Q179" s="7"/>
      <c r="R179" s="8"/>
      <c r="S179" s="7"/>
      <c r="T179" s="9"/>
      <c r="U179" s="7"/>
      <c r="V179" s="8"/>
      <c r="W179" s="7"/>
      <c r="X179" s="7"/>
      <c r="Y179" s="8"/>
      <c r="Z179" s="7"/>
      <c r="AA179" s="8"/>
    </row>
    <row r="180" spans="4:27" ht="15" thickTop="1" thickBot="1">
      <c r="D180" s="66"/>
      <c r="E180" s="52" t="s">
        <v>624</v>
      </c>
      <c r="F180" s="7"/>
      <c r="G180" s="8"/>
      <c r="H180" s="7"/>
      <c r="I180" s="6"/>
      <c r="J180" s="7"/>
      <c r="K180" s="8"/>
      <c r="L180" s="7"/>
      <c r="M180" s="8"/>
      <c r="N180" s="7"/>
      <c r="O180" s="8"/>
      <c r="P180" s="7"/>
      <c r="Q180" s="7"/>
      <c r="R180" s="8"/>
      <c r="S180" s="7"/>
      <c r="T180" s="9"/>
      <c r="U180" s="7"/>
      <c r="V180" s="8"/>
      <c r="W180" s="7"/>
      <c r="X180" s="7"/>
      <c r="Y180" s="8"/>
      <c r="Z180" s="7"/>
      <c r="AA180" s="8"/>
    </row>
    <row r="181" spans="4:27" ht="15" thickTop="1" thickBot="1">
      <c r="D181" s="66"/>
      <c r="E181" s="52" t="s">
        <v>626</v>
      </c>
      <c r="F181" s="7"/>
      <c r="G181" s="8"/>
      <c r="H181" s="7"/>
      <c r="I181" s="6"/>
      <c r="J181" s="7"/>
      <c r="K181" s="8"/>
      <c r="L181" s="7"/>
      <c r="M181" s="8"/>
      <c r="N181" s="7"/>
      <c r="O181" s="8"/>
      <c r="P181" s="7"/>
      <c r="Q181" s="7"/>
      <c r="R181" s="8"/>
      <c r="S181" s="7"/>
      <c r="T181" s="9"/>
      <c r="U181" s="7"/>
      <c r="V181" s="8"/>
      <c r="W181" s="7"/>
      <c r="X181" s="7"/>
      <c r="Y181" s="8"/>
      <c r="Z181" s="7"/>
      <c r="AA181" s="8"/>
    </row>
    <row r="182" spans="4:27" ht="15" thickTop="1" thickBot="1">
      <c r="D182" s="66"/>
      <c r="E182" s="52" t="s">
        <v>637</v>
      </c>
      <c r="F182" s="7"/>
      <c r="G182" s="8"/>
      <c r="H182" s="7"/>
      <c r="I182" s="6"/>
      <c r="J182" s="7"/>
      <c r="K182" s="8"/>
      <c r="L182" s="7"/>
      <c r="M182" s="8"/>
      <c r="N182" s="7"/>
      <c r="O182" s="8"/>
      <c r="P182" s="7"/>
      <c r="Q182" s="7"/>
      <c r="R182" s="8"/>
      <c r="S182" s="7"/>
      <c r="T182" s="9"/>
      <c r="U182" s="7"/>
      <c r="V182" s="8"/>
      <c r="W182" s="7"/>
      <c r="X182" s="7"/>
      <c r="Y182" s="8"/>
      <c r="Z182" s="7"/>
      <c r="AA182" s="8"/>
    </row>
    <row r="183" spans="4:27" ht="15" thickTop="1" thickBot="1">
      <c r="D183" s="66"/>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5" thickTop="1" thickBot="1">
      <c r="D184" s="66"/>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5" thickTop="1" thickBot="1">
      <c r="D185" s="66"/>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5" thickTop="1" thickBot="1">
      <c r="D186" s="66"/>
      <c r="E186" s="52" t="s">
        <v>622</v>
      </c>
      <c r="F186" s="7"/>
      <c r="G186" s="8"/>
      <c r="H186" s="7"/>
      <c r="I186" s="6"/>
      <c r="J186" s="7"/>
      <c r="K186" s="8"/>
      <c r="L186" s="7"/>
      <c r="M186" s="8"/>
      <c r="N186" s="7"/>
      <c r="O186" s="8"/>
      <c r="P186" s="7"/>
      <c r="Q186" s="7"/>
      <c r="R186" s="8"/>
      <c r="S186" s="7"/>
      <c r="T186" s="9"/>
      <c r="U186" s="7"/>
      <c r="V186" s="8"/>
      <c r="W186" s="7"/>
      <c r="X186" s="7"/>
      <c r="Y186" s="8"/>
      <c r="Z186" s="7"/>
      <c r="AA186" s="8"/>
    </row>
    <row r="187" spans="4:27" ht="15" thickTop="1" thickBot="1">
      <c r="D187" s="66"/>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5" thickTop="1" thickBot="1">
      <c r="D188" s="66"/>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5" thickTop="1" thickBot="1">
      <c r="D189" s="66"/>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5" thickTop="1" thickBot="1">
      <c r="D190" s="66"/>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5" thickTop="1" thickBot="1">
      <c r="D191" s="66"/>
      <c r="E191" s="52" t="s">
        <v>653</v>
      </c>
      <c r="F191" s="7"/>
      <c r="G191" s="8"/>
      <c r="H191" s="7"/>
      <c r="I191" s="6"/>
      <c r="J191" s="7"/>
      <c r="K191" s="8"/>
      <c r="L191" s="7"/>
      <c r="M191" s="8"/>
      <c r="N191" s="7"/>
      <c r="O191" s="8"/>
      <c r="P191" s="7"/>
      <c r="Q191" s="7"/>
      <c r="R191" s="8"/>
      <c r="S191" s="7"/>
      <c r="T191" s="9"/>
      <c r="U191" s="7"/>
      <c r="V191" s="8"/>
      <c r="W191" s="7"/>
      <c r="X191" s="7"/>
      <c r="Y191" s="8"/>
      <c r="Z191" s="7"/>
      <c r="AA191" s="8"/>
    </row>
    <row r="192" spans="4:27" ht="15" thickTop="1" thickBot="1">
      <c r="D192" s="66"/>
      <c r="E192" s="52" t="s">
        <v>660</v>
      </c>
      <c r="F192" s="7"/>
      <c r="G192" s="8"/>
      <c r="H192" s="7"/>
      <c r="I192" s="6"/>
      <c r="J192" s="7"/>
      <c r="K192" s="8"/>
      <c r="L192" s="7"/>
      <c r="M192" s="8"/>
      <c r="N192" s="7"/>
      <c r="O192" s="8"/>
      <c r="P192" s="7"/>
      <c r="Q192" s="7"/>
      <c r="R192" s="8"/>
      <c r="S192" s="7"/>
      <c r="T192" s="9"/>
      <c r="U192" s="7"/>
      <c r="V192" s="8"/>
      <c r="W192" s="7"/>
      <c r="X192" s="7"/>
      <c r="Y192" s="8"/>
      <c r="Z192" s="7"/>
      <c r="AA192" s="8"/>
    </row>
    <row r="193" spans="4:27" ht="15" thickTop="1" thickBot="1">
      <c r="D193" s="66"/>
      <c r="E193" s="52" t="s">
        <v>651</v>
      </c>
      <c r="F193" s="7"/>
      <c r="G193" s="8"/>
      <c r="H193" s="7"/>
      <c r="I193" s="6"/>
      <c r="J193" s="7"/>
      <c r="K193" s="8"/>
      <c r="L193" s="7"/>
      <c r="M193" s="8"/>
      <c r="N193" s="7"/>
      <c r="O193" s="8"/>
      <c r="P193" s="7"/>
      <c r="Q193" s="7"/>
      <c r="R193" s="8"/>
      <c r="S193" s="7"/>
      <c r="T193" s="9"/>
      <c r="U193" s="7"/>
      <c r="V193" s="8"/>
      <c r="W193" s="7"/>
      <c r="X193" s="7"/>
      <c r="Y193" s="8"/>
      <c r="Z193" s="7"/>
      <c r="AA193" s="8"/>
    </row>
    <row r="194" spans="4:27" ht="15" thickTop="1" thickBot="1">
      <c r="D194" s="66"/>
      <c r="E194" s="52" t="s">
        <v>661</v>
      </c>
      <c r="F194" s="7"/>
      <c r="G194" s="8"/>
      <c r="H194" s="7"/>
      <c r="I194" s="6"/>
      <c r="J194" s="7"/>
      <c r="K194" s="8"/>
      <c r="L194" s="7"/>
      <c r="M194" s="8"/>
      <c r="N194" s="7"/>
      <c r="O194" s="8"/>
      <c r="P194" s="7"/>
      <c r="Q194" s="7"/>
      <c r="R194" s="8"/>
      <c r="S194" s="7"/>
      <c r="T194" s="9"/>
      <c r="U194" s="7"/>
      <c r="V194" s="8"/>
      <c r="W194" s="7"/>
      <c r="X194" s="7"/>
      <c r="Y194" s="8"/>
      <c r="Z194" s="7"/>
      <c r="AA194" s="8"/>
    </row>
    <row r="195" spans="4:27" ht="15" thickTop="1" thickBot="1">
      <c r="D195" s="66"/>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5" thickTop="1" thickBot="1">
      <c r="D196" s="66"/>
      <c r="E196" s="52" t="s">
        <v>649</v>
      </c>
      <c r="F196" s="7"/>
      <c r="G196" s="8"/>
      <c r="H196" s="7"/>
      <c r="I196" s="6"/>
      <c r="J196" s="7"/>
      <c r="K196" s="8"/>
      <c r="L196" s="7"/>
      <c r="M196" s="8"/>
      <c r="N196" s="7"/>
      <c r="O196" s="8"/>
      <c r="P196" s="7"/>
      <c r="Q196" s="7"/>
      <c r="R196" s="8"/>
      <c r="S196" s="7"/>
      <c r="T196" s="9"/>
      <c r="U196" s="7"/>
      <c r="V196" s="8"/>
      <c r="W196" s="7"/>
      <c r="X196" s="7"/>
      <c r="Y196" s="8"/>
      <c r="Z196" s="7"/>
      <c r="AA196" s="8"/>
    </row>
    <row r="197" spans="4:27" ht="15" thickTop="1" thickBot="1">
      <c r="D197" s="66"/>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5" thickTop="1" thickBot="1">
      <c r="D198" s="66"/>
      <c r="E198" s="52" t="s">
        <v>648</v>
      </c>
      <c r="F198" s="7"/>
      <c r="G198" s="8"/>
      <c r="H198" s="7"/>
      <c r="I198" s="6"/>
      <c r="J198" s="7"/>
      <c r="K198" s="8"/>
      <c r="L198" s="7"/>
      <c r="M198" s="8"/>
      <c r="N198" s="7"/>
      <c r="O198" s="8"/>
      <c r="P198" s="7"/>
      <c r="Q198" s="7"/>
      <c r="R198" s="8"/>
      <c r="S198" s="7"/>
      <c r="T198" s="9"/>
      <c r="U198" s="7"/>
      <c r="V198" s="8"/>
      <c r="W198" s="7"/>
      <c r="X198" s="7"/>
      <c r="Y198" s="8"/>
      <c r="Z198" s="7"/>
      <c r="AA198" s="8"/>
    </row>
    <row r="199" spans="4:27" ht="15" thickTop="1" thickBot="1">
      <c r="D199" s="66"/>
      <c r="E199" s="52" t="s">
        <v>662</v>
      </c>
      <c r="F199" s="7"/>
      <c r="G199" s="8"/>
      <c r="H199" s="7"/>
      <c r="I199" s="6"/>
      <c r="J199" s="7"/>
      <c r="K199" s="8"/>
      <c r="L199" s="7"/>
      <c r="M199" s="8"/>
      <c r="N199" s="7"/>
      <c r="O199" s="8"/>
      <c r="P199" s="7"/>
      <c r="Q199" s="7"/>
      <c r="R199" s="8"/>
      <c r="S199" s="7"/>
      <c r="T199" s="9"/>
      <c r="U199" s="7"/>
      <c r="V199" s="8"/>
      <c r="W199" s="7"/>
      <c r="X199" s="7"/>
      <c r="Y199" s="8"/>
      <c r="Z199" s="7"/>
      <c r="AA199" s="8"/>
    </row>
    <row r="200" spans="4:27" ht="15" thickTop="1" thickBot="1">
      <c r="D200" s="66"/>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5" thickTop="1" thickBot="1">
      <c r="D201" s="66"/>
      <c r="E201" s="52" t="s">
        <v>647</v>
      </c>
      <c r="F201" s="7"/>
      <c r="G201" s="8"/>
      <c r="H201" s="7"/>
      <c r="I201" s="6"/>
      <c r="J201" s="7"/>
      <c r="K201" s="8"/>
      <c r="L201" s="7"/>
      <c r="M201" s="8"/>
      <c r="N201" s="7"/>
      <c r="O201" s="8"/>
      <c r="P201" s="7"/>
      <c r="Q201" s="7"/>
      <c r="R201" s="8"/>
      <c r="S201" s="7"/>
      <c r="T201" s="9"/>
      <c r="U201" s="7"/>
      <c r="V201" s="8"/>
      <c r="W201" s="7"/>
      <c r="X201" s="7"/>
      <c r="Y201" s="8"/>
      <c r="Z201" s="7"/>
      <c r="AA201" s="8"/>
    </row>
    <row r="202" spans="4:27" ht="15" thickTop="1" thickBot="1">
      <c r="D202" s="66"/>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5" thickTop="1" thickBot="1">
      <c r="D203" s="66"/>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5" thickTop="1" thickBot="1">
      <c r="D204" s="66"/>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5" thickTop="1" thickBot="1">
      <c r="D205" s="66"/>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5" thickTop="1" thickBot="1">
      <c r="D206" s="66"/>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5" thickTop="1" thickBot="1">
      <c r="D207" s="66"/>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5" thickTop="1" thickBot="1">
      <c r="D208" s="66"/>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5" thickTop="1" thickBot="1">
      <c r="D209" s="66"/>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5" thickTop="1" thickBot="1">
      <c r="D210" s="66"/>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5" thickTop="1" thickBot="1">
      <c r="D211" s="66"/>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5" thickTop="1" thickBot="1">
      <c r="D212" s="66"/>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5" thickTop="1" thickBot="1">
      <c r="D213" s="66"/>
      <c r="E213" s="52" t="s">
        <v>655</v>
      </c>
      <c r="F213" s="7"/>
      <c r="G213" s="8"/>
      <c r="H213" s="7"/>
      <c r="I213" s="6"/>
      <c r="J213" s="7"/>
      <c r="K213" s="8"/>
      <c r="L213" s="7"/>
      <c r="M213" s="8"/>
      <c r="N213" s="7"/>
      <c r="O213" s="8"/>
      <c r="P213" s="7"/>
      <c r="Q213" s="7"/>
      <c r="R213" s="8"/>
      <c r="S213" s="7"/>
      <c r="T213" s="9"/>
      <c r="U213" s="7"/>
      <c r="V213" s="8"/>
      <c r="W213" s="7"/>
      <c r="X213" s="7"/>
      <c r="Y213" s="8"/>
      <c r="Z213" s="7"/>
      <c r="AA213" s="8"/>
    </row>
    <row r="214" spans="4:27" ht="15" thickTop="1" thickBot="1">
      <c r="D214" s="66"/>
      <c r="E214" s="52" t="s">
        <v>820</v>
      </c>
      <c r="F214" s="7"/>
      <c r="G214" s="8"/>
      <c r="H214" s="7"/>
      <c r="I214" s="6"/>
      <c r="J214" s="7"/>
      <c r="K214" s="8"/>
      <c r="L214" s="7"/>
      <c r="M214" s="8"/>
      <c r="N214" s="7"/>
      <c r="O214" s="8"/>
      <c r="P214" s="7"/>
      <c r="Q214" s="7"/>
      <c r="R214" s="8"/>
      <c r="S214" s="7"/>
      <c r="T214" s="9"/>
      <c r="U214" s="7"/>
      <c r="V214" s="8"/>
      <c r="W214" s="7"/>
      <c r="X214" s="7"/>
      <c r="Y214" s="8"/>
      <c r="Z214" s="7"/>
      <c r="AA214" s="8"/>
    </row>
    <row r="215" spans="4:27" ht="15" thickTop="1" thickBot="1">
      <c r="D215" s="66"/>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5" thickTop="1" thickBot="1">
      <c r="D216" s="66"/>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5" thickTop="1" thickBot="1">
      <c r="D217" s="66"/>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5" thickTop="1" thickBot="1">
      <c r="D218" s="66"/>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5" thickTop="1" thickBot="1">
      <c r="D219" s="66"/>
      <c r="E219" s="52" t="s">
        <v>658</v>
      </c>
      <c r="F219" s="7"/>
      <c r="G219" s="8"/>
      <c r="H219" s="7"/>
      <c r="I219" s="6"/>
      <c r="J219" s="7"/>
      <c r="K219" s="8"/>
      <c r="L219" s="7"/>
      <c r="M219" s="8"/>
      <c r="N219" s="7"/>
      <c r="O219" s="8"/>
      <c r="P219" s="7"/>
      <c r="Q219" s="7"/>
      <c r="R219" s="8"/>
      <c r="S219" s="7"/>
      <c r="T219" s="9"/>
      <c r="U219" s="7"/>
      <c r="V219" s="8"/>
      <c r="W219" s="7"/>
      <c r="X219" s="7"/>
      <c r="Y219" s="8"/>
      <c r="Z219" s="7"/>
      <c r="AA219" s="8"/>
    </row>
    <row r="220" spans="4:27" ht="15" thickTop="1" thickBot="1">
      <c r="D220" s="66"/>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5" thickTop="1" thickBot="1">
      <c r="D221" s="66"/>
      <c r="E221" s="52" t="s">
        <v>654</v>
      </c>
      <c r="F221" s="7"/>
      <c r="G221" s="8"/>
      <c r="H221" s="7"/>
      <c r="I221" s="6"/>
      <c r="J221" s="7"/>
      <c r="K221" s="8"/>
      <c r="L221" s="7"/>
      <c r="M221" s="8"/>
      <c r="N221" s="7"/>
      <c r="O221" s="8"/>
      <c r="P221" s="7"/>
      <c r="Q221" s="7"/>
      <c r="R221" s="8"/>
      <c r="S221" s="7"/>
      <c r="T221" s="9"/>
      <c r="U221" s="7"/>
      <c r="V221" s="8"/>
      <c r="W221" s="7"/>
      <c r="X221" s="7"/>
      <c r="Y221" s="8"/>
      <c r="Z221" s="7"/>
      <c r="AA221" s="8"/>
    </row>
    <row r="222" spans="4:27" ht="15" thickTop="1" thickBot="1">
      <c r="D222" s="66"/>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5" thickTop="1" thickBot="1">
      <c r="D223" s="66"/>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5" thickTop="1" thickBot="1">
      <c r="D224" s="66"/>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5" thickTop="1" thickBot="1">
      <c r="D225" s="66"/>
      <c r="E225" s="52" t="s">
        <v>650</v>
      </c>
      <c r="F225" s="7"/>
      <c r="G225" s="8"/>
      <c r="H225" s="7"/>
      <c r="I225" s="6"/>
      <c r="J225" s="7"/>
      <c r="K225" s="8"/>
      <c r="L225" s="7"/>
      <c r="M225" s="8"/>
      <c r="N225" s="7"/>
      <c r="O225" s="8"/>
      <c r="P225" s="7"/>
      <c r="Q225" s="7"/>
      <c r="R225" s="8"/>
      <c r="S225" s="7"/>
      <c r="T225" s="9"/>
      <c r="U225" s="7"/>
      <c r="V225" s="8"/>
      <c r="W225" s="7"/>
      <c r="X225" s="7"/>
      <c r="Y225" s="8"/>
      <c r="Z225" s="7"/>
      <c r="AA225" s="8"/>
    </row>
    <row r="226" spans="4:27" ht="15" thickTop="1" thickBot="1">
      <c r="D226" s="66"/>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5" thickTop="1" thickBot="1">
      <c r="D227" s="66"/>
      <c r="E227" s="52" t="s">
        <v>656</v>
      </c>
      <c r="F227" s="7"/>
      <c r="G227" s="8"/>
      <c r="H227" s="7"/>
      <c r="I227" s="6"/>
      <c r="J227" s="7"/>
      <c r="K227" s="8"/>
      <c r="L227" s="7"/>
      <c r="M227" s="8"/>
      <c r="N227" s="7"/>
      <c r="O227" s="8"/>
      <c r="P227" s="7"/>
      <c r="Q227" s="7"/>
      <c r="R227" s="8"/>
      <c r="S227" s="7"/>
      <c r="T227" s="9"/>
      <c r="U227" s="7"/>
      <c r="V227" s="8"/>
      <c r="W227" s="7"/>
      <c r="X227" s="7"/>
      <c r="Y227" s="8"/>
      <c r="Z227" s="7"/>
      <c r="AA227" s="8"/>
    </row>
    <row r="228" spans="4:27" ht="15" thickTop="1" thickBot="1">
      <c r="D228" s="66"/>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5" thickTop="1" thickBot="1">
      <c r="D229" s="66"/>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5" thickTop="1" thickBot="1">
      <c r="D230" s="66"/>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5" thickTop="1" thickBot="1">
      <c r="D231" s="66"/>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5" thickTop="1" thickBot="1">
      <c r="D232" s="66"/>
      <c r="E232" s="52" t="s">
        <v>659</v>
      </c>
      <c r="F232" s="7"/>
      <c r="G232" s="8"/>
      <c r="H232" s="7"/>
      <c r="I232" s="6"/>
      <c r="J232" s="7"/>
      <c r="K232" s="8"/>
      <c r="L232" s="7"/>
      <c r="M232" s="8"/>
      <c r="N232" s="7"/>
      <c r="O232" s="8"/>
      <c r="P232" s="7"/>
      <c r="Q232" s="7"/>
      <c r="R232" s="8"/>
      <c r="S232" s="7"/>
      <c r="T232" s="9"/>
      <c r="U232" s="7"/>
      <c r="V232" s="8"/>
      <c r="W232" s="7"/>
      <c r="X232" s="7"/>
      <c r="Y232" s="8"/>
      <c r="Z232" s="7"/>
      <c r="AA232" s="8"/>
    </row>
    <row r="233" spans="4:27" ht="15" thickTop="1" thickBot="1">
      <c r="D233" s="66"/>
      <c r="E233" s="52" t="s">
        <v>652</v>
      </c>
      <c r="F233" s="7"/>
      <c r="G233" s="8"/>
      <c r="H233" s="7"/>
      <c r="I233" s="6"/>
      <c r="J233" s="7"/>
      <c r="K233" s="8"/>
      <c r="L233" s="7"/>
      <c r="M233" s="8"/>
      <c r="N233" s="7"/>
      <c r="O233" s="8"/>
      <c r="P233" s="7"/>
      <c r="Q233" s="7"/>
      <c r="R233" s="8"/>
      <c r="S233" s="7"/>
      <c r="T233" s="9"/>
      <c r="U233" s="7"/>
      <c r="V233" s="8"/>
      <c r="W233" s="7"/>
      <c r="X233" s="7"/>
      <c r="Y233" s="8"/>
      <c r="Z233" s="7"/>
      <c r="AA233" s="8"/>
    </row>
    <row r="234" spans="4:27" ht="15" thickTop="1" thickBot="1">
      <c r="D234" s="66"/>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5" thickTop="1" thickBot="1">
      <c r="D235" s="66"/>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5" thickTop="1" thickBot="1">
      <c r="D236" s="66"/>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5" thickTop="1" thickBot="1">
      <c r="D237" s="66"/>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5" thickTop="1" thickBot="1">
      <c r="D238" s="66"/>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5" thickTop="1" thickBot="1">
      <c r="D239" s="66"/>
      <c r="E239" s="52" t="s">
        <v>629</v>
      </c>
      <c r="F239" s="7"/>
      <c r="G239" s="8"/>
      <c r="H239" s="7"/>
      <c r="I239" s="6"/>
      <c r="J239" s="7"/>
      <c r="K239" s="8"/>
      <c r="L239" s="7"/>
      <c r="M239" s="8"/>
      <c r="N239" s="7"/>
      <c r="O239" s="8"/>
      <c r="P239" s="7"/>
      <c r="Q239" s="7"/>
      <c r="R239" s="8"/>
      <c r="S239" s="7"/>
      <c r="T239" s="9"/>
      <c r="U239" s="7"/>
      <c r="V239" s="8"/>
      <c r="W239" s="7"/>
      <c r="X239" s="7"/>
      <c r="Y239" s="8"/>
      <c r="Z239" s="7"/>
      <c r="AA239" s="8"/>
    </row>
    <row r="240" spans="4:27" ht="15" thickTop="1" thickBot="1">
      <c r="D240" s="66"/>
      <c r="E240" s="52" t="s">
        <v>640</v>
      </c>
      <c r="F240" s="7"/>
      <c r="G240" s="8"/>
      <c r="H240" s="7"/>
      <c r="I240" s="6"/>
      <c r="J240" s="7"/>
      <c r="K240" s="8"/>
      <c r="L240" s="7"/>
      <c r="M240" s="8"/>
      <c r="N240" s="7"/>
      <c r="O240" s="8"/>
      <c r="P240" s="7"/>
      <c r="Q240" s="7"/>
      <c r="R240" s="8"/>
      <c r="S240" s="7"/>
      <c r="T240" s="9"/>
      <c r="U240" s="7"/>
      <c r="V240" s="8"/>
      <c r="W240" s="7"/>
      <c r="X240" s="7"/>
      <c r="Y240" s="8"/>
      <c r="Z240" s="7"/>
      <c r="AA240" s="8"/>
    </row>
    <row r="241" spans="4:27" ht="15" thickTop="1" thickBot="1">
      <c r="D241" s="66"/>
      <c r="E241" s="52" t="s">
        <v>821</v>
      </c>
      <c r="F241" s="7"/>
      <c r="G241" s="8"/>
      <c r="H241" s="7"/>
      <c r="I241" s="6"/>
      <c r="J241" s="7"/>
      <c r="K241" s="8"/>
      <c r="L241" s="7"/>
      <c r="M241" s="8"/>
      <c r="N241" s="7"/>
      <c r="O241" s="8"/>
      <c r="P241" s="7"/>
      <c r="Q241" s="7"/>
      <c r="R241" s="8"/>
      <c r="S241" s="7"/>
      <c r="T241" s="9"/>
      <c r="U241" s="7"/>
      <c r="V241" s="8"/>
      <c r="W241" s="7"/>
      <c r="X241" s="7"/>
      <c r="Y241" s="8"/>
      <c r="Z241" s="7"/>
      <c r="AA241" s="8"/>
    </row>
    <row r="242" spans="4:27" ht="15" thickTop="1" thickBot="1">
      <c r="D242" s="66"/>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5" thickTop="1" thickBot="1">
      <c r="D243" s="66"/>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5" thickTop="1" thickBot="1">
      <c r="D244" s="66"/>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5" thickTop="1" thickBot="1">
      <c r="D245" s="66"/>
      <c r="E245" s="52" t="s">
        <v>639</v>
      </c>
      <c r="F245" s="7"/>
      <c r="G245" s="8"/>
      <c r="H245" s="7"/>
      <c r="I245" s="6"/>
      <c r="J245" s="7"/>
      <c r="K245" s="8"/>
      <c r="L245" s="7"/>
      <c r="M245" s="8"/>
      <c r="N245" s="7"/>
      <c r="O245" s="8"/>
      <c r="P245" s="7"/>
      <c r="Q245" s="7"/>
      <c r="R245" s="8"/>
      <c r="S245" s="7"/>
      <c r="T245" s="9"/>
      <c r="U245" s="7"/>
      <c r="V245" s="8"/>
      <c r="W245" s="7"/>
      <c r="X245" s="7"/>
      <c r="Y245" s="8"/>
      <c r="Z245" s="7"/>
      <c r="AA245" s="8"/>
    </row>
    <row r="246" spans="4:27" ht="15" thickTop="1" thickBot="1">
      <c r="D246" s="66"/>
      <c r="E246" s="52" t="s">
        <v>641</v>
      </c>
      <c r="F246" s="7"/>
      <c r="G246" s="8"/>
      <c r="H246" s="7"/>
      <c r="I246" s="6"/>
      <c r="J246" s="7"/>
      <c r="K246" s="8"/>
      <c r="L246" s="7"/>
      <c r="M246" s="8"/>
      <c r="N246" s="7"/>
      <c r="O246" s="8"/>
      <c r="P246" s="7"/>
      <c r="Q246" s="7"/>
      <c r="R246" s="8"/>
      <c r="S246" s="7"/>
      <c r="T246" s="9"/>
      <c r="U246" s="7"/>
      <c r="V246" s="8"/>
      <c r="W246" s="7"/>
      <c r="X246" s="7"/>
      <c r="Y246" s="8"/>
      <c r="Z246" s="7"/>
      <c r="AA246" s="8"/>
    </row>
    <row r="247" spans="4:27" ht="15" thickTop="1" thickBot="1">
      <c r="D247" s="66"/>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5" thickTop="1" thickBot="1">
      <c r="D248" s="66"/>
      <c r="E248" s="52" t="s">
        <v>643</v>
      </c>
      <c r="F248" s="7"/>
      <c r="G248" s="8"/>
      <c r="H248" s="7"/>
      <c r="I248" s="6"/>
      <c r="J248" s="7"/>
      <c r="K248" s="8"/>
      <c r="L248" s="7"/>
      <c r="M248" s="8"/>
      <c r="N248" s="7"/>
      <c r="O248" s="8"/>
      <c r="P248" s="7"/>
      <c r="Q248" s="7"/>
      <c r="R248" s="8"/>
      <c r="S248" s="7"/>
      <c r="T248" s="9"/>
      <c r="U248" s="7"/>
      <c r="V248" s="8"/>
      <c r="W248" s="7"/>
      <c r="X248" s="7"/>
      <c r="Y248" s="8"/>
      <c r="Z248" s="7"/>
      <c r="AA248" s="8"/>
    </row>
    <row r="249" spans="4:27" ht="15" thickTop="1" thickBot="1">
      <c r="D249" s="66"/>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5" thickTop="1" thickBot="1">
      <c r="D250" s="66"/>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5" thickTop="1" thickBot="1">
      <c r="D251" s="66"/>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5" thickTop="1" thickBot="1">
      <c r="D252" s="66"/>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5" thickTop="1" thickBot="1">
      <c r="D253" s="66"/>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5" thickTop="1" thickBot="1">
      <c r="D254" s="66"/>
      <c r="E254" s="52" t="s">
        <v>644</v>
      </c>
      <c r="F254" s="7"/>
      <c r="G254" s="8"/>
      <c r="H254" s="7"/>
      <c r="I254" s="6"/>
      <c r="J254" s="7"/>
      <c r="K254" s="8"/>
      <c r="L254" s="7"/>
      <c r="M254" s="8"/>
      <c r="N254" s="7"/>
      <c r="O254" s="8"/>
      <c r="P254" s="7"/>
      <c r="Q254" s="7"/>
      <c r="R254" s="8"/>
      <c r="S254" s="7"/>
      <c r="T254" s="9"/>
      <c r="U254" s="7"/>
      <c r="V254" s="8"/>
      <c r="W254" s="7"/>
      <c r="X254" s="7"/>
      <c r="Y254" s="8"/>
      <c r="Z254" s="7"/>
      <c r="AA254" s="8"/>
    </row>
    <row r="255" spans="4:27" ht="15" thickTop="1" thickBot="1">
      <c r="D255" s="66"/>
      <c r="E255" s="52" t="s">
        <v>642</v>
      </c>
      <c r="F255" s="7"/>
      <c r="G255" s="8"/>
      <c r="H255" s="7"/>
      <c r="I255" s="6"/>
      <c r="J255" s="7"/>
      <c r="K255" s="8"/>
      <c r="L255" s="7"/>
      <c r="M255" s="8"/>
      <c r="N255" s="7"/>
      <c r="O255" s="8"/>
      <c r="P255" s="7"/>
      <c r="Q255" s="7"/>
      <c r="R255" s="8"/>
      <c r="S255" s="7"/>
      <c r="T255" s="9"/>
      <c r="U255" s="7"/>
      <c r="V255" s="8"/>
      <c r="W255" s="7"/>
      <c r="X255" s="7"/>
      <c r="Y255" s="8"/>
      <c r="Z255" s="7"/>
      <c r="AA255" s="8"/>
    </row>
    <row r="256" spans="4:27" ht="15" thickTop="1" thickBot="1">
      <c r="D256" s="66"/>
      <c r="E256" s="52" t="s">
        <v>634</v>
      </c>
      <c r="F256" s="7"/>
      <c r="G256" s="8"/>
      <c r="H256" s="7"/>
      <c r="I256" s="6"/>
      <c r="J256" s="7"/>
      <c r="K256" s="8"/>
      <c r="L256" s="7"/>
      <c r="M256" s="8"/>
      <c r="N256" s="7"/>
      <c r="O256" s="8"/>
      <c r="P256" s="7"/>
      <c r="Q256" s="7"/>
      <c r="R256" s="8"/>
      <c r="S256" s="7"/>
      <c r="T256" s="9"/>
      <c r="U256" s="7"/>
      <c r="V256" s="8"/>
      <c r="W256" s="7"/>
      <c r="X256" s="7"/>
      <c r="Y256" s="8"/>
      <c r="Z256" s="7"/>
      <c r="AA256" s="8"/>
    </row>
    <row r="257" spans="4:27" ht="15" thickTop="1" thickBot="1">
      <c r="D257" s="66"/>
      <c r="E257" s="52" t="s">
        <v>628</v>
      </c>
      <c r="F257" s="7"/>
      <c r="G257" s="8"/>
      <c r="H257" s="7"/>
      <c r="I257" s="6"/>
      <c r="J257" s="7"/>
      <c r="K257" s="8"/>
      <c r="L257" s="7"/>
      <c r="M257" s="8"/>
      <c r="N257" s="7"/>
      <c r="O257" s="8"/>
      <c r="P257" s="7"/>
      <c r="Q257" s="7"/>
      <c r="R257" s="8"/>
      <c r="S257" s="7"/>
      <c r="T257" s="9"/>
      <c r="U257" s="7"/>
      <c r="V257" s="8"/>
      <c r="W257" s="7"/>
      <c r="X257" s="7"/>
      <c r="Y257" s="8"/>
      <c r="Z257" s="7"/>
      <c r="AA257" s="8"/>
    </row>
    <row r="258" spans="4:27" ht="15" thickTop="1" thickBot="1">
      <c r="D258" s="66"/>
      <c r="E258" s="52" t="s">
        <v>630</v>
      </c>
      <c r="F258" s="7"/>
      <c r="G258" s="8"/>
      <c r="H258" s="7"/>
      <c r="I258" s="6"/>
      <c r="J258" s="7"/>
      <c r="K258" s="8"/>
      <c r="L258" s="7"/>
      <c r="M258" s="8"/>
      <c r="N258" s="7"/>
      <c r="O258" s="8"/>
      <c r="P258" s="7"/>
      <c r="Q258" s="7"/>
      <c r="R258" s="8"/>
      <c r="S258" s="7"/>
      <c r="T258" s="9"/>
      <c r="U258" s="7"/>
      <c r="V258" s="8"/>
      <c r="W258" s="7"/>
      <c r="X258" s="7"/>
      <c r="Y258" s="8"/>
      <c r="Z258" s="7"/>
      <c r="AA258" s="8"/>
    </row>
    <row r="259" spans="4:27" ht="15" thickTop="1" thickBot="1">
      <c r="D259" s="66"/>
      <c r="E259" s="52" t="s">
        <v>631</v>
      </c>
      <c r="F259" s="7"/>
      <c r="G259" s="8"/>
      <c r="H259" s="7"/>
      <c r="I259" s="6"/>
      <c r="J259" s="7"/>
      <c r="K259" s="8"/>
      <c r="L259" s="7"/>
      <c r="M259" s="8"/>
      <c r="N259" s="7"/>
      <c r="O259" s="8"/>
      <c r="P259" s="7"/>
      <c r="Q259" s="7"/>
      <c r="R259" s="8"/>
      <c r="S259" s="7"/>
      <c r="T259" s="9"/>
      <c r="U259" s="7"/>
      <c r="V259" s="8"/>
      <c r="W259" s="7"/>
      <c r="X259" s="7"/>
      <c r="Y259" s="8"/>
      <c r="Z259" s="7"/>
      <c r="AA259" s="8"/>
    </row>
    <row r="260" spans="4:27" ht="15" thickTop="1" thickBot="1">
      <c r="D260" s="66"/>
      <c r="E260" s="52" t="s">
        <v>645</v>
      </c>
      <c r="F260" s="7"/>
      <c r="G260" s="8"/>
      <c r="H260" s="7"/>
      <c r="I260" s="6"/>
      <c r="J260" s="7"/>
      <c r="K260" s="8"/>
      <c r="L260" s="7"/>
      <c r="M260" s="8"/>
      <c r="N260" s="7"/>
      <c r="O260" s="8"/>
      <c r="P260" s="7"/>
      <c r="Q260" s="7"/>
      <c r="R260" s="8"/>
      <c r="S260" s="7"/>
      <c r="T260" s="9"/>
      <c r="U260" s="7"/>
      <c r="V260" s="8"/>
      <c r="W260" s="7"/>
      <c r="X260" s="7"/>
      <c r="Y260" s="8"/>
      <c r="Z260" s="7"/>
      <c r="AA260" s="8"/>
    </row>
    <row r="261" spans="4:27" ht="15" thickTop="1" thickBot="1">
      <c r="D261" s="66"/>
      <c r="E261" s="52" t="s">
        <v>632</v>
      </c>
      <c r="F261" s="7"/>
      <c r="G261" s="8"/>
      <c r="H261" s="7"/>
      <c r="I261" s="6"/>
      <c r="J261" s="7"/>
      <c r="K261" s="8"/>
      <c r="L261" s="7"/>
      <c r="M261" s="8"/>
      <c r="N261" s="7"/>
      <c r="O261" s="8"/>
      <c r="P261" s="7"/>
      <c r="Q261" s="7"/>
      <c r="R261" s="8"/>
      <c r="S261" s="7"/>
      <c r="T261" s="9"/>
      <c r="U261" s="7"/>
      <c r="V261" s="8"/>
      <c r="W261" s="7"/>
      <c r="X261" s="7"/>
      <c r="Y261" s="8"/>
      <c r="Z261" s="7"/>
      <c r="AA261" s="8"/>
    </row>
    <row r="262" spans="4:27" ht="15" thickTop="1" thickBot="1">
      <c r="D262" s="66"/>
      <c r="E262" s="52" t="s">
        <v>633</v>
      </c>
      <c r="F262" s="7"/>
      <c r="G262" s="8"/>
      <c r="H262" s="7"/>
      <c r="I262" s="6"/>
      <c r="J262" s="7"/>
      <c r="K262" s="8"/>
      <c r="L262" s="7"/>
      <c r="M262" s="8"/>
      <c r="N262" s="7"/>
      <c r="O262" s="8"/>
      <c r="P262" s="7"/>
      <c r="Q262" s="7"/>
      <c r="R262" s="8"/>
      <c r="S262" s="7"/>
      <c r="T262" s="9"/>
      <c r="U262" s="7"/>
      <c r="V262" s="8"/>
      <c r="W262" s="7"/>
      <c r="X262" s="7"/>
      <c r="Y262" s="8"/>
      <c r="Z262" s="7"/>
      <c r="AA262" s="8"/>
    </row>
    <row r="263" spans="4:27" ht="15" thickTop="1" thickBot="1">
      <c r="D263" s="66"/>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5" thickTop="1" thickBot="1">
      <c r="D264" s="66"/>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5" thickTop="1" thickBot="1">
      <c r="D265" s="66"/>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5" thickTop="1" thickBot="1">
      <c r="D266" s="66"/>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5" thickTop="1" thickBot="1">
      <c r="D267" s="66"/>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5" thickTop="1" thickBot="1">
      <c r="D268" s="66"/>
      <c r="E268" s="52" t="s">
        <v>636</v>
      </c>
      <c r="F268" s="7"/>
      <c r="G268" s="8"/>
      <c r="H268" s="7"/>
      <c r="I268" s="6"/>
      <c r="J268" s="7"/>
      <c r="K268" s="8"/>
      <c r="L268" s="7"/>
      <c r="M268" s="8"/>
      <c r="N268" s="7"/>
      <c r="O268" s="8"/>
      <c r="P268" s="7"/>
      <c r="Q268" s="7"/>
      <c r="R268" s="8"/>
      <c r="S268" s="7"/>
      <c r="T268" s="9"/>
      <c r="U268" s="7"/>
      <c r="V268" s="8"/>
      <c r="W268" s="7"/>
      <c r="X268" s="7"/>
      <c r="Y268" s="8"/>
      <c r="Z268" s="7"/>
      <c r="AA268" s="8"/>
    </row>
    <row r="269" spans="4:27" ht="15" thickTop="1" thickBot="1">
      <c r="D269" s="66"/>
      <c r="E269" s="52" t="s">
        <v>638</v>
      </c>
      <c r="F269" s="7"/>
      <c r="G269" s="8"/>
      <c r="H269" s="7"/>
      <c r="I269" s="6"/>
      <c r="J269" s="7"/>
      <c r="K269" s="8"/>
      <c r="L269" s="7"/>
      <c r="M269" s="8"/>
      <c r="N269" s="7"/>
      <c r="O269" s="8"/>
      <c r="P269" s="7"/>
      <c r="Q269" s="7"/>
      <c r="R269" s="8"/>
      <c r="S269" s="7"/>
      <c r="T269" s="9"/>
      <c r="U269" s="7"/>
      <c r="V269" s="8"/>
      <c r="W269" s="7"/>
      <c r="X269" s="7"/>
      <c r="Y269" s="8"/>
      <c r="Z269" s="7"/>
      <c r="AA269" s="8"/>
    </row>
    <row r="270" spans="4:27" ht="15" thickTop="1" thickBot="1">
      <c r="D270" s="66"/>
      <c r="E270" s="52" t="s">
        <v>989</v>
      </c>
      <c r="F270" s="7"/>
      <c r="G270" s="8"/>
      <c r="H270" s="7"/>
      <c r="I270" s="6"/>
      <c r="J270" s="7"/>
      <c r="K270" s="8"/>
      <c r="L270" s="7"/>
      <c r="M270" s="8"/>
      <c r="N270" s="7"/>
      <c r="O270" s="8"/>
      <c r="P270" s="7"/>
      <c r="Q270" s="7"/>
      <c r="R270" s="8"/>
      <c r="S270" s="7"/>
      <c r="T270" s="9"/>
      <c r="U270" s="7"/>
      <c r="V270" s="8"/>
      <c r="W270" s="7"/>
      <c r="X270" s="7"/>
      <c r="Y270" s="8"/>
      <c r="Z270" s="7"/>
      <c r="AA270" s="8"/>
    </row>
    <row r="271" spans="4:27" ht="15" thickTop="1" thickBot="1">
      <c r="D271" s="66"/>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5" thickTop="1" thickBot="1">
      <c r="D272" s="66"/>
      <c r="E272" s="52" t="s">
        <v>814</v>
      </c>
      <c r="F272" s="7"/>
      <c r="G272" s="8"/>
      <c r="H272" s="7"/>
      <c r="I272" s="6"/>
      <c r="J272" s="7"/>
      <c r="K272" s="8"/>
      <c r="L272" s="7"/>
      <c r="M272" s="8"/>
      <c r="N272" s="7"/>
      <c r="O272" s="8"/>
      <c r="P272" s="7"/>
      <c r="Q272" s="7"/>
      <c r="R272" s="8"/>
      <c r="S272" s="7"/>
      <c r="T272" s="9"/>
      <c r="U272" s="7"/>
      <c r="V272" s="8"/>
      <c r="W272" s="7"/>
      <c r="X272" s="7"/>
      <c r="Y272" s="8"/>
      <c r="Z272" s="7"/>
      <c r="AA272" s="8"/>
    </row>
    <row r="273" spans="4:27" ht="15" thickTop="1" thickBot="1">
      <c r="D273" s="66"/>
      <c r="E273" s="52" t="s">
        <v>990</v>
      </c>
      <c r="F273" s="7"/>
      <c r="G273" s="8"/>
      <c r="H273" s="7"/>
      <c r="I273" s="6"/>
      <c r="J273" s="7"/>
      <c r="K273" s="8"/>
      <c r="L273" s="7"/>
      <c r="M273" s="8"/>
      <c r="N273" s="7"/>
      <c r="O273" s="8"/>
      <c r="P273" s="7"/>
      <c r="Q273" s="7"/>
      <c r="R273" s="8"/>
      <c r="S273" s="7"/>
      <c r="T273" s="9"/>
      <c r="U273" s="7"/>
      <c r="V273" s="8"/>
      <c r="W273" s="7"/>
      <c r="X273" s="7"/>
      <c r="Y273" s="8"/>
      <c r="Z273" s="7"/>
      <c r="AA273" s="8"/>
    </row>
    <row r="274" spans="4:27" ht="15" thickTop="1" thickBot="1">
      <c r="D274" s="66"/>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5" thickTop="1" thickBot="1">
      <c r="D275" s="66"/>
      <c r="E275" s="52" t="s">
        <v>822</v>
      </c>
      <c r="F275" s="7"/>
      <c r="G275" s="8"/>
      <c r="H275" s="7"/>
      <c r="I275" s="6"/>
      <c r="J275" s="7"/>
      <c r="K275" s="8"/>
      <c r="L275" s="7"/>
      <c r="M275" s="8"/>
      <c r="N275" s="7"/>
      <c r="O275" s="8"/>
      <c r="P275" s="7"/>
      <c r="Q275" s="7"/>
      <c r="R275" s="8"/>
      <c r="S275" s="7"/>
      <c r="T275" s="9"/>
      <c r="U275" s="7"/>
      <c r="V275" s="8"/>
      <c r="W275" s="7"/>
      <c r="X275" s="7"/>
      <c r="Y275" s="8"/>
      <c r="Z275" s="7"/>
      <c r="AA275" s="8"/>
    </row>
    <row r="276" spans="4:27" ht="15" thickTop="1" thickBot="1">
      <c r="D276" s="66"/>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5" thickTop="1" thickBot="1">
      <c r="D277" s="66"/>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5" thickTop="1" thickBot="1">
      <c r="D278" s="66"/>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5" thickTop="1" thickBot="1">
      <c r="D279" s="66"/>
      <c r="E279" s="52" t="s">
        <v>991</v>
      </c>
      <c r="F279" s="7"/>
      <c r="G279" s="8"/>
      <c r="H279" s="7"/>
      <c r="I279" s="6"/>
      <c r="J279" s="7"/>
      <c r="K279" s="8"/>
      <c r="L279" s="7"/>
      <c r="M279" s="8"/>
      <c r="N279" s="7"/>
      <c r="O279" s="8"/>
      <c r="P279" s="7"/>
      <c r="Q279" s="7"/>
      <c r="R279" s="8"/>
      <c r="S279" s="7"/>
      <c r="T279" s="9"/>
      <c r="U279" s="7"/>
      <c r="V279" s="8"/>
      <c r="W279" s="7"/>
      <c r="X279" s="7"/>
      <c r="Y279" s="8"/>
      <c r="Z279" s="7"/>
      <c r="AA279" s="8"/>
    </row>
    <row r="280" spans="4:27" ht="15" thickTop="1" thickBot="1">
      <c r="D280" s="66"/>
      <c r="E280" s="52" t="s">
        <v>992</v>
      </c>
      <c r="F280" s="7"/>
      <c r="G280" s="8"/>
      <c r="H280" s="7"/>
      <c r="I280" s="6"/>
      <c r="J280" s="7"/>
      <c r="K280" s="8"/>
      <c r="L280" s="7"/>
      <c r="M280" s="8"/>
      <c r="N280" s="7"/>
      <c r="O280" s="8"/>
      <c r="P280" s="7"/>
      <c r="Q280" s="7"/>
      <c r="R280" s="8"/>
      <c r="S280" s="7"/>
      <c r="T280" s="9"/>
      <c r="U280" s="7"/>
      <c r="V280" s="8"/>
      <c r="W280" s="7"/>
      <c r="X280" s="7"/>
      <c r="Y280" s="8"/>
      <c r="Z280" s="7"/>
      <c r="AA280" s="8"/>
    </row>
    <row r="281" spans="4:27" ht="15" thickTop="1" thickBot="1">
      <c r="D281" s="66"/>
      <c r="E281" s="52" t="s">
        <v>739</v>
      </c>
      <c r="F281" s="7"/>
      <c r="G281" s="8"/>
      <c r="H281" s="7"/>
      <c r="I281" s="6"/>
      <c r="J281" s="7"/>
      <c r="K281" s="8"/>
      <c r="L281" s="7"/>
      <c r="M281" s="8"/>
      <c r="N281" s="7"/>
      <c r="O281" s="8"/>
      <c r="P281" s="7"/>
      <c r="Q281" s="7"/>
      <c r="R281" s="8"/>
      <c r="S281" s="7"/>
      <c r="T281" s="9"/>
      <c r="U281" s="7"/>
      <c r="V281" s="8"/>
      <c r="W281" s="7"/>
      <c r="X281" s="7"/>
      <c r="Y281" s="8"/>
      <c r="Z281" s="7"/>
      <c r="AA281" s="8"/>
    </row>
    <row r="282" spans="4:27" ht="15" thickTop="1" thickBot="1">
      <c r="D282" s="66"/>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5" thickTop="1" thickBot="1">
      <c r="D283" s="66"/>
      <c r="E283" s="52" t="s">
        <v>825</v>
      </c>
      <c r="F283" s="7"/>
      <c r="G283" s="8"/>
      <c r="H283" s="7"/>
      <c r="I283" s="6"/>
      <c r="J283" s="7"/>
      <c r="K283" s="8"/>
      <c r="L283" s="7"/>
      <c r="M283" s="8"/>
      <c r="N283" s="7"/>
      <c r="O283" s="8"/>
      <c r="P283" s="7"/>
      <c r="Q283" s="7"/>
      <c r="R283" s="8"/>
      <c r="S283" s="7"/>
      <c r="T283" s="9"/>
      <c r="U283" s="7"/>
      <c r="V283" s="8"/>
      <c r="W283" s="7"/>
      <c r="X283" s="7"/>
      <c r="Y283" s="8"/>
      <c r="Z283" s="7"/>
      <c r="AA283" s="8"/>
    </row>
    <row r="284" spans="4:27" ht="15" thickTop="1" thickBot="1">
      <c r="D284" s="66"/>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5" thickTop="1" thickBot="1">
      <c r="D285" s="66"/>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5" thickTop="1" thickBot="1">
      <c r="D286" s="66"/>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5" thickTop="1" thickBot="1">
      <c r="D287" s="66"/>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5" thickTop="1" thickBot="1">
      <c r="D288" s="66"/>
      <c r="E288" s="52" t="s">
        <v>785</v>
      </c>
      <c r="F288" s="7"/>
      <c r="G288" s="8"/>
      <c r="H288" s="7"/>
      <c r="I288" s="6"/>
      <c r="J288" s="7"/>
      <c r="K288" s="8"/>
      <c r="L288" s="7"/>
      <c r="M288" s="8"/>
      <c r="N288" s="7"/>
      <c r="O288" s="8"/>
      <c r="P288" s="7"/>
      <c r="Q288" s="7"/>
      <c r="R288" s="8"/>
      <c r="S288" s="7"/>
      <c r="T288" s="9"/>
      <c r="U288" s="7"/>
      <c r="V288" s="8"/>
      <c r="W288" s="7"/>
      <c r="X288" s="7"/>
      <c r="Y288" s="8"/>
      <c r="Z288" s="7"/>
      <c r="AA288" s="8"/>
    </row>
    <row r="289" spans="4:27" ht="15" thickTop="1" thickBot="1">
      <c r="D289" s="66"/>
      <c r="E289" s="52" t="s">
        <v>786</v>
      </c>
      <c r="F289" s="7"/>
      <c r="G289" s="8"/>
      <c r="H289" s="7"/>
      <c r="I289" s="6"/>
      <c r="J289" s="7"/>
      <c r="K289" s="8"/>
      <c r="L289" s="7"/>
      <c r="M289" s="8"/>
      <c r="N289" s="7"/>
      <c r="O289" s="8"/>
      <c r="P289" s="7"/>
      <c r="Q289" s="7"/>
      <c r="R289" s="8"/>
      <c r="S289" s="7"/>
      <c r="T289" s="9"/>
      <c r="U289" s="7"/>
      <c r="V289" s="8"/>
      <c r="W289" s="7"/>
      <c r="X289" s="7"/>
      <c r="Y289" s="8"/>
      <c r="Z289" s="7"/>
      <c r="AA289" s="8"/>
    </row>
    <row r="290" spans="4:27" ht="15" thickTop="1" thickBot="1">
      <c r="D290" s="66"/>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5" thickTop="1" thickBot="1">
      <c r="D291" s="66"/>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5" thickTop="1" thickBot="1">
      <c r="D292" s="66"/>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5" thickTop="1" thickBot="1">
      <c r="D293" s="66"/>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5" thickTop="1" thickBot="1">
      <c r="D294" s="66"/>
      <c r="E294" s="52" t="s">
        <v>792</v>
      </c>
      <c r="F294" s="7"/>
      <c r="G294" s="8"/>
      <c r="H294" s="7"/>
      <c r="I294" s="6"/>
      <c r="J294" s="7"/>
      <c r="K294" s="8"/>
      <c r="L294" s="7"/>
      <c r="M294" s="8"/>
      <c r="N294" s="7"/>
      <c r="O294" s="8"/>
      <c r="P294" s="7"/>
      <c r="Q294" s="7"/>
      <c r="R294" s="8"/>
      <c r="S294" s="7"/>
      <c r="T294" s="9"/>
      <c r="U294" s="7"/>
      <c r="V294" s="8"/>
      <c r="W294" s="7"/>
      <c r="X294" s="7"/>
      <c r="Y294" s="8"/>
      <c r="Z294" s="7"/>
      <c r="AA294" s="8"/>
    </row>
    <row r="295" spans="4:27" ht="15" thickTop="1" thickBot="1">
      <c r="D295" s="66"/>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5" thickTop="1" thickBot="1">
      <c r="D296" s="66"/>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5" thickTop="1" thickBot="1">
      <c r="D297" s="66"/>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5" thickTop="1" thickBot="1">
      <c r="D298" s="66"/>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5" thickTop="1" thickBot="1">
      <c r="D299" s="66"/>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5" thickTop="1" thickBot="1">
      <c r="D300" s="66"/>
      <c r="E300" s="52" t="s">
        <v>793</v>
      </c>
      <c r="F300" s="7"/>
      <c r="G300" s="8"/>
      <c r="H300" s="7"/>
      <c r="I300" s="6"/>
      <c r="J300" s="7"/>
      <c r="K300" s="8"/>
      <c r="L300" s="7"/>
      <c r="M300" s="8"/>
      <c r="N300" s="7"/>
      <c r="O300" s="8"/>
      <c r="P300" s="7"/>
      <c r="Q300" s="7"/>
      <c r="R300" s="8"/>
      <c r="S300" s="7"/>
      <c r="T300" s="9"/>
      <c r="U300" s="7"/>
      <c r="V300" s="8"/>
      <c r="W300" s="7"/>
      <c r="X300" s="7"/>
      <c r="Y300" s="8"/>
      <c r="Z300" s="7"/>
      <c r="AA300" s="8"/>
    </row>
    <row r="301" spans="4:27" ht="15" thickTop="1" thickBot="1">
      <c r="D301" s="66"/>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5" thickTop="1" thickBot="1">
      <c r="D302" s="66"/>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5" thickTop="1" thickBot="1">
      <c r="D303" s="66"/>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5" thickTop="1" thickBot="1">
      <c r="D304" s="66"/>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5" thickTop="1" thickBot="1">
      <c r="D305" s="66"/>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5" thickTop="1" thickBot="1">
      <c r="D306" s="66"/>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5" thickTop="1" thickBot="1">
      <c r="D307" s="66"/>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5" thickTop="1" thickBot="1">
      <c r="D308" s="66"/>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5" thickTop="1" thickBot="1">
      <c r="D309" s="66"/>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5" thickTop="1" thickBot="1">
      <c r="D310" s="66"/>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5" thickTop="1" thickBot="1">
      <c r="D311" s="66"/>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5" thickTop="1" thickBot="1">
      <c r="D312" s="66"/>
      <c r="E312" s="52" t="s">
        <v>800</v>
      </c>
      <c r="F312" s="7"/>
      <c r="G312" s="8"/>
      <c r="H312" s="7"/>
      <c r="I312" s="6"/>
      <c r="J312" s="7"/>
      <c r="K312" s="8"/>
      <c r="L312" s="7"/>
      <c r="M312" s="8"/>
      <c r="N312" s="7"/>
      <c r="O312" s="8"/>
      <c r="P312" s="7"/>
      <c r="Q312" s="7"/>
      <c r="R312" s="8"/>
      <c r="S312" s="7"/>
      <c r="T312" s="9"/>
      <c r="U312" s="7"/>
      <c r="V312" s="8"/>
      <c r="W312" s="7"/>
      <c r="X312" s="7"/>
      <c r="Y312" s="8"/>
      <c r="Z312" s="7"/>
      <c r="AA312" s="8"/>
    </row>
    <row r="313" spans="4:27" ht="15" thickTop="1" thickBot="1">
      <c r="D313" s="66"/>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5" thickTop="1" thickBot="1">
      <c r="D314" s="66"/>
      <c r="E314" s="52" t="s">
        <v>830</v>
      </c>
      <c r="F314" s="7"/>
      <c r="G314" s="8"/>
      <c r="H314" s="7"/>
      <c r="I314" s="6"/>
      <c r="J314" s="7"/>
      <c r="K314" s="8"/>
      <c r="L314" s="7"/>
      <c r="M314" s="8"/>
      <c r="N314" s="7"/>
      <c r="O314" s="8"/>
      <c r="P314" s="7"/>
      <c r="Q314" s="7"/>
      <c r="R314" s="8"/>
      <c r="S314" s="7"/>
      <c r="T314" s="9"/>
      <c r="U314" s="7"/>
      <c r="V314" s="8"/>
      <c r="W314" s="7"/>
      <c r="X314" s="7"/>
      <c r="Y314" s="8"/>
      <c r="Z314" s="7"/>
      <c r="AA314" s="8"/>
    </row>
    <row r="315" spans="4:27" ht="15" thickTop="1" thickBot="1">
      <c r="D315" s="66"/>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5" thickTop="1" thickBot="1">
      <c r="D316" s="66"/>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5" thickTop="1" thickBot="1">
      <c r="D317" s="66"/>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5" thickTop="1" thickBot="1">
      <c r="D318" s="66"/>
      <c r="E318" s="52" t="s">
        <v>698</v>
      </c>
      <c r="F318" s="7"/>
      <c r="G318" s="8"/>
      <c r="H318" s="7"/>
      <c r="I318" s="6"/>
      <c r="J318" s="7"/>
      <c r="K318" s="8"/>
      <c r="L318" s="7"/>
      <c r="M318" s="8"/>
      <c r="N318" s="7"/>
      <c r="O318" s="8"/>
      <c r="P318" s="7"/>
      <c r="Q318" s="7"/>
      <c r="R318" s="8"/>
      <c r="S318" s="7"/>
      <c r="T318" s="9"/>
      <c r="U318" s="7"/>
      <c r="V318" s="8"/>
      <c r="W318" s="7"/>
      <c r="X318" s="7"/>
      <c r="Y318" s="8"/>
      <c r="Z318" s="7"/>
      <c r="AA318" s="8"/>
    </row>
    <row r="319" spans="4:27" ht="15" thickTop="1" thickBot="1">
      <c r="D319" s="66"/>
      <c r="E319" s="52" t="s">
        <v>701</v>
      </c>
      <c r="F319" s="7"/>
      <c r="G319" s="8"/>
      <c r="H319" s="7"/>
      <c r="I319" s="6"/>
      <c r="J319" s="7"/>
      <c r="K319" s="8"/>
      <c r="L319" s="7"/>
      <c r="M319" s="8"/>
      <c r="N319" s="7"/>
      <c r="O319" s="8"/>
      <c r="P319" s="7"/>
      <c r="Q319" s="7"/>
      <c r="R319" s="8"/>
      <c r="S319" s="7"/>
      <c r="T319" s="9"/>
      <c r="U319" s="7"/>
      <c r="V319" s="8"/>
      <c r="W319" s="7"/>
      <c r="X319" s="7"/>
      <c r="Y319" s="8"/>
      <c r="Z319" s="7"/>
      <c r="AA319" s="8"/>
    </row>
    <row r="320" spans="4:27" ht="15" thickTop="1" thickBot="1">
      <c r="D320" s="66"/>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5" thickTop="1" thickBot="1">
      <c r="D321" s="66"/>
      <c r="E321" s="52" t="s">
        <v>847</v>
      </c>
      <c r="F321" s="7"/>
      <c r="G321" s="8"/>
      <c r="H321" s="7"/>
      <c r="I321" s="6"/>
      <c r="J321" s="7"/>
      <c r="K321" s="8"/>
      <c r="L321" s="7"/>
      <c r="M321" s="8"/>
      <c r="N321" s="7"/>
      <c r="O321" s="8"/>
      <c r="P321" s="7"/>
      <c r="Q321" s="7"/>
      <c r="R321" s="8"/>
      <c r="S321" s="7"/>
      <c r="T321" s="9"/>
      <c r="U321" s="7"/>
      <c r="V321" s="8"/>
      <c r="W321" s="7"/>
      <c r="X321" s="7"/>
      <c r="Y321" s="8"/>
      <c r="Z321" s="7"/>
      <c r="AA321" s="8"/>
    </row>
    <row r="322" spans="4:27" ht="15" thickTop="1" thickBot="1">
      <c r="D322" s="66"/>
      <c r="E322" s="52" t="s">
        <v>993</v>
      </c>
      <c r="F322" s="7"/>
      <c r="G322" s="8"/>
      <c r="H322" s="7"/>
      <c r="I322" s="6"/>
      <c r="J322" s="7"/>
      <c r="K322" s="8"/>
      <c r="L322" s="7"/>
      <c r="M322" s="8"/>
      <c r="N322" s="7"/>
      <c r="O322" s="8"/>
      <c r="P322" s="7"/>
      <c r="Q322" s="7"/>
      <c r="R322" s="8"/>
      <c r="S322" s="7"/>
      <c r="T322" s="9"/>
      <c r="U322" s="7"/>
      <c r="V322" s="8"/>
      <c r="W322" s="7"/>
      <c r="X322" s="7"/>
      <c r="Y322" s="8"/>
      <c r="Z322" s="7"/>
      <c r="AA322" s="8"/>
    </row>
    <row r="323" spans="4:27" ht="15" thickTop="1" thickBot="1">
      <c r="D323" s="66"/>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5" thickTop="1" thickBot="1">
      <c r="D324" s="66"/>
      <c r="E324" s="52" t="s">
        <v>994</v>
      </c>
      <c r="F324" s="7"/>
      <c r="G324" s="8"/>
      <c r="H324" s="7"/>
      <c r="I324" s="6"/>
      <c r="J324" s="7"/>
      <c r="K324" s="8"/>
      <c r="L324" s="7"/>
      <c r="M324" s="8"/>
      <c r="N324" s="7"/>
      <c r="O324" s="8"/>
      <c r="P324" s="7"/>
      <c r="Q324" s="7"/>
      <c r="R324" s="8"/>
      <c r="S324" s="7"/>
      <c r="T324" s="9"/>
      <c r="U324" s="7"/>
      <c r="V324" s="8"/>
      <c r="W324" s="7"/>
      <c r="X324" s="7"/>
      <c r="Y324" s="8"/>
      <c r="Z324" s="7"/>
      <c r="AA324" s="8"/>
    </row>
    <row r="325" spans="4:27" ht="15" thickTop="1" thickBot="1">
      <c r="D325" s="66"/>
      <c r="E325" s="52" t="s">
        <v>718</v>
      </c>
      <c r="F325" s="7"/>
      <c r="G325" s="8"/>
      <c r="H325" s="7"/>
      <c r="I325" s="6"/>
      <c r="J325" s="7"/>
      <c r="K325" s="8"/>
      <c r="L325" s="7"/>
      <c r="M325" s="8"/>
      <c r="N325" s="7"/>
      <c r="O325" s="8"/>
      <c r="P325" s="7"/>
      <c r="Q325" s="7"/>
      <c r="R325" s="8"/>
      <c r="S325" s="7"/>
      <c r="T325" s="9"/>
      <c r="U325" s="7"/>
      <c r="V325" s="8"/>
      <c r="W325" s="7"/>
      <c r="X325" s="7"/>
      <c r="Y325" s="8"/>
      <c r="Z325" s="7"/>
      <c r="AA325" s="8"/>
    </row>
    <row r="326" spans="4:27" ht="15" thickTop="1" thickBot="1">
      <c r="D326" s="66"/>
      <c r="E326" s="52" t="s">
        <v>824</v>
      </c>
      <c r="F326" s="7"/>
      <c r="G326" s="8"/>
      <c r="H326" s="7"/>
      <c r="I326" s="6"/>
      <c r="J326" s="7"/>
      <c r="K326" s="8"/>
      <c r="L326" s="7"/>
      <c r="M326" s="8"/>
      <c r="N326" s="7"/>
      <c r="O326" s="8"/>
      <c r="P326" s="7"/>
      <c r="Q326" s="7"/>
      <c r="R326" s="8"/>
      <c r="S326" s="7"/>
      <c r="T326" s="9"/>
      <c r="U326" s="7"/>
      <c r="V326" s="8"/>
      <c r="W326" s="7"/>
      <c r="X326" s="7"/>
      <c r="Y326" s="8"/>
      <c r="Z326" s="7"/>
      <c r="AA326" s="8"/>
    </row>
    <row r="327" spans="4:27" ht="15" thickTop="1" thickBot="1">
      <c r="D327" s="66"/>
      <c r="E327" s="52" t="s">
        <v>707</v>
      </c>
      <c r="F327" s="7"/>
      <c r="G327" s="8"/>
      <c r="H327" s="7"/>
      <c r="I327" s="6"/>
      <c r="J327" s="7"/>
      <c r="K327" s="8"/>
      <c r="L327" s="7"/>
      <c r="M327" s="8"/>
      <c r="N327" s="7"/>
      <c r="O327" s="8"/>
      <c r="P327" s="7"/>
      <c r="Q327" s="7"/>
      <c r="R327" s="8"/>
      <c r="S327" s="7"/>
      <c r="T327" s="9"/>
      <c r="U327" s="7"/>
      <c r="V327" s="8"/>
      <c r="W327" s="7"/>
      <c r="X327" s="7"/>
      <c r="Y327" s="8"/>
      <c r="Z327" s="7"/>
      <c r="AA327" s="8"/>
    </row>
    <row r="328" spans="4:27" ht="15" thickTop="1" thickBot="1">
      <c r="D328" s="66"/>
      <c r="E328" s="52" t="s">
        <v>995</v>
      </c>
      <c r="F328" s="7"/>
      <c r="G328" s="8"/>
      <c r="H328" s="7"/>
      <c r="I328" s="6"/>
      <c r="J328" s="7"/>
      <c r="K328" s="8"/>
      <c r="L328" s="7"/>
      <c r="M328" s="8"/>
      <c r="N328" s="7"/>
      <c r="O328" s="8"/>
      <c r="P328" s="7"/>
      <c r="Q328" s="7"/>
      <c r="R328" s="8"/>
      <c r="S328" s="7"/>
      <c r="T328" s="9"/>
      <c r="U328" s="7"/>
      <c r="V328" s="8"/>
      <c r="W328" s="7"/>
      <c r="X328" s="7"/>
      <c r="Y328" s="8"/>
      <c r="Z328" s="7"/>
      <c r="AA328" s="8"/>
    </row>
    <row r="329" spans="4:27" ht="15" thickTop="1" thickBot="1">
      <c r="D329" s="66"/>
      <c r="E329" s="52" t="s">
        <v>996</v>
      </c>
      <c r="F329" s="7"/>
      <c r="G329" s="8"/>
      <c r="H329" s="7"/>
      <c r="I329" s="6"/>
      <c r="J329" s="7"/>
      <c r="K329" s="8"/>
      <c r="L329" s="7"/>
      <c r="M329" s="8"/>
      <c r="N329" s="7"/>
      <c r="O329" s="8"/>
      <c r="P329" s="7"/>
      <c r="Q329" s="7"/>
      <c r="R329" s="8"/>
      <c r="S329" s="7"/>
      <c r="T329" s="9"/>
      <c r="U329" s="7"/>
      <c r="V329" s="8"/>
      <c r="W329" s="7"/>
      <c r="X329" s="7"/>
      <c r="Y329" s="8"/>
      <c r="Z329" s="7"/>
      <c r="AA329" s="8"/>
    </row>
    <row r="330" spans="4:27" ht="15" thickTop="1" thickBot="1">
      <c r="D330" s="66"/>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5" thickTop="1" thickBot="1">
      <c r="D331" s="66"/>
      <c r="E331" s="52" t="s">
        <v>997</v>
      </c>
      <c r="F331" s="7"/>
      <c r="G331" s="8"/>
      <c r="H331" s="7"/>
      <c r="I331" s="6"/>
      <c r="J331" s="7"/>
      <c r="K331" s="8"/>
      <c r="L331" s="7"/>
      <c r="M331" s="8"/>
      <c r="N331" s="7"/>
      <c r="O331" s="8"/>
      <c r="P331" s="7"/>
      <c r="Q331" s="7"/>
      <c r="R331" s="8"/>
      <c r="S331" s="7"/>
      <c r="T331" s="9"/>
      <c r="U331" s="7"/>
      <c r="V331" s="8"/>
      <c r="W331" s="7"/>
      <c r="X331" s="7"/>
      <c r="Y331" s="8"/>
      <c r="Z331" s="7"/>
      <c r="AA331" s="8"/>
    </row>
    <row r="332" spans="4:27" ht="15" thickTop="1" thickBot="1">
      <c r="D332" s="66"/>
      <c r="E332" s="52" t="s">
        <v>998</v>
      </c>
      <c r="F332" s="7"/>
      <c r="G332" s="8"/>
      <c r="H332" s="7"/>
      <c r="I332" s="6"/>
      <c r="J332" s="7"/>
      <c r="K332" s="8"/>
      <c r="L332" s="7"/>
      <c r="M332" s="8"/>
      <c r="N332" s="7"/>
      <c r="O332" s="8"/>
      <c r="P332" s="7"/>
      <c r="Q332" s="7"/>
      <c r="R332" s="8"/>
      <c r="S332" s="7"/>
      <c r="T332" s="9"/>
      <c r="U332" s="7"/>
      <c r="V332" s="8"/>
      <c r="W332" s="7"/>
      <c r="X332" s="7"/>
      <c r="Y332" s="8"/>
      <c r="Z332" s="7"/>
      <c r="AA332" s="8"/>
    </row>
    <row r="333" spans="4:27" ht="15" thickTop="1" thickBot="1">
      <c r="D333" s="66"/>
      <c r="E333" s="52" t="s">
        <v>841</v>
      </c>
      <c r="F333" s="7"/>
      <c r="G333" s="8"/>
      <c r="H333" s="7"/>
      <c r="I333" s="6"/>
      <c r="J333" s="7"/>
      <c r="K333" s="8"/>
      <c r="L333" s="7"/>
      <c r="M333" s="8"/>
      <c r="N333" s="7"/>
      <c r="O333" s="8"/>
      <c r="P333" s="7"/>
      <c r="Q333" s="7"/>
      <c r="R333" s="8"/>
      <c r="S333" s="7"/>
      <c r="T333" s="9"/>
      <c r="U333" s="7"/>
      <c r="V333" s="8"/>
      <c r="W333" s="7"/>
      <c r="X333" s="7"/>
      <c r="Y333" s="8"/>
      <c r="Z333" s="7"/>
      <c r="AA333" s="8"/>
    </row>
    <row r="334" spans="4:27" ht="15" thickTop="1" thickBot="1">
      <c r="D334" s="66"/>
      <c r="E334" s="52" t="s">
        <v>706</v>
      </c>
      <c r="F334" s="7"/>
      <c r="G334" s="8"/>
      <c r="H334" s="7"/>
      <c r="I334" s="6"/>
      <c r="J334" s="7"/>
      <c r="K334" s="8"/>
      <c r="L334" s="7"/>
      <c r="M334" s="8"/>
      <c r="N334" s="7"/>
      <c r="O334" s="8"/>
      <c r="P334" s="7"/>
      <c r="Q334" s="7"/>
      <c r="R334" s="8"/>
      <c r="S334" s="7"/>
      <c r="T334" s="9"/>
      <c r="U334" s="7"/>
      <c r="V334" s="8"/>
      <c r="W334" s="7"/>
      <c r="X334" s="7"/>
      <c r="Y334" s="8"/>
      <c r="Z334" s="7"/>
      <c r="AA334" s="8"/>
    </row>
    <row r="335" spans="4:27" ht="15" thickTop="1" thickBot="1">
      <c r="D335" s="66"/>
      <c r="E335" s="52" t="s">
        <v>999</v>
      </c>
      <c r="F335" s="7"/>
      <c r="G335" s="8"/>
      <c r="H335" s="7"/>
      <c r="I335" s="6"/>
      <c r="J335" s="7"/>
      <c r="K335" s="8"/>
      <c r="L335" s="7"/>
      <c r="M335" s="8"/>
      <c r="N335" s="7"/>
      <c r="O335" s="8"/>
      <c r="P335" s="7"/>
      <c r="Q335" s="7"/>
      <c r="R335" s="8"/>
      <c r="S335" s="7"/>
      <c r="T335" s="9"/>
      <c r="U335" s="7"/>
      <c r="V335" s="8"/>
      <c r="W335" s="7"/>
      <c r="X335" s="7"/>
      <c r="Y335" s="8"/>
      <c r="Z335" s="7"/>
      <c r="AA335" s="8"/>
    </row>
    <row r="336" spans="4:27" ht="15" thickTop="1" thickBot="1">
      <c r="D336" s="66"/>
      <c r="E336" s="52" t="s">
        <v>725</v>
      </c>
      <c r="F336" s="7"/>
      <c r="G336" s="8"/>
      <c r="H336" s="7"/>
      <c r="I336" s="6"/>
      <c r="J336" s="7"/>
      <c r="K336" s="8"/>
      <c r="L336" s="7"/>
      <c r="M336" s="8"/>
      <c r="N336" s="7"/>
      <c r="O336" s="8"/>
      <c r="P336" s="7"/>
      <c r="Q336" s="7"/>
      <c r="R336" s="8"/>
      <c r="S336" s="7"/>
      <c r="T336" s="9"/>
      <c r="U336" s="7"/>
      <c r="V336" s="8"/>
      <c r="W336" s="7"/>
      <c r="X336" s="7"/>
      <c r="Y336" s="8"/>
      <c r="Z336" s="7"/>
      <c r="AA336" s="8"/>
    </row>
    <row r="337" spans="4:27" ht="15" thickTop="1" thickBot="1">
      <c r="D337" s="66"/>
      <c r="E337" s="52" t="s">
        <v>708</v>
      </c>
      <c r="F337" s="7"/>
      <c r="G337" s="8"/>
      <c r="H337" s="7"/>
      <c r="I337" s="6"/>
      <c r="J337" s="7"/>
      <c r="K337" s="8"/>
      <c r="L337" s="7"/>
      <c r="M337" s="8"/>
      <c r="N337" s="7"/>
      <c r="O337" s="8"/>
      <c r="P337" s="7"/>
      <c r="Q337" s="7"/>
      <c r="R337" s="8"/>
      <c r="S337" s="7"/>
      <c r="T337" s="9"/>
      <c r="U337" s="7"/>
      <c r="V337" s="8"/>
      <c r="W337" s="7"/>
      <c r="X337" s="7"/>
      <c r="Y337" s="8"/>
      <c r="Z337" s="7"/>
      <c r="AA337" s="8"/>
    </row>
    <row r="338" spans="4:27" ht="15" thickTop="1" thickBot="1">
      <c r="D338" s="66"/>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5" thickTop="1" thickBot="1">
      <c r="D339" s="66"/>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5" thickTop="1" thickBot="1">
      <c r="D340" s="66"/>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5" thickTop="1" thickBot="1">
      <c r="D341" s="66"/>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5" thickTop="1" thickBot="1">
      <c r="D342" s="66"/>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5" thickTop="1" thickBot="1">
      <c r="D343" s="66"/>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5" thickTop="1" thickBot="1">
      <c r="D344" s="66"/>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5" thickTop="1" thickBot="1">
      <c r="D345" s="66"/>
      <c r="E345" s="52" t="s">
        <v>770</v>
      </c>
      <c r="F345" s="7"/>
      <c r="G345" s="8"/>
      <c r="H345" s="7"/>
      <c r="I345" s="6"/>
      <c r="J345" s="7"/>
      <c r="K345" s="8"/>
      <c r="L345" s="7"/>
      <c r="M345" s="8"/>
      <c r="N345" s="7"/>
      <c r="O345" s="8"/>
      <c r="P345" s="7"/>
      <c r="Q345" s="7"/>
      <c r="R345" s="8"/>
      <c r="S345" s="7"/>
      <c r="T345" s="9"/>
      <c r="U345" s="7"/>
      <c r="V345" s="8"/>
      <c r="W345" s="7"/>
      <c r="X345" s="7"/>
      <c r="Y345" s="8"/>
      <c r="Z345" s="7"/>
      <c r="AA345" s="8"/>
    </row>
    <row r="346" spans="4:27" ht="15" thickTop="1" thickBot="1">
      <c r="D346" s="66"/>
      <c r="E346" s="52" t="s">
        <v>762</v>
      </c>
      <c r="F346" s="7"/>
      <c r="G346" s="8"/>
      <c r="H346" s="7"/>
      <c r="I346" s="6"/>
      <c r="J346" s="7"/>
      <c r="K346" s="8"/>
      <c r="L346" s="7"/>
      <c r="M346" s="8"/>
      <c r="N346" s="7"/>
      <c r="O346" s="8"/>
      <c r="P346" s="7"/>
      <c r="Q346" s="7"/>
      <c r="R346" s="8"/>
      <c r="S346" s="7"/>
      <c r="T346" s="9"/>
      <c r="U346" s="7"/>
      <c r="V346" s="8"/>
      <c r="W346" s="7"/>
      <c r="X346" s="7"/>
      <c r="Y346" s="8"/>
      <c r="Z346" s="7"/>
      <c r="AA346" s="8"/>
    </row>
    <row r="347" spans="4:27" ht="15" thickTop="1" thickBot="1">
      <c r="D347" s="66"/>
      <c r="E347" s="52" t="s">
        <v>758</v>
      </c>
      <c r="F347" s="7"/>
      <c r="G347" s="8"/>
      <c r="H347" s="7"/>
      <c r="I347" s="6"/>
      <c r="J347" s="7"/>
      <c r="K347" s="8"/>
      <c r="L347" s="7"/>
      <c r="M347" s="8"/>
      <c r="N347" s="7"/>
      <c r="O347" s="8"/>
      <c r="P347" s="7"/>
      <c r="Q347" s="7"/>
      <c r="R347" s="8"/>
      <c r="S347" s="7"/>
      <c r="T347" s="9"/>
      <c r="U347" s="7"/>
      <c r="V347" s="8"/>
      <c r="W347" s="7"/>
      <c r="X347" s="7"/>
      <c r="Y347" s="8"/>
      <c r="Z347" s="7"/>
      <c r="AA347" s="8"/>
    </row>
    <row r="348" spans="4:27" ht="15" thickTop="1" thickBot="1">
      <c r="D348" s="66"/>
      <c r="E348" s="52" t="s">
        <v>1000</v>
      </c>
      <c r="F348" s="7"/>
      <c r="G348" s="8"/>
      <c r="H348" s="7"/>
      <c r="I348" s="6"/>
      <c r="J348" s="7"/>
      <c r="K348" s="8"/>
      <c r="L348" s="7"/>
      <c r="M348" s="8"/>
      <c r="N348" s="7"/>
      <c r="O348" s="8"/>
      <c r="P348" s="7"/>
      <c r="Q348" s="7"/>
      <c r="R348" s="8"/>
      <c r="S348" s="7"/>
      <c r="T348" s="9"/>
      <c r="U348" s="7"/>
      <c r="V348" s="8"/>
      <c r="W348" s="7"/>
      <c r="X348" s="7"/>
      <c r="Y348" s="8"/>
      <c r="Z348" s="7"/>
      <c r="AA348" s="8"/>
    </row>
    <row r="349" spans="4:27" ht="15" thickTop="1" thickBot="1">
      <c r="D349" s="66"/>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5" thickTop="1" thickBot="1">
      <c r="D350" s="66"/>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5" thickTop="1" thickBot="1">
      <c r="D351" s="66"/>
      <c r="E351" s="52" t="s">
        <v>749</v>
      </c>
      <c r="F351" s="7"/>
      <c r="G351" s="8"/>
      <c r="H351" s="7"/>
      <c r="I351" s="6"/>
      <c r="J351" s="7"/>
      <c r="K351" s="8"/>
      <c r="L351" s="7"/>
      <c r="M351" s="8"/>
      <c r="N351" s="7"/>
      <c r="O351" s="8"/>
      <c r="P351" s="7"/>
      <c r="Q351" s="7"/>
      <c r="R351" s="8"/>
      <c r="S351" s="7"/>
      <c r="T351" s="9"/>
      <c r="U351" s="7"/>
      <c r="V351" s="8"/>
      <c r="W351" s="7"/>
      <c r="X351" s="7"/>
      <c r="Y351" s="8"/>
      <c r="Z351" s="7"/>
      <c r="AA351" s="8"/>
    </row>
    <row r="352" spans="4:27" ht="15" thickTop="1" thickBot="1">
      <c r="D352" s="66"/>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5" thickTop="1" thickBot="1">
      <c r="D353" s="66"/>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5" thickTop="1" thickBot="1">
      <c r="D354" s="66"/>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5" thickTop="1" thickBot="1">
      <c r="D355" s="66"/>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5" thickTop="1" thickBot="1">
      <c r="D356" s="66"/>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5" thickTop="1" thickBot="1">
      <c r="D357" s="66"/>
      <c r="E357" s="52" t="s">
        <v>740</v>
      </c>
      <c r="F357" s="7"/>
      <c r="G357" s="8"/>
      <c r="H357" s="7"/>
      <c r="I357" s="6"/>
      <c r="J357" s="7"/>
      <c r="K357" s="8"/>
      <c r="L357" s="7"/>
      <c r="M357" s="8"/>
      <c r="N357" s="7"/>
      <c r="O357" s="8"/>
      <c r="P357" s="7"/>
      <c r="Q357" s="7"/>
      <c r="R357" s="8"/>
      <c r="S357" s="7"/>
      <c r="T357" s="9"/>
      <c r="U357" s="7"/>
      <c r="V357" s="8"/>
      <c r="W357" s="7"/>
      <c r="X357" s="7"/>
      <c r="Y357" s="8"/>
      <c r="Z357" s="7"/>
      <c r="AA357" s="8"/>
    </row>
    <row r="358" spans="4:27" ht="15" thickTop="1" thickBot="1">
      <c r="D358" s="66"/>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5" thickTop="1" thickBot="1">
      <c r="D359" s="66"/>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5" thickTop="1" thickBot="1">
      <c r="D360" s="66"/>
      <c r="E360" s="52" t="s">
        <v>1001</v>
      </c>
      <c r="F360" s="7"/>
      <c r="G360" s="8"/>
      <c r="H360" s="7"/>
      <c r="I360" s="6"/>
      <c r="J360" s="7"/>
      <c r="K360" s="8"/>
      <c r="L360" s="7"/>
      <c r="M360" s="8"/>
      <c r="N360" s="7"/>
      <c r="O360" s="8"/>
      <c r="P360" s="7"/>
      <c r="Q360" s="7"/>
      <c r="R360" s="8"/>
      <c r="S360" s="7"/>
      <c r="T360" s="9"/>
      <c r="U360" s="7"/>
      <c r="V360" s="8"/>
      <c r="W360" s="7"/>
      <c r="X360" s="7"/>
      <c r="Y360" s="8"/>
      <c r="Z360" s="7"/>
      <c r="AA360" s="8"/>
    </row>
    <row r="361" spans="4:27" ht="15" thickTop="1" thickBot="1">
      <c r="D361" s="66"/>
      <c r="E361" s="52" t="s">
        <v>834</v>
      </c>
      <c r="F361" s="7"/>
      <c r="G361" s="8"/>
      <c r="H361" s="7"/>
      <c r="I361" s="6"/>
      <c r="J361" s="7"/>
      <c r="K361" s="8"/>
      <c r="L361" s="7"/>
      <c r="M361" s="8"/>
      <c r="N361" s="7"/>
      <c r="O361" s="8"/>
      <c r="P361" s="7"/>
      <c r="Q361" s="7"/>
      <c r="R361" s="8"/>
      <c r="S361" s="7"/>
      <c r="T361" s="9"/>
      <c r="U361" s="7"/>
      <c r="V361" s="8"/>
      <c r="W361" s="7"/>
      <c r="X361" s="7"/>
      <c r="Y361" s="8"/>
      <c r="Z361" s="7"/>
      <c r="AA361" s="8"/>
    </row>
    <row r="362" spans="4:27" ht="15" thickTop="1" thickBot="1">
      <c r="D362" s="66"/>
      <c r="E362" s="52" t="s">
        <v>836</v>
      </c>
      <c r="F362" s="7"/>
      <c r="G362" s="8"/>
      <c r="H362" s="7"/>
      <c r="I362" s="6"/>
      <c r="J362" s="7"/>
      <c r="K362" s="8"/>
      <c r="L362" s="7"/>
      <c r="M362" s="8"/>
      <c r="N362" s="7"/>
      <c r="O362" s="8"/>
      <c r="P362" s="7"/>
      <c r="Q362" s="7"/>
      <c r="R362" s="8"/>
      <c r="S362" s="7"/>
      <c r="T362" s="9"/>
      <c r="U362" s="7"/>
      <c r="V362" s="8"/>
      <c r="W362" s="7"/>
      <c r="X362" s="7"/>
      <c r="Y362" s="8"/>
      <c r="Z362" s="7"/>
      <c r="AA362" s="8"/>
    </row>
    <row r="363" spans="4:27" ht="15" thickTop="1" thickBot="1">
      <c r="D363" s="66"/>
      <c r="E363" s="52" t="s">
        <v>838</v>
      </c>
      <c r="F363" s="7"/>
      <c r="G363" s="8"/>
      <c r="H363" s="7"/>
      <c r="I363" s="6"/>
      <c r="J363" s="7"/>
      <c r="K363" s="8"/>
      <c r="L363" s="7"/>
      <c r="M363" s="8"/>
      <c r="N363" s="7"/>
      <c r="O363" s="8"/>
      <c r="P363" s="7"/>
      <c r="Q363" s="7"/>
      <c r="R363" s="8"/>
      <c r="S363" s="7"/>
      <c r="T363" s="9"/>
      <c r="U363" s="7"/>
      <c r="V363" s="8"/>
      <c r="W363" s="7"/>
      <c r="X363" s="7"/>
      <c r="Y363" s="8"/>
      <c r="Z363" s="7"/>
      <c r="AA363" s="8"/>
    </row>
    <row r="364" spans="4:27" ht="15" thickTop="1" thickBot="1">
      <c r="D364" s="66"/>
      <c r="E364" s="52" t="s">
        <v>1002</v>
      </c>
      <c r="F364" s="7"/>
      <c r="G364" s="8"/>
      <c r="H364" s="7"/>
      <c r="I364" s="6"/>
      <c r="J364" s="7"/>
      <c r="K364" s="8"/>
      <c r="L364" s="7"/>
      <c r="M364" s="8"/>
      <c r="N364" s="7"/>
      <c r="O364" s="8"/>
      <c r="P364" s="7"/>
      <c r="Q364" s="7"/>
      <c r="R364" s="8"/>
      <c r="S364" s="7"/>
      <c r="T364" s="9"/>
      <c r="U364" s="7"/>
      <c r="V364" s="8"/>
      <c r="W364" s="7"/>
      <c r="X364" s="7"/>
      <c r="Y364" s="8"/>
      <c r="Z364" s="7"/>
      <c r="AA364" s="8"/>
    </row>
    <row r="365" spans="4:27" ht="15" thickTop="1" thickBot="1">
      <c r="D365" s="66"/>
      <c r="E365" s="52" t="s">
        <v>839</v>
      </c>
      <c r="F365" s="7"/>
      <c r="G365" s="8"/>
      <c r="H365" s="7"/>
      <c r="I365" s="6"/>
      <c r="J365" s="7"/>
      <c r="K365" s="8"/>
      <c r="L365" s="7"/>
      <c r="M365" s="8"/>
      <c r="N365" s="7"/>
      <c r="O365" s="8"/>
      <c r="P365" s="7"/>
      <c r="Q365" s="7"/>
      <c r="R365" s="8"/>
      <c r="S365" s="7"/>
      <c r="T365" s="9"/>
      <c r="U365" s="7"/>
      <c r="V365" s="8"/>
      <c r="W365" s="7"/>
      <c r="X365" s="7"/>
      <c r="Y365" s="8"/>
      <c r="Z365" s="7"/>
      <c r="AA365" s="8"/>
    </row>
    <row r="366" spans="4:27" ht="15" thickTop="1" thickBot="1">
      <c r="D366" s="66"/>
      <c r="E366" s="52" t="s">
        <v>1003</v>
      </c>
      <c r="F366" s="7"/>
      <c r="G366" s="8"/>
      <c r="H366" s="7"/>
      <c r="I366" s="6"/>
      <c r="J366" s="7"/>
      <c r="K366" s="8"/>
      <c r="L366" s="7"/>
      <c r="M366" s="8"/>
      <c r="N366" s="7"/>
      <c r="O366" s="8"/>
      <c r="P366" s="7"/>
      <c r="Q366" s="7"/>
      <c r="R366" s="8"/>
      <c r="S366" s="7"/>
      <c r="T366" s="9"/>
      <c r="U366" s="7"/>
      <c r="V366" s="8"/>
      <c r="W366" s="7"/>
      <c r="X366" s="7"/>
      <c r="Y366" s="8"/>
      <c r="Z366" s="7"/>
      <c r="AA366" s="8"/>
    </row>
    <row r="367" spans="4:27" ht="15" thickTop="1" thickBot="1">
      <c r="D367" s="66"/>
      <c r="E367" s="52" t="s">
        <v>746</v>
      </c>
      <c r="F367" s="7"/>
      <c r="G367" s="8"/>
      <c r="H367" s="7"/>
      <c r="I367" s="6"/>
      <c r="J367" s="7"/>
      <c r="K367" s="8"/>
      <c r="L367" s="7"/>
      <c r="M367" s="8"/>
      <c r="N367" s="7"/>
      <c r="O367" s="8"/>
      <c r="P367" s="7"/>
      <c r="Q367" s="7"/>
      <c r="R367" s="8"/>
      <c r="S367" s="7"/>
      <c r="T367" s="9"/>
      <c r="U367" s="7"/>
      <c r="V367" s="8"/>
      <c r="W367" s="7"/>
      <c r="X367" s="7"/>
      <c r="Y367" s="8"/>
      <c r="Z367" s="7"/>
      <c r="AA367" s="8"/>
    </row>
    <row r="368" spans="4:27" ht="15" thickTop="1" thickBot="1">
      <c r="D368" s="66"/>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5" thickTop="1" thickBot="1">
      <c r="D369" s="66"/>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5" thickTop="1" thickBot="1">
      <c r="D370" s="66"/>
      <c r="E370" s="52" t="s">
        <v>744</v>
      </c>
      <c r="F370" s="7"/>
      <c r="G370" s="8"/>
      <c r="H370" s="7"/>
      <c r="I370" s="6"/>
      <c r="J370" s="7"/>
      <c r="K370" s="8"/>
      <c r="L370" s="7"/>
      <c r="M370" s="8"/>
      <c r="N370" s="7"/>
      <c r="O370" s="8"/>
      <c r="P370" s="7"/>
      <c r="Q370" s="7"/>
      <c r="R370" s="8"/>
      <c r="S370" s="7"/>
      <c r="T370" s="9"/>
      <c r="U370" s="7"/>
      <c r="V370" s="8"/>
      <c r="W370" s="7"/>
      <c r="X370" s="7"/>
      <c r="Y370" s="8"/>
      <c r="Z370" s="7"/>
      <c r="AA370" s="8"/>
    </row>
    <row r="371" spans="4:27" ht="15" thickTop="1" thickBot="1">
      <c r="D371" s="66"/>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5" thickTop="1" thickBot="1">
      <c r="D372" s="66"/>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5" thickTop="1" thickBot="1">
      <c r="D373" s="66"/>
      <c r="E373" s="52" t="s">
        <v>733</v>
      </c>
      <c r="F373" s="7"/>
      <c r="G373" s="8"/>
      <c r="H373" s="7"/>
      <c r="I373" s="6"/>
      <c r="J373" s="7"/>
      <c r="K373" s="8"/>
      <c r="L373" s="7"/>
      <c r="M373" s="8"/>
      <c r="N373" s="7"/>
      <c r="O373" s="8"/>
      <c r="P373" s="7"/>
      <c r="Q373" s="7"/>
      <c r="R373" s="8"/>
      <c r="S373" s="7"/>
      <c r="T373" s="9"/>
      <c r="U373" s="7"/>
      <c r="V373" s="8"/>
      <c r="W373" s="7"/>
      <c r="X373" s="7"/>
      <c r="Y373" s="8"/>
      <c r="Z373" s="7"/>
      <c r="AA373" s="8"/>
    </row>
    <row r="374" spans="4:27" ht="15" thickTop="1" thickBot="1">
      <c r="D374" s="66"/>
      <c r="E374" s="52" t="s">
        <v>742</v>
      </c>
      <c r="F374" s="7"/>
      <c r="G374" s="8"/>
      <c r="H374" s="7"/>
      <c r="I374" s="6"/>
      <c r="J374" s="7"/>
      <c r="K374" s="8"/>
      <c r="L374" s="7"/>
      <c r="M374" s="8"/>
      <c r="N374" s="7"/>
      <c r="O374" s="8"/>
      <c r="P374" s="7"/>
      <c r="Q374" s="7"/>
      <c r="R374" s="8"/>
      <c r="S374" s="7"/>
      <c r="T374" s="9"/>
      <c r="U374" s="7"/>
      <c r="V374" s="8"/>
      <c r="W374" s="7"/>
      <c r="X374" s="7"/>
      <c r="Y374" s="8"/>
      <c r="Z374" s="7"/>
      <c r="AA374" s="8"/>
    </row>
    <row r="375" spans="4:27" ht="15" thickTop="1" thickBot="1">
      <c r="D375" s="66"/>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5" thickTop="1" thickBot="1">
      <c r="D376" s="66"/>
      <c r="E376" s="52" t="s">
        <v>735</v>
      </c>
      <c r="F376" s="7"/>
      <c r="G376" s="8"/>
      <c r="H376" s="7"/>
      <c r="I376" s="6"/>
      <c r="J376" s="7"/>
      <c r="K376" s="8"/>
      <c r="L376" s="7"/>
      <c r="M376" s="8"/>
      <c r="N376" s="7"/>
      <c r="O376" s="8"/>
      <c r="P376" s="7"/>
      <c r="Q376" s="7"/>
      <c r="R376" s="8"/>
      <c r="S376" s="7"/>
      <c r="T376" s="9"/>
      <c r="U376" s="7"/>
      <c r="V376" s="8"/>
      <c r="W376" s="7"/>
      <c r="X376" s="7"/>
      <c r="Y376" s="8"/>
      <c r="Z376" s="7"/>
      <c r="AA376" s="8"/>
    </row>
    <row r="377" spans="4:27" ht="15" thickTop="1" thickBot="1">
      <c r="D377" s="66"/>
      <c r="E377" s="52" t="s">
        <v>1004</v>
      </c>
      <c r="F377" s="7"/>
      <c r="G377" s="8"/>
      <c r="H377" s="7"/>
      <c r="I377" s="6"/>
      <c r="J377" s="7"/>
      <c r="K377" s="8"/>
      <c r="L377" s="7"/>
      <c r="M377" s="8"/>
      <c r="N377" s="7"/>
      <c r="O377" s="8"/>
      <c r="P377" s="7"/>
      <c r="Q377" s="7"/>
      <c r="R377" s="8"/>
      <c r="S377" s="7"/>
      <c r="T377" s="9"/>
      <c r="U377" s="7"/>
      <c r="V377" s="8"/>
      <c r="W377" s="7"/>
      <c r="X377" s="7"/>
      <c r="Y377" s="8"/>
      <c r="Z377" s="7"/>
      <c r="AA377" s="8"/>
    </row>
    <row r="378" spans="4:27" ht="15" thickTop="1" thickBot="1">
      <c r="D378" s="66"/>
      <c r="E378" s="52" t="s">
        <v>854</v>
      </c>
      <c r="F378" s="7"/>
      <c r="G378" s="8"/>
      <c r="H378" s="7"/>
      <c r="I378" s="6"/>
      <c r="J378" s="7"/>
      <c r="K378" s="8"/>
      <c r="L378" s="7"/>
      <c r="M378" s="8"/>
      <c r="N378" s="7"/>
      <c r="O378" s="8"/>
      <c r="P378" s="7"/>
      <c r="Q378" s="7"/>
      <c r="R378" s="8"/>
      <c r="S378" s="7"/>
      <c r="T378" s="9"/>
      <c r="U378" s="7"/>
      <c r="V378" s="8"/>
      <c r="W378" s="7"/>
      <c r="X378" s="7"/>
      <c r="Y378" s="8"/>
      <c r="Z378" s="7"/>
      <c r="AA378" s="8"/>
    </row>
    <row r="379" spans="4:27" ht="15" thickTop="1" thickBot="1">
      <c r="D379" s="66"/>
      <c r="E379" s="52" t="s">
        <v>855</v>
      </c>
      <c r="F379" s="7"/>
      <c r="G379" s="8"/>
      <c r="H379" s="7"/>
      <c r="I379" s="6"/>
      <c r="J379" s="7"/>
      <c r="K379" s="8"/>
      <c r="L379" s="7"/>
      <c r="M379" s="8"/>
      <c r="N379" s="7"/>
      <c r="O379" s="8"/>
      <c r="P379" s="7"/>
      <c r="Q379" s="7"/>
      <c r="R379" s="8"/>
      <c r="S379" s="7"/>
      <c r="T379" s="9"/>
      <c r="U379" s="7"/>
      <c r="V379" s="8"/>
      <c r="W379" s="7"/>
      <c r="X379" s="7"/>
      <c r="Y379" s="8"/>
      <c r="Z379" s="7"/>
      <c r="AA379" s="8"/>
    </row>
    <row r="380" spans="4:27" ht="15" thickTop="1" thickBot="1">
      <c r="D380" s="66"/>
      <c r="E380" s="52" t="s">
        <v>856</v>
      </c>
      <c r="F380" s="7"/>
      <c r="G380" s="8"/>
      <c r="H380" s="7"/>
      <c r="I380" s="6"/>
      <c r="J380" s="7"/>
      <c r="K380" s="8"/>
      <c r="L380" s="7"/>
      <c r="M380" s="8"/>
      <c r="N380" s="7"/>
      <c r="O380" s="8"/>
      <c r="P380" s="7"/>
      <c r="Q380" s="7"/>
      <c r="R380" s="8"/>
      <c r="S380" s="7"/>
      <c r="T380" s="9"/>
      <c r="U380" s="7"/>
      <c r="V380" s="8"/>
      <c r="W380" s="7"/>
      <c r="X380" s="7"/>
      <c r="Y380" s="8"/>
      <c r="Z380" s="7"/>
      <c r="AA380" s="8"/>
    </row>
    <row r="381" spans="4:27" ht="15" thickTop="1" thickBot="1">
      <c r="D381" s="66"/>
      <c r="E381" s="52" t="s">
        <v>857</v>
      </c>
      <c r="F381" s="7"/>
      <c r="G381" s="8"/>
      <c r="H381" s="7"/>
      <c r="I381" s="6"/>
      <c r="J381" s="7"/>
      <c r="K381" s="8"/>
      <c r="L381" s="7"/>
      <c r="M381" s="8"/>
      <c r="N381" s="7"/>
      <c r="O381" s="8"/>
      <c r="P381" s="7"/>
      <c r="Q381" s="7"/>
      <c r="R381" s="8"/>
      <c r="S381" s="7"/>
      <c r="T381" s="9"/>
      <c r="U381" s="7"/>
      <c r="V381" s="8"/>
      <c r="W381" s="7"/>
      <c r="X381" s="7"/>
      <c r="Y381" s="8"/>
      <c r="Z381" s="7"/>
      <c r="AA381" s="8"/>
    </row>
    <row r="382" spans="4:27" ht="15" thickTop="1" thickBot="1">
      <c r="D382" s="66"/>
      <c r="E382" s="52" t="s">
        <v>858</v>
      </c>
      <c r="F382" s="7"/>
      <c r="G382" s="8"/>
      <c r="H382" s="7"/>
      <c r="I382" s="6"/>
      <c r="J382" s="7"/>
      <c r="K382" s="8"/>
      <c r="L382" s="7"/>
      <c r="M382" s="8"/>
      <c r="N382" s="7"/>
      <c r="O382" s="8"/>
      <c r="P382" s="7"/>
      <c r="Q382" s="7"/>
      <c r="R382" s="8"/>
      <c r="S382" s="7"/>
      <c r="T382" s="9"/>
      <c r="U382" s="7"/>
      <c r="V382" s="8"/>
      <c r="W382" s="7"/>
      <c r="X382" s="7"/>
      <c r="Y382" s="8"/>
      <c r="Z382" s="7"/>
      <c r="AA382" s="8"/>
    </row>
    <row r="383" spans="4:27" ht="15" thickTop="1" thickBot="1">
      <c r="D383" s="66"/>
      <c r="E383" s="52" t="s">
        <v>859</v>
      </c>
      <c r="F383" s="7"/>
      <c r="G383" s="8"/>
      <c r="H383" s="7"/>
      <c r="I383" s="6"/>
      <c r="J383" s="7"/>
      <c r="K383" s="8"/>
      <c r="L383" s="7"/>
      <c r="M383" s="8"/>
      <c r="N383" s="7"/>
      <c r="O383" s="8"/>
      <c r="P383" s="7"/>
      <c r="Q383" s="7"/>
      <c r="R383" s="8"/>
      <c r="S383" s="7"/>
      <c r="T383" s="9"/>
      <c r="U383" s="7"/>
      <c r="V383" s="8"/>
      <c r="W383" s="7"/>
      <c r="X383" s="7"/>
      <c r="Y383" s="8"/>
      <c r="Z383" s="7"/>
      <c r="AA383" s="8"/>
    </row>
    <row r="384" spans="4:27" ht="15" thickTop="1" thickBot="1">
      <c r="D384" s="66"/>
      <c r="E384" s="52" t="s">
        <v>751</v>
      </c>
      <c r="F384" s="7"/>
      <c r="G384" s="8"/>
      <c r="H384" s="7"/>
      <c r="I384" s="6"/>
      <c r="J384" s="7"/>
      <c r="K384" s="8"/>
      <c r="L384" s="7"/>
      <c r="M384" s="8"/>
      <c r="N384" s="7"/>
      <c r="O384" s="8"/>
      <c r="P384" s="7"/>
      <c r="Q384" s="7"/>
      <c r="R384" s="8"/>
      <c r="S384" s="7"/>
      <c r="T384" s="9"/>
      <c r="U384" s="7"/>
      <c r="V384" s="8"/>
      <c r="W384" s="7"/>
      <c r="X384" s="7"/>
      <c r="Y384" s="8"/>
      <c r="Z384" s="7"/>
      <c r="AA384" s="8"/>
    </row>
    <row r="385" spans="4:27" ht="15" thickTop="1" thickBot="1">
      <c r="D385" s="66"/>
      <c r="E385" s="52" t="s">
        <v>748</v>
      </c>
      <c r="F385" s="7"/>
      <c r="G385" s="8"/>
      <c r="H385" s="7"/>
      <c r="I385" s="6"/>
      <c r="J385" s="7"/>
      <c r="K385" s="8"/>
      <c r="L385" s="7"/>
      <c r="M385" s="8"/>
      <c r="N385" s="7"/>
      <c r="O385" s="8"/>
      <c r="P385" s="7"/>
      <c r="Q385" s="7"/>
      <c r="R385" s="8"/>
      <c r="S385" s="7"/>
      <c r="T385" s="9"/>
      <c r="U385" s="7"/>
      <c r="V385" s="8"/>
      <c r="W385" s="7"/>
      <c r="X385" s="7"/>
      <c r="Y385" s="8"/>
      <c r="Z385" s="7"/>
      <c r="AA385" s="8"/>
    </row>
    <row r="386" spans="4:27" ht="15" thickTop="1" thickBot="1">
      <c r="D386" s="66"/>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5" thickTop="1" thickBot="1">
      <c r="D387" s="66"/>
      <c r="E387" s="52" t="s">
        <v>723</v>
      </c>
      <c r="F387" s="7"/>
      <c r="G387" s="8"/>
      <c r="H387" s="7"/>
      <c r="I387" s="6"/>
      <c r="J387" s="7"/>
      <c r="K387" s="8"/>
      <c r="L387" s="7"/>
      <c r="M387" s="8"/>
      <c r="N387" s="7"/>
      <c r="O387" s="8"/>
      <c r="P387" s="7"/>
      <c r="Q387" s="7"/>
      <c r="R387" s="8"/>
      <c r="S387" s="7"/>
      <c r="T387" s="9"/>
      <c r="U387" s="7"/>
      <c r="V387" s="8"/>
      <c r="W387" s="7"/>
      <c r="X387" s="7"/>
      <c r="Y387" s="8"/>
      <c r="Z387" s="7"/>
      <c r="AA387" s="8"/>
    </row>
    <row r="388" spans="4:27" ht="15" thickTop="1" thickBot="1">
      <c r="D388" s="66"/>
      <c r="E388" s="52" t="s">
        <v>721</v>
      </c>
      <c r="F388" s="7"/>
      <c r="G388" s="8"/>
      <c r="H388" s="7"/>
      <c r="I388" s="6"/>
      <c r="J388" s="7"/>
      <c r="K388" s="8"/>
      <c r="L388" s="7"/>
      <c r="M388" s="8"/>
      <c r="N388" s="7"/>
      <c r="O388" s="8"/>
      <c r="P388" s="7"/>
      <c r="Q388" s="7"/>
      <c r="R388" s="8"/>
      <c r="S388" s="7"/>
      <c r="T388" s="9"/>
      <c r="U388" s="7"/>
      <c r="V388" s="8"/>
      <c r="W388" s="7"/>
      <c r="X388" s="7"/>
      <c r="Y388" s="8"/>
      <c r="Z388" s="7"/>
      <c r="AA388" s="8"/>
    </row>
    <row r="389" spans="4:27" ht="15" thickTop="1" thickBot="1">
      <c r="D389" s="66"/>
      <c r="E389" s="52" t="s">
        <v>719</v>
      </c>
      <c r="F389" s="7"/>
      <c r="G389" s="8"/>
      <c r="H389" s="7"/>
      <c r="I389" s="6"/>
      <c r="J389" s="7"/>
      <c r="K389" s="8"/>
      <c r="L389" s="7"/>
      <c r="M389" s="8"/>
      <c r="N389" s="7"/>
      <c r="O389" s="8"/>
      <c r="P389" s="7"/>
      <c r="Q389" s="7"/>
      <c r="R389" s="8"/>
      <c r="S389" s="7"/>
      <c r="T389" s="9"/>
      <c r="U389" s="7"/>
      <c r="V389" s="8"/>
      <c r="W389" s="7"/>
      <c r="X389" s="7"/>
      <c r="Y389" s="8"/>
      <c r="Z389" s="7"/>
      <c r="AA389" s="8"/>
    </row>
    <row r="390" spans="4:27" ht="15" thickTop="1" thickBot="1">
      <c r="D390" s="66"/>
      <c r="E390" s="52" t="s">
        <v>720</v>
      </c>
      <c r="F390" s="7"/>
      <c r="G390" s="8"/>
      <c r="H390" s="7"/>
      <c r="I390" s="6"/>
      <c r="J390" s="7"/>
      <c r="K390" s="8"/>
      <c r="L390" s="7"/>
      <c r="M390" s="8"/>
      <c r="N390" s="7"/>
      <c r="O390" s="8"/>
      <c r="P390" s="7"/>
      <c r="Q390" s="7"/>
      <c r="R390" s="8"/>
      <c r="S390" s="7"/>
      <c r="T390" s="9"/>
      <c r="U390" s="7"/>
      <c r="V390" s="8"/>
      <c r="W390" s="7"/>
      <c r="X390" s="7"/>
      <c r="Y390" s="8"/>
      <c r="Z390" s="7"/>
      <c r="AA390" s="8"/>
    </row>
    <row r="391" spans="4:27" ht="15" thickTop="1" thickBot="1">
      <c r="D391" s="66"/>
      <c r="E391" s="52" t="s">
        <v>1005</v>
      </c>
      <c r="F391" s="7"/>
      <c r="G391" s="8"/>
      <c r="H391" s="7"/>
      <c r="I391" s="6"/>
      <c r="J391" s="7"/>
      <c r="K391" s="8"/>
      <c r="L391" s="7"/>
      <c r="M391" s="8"/>
      <c r="N391" s="7"/>
      <c r="O391" s="8"/>
      <c r="P391" s="7"/>
      <c r="Q391" s="7"/>
      <c r="R391" s="8"/>
      <c r="S391" s="7"/>
      <c r="T391" s="9"/>
      <c r="U391" s="7"/>
      <c r="V391" s="8"/>
      <c r="W391" s="7"/>
      <c r="X391" s="7"/>
      <c r="Y391" s="8"/>
      <c r="Z391" s="7"/>
      <c r="AA391" s="8"/>
    </row>
    <row r="392" spans="4:27" ht="15" thickTop="1" thickBot="1">
      <c r="D392" s="66"/>
      <c r="E392" s="52" t="s">
        <v>782</v>
      </c>
      <c r="F392" s="7"/>
      <c r="G392" s="8"/>
      <c r="H392" s="7"/>
      <c r="I392" s="6"/>
      <c r="J392" s="7"/>
      <c r="K392" s="8"/>
      <c r="L392" s="7"/>
      <c r="M392" s="8"/>
      <c r="N392" s="7"/>
      <c r="O392" s="8"/>
      <c r="P392" s="7"/>
      <c r="Q392" s="7"/>
      <c r="R392" s="8"/>
      <c r="S392" s="7"/>
      <c r="T392" s="9"/>
      <c r="U392" s="7"/>
      <c r="V392" s="8"/>
      <c r="W392" s="7"/>
      <c r="X392" s="7"/>
      <c r="Y392" s="8"/>
      <c r="Z392" s="7"/>
      <c r="AA392" s="8"/>
    </row>
    <row r="393" spans="4:27" ht="15" thickTop="1" thickBot="1">
      <c r="D393" s="66"/>
      <c r="E393" s="52" t="s">
        <v>780</v>
      </c>
      <c r="F393" s="7"/>
      <c r="G393" s="8"/>
      <c r="H393" s="7"/>
      <c r="I393" s="6"/>
      <c r="J393" s="7"/>
      <c r="K393" s="8"/>
      <c r="L393" s="7"/>
      <c r="M393" s="8"/>
      <c r="N393" s="7"/>
      <c r="O393" s="8"/>
      <c r="P393" s="7"/>
      <c r="Q393" s="7"/>
      <c r="R393" s="8"/>
      <c r="S393" s="7"/>
      <c r="T393" s="9"/>
      <c r="U393" s="7"/>
      <c r="V393" s="8"/>
      <c r="W393" s="7"/>
      <c r="X393" s="7"/>
      <c r="Y393" s="8"/>
      <c r="Z393" s="7"/>
      <c r="AA393" s="8"/>
    </row>
    <row r="394" spans="4:27" ht="15" thickTop="1" thickBot="1">
      <c r="D394" s="66"/>
      <c r="E394" s="52" t="s">
        <v>781</v>
      </c>
      <c r="F394" s="7"/>
      <c r="G394" s="8"/>
      <c r="H394" s="7"/>
      <c r="I394" s="6"/>
      <c r="J394" s="7"/>
      <c r="K394" s="8"/>
      <c r="L394" s="7"/>
      <c r="M394" s="8"/>
      <c r="N394" s="7"/>
      <c r="O394" s="8"/>
      <c r="P394" s="7"/>
      <c r="Q394" s="7"/>
      <c r="R394" s="8"/>
      <c r="S394" s="7"/>
      <c r="T394" s="9"/>
      <c r="U394" s="7"/>
      <c r="V394" s="8"/>
      <c r="W394" s="7"/>
      <c r="X394" s="7"/>
      <c r="Y394" s="8"/>
      <c r="Z394" s="7"/>
      <c r="AA394" s="8"/>
    </row>
    <row r="395" spans="4:27" ht="15" thickTop="1" thickBot="1">
      <c r="D395" s="66"/>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5" thickTop="1" thickBot="1">
      <c r="D396" s="66"/>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5" thickTop="1" thickBot="1">
      <c r="D397" s="66"/>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5" thickTop="1" thickBot="1">
      <c r="D398" s="66"/>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5" thickTop="1" thickBot="1">
      <c r="D399" s="66"/>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5" thickTop="1" thickBot="1">
      <c r="D400" s="66"/>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5" thickTop="1" thickBot="1">
      <c r="D401" s="66"/>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5" thickTop="1" thickBot="1">
      <c r="D402" s="66"/>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5" thickTop="1" thickBot="1">
      <c r="D403" s="66"/>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5" thickTop="1" thickBot="1">
      <c r="D404" s="66"/>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5" thickTop="1" thickBot="1">
      <c r="D405" s="66"/>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5" thickTop="1" thickBot="1">
      <c r="D406" s="66"/>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5" thickTop="1" thickBot="1">
      <c r="D407" s="66"/>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5" thickTop="1" thickBot="1">
      <c r="D408" s="66"/>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5" thickTop="1" thickBot="1">
      <c r="D409" s="66"/>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5" thickTop="1" thickBot="1">
      <c r="D410" s="66"/>
      <c r="E410" s="52" t="s">
        <v>868</v>
      </c>
      <c r="F410" s="7"/>
      <c r="G410" s="8"/>
      <c r="H410" s="7"/>
      <c r="I410" s="6"/>
      <c r="J410" s="7"/>
      <c r="K410" s="8"/>
      <c r="L410" s="7"/>
      <c r="M410" s="8"/>
      <c r="N410" s="7"/>
      <c r="O410" s="8"/>
      <c r="P410" s="7"/>
      <c r="Q410" s="7"/>
      <c r="R410" s="8"/>
      <c r="S410" s="7"/>
      <c r="T410" s="9"/>
      <c r="U410" s="7"/>
      <c r="V410" s="8"/>
      <c r="W410" s="7"/>
      <c r="X410" s="7"/>
      <c r="Y410" s="8"/>
      <c r="Z410" s="7"/>
      <c r="AA410" s="8"/>
    </row>
    <row r="411" spans="4:27" ht="15" thickTop="1" thickBot="1">
      <c r="D411" s="66"/>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5" thickTop="1" thickBot="1">
      <c r="D412" s="66"/>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5" thickTop="1" thickBot="1">
      <c r="D413" s="66"/>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5" thickTop="1" thickBot="1">
      <c r="D414" s="66"/>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5" thickTop="1" thickBot="1">
      <c r="D415" s="66"/>
      <c r="E415" s="52" t="s">
        <v>775</v>
      </c>
      <c r="F415" s="7"/>
      <c r="G415" s="8"/>
      <c r="H415" s="7"/>
      <c r="I415" s="6"/>
      <c r="J415" s="7"/>
      <c r="K415" s="8"/>
      <c r="L415" s="7"/>
      <c r="M415" s="8"/>
      <c r="N415" s="7"/>
      <c r="O415" s="8"/>
      <c r="P415" s="7"/>
      <c r="Q415" s="7"/>
      <c r="R415" s="8"/>
      <c r="S415" s="7"/>
      <c r="T415" s="9"/>
      <c r="U415" s="7"/>
      <c r="V415" s="8"/>
      <c r="W415" s="7"/>
      <c r="X415" s="7"/>
      <c r="Y415" s="8"/>
      <c r="Z415" s="7"/>
      <c r="AA415" s="8"/>
    </row>
    <row r="416" spans="4:27" ht="15" thickTop="1" thickBot="1">
      <c r="D416" s="66"/>
      <c r="E416" s="52" t="s">
        <v>709</v>
      </c>
      <c r="F416" s="7"/>
      <c r="G416" s="8"/>
      <c r="H416" s="7"/>
      <c r="I416" s="6"/>
      <c r="J416" s="7"/>
      <c r="K416" s="8"/>
      <c r="L416" s="7"/>
      <c r="M416" s="8"/>
      <c r="N416" s="7"/>
      <c r="O416" s="8"/>
      <c r="P416" s="7"/>
      <c r="Q416" s="7"/>
      <c r="R416" s="8"/>
      <c r="S416" s="7"/>
      <c r="T416" s="9"/>
      <c r="U416" s="7"/>
      <c r="V416" s="8"/>
      <c r="W416" s="7"/>
      <c r="X416" s="7"/>
      <c r="Y416" s="8"/>
      <c r="Z416" s="7"/>
      <c r="AA416" s="8"/>
    </row>
    <row r="417" spans="4:27" ht="15" thickTop="1" thickBot="1">
      <c r="D417" s="66"/>
      <c r="E417" s="52" t="s">
        <v>710</v>
      </c>
      <c r="F417" s="7"/>
      <c r="G417" s="8"/>
      <c r="H417" s="7"/>
      <c r="I417" s="6"/>
      <c r="J417" s="7"/>
      <c r="K417" s="8"/>
      <c r="L417" s="7"/>
      <c r="M417" s="8"/>
      <c r="N417" s="7"/>
      <c r="O417" s="8"/>
      <c r="P417" s="7"/>
      <c r="Q417" s="7"/>
      <c r="R417" s="8"/>
      <c r="S417" s="7"/>
      <c r="T417" s="9"/>
      <c r="U417" s="7"/>
      <c r="V417" s="8"/>
      <c r="W417" s="7"/>
      <c r="X417" s="7"/>
      <c r="Y417" s="8"/>
      <c r="Z417" s="7"/>
      <c r="AA417" s="8"/>
    </row>
    <row r="418" spans="4:27" ht="15" thickTop="1" thickBot="1">
      <c r="D418" s="66"/>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5" thickTop="1" thickBot="1">
      <c r="D419" s="66"/>
      <c r="E419" s="52" t="s">
        <v>562</v>
      </c>
      <c r="F419" s="7"/>
      <c r="G419" s="8"/>
      <c r="H419" s="7"/>
      <c r="I419" s="6"/>
      <c r="J419" s="7"/>
      <c r="K419" s="8"/>
      <c r="L419" s="7"/>
      <c r="M419" s="8"/>
      <c r="N419" s="7"/>
      <c r="O419" s="8"/>
      <c r="P419" s="7"/>
      <c r="Q419" s="7"/>
      <c r="R419" s="8"/>
      <c r="S419" s="7"/>
      <c r="T419" s="9"/>
      <c r="U419" s="7"/>
      <c r="V419" s="8"/>
      <c r="W419" s="7"/>
      <c r="X419" s="7"/>
      <c r="Y419" s="8"/>
      <c r="Z419" s="7"/>
      <c r="AA419" s="8"/>
    </row>
    <row r="420" spans="4:27" ht="15" thickTop="1" thickBot="1">
      <c r="D420" s="66"/>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5" thickTop="1" thickBot="1">
      <c r="D421" s="66"/>
      <c r="E421" s="52" t="s">
        <v>694</v>
      </c>
      <c r="F421" s="7"/>
      <c r="G421" s="8"/>
      <c r="H421" s="7"/>
      <c r="I421" s="6"/>
      <c r="J421" s="7"/>
      <c r="K421" s="8"/>
      <c r="L421" s="7"/>
      <c r="M421" s="8"/>
      <c r="N421" s="7"/>
      <c r="O421" s="8"/>
      <c r="P421" s="7"/>
      <c r="Q421" s="7"/>
      <c r="R421" s="8"/>
      <c r="S421" s="7"/>
      <c r="T421" s="9"/>
      <c r="U421" s="7"/>
      <c r="V421" s="8"/>
      <c r="W421" s="7"/>
      <c r="X421" s="7"/>
      <c r="Y421" s="8"/>
      <c r="Z421" s="7"/>
      <c r="AA421" s="8"/>
    </row>
    <row r="422" spans="4:27" ht="15" thickTop="1" thickBot="1">
      <c r="D422" s="66"/>
      <c r="E422" s="52" t="s">
        <v>1006</v>
      </c>
      <c r="F422" s="7"/>
      <c r="G422" s="8"/>
      <c r="H422" s="7"/>
      <c r="I422" s="6"/>
      <c r="J422" s="7"/>
      <c r="K422" s="8"/>
      <c r="L422" s="7"/>
      <c r="M422" s="8"/>
      <c r="N422" s="7"/>
      <c r="O422" s="8"/>
      <c r="P422" s="7"/>
      <c r="Q422" s="7"/>
      <c r="R422" s="8"/>
      <c r="S422" s="7"/>
      <c r="T422" s="9"/>
      <c r="U422" s="7"/>
      <c r="V422" s="8"/>
      <c r="W422" s="7"/>
      <c r="X422" s="7"/>
      <c r="Y422" s="8"/>
      <c r="Z422" s="7"/>
      <c r="AA422" s="8"/>
    </row>
    <row r="423" spans="4:27" ht="15" thickTop="1" thickBot="1">
      <c r="D423" s="66"/>
      <c r="E423" s="52" t="s">
        <v>827</v>
      </c>
      <c r="F423" s="7"/>
      <c r="G423" s="8"/>
      <c r="H423" s="7"/>
      <c r="I423" s="6"/>
      <c r="J423" s="7"/>
      <c r="K423" s="8"/>
      <c r="L423" s="7"/>
      <c r="M423" s="8"/>
      <c r="N423" s="7"/>
      <c r="O423" s="8"/>
      <c r="P423" s="7"/>
      <c r="Q423" s="7"/>
      <c r="R423" s="8"/>
      <c r="S423" s="7"/>
      <c r="T423" s="9"/>
      <c r="U423" s="7"/>
      <c r="V423" s="8"/>
      <c r="W423" s="7"/>
      <c r="X423" s="7"/>
      <c r="Y423" s="8"/>
      <c r="Z423" s="7"/>
      <c r="AA423" s="8"/>
    </row>
    <row r="424" spans="4:27" ht="15" thickTop="1" thickBot="1">
      <c r="D424" s="66"/>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5" thickTop="1" thickBot="1">
      <c r="D425" s="66"/>
      <c r="E425" s="52" t="s">
        <v>851</v>
      </c>
      <c r="F425" s="7"/>
      <c r="G425" s="8"/>
      <c r="H425" s="7"/>
      <c r="I425" s="6"/>
      <c r="J425" s="7"/>
      <c r="K425" s="8"/>
      <c r="L425" s="7"/>
      <c r="M425" s="8"/>
      <c r="N425" s="7"/>
      <c r="O425" s="8"/>
      <c r="P425" s="7"/>
      <c r="Q425" s="7"/>
      <c r="R425" s="8"/>
      <c r="S425" s="7"/>
      <c r="T425" s="9"/>
      <c r="U425" s="7"/>
      <c r="V425" s="8"/>
      <c r="W425" s="7"/>
      <c r="X425" s="7"/>
      <c r="Y425" s="8"/>
      <c r="Z425" s="7"/>
      <c r="AA425" s="8"/>
    </row>
    <row r="426" spans="4:27" ht="15" thickTop="1" thickBot="1">
      <c r="D426" s="66"/>
      <c r="E426" s="52" t="s">
        <v>583</v>
      </c>
      <c r="F426" s="7"/>
      <c r="G426" s="8"/>
      <c r="H426" s="7"/>
      <c r="I426" s="6"/>
      <c r="J426" s="7"/>
      <c r="K426" s="8"/>
      <c r="L426" s="7"/>
      <c r="M426" s="8"/>
      <c r="N426" s="7"/>
      <c r="O426" s="8"/>
      <c r="P426" s="7"/>
      <c r="Q426" s="7"/>
      <c r="R426" s="8"/>
      <c r="S426" s="7"/>
      <c r="T426" s="9"/>
      <c r="U426" s="7"/>
      <c r="V426" s="8"/>
      <c r="W426" s="7"/>
      <c r="X426" s="7"/>
      <c r="Y426" s="8"/>
      <c r="Z426" s="7"/>
      <c r="AA426" s="8"/>
    </row>
    <row r="427" spans="4:27" ht="15" thickTop="1" thickBot="1">
      <c r="D427" s="66"/>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5" thickTop="1" thickBot="1">
      <c r="D428" s="66"/>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5" thickTop="1" thickBot="1">
      <c r="D429" s="66"/>
      <c r="E429" s="52" t="s">
        <v>862</v>
      </c>
      <c r="F429" s="7"/>
      <c r="G429" s="8"/>
      <c r="H429" s="7"/>
      <c r="I429" s="6"/>
      <c r="J429" s="7"/>
      <c r="K429" s="8"/>
      <c r="L429" s="7"/>
      <c r="M429" s="8"/>
      <c r="N429" s="7"/>
      <c r="O429" s="8"/>
      <c r="P429" s="7"/>
      <c r="Q429" s="7"/>
      <c r="R429" s="8"/>
      <c r="S429" s="7"/>
      <c r="T429" s="9"/>
      <c r="U429" s="7"/>
      <c r="V429" s="8"/>
      <c r="W429" s="7"/>
      <c r="X429" s="7"/>
      <c r="Y429" s="8"/>
      <c r="Z429" s="7"/>
      <c r="AA429" s="8"/>
    </row>
    <row r="430" spans="4:27" ht="15" thickTop="1" thickBot="1">
      <c r="D430" s="66"/>
      <c r="E430" s="52" t="s">
        <v>799</v>
      </c>
      <c r="F430" s="7"/>
      <c r="G430" s="8"/>
      <c r="H430" s="7"/>
      <c r="I430" s="6"/>
      <c r="J430" s="7"/>
      <c r="K430" s="8"/>
      <c r="L430" s="7"/>
      <c r="M430" s="8"/>
      <c r="N430" s="7"/>
      <c r="O430" s="8"/>
      <c r="P430" s="7"/>
      <c r="Q430" s="7"/>
      <c r="R430" s="8"/>
      <c r="S430" s="7"/>
      <c r="T430" s="9"/>
      <c r="U430" s="7"/>
      <c r="V430" s="8"/>
      <c r="W430" s="7"/>
      <c r="X430" s="7"/>
      <c r="Y430" s="8"/>
      <c r="Z430" s="7"/>
      <c r="AA430" s="8"/>
    </row>
    <row r="431" spans="4:27" ht="15" thickTop="1" thickBot="1">
      <c r="D431" s="66"/>
      <c r="E431" s="52" t="s">
        <v>850</v>
      </c>
      <c r="F431" s="7"/>
      <c r="G431" s="8"/>
      <c r="H431" s="7"/>
      <c r="I431" s="6"/>
      <c r="J431" s="7"/>
      <c r="K431" s="8"/>
      <c r="L431" s="7"/>
      <c r="M431" s="8"/>
      <c r="N431" s="7"/>
      <c r="O431" s="8"/>
      <c r="P431" s="7"/>
      <c r="Q431" s="7"/>
      <c r="R431" s="8"/>
      <c r="S431" s="7"/>
      <c r="T431" s="9"/>
      <c r="U431" s="7"/>
      <c r="V431" s="8"/>
      <c r="W431" s="7"/>
      <c r="X431" s="7"/>
      <c r="Y431" s="8"/>
      <c r="Z431" s="7"/>
      <c r="AA431" s="8"/>
    </row>
    <row r="432" spans="4:27" ht="15" thickTop="1" thickBot="1">
      <c r="D432" s="66"/>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5" thickTop="1" thickBot="1">
      <c r="D433" s="66"/>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5" thickTop="1" thickBot="1">
      <c r="D434" s="66"/>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5" thickTop="1" thickBot="1">
      <c r="D435" s="66"/>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5" thickTop="1" thickBot="1">
      <c r="D436" s="66"/>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5" thickTop="1" thickBot="1">
      <c r="D437" s="66"/>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5" thickTop="1" thickBot="1">
      <c r="D438" s="66"/>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5" thickTop="1" thickBot="1">
      <c r="D439" s="66"/>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5" thickTop="1" thickBot="1">
      <c r="D440" s="66"/>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5" thickTop="1" thickBot="1">
      <c r="D441" s="66"/>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5" thickTop="1" thickBot="1">
      <c r="D442" s="66"/>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5" thickTop="1" thickBot="1">
      <c r="D443" s="66"/>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5" thickTop="1" thickBot="1">
      <c r="D444" s="66"/>
      <c r="E444" s="52" t="s">
        <v>761</v>
      </c>
      <c r="F444" s="7"/>
      <c r="G444" s="8"/>
      <c r="H444" s="7"/>
      <c r="I444" s="6"/>
      <c r="J444" s="7"/>
      <c r="K444" s="8"/>
      <c r="L444" s="7"/>
      <c r="M444" s="8"/>
      <c r="N444" s="7"/>
      <c r="O444" s="8"/>
      <c r="P444" s="7"/>
      <c r="Q444" s="7"/>
      <c r="R444" s="8"/>
      <c r="S444" s="7"/>
      <c r="T444" s="9"/>
      <c r="U444" s="7"/>
      <c r="V444" s="8"/>
      <c r="W444" s="7"/>
      <c r="X444" s="7"/>
      <c r="Y444" s="8"/>
      <c r="Z444" s="7"/>
      <c r="AA444" s="8"/>
    </row>
    <row r="445" spans="4:27" ht="15" thickTop="1" thickBot="1">
      <c r="D445" s="66"/>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5" thickTop="1" thickBot="1">
      <c r="D446" s="66"/>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5" thickTop="1" thickBot="1">
      <c r="D447" s="66"/>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5" thickTop="1" thickBot="1">
      <c r="D448" s="66"/>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5" thickTop="1" thickBot="1">
      <c r="D449" s="66"/>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5" thickTop="1" thickBot="1">
      <c r="D450" s="66"/>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5" thickTop="1" thickBot="1">
      <c r="D451" s="66"/>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5" thickTop="1" thickBot="1">
      <c r="D452" s="66"/>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5" thickTop="1" thickBot="1">
      <c r="D453" s="66"/>
      <c r="E453" s="52" t="s">
        <v>773</v>
      </c>
      <c r="F453" s="7"/>
      <c r="G453" s="8"/>
      <c r="H453" s="7"/>
      <c r="I453" s="6"/>
      <c r="J453" s="7"/>
      <c r="K453" s="8"/>
      <c r="L453" s="7"/>
      <c r="M453" s="8"/>
      <c r="N453" s="7"/>
      <c r="O453" s="8"/>
      <c r="P453" s="7"/>
      <c r="Q453" s="7"/>
      <c r="R453" s="8"/>
      <c r="S453" s="7"/>
      <c r="T453" s="9"/>
      <c r="U453" s="7"/>
      <c r="V453" s="8"/>
      <c r="W453" s="7"/>
      <c r="X453" s="7"/>
      <c r="Y453" s="8"/>
      <c r="Z453" s="7"/>
      <c r="AA453" s="8"/>
    </row>
    <row r="454" spans="4:27" ht="15" thickTop="1" thickBot="1">
      <c r="D454" s="66"/>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5" thickTop="1" thickBot="1">
      <c r="D455" s="66"/>
      <c r="E455" s="52" t="s">
        <v>1007</v>
      </c>
      <c r="F455" s="7"/>
      <c r="G455" s="8"/>
      <c r="H455" s="7"/>
      <c r="I455" s="6"/>
      <c r="J455" s="7"/>
      <c r="K455" s="8"/>
      <c r="L455" s="7"/>
      <c r="M455" s="8"/>
      <c r="N455" s="7"/>
      <c r="O455" s="8"/>
      <c r="P455" s="7"/>
      <c r="Q455" s="7"/>
      <c r="R455" s="8"/>
      <c r="S455" s="7"/>
      <c r="T455" s="9"/>
      <c r="U455" s="7"/>
      <c r="V455" s="8"/>
      <c r="W455" s="7"/>
      <c r="X455" s="7"/>
      <c r="Y455" s="8"/>
      <c r="Z455" s="7"/>
      <c r="AA455" s="8"/>
    </row>
    <row r="456" spans="4:27" ht="15" thickTop="1" thickBot="1">
      <c r="D456" s="66"/>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5" thickTop="1" thickBot="1">
      <c r="D457" s="66"/>
      <c r="E457" s="52" t="s">
        <v>766</v>
      </c>
      <c r="F457" s="7"/>
      <c r="G457" s="8"/>
      <c r="H457" s="7"/>
      <c r="I457" s="6"/>
      <c r="J457" s="7"/>
      <c r="K457" s="8"/>
      <c r="L457" s="7"/>
      <c r="M457" s="8"/>
      <c r="N457" s="7"/>
      <c r="O457" s="8"/>
      <c r="P457" s="7"/>
      <c r="Q457" s="7"/>
      <c r="R457" s="8"/>
      <c r="S457" s="7"/>
      <c r="T457" s="9"/>
      <c r="U457" s="7"/>
      <c r="V457" s="8"/>
      <c r="W457" s="7"/>
      <c r="X457" s="7"/>
      <c r="Y457" s="8"/>
      <c r="Z457" s="7"/>
      <c r="AA457" s="8"/>
    </row>
    <row r="458" spans="4:27" ht="15"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5"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5"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5"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5"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5"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5"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5"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5"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5"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5"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5"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5"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5"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5"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5"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5"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5"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5"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5"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5"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5"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5"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5"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5"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5"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4.4"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xmlns:xlrd2="http://schemas.microsoft.com/office/spreadsheetml/2017/richdata2" ref="B4:B65">
    <sortCondition ref="B3"/>
  </sortState>
  <phoneticPr fontId="148" type="noConversion"/>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396"/>
  <sheetViews>
    <sheetView tabSelected="1" zoomScale="80" zoomScaleNormal="80" zoomScaleSheetLayoutView="40" workbookViewId="0">
      <pane xSplit="8" ySplit="6" topLeftCell="I204" activePane="bottomRight" state="frozen"/>
      <selection pane="topRight" activeCell="I1" sqref="I1"/>
      <selection pane="bottomLeft" activeCell="A7" sqref="A7"/>
      <selection pane="bottomRight" activeCell="J7" sqref="J7:J396"/>
    </sheetView>
  </sheetViews>
  <sheetFormatPr defaultColWidth="9" defaultRowHeight="15.6" outlineLevelCol="1"/>
  <cols>
    <col min="1" max="2" width="9.09765625" style="35" customWidth="1"/>
    <col min="3" max="3" width="8.5" style="20" customWidth="1"/>
    <col min="4" max="4" width="15.296875" style="20" customWidth="1"/>
    <col min="5" max="5" width="9.69921875" style="20" customWidth="1"/>
    <col min="6" max="6" width="10" style="20" customWidth="1"/>
    <col min="7" max="7" width="15.69921875" style="20" bestFit="1" customWidth="1"/>
    <col min="8" max="8" width="28.09765625" style="20" customWidth="1"/>
    <col min="9" max="9" width="7.69921875" style="20" customWidth="1"/>
    <col min="10" max="10" width="8.5" style="38" customWidth="1"/>
    <col min="11" max="11" width="14.69921875" style="20" customWidth="1"/>
    <col min="12" max="12" width="17.69921875" customWidth="1"/>
    <col min="13" max="13" width="12.09765625" customWidth="1"/>
    <col min="14" max="14" width="18.69921875" customWidth="1"/>
    <col min="15" max="15" width="17.19921875" style="36" customWidth="1"/>
    <col min="16" max="16" width="15.19921875" style="33" customWidth="1"/>
    <col min="17" max="17" width="16.59765625" style="33" customWidth="1"/>
    <col min="18" max="18" width="10.69921875" customWidth="1"/>
    <col min="19" max="21" width="16.5" customWidth="1"/>
    <col min="22" max="24" width="13.09765625" style="31" customWidth="1"/>
    <col min="25" max="25" width="14.59765625" style="31" customWidth="1"/>
    <col min="26" max="26" width="13.09765625" style="31" customWidth="1"/>
    <col min="27" max="27" width="16.8984375" style="31" customWidth="1"/>
    <col min="28" max="29" width="13.09765625" style="31" customWidth="1"/>
    <col min="30" max="30" width="18.19921875" style="31" customWidth="1"/>
    <col min="31" max="31" width="13.09765625" style="31" customWidth="1"/>
    <col min="32" max="32" width="19.19921875" style="31" customWidth="1"/>
    <col min="33" max="35" width="13.09765625" style="31" customWidth="1"/>
    <col min="36" max="36" width="17.59765625" style="31" customWidth="1"/>
    <col min="37" max="37" width="13.09765625" style="31" customWidth="1"/>
    <col min="38" max="38" width="18.69921875" style="31" customWidth="1"/>
    <col min="39" max="39" width="27.69921875" style="31" customWidth="1"/>
    <col min="40" max="41" width="25.09765625" style="31" customWidth="1"/>
    <col min="42" max="42" width="20.19921875" style="31" customWidth="1"/>
    <col min="43" max="43" width="22.09765625" style="20" customWidth="1"/>
    <col min="44" max="44" width="18.59765625" style="32" customWidth="1"/>
    <col min="45" max="45" width="13.19921875" style="32" customWidth="1"/>
    <col min="46" max="46" width="10.59765625" style="33" customWidth="1"/>
    <col min="47" max="47" width="13.09765625" style="33" customWidth="1"/>
    <col min="48" max="48" width="9.19921875" style="20" customWidth="1"/>
    <col min="49" max="49" width="25.69921875" style="20" customWidth="1"/>
    <col min="50" max="50" width="27.69921875" style="33" customWidth="1"/>
    <col min="51" max="51" width="13.09765625" style="33" customWidth="1"/>
    <col min="52" max="52" width="17.5" style="33" customWidth="1"/>
    <col min="53" max="54" width="13.09765625" style="33" customWidth="1"/>
    <col min="55" max="56" width="30.69921875" style="37" customWidth="1"/>
    <col min="57" max="57" width="13.09765625" style="37" customWidth="1"/>
    <col min="58" max="58" width="26.69921875" style="37" customWidth="1"/>
    <col min="59" max="59" width="12.19921875" style="37" customWidth="1"/>
    <col min="60" max="65" width="13.09765625" style="37" customWidth="1"/>
    <col min="66" max="66" width="17.8984375" style="37" customWidth="1"/>
    <col min="67" max="67" width="24.09765625" style="37" customWidth="1"/>
    <col min="68" max="71" width="13.09765625" style="37" customWidth="1"/>
    <col min="72" max="72" width="26.09765625" style="37" customWidth="1"/>
    <col min="73" max="73" width="26" style="37" customWidth="1"/>
    <col min="74" max="74" width="23.69921875" style="37" customWidth="1"/>
    <col min="75" max="75" width="22.5" style="37" customWidth="1"/>
    <col min="76" max="78" width="13.09765625" style="37" customWidth="1"/>
    <col min="79" max="79" width="16.69921875" style="37" customWidth="1"/>
    <col min="80" max="81" width="13.09765625" style="37" customWidth="1"/>
    <col min="82" max="82" width="20.69921875" style="37" customWidth="1"/>
    <col min="83" max="83" width="13.09765625" style="37" customWidth="1" outlineLevel="1"/>
    <col min="84" max="84" width="18.19921875" style="37" customWidth="1" outlineLevel="1"/>
    <col min="85" max="87" width="9" customWidth="1" outlineLevel="1"/>
    <col min="88" max="88" width="13" customWidth="1" outlineLevel="1"/>
    <col min="89" max="90" width="15.5" customWidth="1" outlineLevel="1"/>
    <col min="91" max="91" width="21.796875" style="421" customWidth="1" outlineLevel="1"/>
    <col min="92" max="92" width="24.296875" style="421" customWidth="1" outlineLevel="1"/>
    <col min="93" max="93" width="14.5" style="33" customWidth="1" outlineLevel="1"/>
    <col min="94" max="94" width="16.19921875" style="33" customWidth="1" outlineLevel="1"/>
    <col min="95" max="95" width="20.19921875" style="33" customWidth="1" outlineLevel="1"/>
    <col min="96" max="96" width="20.59765625" style="33" customWidth="1" outlineLevel="1"/>
    <col min="97" max="97" width="17.09765625" style="33" customWidth="1" outlineLevel="1"/>
    <col min="98" max="98" width="13" style="33" customWidth="1" outlineLevel="1"/>
    <col min="99" max="99" width="15.69921875" style="31" customWidth="1" outlineLevel="1"/>
    <col min="100" max="100" width="25.59765625" style="31" customWidth="1" outlineLevel="1"/>
    <col min="101" max="101" width="13.09765625" style="31" customWidth="1" outlineLevel="1"/>
    <col min="102" max="102" width="13.09765625" style="33" customWidth="1" outlineLevel="1"/>
    <col min="103" max="103" width="15.5" style="31" customWidth="1" outlineLevel="1"/>
    <col min="104" max="104" width="14" style="31" customWidth="1" outlineLevel="1"/>
    <col min="105" max="107" width="12" style="33" customWidth="1" outlineLevel="1"/>
    <col min="108" max="108" width="19.59765625" style="33" customWidth="1" outlineLevel="1"/>
    <col min="109" max="109" width="19.19921875" style="33" customWidth="1" outlineLevel="1"/>
    <col min="110" max="110" width="12.19921875" style="33" customWidth="1" outlineLevel="1"/>
    <col min="111" max="111" width="10.69921875" style="33" customWidth="1" outlineLevel="1"/>
    <col min="112" max="112" width="9" customWidth="1" outlineLevel="1"/>
    <col min="113" max="113" width="12.09765625" style="32" customWidth="1" outlineLevel="1"/>
    <col min="114" max="114" width="15.19921875" style="33" customWidth="1" outlineLevel="1"/>
    <col min="115" max="115" width="18" customWidth="1" outlineLevel="1"/>
    <col min="116" max="116" width="16.19921875" style="33" customWidth="1" outlineLevel="1"/>
    <col min="117" max="117" width="13.19921875" style="33" customWidth="1" outlineLevel="1"/>
    <col min="118" max="118" width="12" style="33" customWidth="1" outlineLevel="1"/>
    <col min="119" max="119" width="15.5" style="33" customWidth="1" outlineLevel="1"/>
    <col min="120" max="120" width="23.09765625" style="33" customWidth="1" outlineLevel="1"/>
    <col min="121" max="121" width="14.19921875" style="33" customWidth="1" outlineLevel="1"/>
    <col min="122" max="122" width="11.69921875" style="33" customWidth="1" outlineLevel="1"/>
    <col min="123" max="123" width="12.19921875" style="33" customWidth="1" outlineLevel="1"/>
    <col min="124" max="124" width="12.69921875" style="33" customWidth="1" outlineLevel="1"/>
    <col min="125" max="125" width="12.69921875" customWidth="1" outlineLevel="1"/>
    <col min="126" max="128" width="17.69921875" customWidth="1" outlineLevel="1"/>
    <col min="129" max="130" width="16.19921875" style="364" customWidth="1" outlineLevel="1"/>
    <col min="131" max="134" width="16.19921875" style="421" customWidth="1" outlineLevel="1"/>
    <col min="135" max="138" width="12" style="33" customWidth="1"/>
    <col min="139" max="139" width="11.69921875" customWidth="1"/>
    <col min="140" max="140" width="13.69921875" style="33" customWidth="1"/>
    <col min="141" max="141" width="12" style="33" customWidth="1"/>
    <col min="142" max="142" width="22.69921875" style="37" customWidth="1"/>
    <col min="143" max="144" width="12" style="31" customWidth="1"/>
    <col min="145" max="16384" width="9" style="20"/>
  </cols>
  <sheetData>
    <row r="1" spans="1:146" s="19" customFormat="1" ht="16.5" hidden="1" customHeight="1" thickBot="1">
      <c r="A1" s="194"/>
      <c r="B1" s="205" t="s">
        <v>1852</v>
      </c>
      <c r="C1" s="205"/>
      <c r="D1" s="205"/>
      <c r="E1" s="203" t="s">
        <v>1850</v>
      </c>
      <c r="F1" s="184"/>
      <c r="G1" s="184"/>
      <c r="H1" s="184"/>
      <c r="I1" s="184"/>
      <c r="J1" s="184"/>
      <c r="K1" s="1122" t="s">
        <v>1851</v>
      </c>
      <c r="L1" s="1123"/>
      <c r="M1" s="70"/>
      <c r="N1" s="70"/>
      <c r="O1" s="70"/>
      <c r="P1" s="70"/>
      <c r="Q1" s="70"/>
      <c r="R1" s="70"/>
      <c r="S1" s="70"/>
      <c r="T1" s="199" t="s">
        <v>1583</v>
      </c>
      <c r="U1" s="199"/>
      <c r="V1" s="199"/>
      <c r="W1" s="199"/>
      <c r="X1" s="199"/>
      <c r="Y1" s="199"/>
      <c r="Z1" s="199"/>
      <c r="AA1" s="199"/>
      <c r="AB1" s="199"/>
      <c r="AC1" s="199"/>
      <c r="AD1" s="199"/>
      <c r="AE1" s="199"/>
      <c r="AF1" s="199"/>
      <c r="AG1" s="199"/>
      <c r="AH1" s="199"/>
      <c r="AI1" s="199"/>
      <c r="AJ1" s="199"/>
      <c r="AK1" s="199"/>
      <c r="AL1" s="199"/>
      <c r="AM1" s="199"/>
      <c r="AN1" s="199"/>
      <c r="AO1" s="199"/>
      <c r="AP1" s="199"/>
      <c r="AQ1" s="200" t="s">
        <v>1584</v>
      </c>
      <c r="AR1" s="200"/>
      <c r="AS1" s="200"/>
      <c r="AT1" s="200"/>
      <c r="AU1" s="200"/>
      <c r="AV1" s="200"/>
      <c r="AW1" s="200"/>
      <c r="AX1" s="200"/>
      <c r="AY1" s="200"/>
      <c r="AZ1" s="200"/>
      <c r="BA1" s="200"/>
      <c r="BB1" s="200"/>
      <c r="BC1" s="200"/>
      <c r="BD1" s="200"/>
      <c r="BE1" s="200"/>
      <c r="BF1" s="200"/>
      <c r="BG1" s="201" t="s">
        <v>1585</v>
      </c>
      <c r="BH1" s="201"/>
      <c r="BI1" s="201"/>
      <c r="BJ1" s="201"/>
      <c r="BK1" s="201"/>
      <c r="BL1" s="201"/>
      <c r="BM1" s="201"/>
      <c r="BN1" s="201"/>
      <c r="BO1" s="201"/>
      <c r="BP1" s="201"/>
      <c r="BQ1" s="275"/>
      <c r="BR1" s="275"/>
      <c r="BS1" s="275"/>
      <c r="BT1" s="1132" t="s">
        <v>2235</v>
      </c>
      <c r="BU1" s="1133"/>
      <c r="BV1" s="1133"/>
      <c r="BW1" s="1134"/>
      <c r="BX1" s="1135" t="s">
        <v>2318</v>
      </c>
      <c r="BY1" s="1136"/>
      <c r="BZ1" s="1136"/>
      <c r="CA1" s="802"/>
      <c r="CB1" s="802"/>
      <c r="CC1" s="802"/>
      <c r="CD1" s="802"/>
      <c r="CE1" s="71" t="s">
        <v>114</v>
      </c>
      <c r="CF1" s="71"/>
      <c r="CG1" s="71"/>
      <c r="CH1" s="71"/>
      <c r="CI1" s="71"/>
      <c r="CJ1" s="71"/>
      <c r="CK1" s="71"/>
      <c r="CL1" s="71"/>
      <c r="CM1" s="71"/>
      <c r="CN1" s="71"/>
      <c r="CO1" s="71"/>
      <c r="CP1" s="71"/>
      <c r="CQ1" s="71"/>
      <c r="CR1" s="72"/>
      <c r="CS1" s="71"/>
      <c r="CT1" s="71"/>
      <c r="CU1" s="71"/>
      <c r="CV1" s="72"/>
      <c r="CW1" s="72"/>
      <c r="CX1" s="71"/>
      <c r="CY1" s="71"/>
      <c r="CZ1" s="71"/>
      <c r="DA1" s="71"/>
      <c r="DB1" s="71"/>
      <c r="DC1" s="71"/>
      <c r="DD1" s="72"/>
      <c r="DE1" s="72"/>
      <c r="DF1" s="72"/>
      <c r="DG1" s="72"/>
      <c r="DH1" s="71"/>
      <c r="DI1" s="71"/>
      <c r="DJ1" s="71"/>
      <c r="DK1" s="71"/>
      <c r="DL1" s="72"/>
      <c r="DM1" s="72"/>
      <c r="DN1" s="72"/>
      <c r="DO1" s="72"/>
      <c r="DP1" s="72"/>
      <c r="DQ1" s="71"/>
      <c r="DR1" s="71"/>
      <c r="DS1" s="71"/>
      <c r="DT1" s="71"/>
      <c r="DU1" s="71"/>
      <c r="DV1" s="72"/>
      <c r="DW1" s="71"/>
      <c r="DX1" s="71"/>
      <c r="DY1" s="71"/>
      <c r="DZ1" s="71"/>
      <c r="EA1" s="71"/>
      <c r="EB1" s="71"/>
      <c r="EC1" s="71"/>
      <c r="ED1" s="71"/>
      <c r="EE1" s="153"/>
      <c r="EF1" s="153"/>
      <c r="EG1" s="154"/>
      <c r="EH1" s="154"/>
      <c r="EI1" s="154"/>
      <c r="EJ1" s="154"/>
      <c r="EK1" s="154"/>
      <c r="EL1" s="154"/>
      <c r="EM1" s="154"/>
      <c r="EN1" s="154"/>
    </row>
    <row r="2" spans="1:146" s="19" customFormat="1" ht="21" customHeight="1" thickBot="1">
      <c r="A2" s="183" t="s">
        <v>0</v>
      </c>
      <c r="B2" s="204" t="s">
        <v>1</v>
      </c>
      <c r="C2" s="204" t="s">
        <v>2</v>
      </c>
      <c r="D2" s="204" t="s">
        <v>3</v>
      </c>
      <c r="E2" s="184" t="s">
        <v>4</v>
      </c>
      <c r="F2" s="184" t="s">
        <v>874</v>
      </c>
      <c r="G2" s="184" t="s">
        <v>5</v>
      </c>
      <c r="H2" s="184" t="s">
        <v>6</v>
      </c>
      <c r="I2" s="184" t="s">
        <v>47</v>
      </c>
      <c r="J2" s="184" t="s">
        <v>48</v>
      </c>
      <c r="K2" s="182" t="s">
        <v>51</v>
      </c>
      <c r="L2" s="182" t="s">
        <v>53</v>
      </c>
      <c r="M2" s="183" t="s">
        <v>54</v>
      </c>
      <c r="N2" s="183" t="s">
        <v>115</v>
      </c>
      <c r="O2" s="183" t="s">
        <v>116</v>
      </c>
      <c r="P2" s="183" t="s">
        <v>59</v>
      </c>
      <c r="Q2" s="183" t="s">
        <v>57</v>
      </c>
      <c r="R2" s="183" t="s">
        <v>61</v>
      </c>
      <c r="S2" s="183" t="s">
        <v>875</v>
      </c>
      <c r="T2" s="202" t="s">
        <v>62</v>
      </c>
      <c r="U2" s="202" t="s">
        <v>63</v>
      </c>
      <c r="V2" s="202" t="s">
        <v>64</v>
      </c>
      <c r="W2" s="202" t="s">
        <v>66</v>
      </c>
      <c r="X2" s="202" t="s">
        <v>876</v>
      </c>
      <c r="Y2" s="202" t="s">
        <v>67</v>
      </c>
      <c r="Z2" s="202" t="s">
        <v>68</v>
      </c>
      <c r="AA2" s="202" t="s">
        <v>69</v>
      </c>
      <c r="AB2" s="202" t="s">
        <v>70</v>
      </c>
      <c r="AC2" s="202" t="s">
        <v>1011</v>
      </c>
      <c r="AD2" s="202" t="s">
        <v>1012</v>
      </c>
      <c r="AE2" s="202" t="s">
        <v>1013</v>
      </c>
      <c r="AF2" s="202" t="s">
        <v>1014</v>
      </c>
      <c r="AG2" s="202" t="s">
        <v>1015</v>
      </c>
      <c r="AH2" s="202" t="s">
        <v>1016</v>
      </c>
      <c r="AI2" s="202" t="s">
        <v>1017</v>
      </c>
      <c r="AJ2" s="202" t="s">
        <v>1018</v>
      </c>
      <c r="AK2" s="202" t="s">
        <v>1019</v>
      </c>
      <c r="AL2" s="202" t="s">
        <v>1020</v>
      </c>
      <c r="AM2" s="202" t="s">
        <v>1569</v>
      </c>
      <c r="AN2" s="202" t="s">
        <v>1571</v>
      </c>
      <c r="AO2" s="202"/>
      <c r="AP2" s="202" t="s">
        <v>1714</v>
      </c>
      <c r="AQ2" s="186" t="s">
        <v>1789</v>
      </c>
      <c r="AR2" s="186" t="s">
        <v>1791</v>
      </c>
      <c r="AS2" s="186" t="s">
        <v>1792</v>
      </c>
      <c r="AT2" s="186" t="s">
        <v>1793</v>
      </c>
      <c r="AU2" s="186" t="s">
        <v>1794</v>
      </c>
      <c r="AV2" s="186" t="s">
        <v>1795</v>
      </c>
      <c r="AW2" s="186" t="s">
        <v>1796</v>
      </c>
      <c r="AX2" s="186" t="s">
        <v>1798</v>
      </c>
      <c r="AY2" s="186" t="s">
        <v>1800</v>
      </c>
      <c r="AZ2" s="186" t="s">
        <v>1801</v>
      </c>
      <c r="BA2" s="186" t="s">
        <v>1802</v>
      </c>
      <c r="BB2" s="186" t="s">
        <v>1803</v>
      </c>
      <c r="BC2" s="186" t="s">
        <v>1804</v>
      </c>
      <c r="BD2" s="186" t="s">
        <v>1806</v>
      </c>
      <c r="BE2" s="186" t="s">
        <v>1808</v>
      </c>
      <c r="BF2" s="186" t="s">
        <v>1810</v>
      </c>
      <c r="BG2" s="193" t="s">
        <v>1813</v>
      </c>
      <c r="BH2" s="193" t="s">
        <v>1816</v>
      </c>
      <c r="BI2" s="193" t="s">
        <v>1818</v>
      </c>
      <c r="BJ2" s="193" t="s">
        <v>1819</v>
      </c>
      <c r="BK2" s="193" t="s">
        <v>1820</v>
      </c>
      <c r="BL2" s="193" t="s">
        <v>1821</v>
      </c>
      <c r="BM2" s="193" t="s">
        <v>1955</v>
      </c>
      <c r="BN2" s="193" t="s">
        <v>1956</v>
      </c>
      <c r="BO2" s="193" t="s">
        <v>2019</v>
      </c>
      <c r="BP2" s="193" t="s">
        <v>2022</v>
      </c>
      <c r="BQ2" s="193" t="s">
        <v>2024</v>
      </c>
      <c r="BR2" s="193" t="s">
        <v>2187</v>
      </c>
      <c r="BS2" s="193" t="s">
        <v>2188</v>
      </c>
      <c r="BT2" s="490" t="s">
        <v>2189</v>
      </c>
      <c r="BU2" s="490" t="s">
        <v>2190</v>
      </c>
      <c r="BV2" s="490" t="s">
        <v>2191</v>
      </c>
      <c r="BW2" s="490" t="s">
        <v>2282</v>
      </c>
      <c r="BX2" s="516" t="s">
        <v>2283</v>
      </c>
      <c r="BY2" s="516" t="s">
        <v>2284</v>
      </c>
      <c r="BZ2" s="516" t="s">
        <v>2330</v>
      </c>
      <c r="CA2" s="803" t="s">
        <v>2766</v>
      </c>
      <c r="CB2" s="803" t="s">
        <v>2767</v>
      </c>
      <c r="CC2" s="803" t="s">
        <v>2768</v>
      </c>
      <c r="CD2" s="803" t="s">
        <v>2770</v>
      </c>
      <c r="CE2" s="1124" t="s">
        <v>1601</v>
      </c>
      <c r="CF2" s="1125"/>
      <c r="CG2" s="1126"/>
      <c r="CH2" s="1127" t="s">
        <v>1602</v>
      </c>
      <c r="CI2" s="1125"/>
      <c r="CJ2" s="1125"/>
      <c r="CK2" s="1125"/>
      <c r="CL2" s="1125"/>
      <c r="CM2" s="1125"/>
      <c r="CN2" s="1125"/>
      <c r="CO2" s="1125"/>
      <c r="CP2" s="1125"/>
      <c r="CQ2" s="1125"/>
      <c r="CR2" s="1101" t="s">
        <v>2057</v>
      </c>
      <c r="CS2" s="1128" t="s">
        <v>1603</v>
      </c>
      <c r="CT2" s="1129"/>
      <c r="CU2" s="1101"/>
      <c r="CV2" s="1101" t="s">
        <v>77</v>
      </c>
      <c r="CW2" s="1115"/>
      <c r="CX2" s="1118" t="s">
        <v>2063</v>
      </c>
      <c r="CY2" s="1119"/>
      <c r="CZ2" s="1111" t="s">
        <v>2062</v>
      </c>
      <c r="DA2" s="1112"/>
      <c r="DB2" s="1117"/>
      <c r="DC2" s="387"/>
      <c r="DD2" s="1117" t="s">
        <v>2065</v>
      </c>
      <c r="DE2" s="1117" t="s">
        <v>1281</v>
      </c>
      <c r="DF2" s="1117"/>
      <c r="DG2" s="558"/>
      <c r="DH2" s="1106"/>
      <c r="DI2" s="1107" t="s">
        <v>1519</v>
      </c>
      <c r="DJ2" s="1108"/>
      <c r="DK2" s="1105"/>
      <c r="DL2" s="331" t="s">
        <v>1475</v>
      </c>
      <c r="DM2" s="332"/>
      <c r="DN2" s="332"/>
      <c r="DO2" s="332"/>
      <c r="DP2" s="332"/>
      <c r="DQ2" s="341"/>
      <c r="DR2" s="350" t="s">
        <v>1519</v>
      </c>
      <c r="DS2" s="346"/>
      <c r="DT2" s="332"/>
      <c r="DU2" s="332"/>
      <c r="DV2" s="332"/>
      <c r="DW2" s="332"/>
      <c r="DX2" s="332"/>
      <c r="DY2" s="332"/>
      <c r="DZ2" s="332"/>
      <c r="EA2" s="504"/>
      <c r="EB2" s="504"/>
      <c r="EC2" s="504"/>
      <c r="ED2" s="504"/>
      <c r="EE2" s="39" t="s">
        <v>7</v>
      </c>
      <c r="EF2" s="34" t="s">
        <v>8</v>
      </c>
      <c r="EG2" s="34" t="s">
        <v>9</v>
      </c>
      <c r="EH2" s="34" t="s">
        <v>10</v>
      </c>
      <c r="EI2" s="34" t="s">
        <v>11</v>
      </c>
      <c r="EJ2" s="34" t="s">
        <v>12</v>
      </c>
      <c r="EK2" s="34" t="s">
        <v>13</v>
      </c>
      <c r="EL2" s="34" t="s">
        <v>14</v>
      </c>
      <c r="EM2" s="34" t="s">
        <v>15</v>
      </c>
      <c r="EN2" s="34"/>
    </row>
    <row r="3" spans="1:146" s="227" customFormat="1" ht="77.55" hidden="1" customHeight="1" thickBot="1">
      <c r="A3" s="522" t="s">
        <v>1858</v>
      </c>
      <c r="B3" s="523" t="s">
        <v>1859</v>
      </c>
      <c r="C3" s="523" t="s">
        <v>1860</v>
      </c>
      <c r="D3" s="523" t="s">
        <v>1861</v>
      </c>
      <c r="E3" s="524" t="s">
        <v>1862</v>
      </c>
      <c r="F3" s="524" t="s">
        <v>1863</v>
      </c>
      <c r="G3" s="524" t="s">
        <v>1864</v>
      </c>
      <c r="H3" s="524" t="s">
        <v>1865</v>
      </c>
      <c r="I3" s="524" t="s">
        <v>1905</v>
      </c>
      <c r="J3" s="524" t="s">
        <v>1904</v>
      </c>
      <c r="K3" s="525" t="s">
        <v>1866</v>
      </c>
      <c r="L3" s="525" t="s">
        <v>1867</v>
      </c>
      <c r="M3" s="522" t="s">
        <v>2025</v>
      </c>
      <c r="N3" s="522" t="s">
        <v>1573</v>
      </c>
      <c r="O3" s="522" t="s">
        <v>1869</v>
      </c>
      <c r="P3" s="522" t="s">
        <v>1871</v>
      </c>
      <c r="Q3" s="522" t="s">
        <v>1873</v>
      </c>
      <c r="R3" s="522" t="s">
        <v>1874</v>
      </c>
      <c r="S3" s="526" t="s">
        <v>1875</v>
      </c>
      <c r="T3" s="548" t="s">
        <v>1946</v>
      </c>
      <c r="U3" s="548" t="s">
        <v>1914</v>
      </c>
      <c r="V3" s="548" t="s">
        <v>1915</v>
      </c>
      <c r="W3" s="549" t="s">
        <v>2026</v>
      </c>
      <c r="X3" s="548" t="s">
        <v>1948</v>
      </c>
      <c r="Y3" s="549" t="s">
        <v>2027</v>
      </c>
      <c r="Z3" s="548" t="s">
        <v>2028</v>
      </c>
      <c r="AA3" s="549" t="s">
        <v>1976</v>
      </c>
      <c r="AB3" s="549" t="s">
        <v>1981</v>
      </c>
      <c r="AC3" s="549" t="s">
        <v>2029</v>
      </c>
      <c r="AD3" s="549" t="s">
        <v>2331</v>
      </c>
      <c r="AE3" s="549" t="s">
        <v>1928</v>
      </c>
      <c r="AF3" s="549" t="s">
        <v>2332</v>
      </c>
      <c r="AG3" s="549" t="s">
        <v>2031</v>
      </c>
      <c r="AH3" s="549" t="s">
        <v>2032</v>
      </c>
      <c r="AI3" s="549" t="s">
        <v>1919</v>
      </c>
      <c r="AJ3" s="550" t="s">
        <v>2287</v>
      </c>
      <c r="AK3" s="549" t="s">
        <v>1922</v>
      </c>
      <c r="AL3" s="549" t="s">
        <v>2288</v>
      </c>
      <c r="AM3" s="549" t="s">
        <v>2294</v>
      </c>
      <c r="AN3" s="549" t="s">
        <v>2295</v>
      </c>
      <c r="AO3" s="549"/>
      <c r="AP3" s="549" t="s">
        <v>1878</v>
      </c>
      <c r="AQ3" s="551" t="s">
        <v>1977</v>
      </c>
      <c r="AR3" s="551" t="s">
        <v>2034</v>
      </c>
      <c r="AS3" s="551" t="s">
        <v>2317</v>
      </c>
      <c r="AT3" s="551" t="s">
        <v>2037</v>
      </c>
      <c r="AU3" s="551" t="s">
        <v>2039</v>
      </c>
      <c r="AV3" s="551" t="s">
        <v>1923</v>
      </c>
      <c r="AW3" s="551" t="s">
        <v>1926</v>
      </c>
      <c r="AX3" s="551" t="s">
        <v>1927</v>
      </c>
      <c r="AY3" s="552" t="s">
        <v>1880</v>
      </c>
      <c r="AZ3" s="552" t="s">
        <v>1900</v>
      </c>
      <c r="BA3" s="552" t="s">
        <v>1883</v>
      </c>
      <c r="BB3" s="552" t="s">
        <v>1885</v>
      </c>
      <c r="BC3" s="552" t="s">
        <v>2343</v>
      </c>
      <c r="BD3" s="552" t="s">
        <v>2344</v>
      </c>
      <c r="BE3" s="552" t="s">
        <v>2196</v>
      </c>
      <c r="BF3" s="552" t="s">
        <v>1887</v>
      </c>
      <c r="BG3" s="553" t="s">
        <v>1889</v>
      </c>
      <c r="BH3" s="553" t="s">
        <v>1979</v>
      </c>
      <c r="BI3" s="553" t="s">
        <v>1891</v>
      </c>
      <c r="BJ3" s="553" t="s">
        <v>1892</v>
      </c>
      <c r="BK3" s="553" t="s">
        <v>1980</v>
      </c>
      <c r="BL3" s="554" t="s">
        <v>1901</v>
      </c>
      <c r="BM3" s="554" t="s">
        <v>1903</v>
      </c>
      <c r="BN3" s="554" t="s">
        <v>1895</v>
      </c>
      <c r="BO3" s="554" t="s">
        <v>2337</v>
      </c>
      <c r="BP3" s="554" t="s">
        <v>1896</v>
      </c>
      <c r="BQ3" s="554" t="s">
        <v>2041</v>
      </c>
      <c r="BR3" s="554" t="s">
        <v>2042</v>
      </c>
      <c r="BS3" s="554" t="s">
        <v>1897</v>
      </c>
      <c r="BT3" s="527" t="s">
        <v>2201</v>
      </c>
      <c r="BU3" s="527" t="s">
        <v>2202</v>
      </c>
      <c r="BV3" s="527" t="s">
        <v>2203</v>
      </c>
      <c r="BW3" s="527" t="s">
        <v>2199</v>
      </c>
      <c r="BX3" s="547"/>
      <c r="BY3" s="547"/>
      <c r="BZ3" s="547"/>
      <c r="CA3" s="804"/>
      <c r="CB3" s="804"/>
      <c r="CC3" s="804"/>
      <c r="CD3" s="804"/>
      <c r="CE3" s="1124"/>
      <c r="CF3" s="1125"/>
      <c r="CG3" s="1126"/>
      <c r="CH3" s="1127"/>
      <c r="CI3" s="1125"/>
      <c r="CJ3" s="1125"/>
      <c r="CK3" s="1125"/>
      <c r="CL3" s="1125"/>
      <c r="CM3" s="1125"/>
      <c r="CN3" s="1125"/>
      <c r="CO3" s="1125"/>
      <c r="CP3" s="1125"/>
      <c r="CQ3" s="1125"/>
      <c r="CR3" s="1101"/>
      <c r="CS3" s="1130"/>
      <c r="CT3" s="1131"/>
      <c r="CU3" s="1101"/>
      <c r="CV3" s="1101" t="s">
        <v>77</v>
      </c>
      <c r="CW3" s="1116"/>
      <c r="CX3" s="1120"/>
      <c r="CY3" s="1121"/>
      <c r="CZ3" s="1113"/>
      <c r="DA3" s="1114"/>
      <c r="DB3" s="1117"/>
      <c r="DC3" s="555"/>
      <c r="DD3" s="1117" t="s">
        <v>2065</v>
      </c>
      <c r="DE3" s="1117"/>
      <c r="DF3" s="1117"/>
      <c r="DG3" s="558"/>
      <c r="DH3" s="1106"/>
      <c r="DI3" s="1109"/>
      <c r="DJ3" s="1110"/>
      <c r="DK3" s="1105"/>
      <c r="DL3" s="556" t="s">
        <v>2071</v>
      </c>
      <c r="DM3" s="333"/>
      <c r="DN3" s="333"/>
      <c r="DO3" s="556" t="s">
        <v>2070</v>
      </c>
      <c r="DP3" s="557" t="s">
        <v>1267</v>
      </c>
      <c r="DQ3" s="342"/>
      <c r="DR3" s="351"/>
      <c r="DS3" s="347"/>
      <c r="DT3" s="333"/>
      <c r="DU3" s="333"/>
      <c r="DV3" s="334"/>
      <c r="DW3" s="333"/>
      <c r="DX3" s="333"/>
      <c r="DY3" s="333"/>
      <c r="DZ3" s="333"/>
      <c r="EA3" s="505"/>
      <c r="EB3" s="505"/>
      <c r="EC3" s="505"/>
      <c r="ED3" s="505"/>
      <c r="EE3" s="225"/>
      <c r="EF3" s="226"/>
      <c r="EG3" s="226"/>
      <c r="EH3" s="226"/>
      <c r="EI3" s="226"/>
      <c r="EJ3" s="226"/>
      <c r="EK3" s="226"/>
      <c r="EL3" s="226"/>
      <c r="EM3" s="226"/>
      <c r="EN3" s="226"/>
    </row>
    <row r="4" spans="1:146" s="235" customFormat="1" ht="71.55" customHeight="1" thickBot="1">
      <c r="A4" s="276" t="s">
        <v>1763</v>
      </c>
      <c r="B4" s="277" t="s">
        <v>1765</v>
      </c>
      <c r="C4" s="277" t="s">
        <v>1767</v>
      </c>
      <c r="D4" s="277" t="s">
        <v>1769</v>
      </c>
      <c r="E4" s="278" t="s">
        <v>21</v>
      </c>
      <c r="F4" s="278" t="s">
        <v>22</v>
      </c>
      <c r="G4" s="278" t="s">
        <v>1771</v>
      </c>
      <c r="H4" s="278" t="s">
        <v>1773</v>
      </c>
      <c r="I4" s="278" t="s">
        <v>24</v>
      </c>
      <c r="J4" s="278" t="s">
        <v>1487</v>
      </c>
      <c r="K4" s="279" t="s">
        <v>1775</v>
      </c>
      <c r="L4" s="279" t="s">
        <v>1777</v>
      </c>
      <c r="M4" s="276" t="s">
        <v>1989</v>
      </c>
      <c r="N4" s="276" t="s">
        <v>1570</v>
      </c>
      <c r="O4" s="276" t="s">
        <v>1572</v>
      </c>
      <c r="P4" s="276" t="s">
        <v>1779</v>
      </c>
      <c r="Q4" s="276" t="s">
        <v>1780</v>
      </c>
      <c r="R4" s="276" t="s">
        <v>1782</v>
      </c>
      <c r="S4" s="280" t="s">
        <v>1783</v>
      </c>
      <c r="T4" s="532" t="s">
        <v>1949</v>
      </c>
      <c r="U4" s="532" t="s">
        <v>1910</v>
      </c>
      <c r="V4" s="532" t="s">
        <v>1912</v>
      </c>
      <c r="W4" s="533" t="s">
        <v>1945</v>
      </c>
      <c r="X4" s="533" t="s">
        <v>1950</v>
      </c>
      <c r="Y4" s="533" t="s">
        <v>1996</v>
      </c>
      <c r="Z4" s="533" t="s">
        <v>1998</v>
      </c>
      <c r="AA4" s="533" t="s">
        <v>2000</v>
      </c>
      <c r="AB4" s="533" t="s">
        <v>1958</v>
      </c>
      <c r="AC4" s="533" t="s">
        <v>1959</v>
      </c>
      <c r="AD4" s="571" t="s">
        <v>2322</v>
      </c>
      <c r="AE4" s="533" t="s">
        <v>1931</v>
      </c>
      <c r="AF4" s="533" t="s">
        <v>2323</v>
      </c>
      <c r="AG4" s="533" t="s">
        <v>2005</v>
      </c>
      <c r="AH4" s="533" t="s">
        <v>1787</v>
      </c>
      <c r="AI4" s="534" t="s">
        <v>2270</v>
      </c>
      <c r="AJ4" s="534" t="s">
        <v>2273</v>
      </c>
      <c r="AK4" s="534" t="s">
        <v>2275</v>
      </c>
      <c r="AL4" s="534" t="s">
        <v>2276</v>
      </c>
      <c r="AM4" s="535" t="s">
        <v>2298</v>
      </c>
      <c r="AN4" s="532" t="s">
        <v>2853</v>
      </c>
      <c r="AO4" s="532" t="s">
        <v>2856</v>
      </c>
      <c r="AP4" s="535" t="s">
        <v>60</v>
      </c>
      <c r="AQ4" s="536" t="s">
        <v>1952</v>
      </c>
      <c r="AR4" s="536" t="s">
        <v>1953</v>
      </c>
      <c r="AS4" s="536" t="s">
        <v>2007</v>
      </c>
      <c r="AT4" s="536" t="s">
        <v>2008</v>
      </c>
      <c r="AU4" s="536" t="s">
        <v>2009</v>
      </c>
      <c r="AV4" s="536" t="s">
        <v>2011</v>
      </c>
      <c r="AW4" s="537" t="s">
        <v>1906</v>
      </c>
      <c r="AX4" s="536" t="s">
        <v>2014</v>
      </c>
      <c r="AY4" s="538" t="s">
        <v>1829</v>
      </c>
      <c r="AZ4" s="539" t="s">
        <v>1830</v>
      </c>
      <c r="BA4" s="540" t="s">
        <v>2310</v>
      </c>
      <c r="BB4" s="540" t="s">
        <v>2311</v>
      </c>
      <c r="BC4" s="261" t="s">
        <v>2324</v>
      </c>
      <c r="BD4" s="261" t="s">
        <v>2326</v>
      </c>
      <c r="BE4" s="541" t="s">
        <v>2308</v>
      </c>
      <c r="BF4" s="540" t="s">
        <v>65</v>
      </c>
      <c r="BG4" s="542" t="s">
        <v>1932</v>
      </c>
      <c r="BH4" s="542" t="s">
        <v>1962</v>
      </c>
      <c r="BI4" s="543" t="s">
        <v>1933</v>
      </c>
      <c r="BJ4" s="543" t="s">
        <v>1934</v>
      </c>
      <c r="BK4" s="543" t="s">
        <v>1964</v>
      </c>
      <c r="BL4" s="543" t="s">
        <v>1811</v>
      </c>
      <c r="BM4" s="543" t="s">
        <v>1814</v>
      </c>
      <c r="BN4" s="543" t="s">
        <v>1817</v>
      </c>
      <c r="BO4" s="543" t="s">
        <v>2328</v>
      </c>
      <c r="BP4" s="544" t="s">
        <v>2018</v>
      </c>
      <c r="BQ4" s="544" t="s">
        <v>2020</v>
      </c>
      <c r="BR4" s="545" t="s">
        <v>2023</v>
      </c>
      <c r="BS4" s="545" t="s">
        <v>72</v>
      </c>
      <c r="BT4" s="546" t="s">
        <v>2183</v>
      </c>
      <c r="BU4" s="546" t="s">
        <v>2184</v>
      </c>
      <c r="BV4" s="546" t="s">
        <v>2185</v>
      </c>
      <c r="BW4" s="546" t="s">
        <v>2186</v>
      </c>
      <c r="BX4" s="547" t="s">
        <v>2279</v>
      </c>
      <c r="BY4" s="547" t="s">
        <v>2280</v>
      </c>
      <c r="BZ4" s="547" t="s">
        <v>2281</v>
      </c>
      <c r="CA4" s="805" t="s">
        <v>2757</v>
      </c>
      <c r="CB4" s="805" t="s">
        <v>2758</v>
      </c>
      <c r="CC4" s="805" t="s">
        <v>2759</v>
      </c>
      <c r="CD4" s="805" t="s">
        <v>2760</v>
      </c>
      <c r="CE4" s="290" t="s">
        <v>2047</v>
      </c>
      <c r="CF4" s="286" t="s">
        <v>2048</v>
      </c>
      <c r="CG4" s="291" t="s">
        <v>2049</v>
      </c>
      <c r="CH4" s="288" t="s">
        <v>2050</v>
      </c>
      <c r="CI4" s="285" t="s">
        <v>2051</v>
      </c>
      <c r="CJ4" s="285" t="s">
        <v>2052</v>
      </c>
      <c r="CK4" s="285" t="s">
        <v>2056</v>
      </c>
      <c r="CL4" s="285" t="s">
        <v>2003</v>
      </c>
      <c r="CM4" s="285" t="s">
        <v>2866</v>
      </c>
      <c r="CN4" s="285" t="s">
        <v>2865</v>
      </c>
      <c r="CO4" s="286" t="s">
        <v>117</v>
      </c>
      <c r="CP4" s="286" t="s">
        <v>118</v>
      </c>
      <c r="CQ4" s="286" t="s">
        <v>119</v>
      </c>
      <c r="CR4" s="299" t="s">
        <v>120</v>
      </c>
      <c r="CS4" s="285" t="s">
        <v>1481</v>
      </c>
      <c r="CT4" s="299" t="s">
        <v>121</v>
      </c>
      <c r="CU4" s="285" t="s">
        <v>122</v>
      </c>
      <c r="CV4" s="298" t="s">
        <v>2060</v>
      </c>
      <c r="CW4" s="297" t="s">
        <v>123</v>
      </c>
      <c r="CX4" s="290" t="s">
        <v>124</v>
      </c>
      <c r="CY4" s="309" t="s">
        <v>2066</v>
      </c>
      <c r="CZ4" s="306" t="s">
        <v>125</v>
      </c>
      <c r="DA4" s="297" t="s">
        <v>126</v>
      </c>
      <c r="DB4" s="311" t="s">
        <v>1853</v>
      </c>
      <c r="DC4" s="311" t="s">
        <v>2113</v>
      </c>
      <c r="DD4" s="313" t="s">
        <v>2064</v>
      </c>
      <c r="DE4" s="312" t="s">
        <v>1856</v>
      </c>
      <c r="DF4" s="312" t="s">
        <v>1857</v>
      </c>
      <c r="DG4" s="312" t="s">
        <v>2352</v>
      </c>
      <c r="DH4" s="318" t="s">
        <v>128</v>
      </c>
      <c r="DI4" s="324" t="s">
        <v>127</v>
      </c>
      <c r="DJ4" s="325" t="s">
        <v>2112</v>
      </c>
      <c r="DK4" s="321" t="s">
        <v>1966</v>
      </c>
      <c r="DL4" s="330" t="s">
        <v>78</v>
      </c>
      <c r="DM4" s="330" t="s">
        <v>1503</v>
      </c>
      <c r="DN4" s="330" t="s">
        <v>1504</v>
      </c>
      <c r="DO4" s="330" t="s">
        <v>1502</v>
      </c>
      <c r="DP4" s="339" t="s">
        <v>2072</v>
      </c>
      <c r="DQ4" s="340" t="s">
        <v>129</v>
      </c>
      <c r="DR4" s="352" t="s">
        <v>1967</v>
      </c>
      <c r="DS4" s="345" t="s">
        <v>130</v>
      </c>
      <c r="DT4" s="330" t="s">
        <v>131</v>
      </c>
      <c r="DU4" s="330" t="s">
        <v>132</v>
      </c>
      <c r="DV4" s="330" t="s">
        <v>2068</v>
      </c>
      <c r="DW4" s="330" t="s">
        <v>133</v>
      </c>
      <c r="DX4" s="330" t="s">
        <v>2075</v>
      </c>
      <c r="DY4" s="330" t="s">
        <v>2096</v>
      </c>
      <c r="DZ4" s="330" t="s">
        <v>2134</v>
      </c>
      <c r="EA4" s="487" t="s">
        <v>2261</v>
      </c>
      <c r="EB4" s="573" t="s">
        <v>2356</v>
      </c>
      <c r="EC4" s="573" t="s">
        <v>2863</v>
      </c>
      <c r="ED4" s="573" t="s">
        <v>2864</v>
      </c>
      <c r="EE4" s="233" t="s">
        <v>27</v>
      </c>
      <c r="EF4" s="234" t="s">
        <v>28</v>
      </c>
      <c r="EG4" s="234" t="s">
        <v>135</v>
      </c>
      <c r="EH4" s="234" t="s">
        <v>29</v>
      </c>
      <c r="EI4" s="234" t="s">
        <v>30</v>
      </c>
      <c r="EJ4" s="234" t="s">
        <v>31</v>
      </c>
      <c r="EK4" s="234" t="s">
        <v>32</v>
      </c>
      <c r="EL4" s="234" t="s">
        <v>33</v>
      </c>
      <c r="EM4" s="234" t="s">
        <v>34</v>
      </c>
      <c r="EN4" s="234" t="s">
        <v>35</v>
      </c>
    </row>
    <row r="5" spans="1:146" s="245" customFormat="1" ht="39.75" customHeight="1" thickBot="1">
      <c r="A5" s="236" t="s">
        <v>16</v>
      </c>
      <c r="B5" s="237" t="s">
        <v>16</v>
      </c>
      <c r="C5" s="237" t="s">
        <v>16</v>
      </c>
      <c r="D5" s="237" t="s">
        <v>18</v>
      </c>
      <c r="E5" s="238" t="s">
        <v>16</v>
      </c>
      <c r="F5" s="238" t="s">
        <v>16</v>
      </c>
      <c r="G5" s="238" t="s">
        <v>1943</v>
      </c>
      <c r="H5" s="238" t="s">
        <v>16</v>
      </c>
      <c r="I5" s="238" t="s">
        <v>17</v>
      </c>
      <c r="J5" s="238" t="s">
        <v>17</v>
      </c>
      <c r="K5" s="239" t="s">
        <v>19</v>
      </c>
      <c r="L5" s="239" t="s">
        <v>19</v>
      </c>
      <c r="M5" s="236" t="s">
        <v>17</v>
      </c>
      <c r="N5" s="236" t="s">
        <v>17</v>
      </c>
      <c r="O5" s="236" t="s">
        <v>17</v>
      </c>
      <c r="P5" s="236" t="s">
        <v>17</v>
      </c>
      <c r="Q5" s="236" t="s">
        <v>1781</v>
      </c>
      <c r="R5" s="236" t="s">
        <v>17</v>
      </c>
      <c r="S5" s="236" t="s">
        <v>17</v>
      </c>
      <c r="T5" s="240" t="s">
        <v>17</v>
      </c>
      <c r="U5" s="240" t="s">
        <v>17</v>
      </c>
      <c r="V5" s="240" t="s">
        <v>17</v>
      </c>
      <c r="W5" s="240" t="s">
        <v>17</v>
      </c>
      <c r="X5" s="240" t="s">
        <v>17</v>
      </c>
      <c r="Y5" s="240" t="s">
        <v>17</v>
      </c>
      <c r="Z5" s="240" t="s">
        <v>17</v>
      </c>
      <c r="AA5" s="240" t="s">
        <v>2001</v>
      </c>
      <c r="AB5" s="240" t="s">
        <v>2001</v>
      </c>
      <c r="AC5" s="240" t="s">
        <v>2001</v>
      </c>
      <c r="AD5" s="240" t="s">
        <v>17</v>
      </c>
      <c r="AE5" s="240" t="s">
        <v>17</v>
      </c>
      <c r="AF5" s="240" t="s">
        <v>2601</v>
      </c>
      <c r="AG5" s="240" t="s">
        <v>17</v>
      </c>
      <c r="AH5" s="240" t="s">
        <v>17</v>
      </c>
      <c r="AI5" s="240" t="s">
        <v>17</v>
      </c>
      <c r="AJ5" s="240" t="s">
        <v>17</v>
      </c>
      <c r="AK5" s="240" t="s">
        <v>17</v>
      </c>
      <c r="AL5" s="240" t="s">
        <v>17</v>
      </c>
      <c r="AM5" s="240" t="s">
        <v>17</v>
      </c>
      <c r="AN5" s="240" t="s">
        <v>17</v>
      </c>
      <c r="AO5" s="240" t="s">
        <v>17</v>
      </c>
      <c r="AP5" s="240" t="s">
        <v>18</v>
      </c>
      <c r="AQ5" s="241" t="s">
        <v>17</v>
      </c>
      <c r="AR5" s="241" t="s">
        <v>17</v>
      </c>
      <c r="AS5" s="241" t="s">
        <v>18</v>
      </c>
      <c r="AT5" s="241" t="s">
        <v>17</v>
      </c>
      <c r="AU5" s="241" t="s">
        <v>17</v>
      </c>
      <c r="AV5" s="241" t="s">
        <v>17</v>
      </c>
      <c r="AW5" s="241" t="s">
        <v>2001</v>
      </c>
      <c r="AX5" s="241" t="s">
        <v>17</v>
      </c>
      <c r="AY5" s="241" t="s">
        <v>1913</v>
      </c>
      <c r="AZ5" s="241" t="s">
        <v>1909</v>
      </c>
      <c r="BA5" s="241" t="s">
        <v>17</v>
      </c>
      <c r="BB5" s="241" t="s">
        <v>17</v>
      </c>
      <c r="BC5" s="241" t="s">
        <v>17</v>
      </c>
      <c r="BD5" s="241" t="s">
        <v>17</v>
      </c>
      <c r="BE5" s="241" t="s">
        <v>17</v>
      </c>
      <c r="BF5" s="241" t="s">
        <v>18</v>
      </c>
      <c r="BG5" s="242" t="s">
        <v>17</v>
      </c>
      <c r="BH5" s="242" t="s">
        <v>17</v>
      </c>
      <c r="BI5" s="242" t="s">
        <v>17</v>
      </c>
      <c r="BJ5" s="242" t="s">
        <v>17</v>
      </c>
      <c r="BK5" s="242" t="s">
        <v>17</v>
      </c>
      <c r="BL5" s="242" t="s">
        <v>17</v>
      </c>
      <c r="BM5" s="242" t="s">
        <v>17</v>
      </c>
      <c r="BN5" s="242" t="s">
        <v>17</v>
      </c>
      <c r="BO5" s="242" t="s">
        <v>17</v>
      </c>
      <c r="BP5" s="242" t="s">
        <v>1908</v>
      </c>
      <c r="BQ5" s="242" t="s">
        <v>17</v>
      </c>
      <c r="BR5" s="242" t="s">
        <v>52</v>
      </c>
      <c r="BS5" s="281" t="s">
        <v>18</v>
      </c>
      <c r="BT5" s="490" t="s">
        <v>52</v>
      </c>
      <c r="BU5" s="490" t="s">
        <v>52</v>
      </c>
      <c r="BV5" s="490" t="s">
        <v>17</v>
      </c>
      <c r="BW5" s="490" t="s">
        <v>52</v>
      </c>
      <c r="BX5" s="521" t="s">
        <v>17</v>
      </c>
      <c r="BY5" s="521" t="s">
        <v>17</v>
      </c>
      <c r="BZ5" s="521" t="s">
        <v>17</v>
      </c>
      <c r="CA5" s="806" t="s">
        <v>17</v>
      </c>
      <c r="CB5" s="806" t="s">
        <v>17</v>
      </c>
      <c r="CC5" s="806" t="s">
        <v>2761</v>
      </c>
      <c r="CD5" s="806" t="s">
        <v>18</v>
      </c>
      <c r="CE5" s="1102"/>
      <c r="CF5" s="1103"/>
      <c r="CG5" s="1104"/>
      <c r="CH5" s="289" t="s">
        <v>17</v>
      </c>
      <c r="CI5" s="287" t="s">
        <v>17</v>
      </c>
      <c r="CJ5" s="287" t="s">
        <v>2001</v>
      </c>
      <c r="CK5" s="287" t="s">
        <v>1907</v>
      </c>
      <c r="CL5" s="287" t="s">
        <v>1907</v>
      </c>
      <c r="CM5" s="287" t="s">
        <v>17</v>
      </c>
      <c r="CN5" s="287" t="s">
        <v>17</v>
      </c>
      <c r="CO5" s="287" t="s">
        <v>52</v>
      </c>
      <c r="CP5" s="287" t="s">
        <v>52</v>
      </c>
      <c r="CQ5" s="287" t="s">
        <v>52</v>
      </c>
      <c r="CR5" s="295" t="s">
        <v>17</v>
      </c>
      <c r="CS5" s="287" t="s">
        <v>52</v>
      </c>
      <c r="CT5" s="301" t="s">
        <v>17</v>
      </c>
      <c r="CU5" s="301"/>
      <c r="CV5" s="301"/>
      <c r="CW5" s="304"/>
      <c r="CX5" s="1102" t="s">
        <v>1604</v>
      </c>
      <c r="CY5" s="1104"/>
      <c r="CZ5" s="307" t="s">
        <v>17</v>
      </c>
      <c r="DA5" s="304" t="s">
        <v>17</v>
      </c>
      <c r="DB5" s="314" t="s">
        <v>17</v>
      </c>
      <c r="DC5" s="314" t="s">
        <v>52</v>
      </c>
      <c r="DD5" s="315" t="s">
        <v>17</v>
      </c>
      <c r="DE5" s="316" t="s">
        <v>17</v>
      </c>
      <c r="DF5" s="316" t="s">
        <v>17</v>
      </c>
      <c r="DG5" s="572" t="s">
        <v>17</v>
      </c>
      <c r="DH5" s="319" t="s">
        <v>17</v>
      </c>
      <c r="DI5" s="326" t="s">
        <v>17</v>
      </c>
      <c r="DJ5" s="327" t="s">
        <v>52</v>
      </c>
      <c r="DK5" s="322" t="s">
        <v>52</v>
      </c>
      <c r="DL5" s="335" t="s">
        <v>17</v>
      </c>
      <c r="DM5" s="336" t="s">
        <v>17</v>
      </c>
      <c r="DN5" s="336" t="s">
        <v>17</v>
      </c>
      <c r="DO5" s="336" t="s">
        <v>17</v>
      </c>
      <c r="DP5" s="336"/>
      <c r="DQ5" s="343" t="s">
        <v>52</v>
      </c>
      <c r="DR5" s="353" t="s">
        <v>52</v>
      </c>
      <c r="DS5" s="348" t="s">
        <v>52</v>
      </c>
      <c r="DT5" s="336" t="s">
        <v>52</v>
      </c>
      <c r="DU5" s="336" t="s">
        <v>52</v>
      </c>
      <c r="DV5" s="336" t="s">
        <v>17</v>
      </c>
      <c r="DW5" s="336" t="s">
        <v>17</v>
      </c>
      <c r="DX5" s="336" t="s">
        <v>17</v>
      </c>
      <c r="DY5" s="336" t="s">
        <v>17</v>
      </c>
      <c r="DZ5" s="402"/>
      <c r="EA5" s="490" t="s">
        <v>52</v>
      </c>
      <c r="EB5" s="574" t="s">
        <v>17</v>
      </c>
      <c r="EC5" s="574" t="s">
        <v>17</v>
      </c>
      <c r="ED5" s="574" t="s">
        <v>17</v>
      </c>
      <c r="EE5" s="243"/>
      <c r="EF5" s="244"/>
      <c r="EG5" s="244"/>
      <c r="EH5" s="244"/>
      <c r="EI5" s="244"/>
      <c r="EJ5" s="244"/>
      <c r="EK5" s="244"/>
      <c r="EL5" s="244"/>
      <c r="EM5" s="244"/>
      <c r="EN5" s="244"/>
      <c r="EO5" s="1099" t="s">
        <v>2713</v>
      </c>
      <c r="EP5" s="1100"/>
    </row>
    <row r="6" spans="1:146" s="211" customFormat="1" ht="21.75" customHeight="1" thickTop="1" thickBot="1">
      <c r="A6" s="206" t="s">
        <v>20</v>
      </c>
      <c r="B6" s="187" t="s">
        <v>1765</v>
      </c>
      <c r="C6" s="187" t="s">
        <v>1767</v>
      </c>
      <c r="D6" s="187" t="s">
        <v>26</v>
      </c>
      <c r="E6" s="188" t="s">
        <v>21</v>
      </c>
      <c r="F6" s="188" t="s">
        <v>22</v>
      </c>
      <c r="G6" s="188" t="s">
        <v>134</v>
      </c>
      <c r="H6" s="188" t="s">
        <v>23</v>
      </c>
      <c r="I6" s="188" t="s">
        <v>24</v>
      </c>
      <c r="J6" s="188" t="s">
        <v>25</v>
      </c>
      <c r="K6" s="189" t="s">
        <v>1775</v>
      </c>
      <c r="L6" s="189" t="s">
        <v>1777</v>
      </c>
      <c r="M6" s="206" t="s">
        <v>2043</v>
      </c>
      <c r="N6" s="206" t="s">
        <v>1832</v>
      </c>
      <c r="O6" s="206" t="s">
        <v>1833</v>
      </c>
      <c r="P6" s="206" t="s">
        <v>49</v>
      </c>
      <c r="Q6" s="206" t="s">
        <v>1985</v>
      </c>
      <c r="R6" s="206" t="s">
        <v>1834</v>
      </c>
      <c r="S6" s="206" t="s">
        <v>1835</v>
      </c>
      <c r="T6" s="207" t="s">
        <v>1986</v>
      </c>
      <c r="U6" s="207" t="s">
        <v>1836</v>
      </c>
      <c r="V6" s="207" t="s">
        <v>1837</v>
      </c>
      <c r="W6" s="185" t="s">
        <v>1987</v>
      </c>
      <c r="X6" s="185" t="s">
        <v>1840</v>
      </c>
      <c r="Y6" s="185" t="s">
        <v>1838</v>
      </c>
      <c r="Z6" s="185" t="s">
        <v>1839</v>
      </c>
      <c r="AA6" s="185" t="s">
        <v>1935</v>
      </c>
      <c r="AB6" s="185" t="s">
        <v>1841</v>
      </c>
      <c r="AC6" s="185" t="s">
        <v>1842</v>
      </c>
      <c r="AD6" s="185" t="s">
        <v>2347</v>
      </c>
      <c r="AE6" s="185" t="s">
        <v>1936</v>
      </c>
      <c r="AF6" s="185" t="s">
        <v>2348</v>
      </c>
      <c r="AG6" s="185" t="s">
        <v>2044</v>
      </c>
      <c r="AH6" s="185" t="s">
        <v>1843</v>
      </c>
      <c r="AI6" s="185" t="s">
        <v>2292</v>
      </c>
      <c r="AJ6" s="185" t="s">
        <v>2290</v>
      </c>
      <c r="AK6" s="185" t="s">
        <v>2291</v>
      </c>
      <c r="AL6" s="185" t="s">
        <v>2293</v>
      </c>
      <c r="AM6" s="185" t="s">
        <v>2852</v>
      </c>
      <c r="AN6" s="185" t="s">
        <v>2854</v>
      </c>
      <c r="AO6" s="185" t="s">
        <v>2855</v>
      </c>
      <c r="AP6" s="185" t="s">
        <v>1273</v>
      </c>
      <c r="AQ6" s="190" t="s">
        <v>1988</v>
      </c>
      <c r="AR6" s="190" t="s">
        <v>1825</v>
      </c>
      <c r="AS6" s="190" t="s">
        <v>2045</v>
      </c>
      <c r="AT6" s="190" t="s">
        <v>1823</v>
      </c>
      <c r="AU6" s="190" t="s">
        <v>1824</v>
      </c>
      <c r="AV6" s="190" t="s">
        <v>1826</v>
      </c>
      <c r="AW6" s="195" t="s">
        <v>1827</v>
      </c>
      <c r="AX6" s="196" t="s">
        <v>1828</v>
      </c>
      <c r="AY6" s="197" t="s">
        <v>1831</v>
      </c>
      <c r="AZ6" s="198" t="s">
        <v>1830</v>
      </c>
      <c r="BA6" s="191" t="s">
        <v>1937</v>
      </c>
      <c r="BB6" s="191" t="s">
        <v>1938</v>
      </c>
      <c r="BC6" s="191" t="s">
        <v>2324</v>
      </c>
      <c r="BD6" s="191" t="s">
        <v>2351</v>
      </c>
      <c r="BE6" s="486" t="s">
        <v>2353</v>
      </c>
      <c r="BF6" s="191" t="s">
        <v>1274</v>
      </c>
      <c r="BG6" s="191" t="s">
        <v>1939</v>
      </c>
      <c r="BH6" s="192" t="s">
        <v>1982</v>
      </c>
      <c r="BI6" s="192" t="s">
        <v>1983</v>
      </c>
      <c r="BJ6" s="192" t="s">
        <v>1940</v>
      </c>
      <c r="BK6" s="192" t="s">
        <v>1984</v>
      </c>
      <c r="BL6" s="192" t="s">
        <v>1844</v>
      </c>
      <c r="BM6" s="192" t="s">
        <v>1845</v>
      </c>
      <c r="BN6" s="192" t="s">
        <v>1846</v>
      </c>
      <c r="BO6" s="192" t="s">
        <v>2355</v>
      </c>
      <c r="BP6" s="192" t="s">
        <v>71</v>
      </c>
      <c r="BQ6" s="192" t="s">
        <v>1847</v>
      </c>
      <c r="BR6" s="192" t="s">
        <v>2046</v>
      </c>
      <c r="BS6" s="192" t="s">
        <v>1848</v>
      </c>
      <c r="BT6" s="489" t="s">
        <v>2192</v>
      </c>
      <c r="BU6" s="489" t="s">
        <v>2193</v>
      </c>
      <c r="BV6" s="489" t="s">
        <v>2194</v>
      </c>
      <c r="BW6" s="489" t="s">
        <v>2195</v>
      </c>
      <c r="BX6" s="488" t="s">
        <v>2279</v>
      </c>
      <c r="BY6" s="488" t="s">
        <v>2280</v>
      </c>
      <c r="BZ6" s="488" t="s">
        <v>2281</v>
      </c>
      <c r="CA6" s="808" t="s">
        <v>2762</v>
      </c>
      <c r="CB6" s="808" t="s">
        <v>2763</v>
      </c>
      <c r="CC6" s="808" t="s">
        <v>2764</v>
      </c>
      <c r="CD6" s="808" t="s">
        <v>2765</v>
      </c>
      <c r="CE6" s="292" t="s">
        <v>2345</v>
      </c>
      <c r="CF6" s="293" t="s">
        <v>2346</v>
      </c>
      <c r="CG6" s="294" t="s">
        <v>2049</v>
      </c>
      <c r="CH6" s="282" t="s">
        <v>2053</v>
      </c>
      <c r="CI6" s="282" t="s">
        <v>2054</v>
      </c>
      <c r="CJ6" s="282" t="s">
        <v>2055</v>
      </c>
      <c r="CK6" s="282" t="s">
        <v>2349</v>
      </c>
      <c r="CL6" s="282" t="s">
        <v>2350</v>
      </c>
      <c r="CM6" s="282" t="s">
        <v>2850</v>
      </c>
      <c r="CN6" s="282" t="s">
        <v>2851</v>
      </c>
      <c r="CO6" s="283" t="s">
        <v>1268</v>
      </c>
      <c r="CP6" s="284" t="s">
        <v>1269</v>
      </c>
      <c r="CQ6" s="296" t="s">
        <v>1270</v>
      </c>
      <c r="CR6" s="300" t="s">
        <v>2059</v>
      </c>
      <c r="CS6" s="302" t="s">
        <v>2100</v>
      </c>
      <c r="CT6" s="300" t="s">
        <v>1282</v>
      </c>
      <c r="CU6" s="303" t="s">
        <v>2058</v>
      </c>
      <c r="CV6" s="355" t="s">
        <v>77</v>
      </c>
      <c r="CW6" s="305" t="s">
        <v>1271</v>
      </c>
      <c r="CX6" s="292" t="s">
        <v>1522</v>
      </c>
      <c r="CY6" s="294" t="s">
        <v>2061</v>
      </c>
      <c r="CZ6" s="308" t="s">
        <v>1272</v>
      </c>
      <c r="DA6" s="310" t="s">
        <v>126</v>
      </c>
      <c r="DB6" s="317" t="s">
        <v>1854</v>
      </c>
      <c r="DC6" s="317" t="s">
        <v>2113</v>
      </c>
      <c r="DD6" s="356" t="s">
        <v>2065</v>
      </c>
      <c r="DE6" s="317" t="s">
        <v>1855</v>
      </c>
      <c r="DF6" s="317" t="s">
        <v>2354</v>
      </c>
      <c r="DG6" s="317" t="s">
        <v>2861</v>
      </c>
      <c r="DH6" s="320" t="s">
        <v>128</v>
      </c>
      <c r="DI6" s="328" t="s">
        <v>127</v>
      </c>
      <c r="DJ6" s="329" t="s">
        <v>1523</v>
      </c>
      <c r="DK6" s="323" t="s">
        <v>1493</v>
      </c>
      <c r="DL6" s="337" t="s">
        <v>1494</v>
      </c>
      <c r="DM6" s="338" t="s">
        <v>1503</v>
      </c>
      <c r="DN6" s="338" t="s">
        <v>1504</v>
      </c>
      <c r="DO6" s="337" t="s">
        <v>1505</v>
      </c>
      <c r="DP6" s="357" t="s">
        <v>2069</v>
      </c>
      <c r="DQ6" s="344" t="s">
        <v>1275</v>
      </c>
      <c r="DR6" s="354" t="s">
        <v>1276</v>
      </c>
      <c r="DS6" s="349" t="s">
        <v>1277</v>
      </c>
      <c r="DT6" s="338" t="s">
        <v>1278</v>
      </c>
      <c r="DU6" s="338" t="s">
        <v>132</v>
      </c>
      <c r="DV6" s="338" t="s">
        <v>2067</v>
      </c>
      <c r="DW6" s="338" t="s">
        <v>1279</v>
      </c>
      <c r="DX6" s="338" t="s">
        <v>2074</v>
      </c>
      <c r="DY6" s="377" t="s">
        <v>2096</v>
      </c>
      <c r="DZ6" s="377" t="s">
        <v>2134</v>
      </c>
      <c r="EA6" s="489" t="s">
        <v>2260</v>
      </c>
      <c r="EB6" s="575" t="s">
        <v>2357</v>
      </c>
      <c r="EC6" s="575" t="s">
        <v>2358</v>
      </c>
      <c r="ED6" s="575" t="s">
        <v>2862</v>
      </c>
      <c r="EE6" s="208" t="s">
        <v>27</v>
      </c>
      <c r="EF6" s="208" t="s">
        <v>28</v>
      </c>
      <c r="EG6" s="208" t="s">
        <v>135</v>
      </c>
      <c r="EH6" s="208" t="s">
        <v>29</v>
      </c>
      <c r="EI6" s="208" t="s">
        <v>30</v>
      </c>
      <c r="EJ6" s="208" t="s">
        <v>31</v>
      </c>
      <c r="EK6" s="208" t="s">
        <v>32</v>
      </c>
      <c r="EL6" s="208" t="s">
        <v>33</v>
      </c>
      <c r="EM6" s="209" t="s">
        <v>34</v>
      </c>
      <c r="EN6" s="210" t="s">
        <v>35</v>
      </c>
      <c r="EO6" s="664" t="s">
        <v>2643</v>
      </c>
      <c r="EP6" s="664" t="s">
        <v>2644</v>
      </c>
    </row>
    <row r="7" spans="1:146" hidden="1">
      <c r="A7" s="752" t="s">
        <v>2785</v>
      </c>
      <c r="B7" s="752" t="s">
        <v>2162</v>
      </c>
      <c r="C7" s="753" t="s">
        <v>2162</v>
      </c>
      <c r="D7" s="753" t="s">
        <v>241</v>
      </c>
      <c r="E7" s="753" t="s">
        <v>515</v>
      </c>
      <c r="F7" s="753" t="s">
        <v>963</v>
      </c>
      <c r="G7" s="594" t="str">
        <f>VLOOKUP(WWWW[[#This Row],[Site Name]],SiteDB6[[Site Name]:[Location Type]],8,FALSE)</f>
        <v>Camp</v>
      </c>
      <c r="H7" s="753" t="s">
        <v>2624</v>
      </c>
      <c r="I7" s="449">
        <v>340</v>
      </c>
      <c r="J7" s="449">
        <v>1674</v>
      </c>
      <c r="K7" s="591">
        <v>44488</v>
      </c>
      <c r="L7" s="592">
        <v>44852</v>
      </c>
      <c r="M7" s="755"/>
      <c r="N7" s="755"/>
      <c r="O7" s="755"/>
      <c r="P7" s="755"/>
      <c r="Q7" s="758" t="s">
        <v>41</v>
      </c>
      <c r="R7" s="449">
        <v>2</v>
      </c>
      <c r="S7" s="449">
        <v>2</v>
      </c>
      <c r="T7" s="449"/>
      <c r="U7" s="755"/>
      <c r="V7" s="755"/>
      <c r="W7" s="755"/>
      <c r="X7" s="755"/>
      <c r="Y7" s="755"/>
      <c r="Z7" s="755"/>
      <c r="AA7" s="449">
        <v>24</v>
      </c>
      <c r="AB7" s="755"/>
      <c r="AC7" s="449">
        <v>13.62</v>
      </c>
      <c r="AD7" s="755"/>
      <c r="AE7" s="755"/>
      <c r="AF7" s="755"/>
      <c r="AG7" s="755"/>
      <c r="AH7" s="755">
        <v>1</v>
      </c>
      <c r="AI7" s="755"/>
      <c r="AJ7" s="755"/>
      <c r="AK7" s="755"/>
      <c r="AL7" s="755"/>
      <c r="AM7" s="755"/>
      <c r="AN7" s="449">
        <v>1</v>
      </c>
      <c r="AO7" s="449"/>
      <c r="AP7" s="759"/>
      <c r="AQ7" s="449">
        <v>30</v>
      </c>
      <c r="AR7" s="755"/>
      <c r="AS7" s="760"/>
      <c r="AT7" s="449">
        <v>16</v>
      </c>
      <c r="AU7" s="755"/>
      <c r="AV7" s="755"/>
      <c r="AW7" s="755"/>
      <c r="AX7" s="755"/>
      <c r="AY7" s="426" t="s">
        <v>136</v>
      </c>
      <c r="AZ7" s="593" t="s">
        <v>136</v>
      </c>
      <c r="BA7" s="755"/>
      <c r="BB7" s="755"/>
      <c r="BC7" s="755"/>
      <c r="BD7" s="449"/>
      <c r="BE7" s="449"/>
      <c r="BF7" s="754"/>
      <c r="BG7" s="755">
        <v>3</v>
      </c>
      <c r="BH7" s="755">
        <v>2</v>
      </c>
      <c r="BI7" s="755"/>
      <c r="BJ7" s="755">
        <v>2</v>
      </c>
      <c r="BK7" s="755"/>
      <c r="BL7" s="755"/>
      <c r="BM7" s="755"/>
      <c r="BN7" s="755">
        <v>88</v>
      </c>
      <c r="BO7" s="755">
        <v>100</v>
      </c>
      <c r="BP7" s="754"/>
      <c r="BQ7" s="761"/>
      <c r="BR7" s="760"/>
      <c r="BS7" s="754"/>
      <c r="BT7" s="424"/>
      <c r="BU7" s="424"/>
      <c r="BV7" s="426"/>
      <c r="BW7" s="424"/>
      <c r="BX7" s="449"/>
      <c r="BY7" s="449"/>
      <c r="BZ7" s="449"/>
      <c r="CA7" s="449"/>
      <c r="CB7" s="449"/>
      <c r="CC7" s="807"/>
      <c r="CD7" s="449"/>
      <c r="CE7" s="762" t="str">
        <f>IFERROR(WWWW[[#This Row],['#_Water sources passed]]/WWWW[[#This Row],['#_Water sources tested for fecal coliform ]],"no test")</f>
        <v>no test</v>
      </c>
      <c r="CF7" s="760" t="str">
        <f>IFERROR(WWWW[[#This Row],['#_Household passed]]/WWWW[[#This Row],['#_Household water samples tested for fecal coliform]],"no test")</f>
        <v>no test</v>
      </c>
      <c r="CG7" s="761" t="str">
        <f>IF(AND(WWWW[[#This Row],[% of water sources passed]]="no test",WWWW[[#This Row],[% Household passed]]="no test"),"No Test","Tested")</f>
        <v>No Test</v>
      </c>
      <c r="CH7" s="761">
        <f>WWWW[[#This Row],['#_Constructed/existing protected hand dug well]]-WWWW[[#This Row],['#_Non-functional protected hand dug well]]</f>
        <v>0</v>
      </c>
      <c r="CI7" s="761">
        <f>(WWWW[[#This Row],['#_Constructed/Existing tube wells/boreholes/handpumps_WASH_agency]]+WWWW[[#This Row],['#_Non-Cluster partner water tube-wells/boreholes/handpumps]])-WWWW[[#This Row],['#_Non-functional tube wells/boreholes/handpumps]]</f>
        <v>0</v>
      </c>
      <c r="CJ7" s="761">
        <f>WWWW[[#This Row],['#_Constructed/Existingwater storage tank with gravity fed reticulation system]]-WWWW[[#This Row],['#_Non-functional storage tank gravity fed reticulation system]]</f>
        <v>24</v>
      </c>
      <c r="CK7" s="761">
        <f>(WWWW[[#This Row],['#_Water_Liters_supplied_by_Water boating or water trucking]]/90)/15</f>
        <v>0</v>
      </c>
      <c r="CL7" s="761">
        <f>WWWW[[#This Row],['#_Water_Liters_from_Constructed/Existing water distribution system from river or natural spring]]/90/15</f>
        <v>0</v>
      </c>
      <c r="CM7" s="425">
        <f>IF(WWWW[[#This Row],['#_of water points in TLS/CFS]]*500&gt;WWWW[[#This Row],[Total PoP ]],WWWW[[#This Row],[Total PoP ]],WWWW[[#This Row],['#_of water points in TLS/CFS]]*500)</f>
        <v>500</v>
      </c>
      <c r="CN7" s="425">
        <f>IF(WWWW[[#This Row],['#_of water points in THF]]*500&gt;WWWW[[#This Row],[Total PoP ]],WWWW[[#This Row],[Total PoP ]],WWWW[[#This Row],['#_of water points in THF]]*500)</f>
        <v>0</v>
      </c>
      <c r="CO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7" s="760">
        <f>IF(WWWW[[#This Row],[Location Type 1]]="Village",WWWW[[#This Row],[Access to safe drinking water for Village]],WWWW[[#This Row],[Access to safe drinking water for Camp]])</f>
        <v>0.95579450418160095</v>
      </c>
      <c r="CR7" s="758">
        <f>WWWW[[#This Row],[%Equitable and continuous access to sufficient quantity of safe drinking water]]*WWWW[[#This Row],[Total PoP ]]</f>
        <v>1600</v>
      </c>
      <c r="CS7" s="760">
        <f>IF((WWWW[[#This Row],['#_Constructed/Existing protected/fenced ponds]]*250)/WWWW[[#This Row],[Total PoP ]]&gt;1,1,(WWWW[[#This Row],['#_Constructed/Existing protected/fenced ponds]]*250)/WWWW[[#This Row],[Total PoP ]])</f>
        <v>0</v>
      </c>
      <c r="CT7" s="758">
        <f>WWWW[[#This Row],[% Access to unimproved water points]]*WWWW[[#This Row],[Total PoP ]]</f>
        <v>0</v>
      </c>
      <c r="CU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7" s="758">
        <f>WWWW[[#This Row],[HRP1]]/500</f>
        <v>3.2</v>
      </c>
      <c r="CX7" s="763">
        <f>1-WWWW[[#This Row],[% Equitable and continuous access to sufficient quantity of domestic water]]</f>
        <v>4.4205495818399054E-2</v>
      </c>
      <c r="CY7" s="758">
        <f>WWWW[[#This Row],[%equitable and continuous access to sufficient quantity of safe drinking and domestic water''s GAP]]*WWWW[[#This Row],[Total PoP ]]</f>
        <v>74.000000000000014</v>
      </c>
      <c r="CZ7" s="761">
        <f>IF(WWWW[[#This Row],[Total required water points]]-WWWW[[#This Row],['#Water points coverage]]&lt;0,0,WWWW[[#This Row],[Total required water points]]-WWWW[[#This Row],['#Water points coverage]])</f>
        <v>0</v>
      </c>
      <c r="DA7" s="761">
        <f>ROUND(IF(WWWW[[#This Row],[Total PoP ]]&lt;500,1,WWWW[[#This Row],[Total PoP ]]/500),0)</f>
        <v>3</v>
      </c>
      <c r="DB7" s="761">
        <f>(WWWW[[#This Row],['#_Constructed latrines_by_WASHAgencies]]+WWWW[[#This Row],['#_Non Cluster partner latrines]])-WWWW[[#This Row],['#_Non-functional latrines]]</f>
        <v>14</v>
      </c>
      <c r="DC7" s="634">
        <f>WWWW[[#This Row],[HRP2]]/WWWW[[#This Row],[Total PoP ]]</f>
        <v>0.16726403823178015</v>
      </c>
      <c r="DD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 s="425">
        <f>IF(WWWW[[#This Row],['# of functional latrines in THF supported by WASH partners during the reporting period2]]="",0,WWWW[[#This Row],['# of functional latrines in THF supported by WASH partners during the reporting period2]]*50)</f>
        <v>0</v>
      </c>
      <c r="DH7" s="761">
        <f>ROUND(IF(WWWW[[#This Row],[Location Type 1]]="camp",WWWW[[#This Row],[Total PoP ]]/20,IF(WWWW[[#This Row],[Location Type 1]]="Temporary Location",WWWW[[#This Row],[Total PoP ]]/50,(WWWW[[#This Row],[Total PoP ]]/6))),0)</f>
        <v>84</v>
      </c>
      <c r="DI7" s="761">
        <f>IF(WWWW[[#This Row],[Total required Latrines]]-(WWWW[[#This Row],['#_Constructed latrines_by_WASHAgencies]]+WWWW[[#This Row],['#_Non Cluster partner latrines]])&lt;0,0,WWWW[[#This Row],[Total required Latrines]]-(WWWW[[#This Row],['#_Constructed latrines_by_WASHAgencies]]+WWWW[[#This Row],['#_Non Cluster partner latrines]]))</f>
        <v>54</v>
      </c>
      <c r="DJ7" s="763">
        <f>1-WWWW[[#This Row],[% people access to functioning Latrine]]</f>
        <v>0.83273596176821985</v>
      </c>
      <c r="DK7" s="762">
        <f>IF(OR(WWWW[[#This Row],['#_Non-functional latrines]]="",WWWW[[#This Row],['#_Non-functional latrines]]=0),0,WWWW[[#This Row],['#_Non-functional latrines]]/(WWWW[[#This Row],['#_Constructed latrines_by_WASHAgencies]]+WWWW[[#This Row],['#_Non Cluster partner latrines]]))</f>
        <v>0.53333333333333333</v>
      </c>
      <c r="DL7" s="758">
        <f>IF(500*(WWWW[[#This Row],['#_male hygiene promoters]]+WWWW[[#This Row],['#_female hygiene promoters]])&gt;WWWW[[#This Row],[Total PoP ]],WWWW[[#This Row],[Total PoP ]],500*(WWWW[[#This Row],['#_male hygiene promoters]]+WWWW[[#This Row],['#_female hygiene promoters]]))</f>
        <v>0</v>
      </c>
      <c r="DM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 s="761">
        <f>IF(WWWW[[#This Row],['# People with access to soap]]&gt;WWWW[[#This Row],['# People with access to Sanity Pads]],WWWW[[#This Row],['# People with access to soap]],WWWW[[#This Row],['# People with access to Sanity Pads]])</f>
        <v>440</v>
      </c>
      <c r="DP7" s="761">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7" s="763">
        <f>IF(WWWW[[#This Row],[HRP3]]/WWWW[[#This Row],[Total PoP ]]&gt;1,1,WWWW[[#This Row],[HRP3]]/WWWW[[#This Row],[Total PoP ]])</f>
        <v>0.26284348864994028</v>
      </c>
      <c r="DR7" s="762">
        <f>1-WWWW[[#This Row],[Hygiene Coverage%]]</f>
        <v>0.73715651135005977</v>
      </c>
      <c r="DS7" s="760">
        <f>WWWW[[#This Row],['# people reached by regular dedicated hygiene promotion_5]]/WWWW[[#This Row],[Total PoP ]]</f>
        <v>0</v>
      </c>
      <c r="DT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0.29411764705882354</v>
      </c>
      <c r="DV7" s="761">
        <f>WWWW[[#This Row],['#_Constructed/Existing hand washing stations]]-WWWW[[#This Row],['#_Non-Functional_hand_washing_stations]]</f>
        <v>1</v>
      </c>
      <c r="DW7" s="758">
        <f>IF(WWWW[[#This Row],['# Functional hand washing stations during reporting period]]*20&gt;WWWW[[#This Row],[Total HH]],WWWW[[#This Row],[Total HH]],WWWW[[#This Row],['# Functional hand washing stations during reporting period]]*20)</f>
        <v>20</v>
      </c>
      <c r="DX7" s="758">
        <f>IF(WWWW[[#This Row],[Is sufficient soap available for TLS? (Yes/No)]]="yes",WWWW[[#This Row],['#_Constructed/Existing hand washing stations at TLS/CFS/THF]],0)</f>
        <v>0</v>
      </c>
      <c r="DY7" s="429">
        <f>IF(WWWW[[#This Row],['# Functional hand washing stations during reporting period]]*100&gt;WWWW[[#This Row],[Total PoP ]],WWWW[[#This Row],[Total PoP ]],WWWW[[#This Row],['# Functional hand washing stations during reporting period]]*100)</f>
        <v>100</v>
      </c>
      <c r="DZ7" s="429" t="str">
        <f>IF(OR(WWWW[[#This Row],['#_students at TLS_CFS]]="",WWWW[[#This Row],['#_students at TLS_CFS]]=0),"No","Yes")</f>
        <v>No</v>
      </c>
      <c r="EA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 s="754">
        <f>VLOOKUP(WWWW[[#This Row],[Site Name]],SiteDB6[[Site Name]:[CCCM Management]],6,FALSE)</f>
        <v>0</v>
      </c>
      <c r="EF7" s="754">
        <f>VLOOKUP(WWWW[[#This Row],[Site Name]],SiteDB6[[Site Name]:[CCCM Focal Agency]],7,FALSE)</f>
        <v>0</v>
      </c>
      <c r="EG7" s="754" t="str">
        <f>VLOOKUP(WWWW[[#This Row],[Site Name]],SiteDB6[[Site Name]:[Location Type 1]],9,FALSE)</f>
        <v>Camp</v>
      </c>
      <c r="EH7" s="754" t="str">
        <f>VLOOKUP(WWWW[[#This Row],[Site Name]],SiteDB6[[Site Name]:[Type of Accommodation]],10,FALSE)</f>
        <v>Camp Like setting</v>
      </c>
      <c r="EI7" s="754" t="str">
        <f>VLOOKUP(WWWW[[#This Row],[Site Name]],SiteDB6[[Site Name]:[Ethnic or GCA/NGCA]],11,FALSE)</f>
        <v>GCA</v>
      </c>
      <c r="EJ7" s="754">
        <f>VLOOKUP(WWWW[[#This Row],[Site Name]],SiteDB6[[Site Name]:[Lat]],12,FALSE)</f>
        <v>23.420603</v>
      </c>
      <c r="EK7" s="754">
        <f>VLOOKUP(WWWW[[#This Row],[Site Name]],SiteDB6[[Site Name]:[Long]],13,FALSE)</f>
        <v>98.451791999999998</v>
      </c>
      <c r="EL7" s="754" t="str">
        <f>VLOOKUP(WWWW[[#This Row],[Site Name]],SiteDB6[[Site Name]:[Pcode]],3,FALSE)</f>
        <v>MMR015CMP069</v>
      </c>
      <c r="EM7" s="759" t="str">
        <f t="shared" ref="EM7:EM70" si="0">IF(C7="none","Notcovered","Covered")</f>
        <v>Covered</v>
      </c>
      <c r="EN7" s="759"/>
      <c r="EO7" s="754">
        <f>VLOOKUP(WWWW[[#This Row],[Site Name]],SiteDB6[[Site Name]:[Pop
(Kachin/Shan-CCCM as of July 2021)]],16,FALSE)</f>
        <v>166</v>
      </c>
      <c r="EP7" s="754">
        <f>VLOOKUP(WWWW[[#This Row],[Site Name]],SiteDB6[[Site Name]:[Pop
(Kachin/Shan-CCCM as of July 2021)]],17,FALSE)</f>
        <v>830</v>
      </c>
    </row>
    <row r="8" spans="1:146" hidden="1">
      <c r="A8" s="752" t="s">
        <v>2785</v>
      </c>
      <c r="B8" s="752" t="s">
        <v>2162</v>
      </c>
      <c r="C8" s="753" t="s">
        <v>2162</v>
      </c>
      <c r="D8" s="753" t="s">
        <v>241</v>
      </c>
      <c r="E8" s="753" t="s">
        <v>515</v>
      </c>
      <c r="F8" s="753" t="s">
        <v>963</v>
      </c>
      <c r="G8" s="594" t="str">
        <f>VLOOKUP(WWWW[[#This Row],[Site Name]],SiteDB6[[Site Name]:[Location Type]],8,FALSE)</f>
        <v>Camp</v>
      </c>
      <c r="H8" s="753" t="s">
        <v>2625</v>
      </c>
      <c r="I8" s="755">
        <v>627</v>
      </c>
      <c r="J8" s="755">
        <v>3469</v>
      </c>
      <c r="K8" s="756">
        <v>44488</v>
      </c>
      <c r="L8" s="592">
        <v>44852</v>
      </c>
      <c r="M8" s="755"/>
      <c r="N8" s="755"/>
      <c r="O8" s="755"/>
      <c r="P8" s="755"/>
      <c r="Q8" s="758" t="s">
        <v>41</v>
      </c>
      <c r="R8" s="755">
        <v>5</v>
      </c>
      <c r="S8" s="755">
        <v>4</v>
      </c>
      <c r="T8" s="449"/>
      <c r="U8" s="755"/>
      <c r="V8" s="755"/>
      <c r="W8" s="755"/>
      <c r="X8" s="755"/>
      <c r="Y8" s="755"/>
      <c r="Z8" s="755"/>
      <c r="AA8" s="755"/>
      <c r="AB8" s="755"/>
      <c r="AC8" s="755"/>
      <c r="AD8" s="755"/>
      <c r="AE8" s="755"/>
      <c r="AF8" s="755"/>
      <c r="AG8" s="755"/>
      <c r="AH8" s="755"/>
      <c r="AI8" s="755"/>
      <c r="AJ8" s="755"/>
      <c r="AK8" s="755"/>
      <c r="AL8" s="755"/>
      <c r="AM8" s="755"/>
      <c r="AN8" s="755"/>
      <c r="AO8" s="755"/>
      <c r="AP8" s="759"/>
      <c r="AQ8" s="755"/>
      <c r="AR8" s="449">
        <v>627</v>
      </c>
      <c r="AS8" s="760"/>
      <c r="AT8" s="755"/>
      <c r="AU8" s="755"/>
      <c r="AV8" s="755"/>
      <c r="AW8" s="755"/>
      <c r="AX8" s="755"/>
      <c r="AY8" s="426" t="s">
        <v>136</v>
      </c>
      <c r="AZ8" s="593" t="s">
        <v>136</v>
      </c>
      <c r="BA8" s="755"/>
      <c r="BB8" s="755"/>
      <c r="BC8" s="755"/>
      <c r="BD8" s="449"/>
      <c r="BE8" s="449"/>
      <c r="BF8" s="754"/>
      <c r="BG8" s="755">
        <v>3</v>
      </c>
      <c r="BH8" s="755"/>
      <c r="BI8" s="755"/>
      <c r="BJ8" s="755">
        <v>2</v>
      </c>
      <c r="BK8" s="755"/>
      <c r="BL8" s="755"/>
      <c r="BM8" s="755"/>
      <c r="BN8" s="755">
        <v>10</v>
      </c>
      <c r="BO8" s="755">
        <v>18</v>
      </c>
      <c r="BP8" s="754"/>
      <c r="BQ8" s="761"/>
      <c r="BR8" s="760"/>
      <c r="BS8" s="754"/>
      <c r="BT8" s="424"/>
      <c r="BU8" s="424"/>
      <c r="BV8" s="426"/>
      <c r="BW8" s="424"/>
      <c r="BX8" s="449"/>
      <c r="BY8" s="449"/>
      <c r="BZ8" s="449"/>
      <c r="CA8" s="449"/>
      <c r="CB8" s="449"/>
      <c r="CC8" s="807"/>
      <c r="CD8" s="449"/>
      <c r="CE8" s="762" t="str">
        <f>IFERROR(WWWW[[#This Row],['#_Water sources passed]]/WWWW[[#This Row],['#_Water sources tested for fecal coliform ]],"no test")</f>
        <v>no test</v>
      </c>
      <c r="CF8" s="760" t="str">
        <f>IFERROR(WWWW[[#This Row],['#_Household passed]]/WWWW[[#This Row],['#_Household water samples tested for fecal coliform]],"no test")</f>
        <v>no test</v>
      </c>
      <c r="CG8" s="761" t="str">
        <f>IF(AND(WWWW[[#This Row],[% of water sources passed]]="no test",WWWW[[#This Row],[% Household passed]]="no test"),"No Test","Tested")</f>
        <v>No Test</v>
      </c>
      <c r="CH8" s="761">
        <f>WWWW[[#This Row],['#_Constructed/existing protected hand dug well]]-WWWW[[#This Row],['#_Non-functional protected hand dug well]]</f>
        <v>0</v>
      </c>
      <c r="CI8" s="761">
        <f>(WWWW[[#This Row],['#_Constructed/Existing tube wells/boreholes/handpumps_WASH_agency]]+WWWW[[#This Row],['#_Non-Cluster partner water tube-wells/boreholes/handpumps]])-WWWW[[#This Row],['#_Non-functional tube wells/boreholes/handpumps]]</f>
        <v>0</v>
      </c>
      <c r="CJ8" s="761">
        <f>WWWW[[#This Row],['#_Constructed/Existingwater storage tank with gravity fed reticulation system]]-WWWW[[#This Row],['#_Non-functional storage tank gravity fed reticulation system]]</f>
        <v>0</v>
      </c>
      <c r="CK8" s="761">
        <f>(WWWW[[#This Row],['#_Water_Liters_supplied_by_Water boating or water trucking]]/90)/15</f>
        <v>0</v>
      </c>
      <c r="CL8" s="761">
        <f>WWWW[[#This Row],['#_Water_Liters_from_Constructed/Existing water distribution system from river or natural spring]]/90/15</f>
        <v>0</v>
      </c>
      <c r="CM8" s="425">
        <f>IF(WWWW[[#This Row],['#_of water points in TLS/CFS]]*500&gt;WWWW[[#This Row],[Total PoP ]],WWWW[[#This Row],[Total PoP ]],WWWW[[#This Row],['#_of water points in TLS/CFS]]*500)</f>
        <v>0</v>
      </c>
      <c r="CN8" s="425">
        <f>IF(WWWW[[#This Row],['#_of water points in THF]]*500&gt;WWWW[[#This Row],[Total PoP ]],WWWW[[#This Row],[Total PoP ]],WWWW[[#This Row],['#_of water points in THF]]*500)</f>
        <v>0</v>
      </c>
      <c r="CO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8" s="760">
        <f>IF(WWWW[[#This Row],[Location Type 1]]="Village",WWWW[[#This Row],[Access to safe drinking water for Village]],WWWW[[#This Row],[Access to safe drinking water for Camp]])</f>
        <v>0</v>
      </c>
      <c r="CR8" s="758">
        <f>WWWW[[#This Row],[%Equitable and continuous access to sufficient quantity of safe drinking water]]*WWWW[[#This Row],[Total PoP ]]</f>
        <v>0</v>
      </c>
      <c r="CS8" s="760">
        <f>IF((WWWW[[#This Row],['#_Constructed/Existing protected/fenced ponds]]*250)/WWWW[[#This Row],[Total PoP ]]&gt;1,1,(WWWW[[#This Row],['#_Constructed/Existing protected/fenced ponds]]*250)/WWWW[[#This Row],[Total PoP ]])</f>
        <v>0</v>
      </c>
      <c r="CT8" s="758">
        <f>WWWW[[#This Row],[% Access to unimproved water points]]*WWWW[[#This Row],[Total PoP ]]</f>
        <v>0</v>
      </c>
      <c r="CU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8" s="758">
        <f>WWWW[[#This Row],[HRP1]]/500</f>
        <v>0</v>
      </c>
      <c r="CX8" s="763">
        <f>1-WWWW[[#This Row],[% Equitable and continuous access to sufficient quantity of domestic water]]</f>
        <v>1</v>
      </c>
      <c r="CY8" s="758">
        <f>WWWW[[#This Row],[%equitable and continuous access to sufficient quantity of safe drinking and domestic water''s GAP]]*WWWW[[#This Row],[Total PoP ]]</f>
        <v>3469</v>
      </c>
      <c r="CZ8" s="761">
        <f>IF(WWWW[[#This Row],[Total required water points]]-WWWW[[#This Row],['#Water points coverage]]&lt;0,0,WWWW[[#This Row],[Total required water points]]-WWWW[[#This Row],['#Water points coverage]])</f>
        <v>7</v>
      </c>
      <c r="DA8" s="761">
        <f>ROUND(IF(WWWW[[#This Row],[Total PoP ]]&lt;500,1,WWWW[[#This Row],[Total PoP ]]/500),0)</f>
        <v>7</v>
      </c>
      <c r="DB8" s="761">
        <f>(WWWW[[#This Row],['#_Constructed latrines_by_WASHAgencies]]+WWWW[[#This Row],['#_Non Cluster partner latrines]])-WWWW[[#This Row],['#_Non-functional latrines]]</f>
        <v>627</v>
      </c>
      <c r="DC8" s="634">
        <f>WWWW[[#This Row],[HRP2]]/WWWW[[#This Row],[Total PoP ]]</f>
        <v>1</v>
      </c>
      <c r="DD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3469</v>
      </c>
      <c r="DE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 s="425">
        <f>IF(WWWW[[#This Row],['# of functional latrines in THF supported by WASH partners during the reporting period2]]="",0,WWWW[[#This Row],['# of functional latrines in THF supported by WASH partners during the reporting period2]]*50)</f>
        <v>0</v>
      </c>
      <c r="DH8" s="761">
        <f>ROUND(IF(WWWW[[#This Row],[Location Type 1]]="camp",WWWW[[#This Row],[Total PoP ]]/20,IF(WWWW[[#This Row],[Location Type 1]]="Temporary Location",WWWW[[#This Row],[Total PoP ]]/50,(WWWW[[#This Row],[Total PoP ]]/6))),0)</f>
        <v>173</v>
      </c>
      <c r="DI8" s="761">
        <f>IF(WWWW[[#This Row],[Total required Latrines]]-(WWWW[[#This Row],['#_Constructed latrines_by_WASHAgencies]]+WWWW[[#This Row],['#_Non Cluster partner latrines]])&lt;0,0,WWWW[[#This Row],[Total required Latrines]]-(WWWW[[#This Row],['#_Constructed latrines_by_WASHAgencies]]+WWWW[[#This Row],['#_Non Cluster partner latrines]]))</f>
        <v>0</v>
      </c>
      <c r="DJ8" s="763">
        <f>1-WWWW[[#This Row],[% people access to functioning Latrine]]</f>
        <v>0</v>
      </c>
      <c r="DK8" s="762">
        <f>IF(OR(WWWW[[#This Row],['#_Non-functional latrines]]="",WWWW[[#This Row],['#_Non-functional latrines]]=0),0,WWWW[[#This Row],['#_Non-functional latrines]]/(WWWW[[#This Row],['#_Constructed latrines_by_WASHAgencies]]+WWWW[[#This Row],['#_Non Cluster partner latrines]]))</f>
        <v>0</v>
      </c>
      <c r="DL8" s="758">
        <f>IF(500*(WWWW[[#This Row],['#_male hygiene promoters]]+WWWW[[#This Row],['#_female hygiene promoters]])&gt;WWWW[[#This Row],[Total PoP ]],WWWW[[#This Row],[Total PoP ]],500*(WWWW[[#This Row],['#_male hygiene promoters]]+WWWW[[#This Row],['#_female hygiene promoters]]))</f>
        <v>0</v>
      </c>
      <c r="DM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 s="761">
        <f>IF(WWWW[[#This Row],['# People with access to soap]]&gt;WWWW[[#This Row],['# People with access to Sanity Pads]],WWWW[[#This Row],['# People with access to soap]],WWWW[[#This Row],['# People with access to Sanity Pads]])</f>
        <v>50</v>
      </c>
      <c r="DP8" s="761">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8" s="763">
        <f>IF(WWWW[[#This Row],[HRP3]]/WWWW[[#This Row],[Total PoP ]]&gt;1,1,WWWW[[#This Row],[HRP3]]/WWWW[[#This Row],[Total PoP ]])</f>
        <v>1.4413375612568464E-2</v>
      </c>
      <c r="DR8" s="762">
        <f>1-WWWW[[#This Row],[Hygiene Coverage%]]</f>
        <v>0.9855866243874315</v>
      </c>
      <c r="DS8" s="760">
        <f>WWWW[[#This Row],['# people reached by regular dedicated hygiene promotion_5]]/WWWW[[#This Row],[Total PoP ]]</f>
        <v>0</v>
      </c>
      <c r="DT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6.3795853269537475E-2</v>
      </c>
      <c r="DU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2.8708133971291867E-2</v>
      </c>
      <c r="DV8" s="761">
        <f>WWWW[[#This Row],['#_Constructed/Existing hand washing stations]]-WWWW[[#This Row],['#_Non-Functional_hand_washing_stations]]</f>
        <v>3</v>
      </c>
      <c r="DW8" s="758">
        <f>IF(WWWW[[#This Row],['# Functional hand washing stations during reporting period]]*20&gt;WWWW[[#This Row],[Total HH]],WWWW[[#This Row],[Total HH]],WWWW[[#This Row],['# Functional hand washing stations during reporting period]]*20)</f>
        <v>60</v>
      </c>
      <c r="DX8" s="758">
        <f>IF(WWWW[[#This Row],[Is sufficient soap available for TLS? (Yes/No)]]="yes",WWWW[[#This Row],['#_Constructed/Existing hand washing stations at TLS/CFS/THF]],0)</f>
        <v>0</v>
      </c>
      <c r="DY8" s="429">
        <f>IF(WWWW[[#This Row],['# Functional hand washing stations during reporting period]]*100&gt;WWWW[[#This Row],[Total PoP ]],WWWW[[#This Row],[Total PoP ]],WWWW[[#This Row],['# Functional hand washing stations during reporting period]]*100)</f>
        <v>300</v>
      </c>
      <c r="DZ8" s="429" t="str">
        <f>IF(OR(WWWW[[#This Row],['#_students at TLS_CFS]]="",WWWW[[#This Row],['#_students at TLS_CFS]]=0),"No","Yes")</f>
        <v>No</v>
      </c>
      <c r="EA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 s="754">
        <f>VLOOKUP(WWWW[[#This Row],[Site Name]],SiteDB6[[Site Name]:[CCCM Management]],6,FALSE)</f>
        <v>0</v>
      </c>
      <c r="EF8" s="754">
        <f>VLOOKUP(WWWW[[#This Row],[Site Name]],SiteDB6[[Site Name]:[CCCM Focal Agency]],7,FALSE)</f>
        <v>0</v>
      </c>
      <c r="EG8" s="754" t="str">
        <f>VLOOKUP(WWWW[[#This Row],[Site Name]],SiteDB6[[Site Name]:[Location Type 1]],9,FALSE)</f>
        <v>Camp</v>
      </c>
      <c r="EH8" s="754" t="str">
        <f>VLOOKUP(WWWW[[#This Row],[Site Name]],SiteDB6[[Site Name]:[Type of Accommodation]],10,FALSE)</f>
        <v>Camp Like setting</v>
      </c>
      <c r="EI8" s="754" t="str">
        <f>VLOOKUP(WWWW[[#This Row],[Site Name]],SiteDB6[[Site Name]:[Ethnic or GCA/NGCA]],11,FALSE)</f>
        <v>GCA</v>
      </c>
      <c r="EJ8" s="754">
        <f>VLOOKUP(WWWW[[#This Row],[Site Name]],SiteDB6[[Site Name]:[Lat]],12,FALSE)</f>
        <v>23.729893000000001</v>
      </c>
      <c r="EK8" s="754">
        <f>VLOOKUP(WWWW[[#This Row],[Site Name]],SiteDB6[[Site Name]:[Long]],13,FALSE)</f>
        <v>98.779853500000002</v>
      </c>
      <c r="EL8" s="754" t="str">
        <f>VLOOKUP(WWWW[[#This Row],[Site Name]],SiteDB6[[Site Name]:[Pcode]],3,FALSE)</f>
        <v>MMR015CMP070</v>
      </c>
      <c r="EM8" s="759" t="str">
        <f t="shared" si="0"/>
        <v>Covered</v>
      </c>
      <c r="EN8" s="759"/>
      <c r="EO8" s="754">
        <f>VLOOKUP(WWWW[[#This Row],[Site Name]],SiteDB6[[Site Name]:[Pop
(Kachin/Shan-CCCM as of July 2021)]],16,FALSE)</f>
        <v>34</v>
      </c>
      <c r="EP8" s="754">
        <f>VLOOKUP(WWWW[[#This Row],[Site Name]],SiteDB6[[Site Name]:[Pop
(Kachin/Shan-CCCM as of July 2021)]],17,FALSE)</f>
        <v>170</v>
      </c>
    </row>
    <row r="9" spans="1:146" hidden="1">
      <c r="A9" s="752" t="s">
        <v>2785</v>
      </c>
      <c r="B9" s="752" t="s">
        <v>141</v>
      </c>
      <c r="C9" s="753" t="s">
        <v>141</v>
      </c>
      <c r="D9" s="753" t="s">
        <v>241</v>
      </c>
      <c r="E9" s="753" t="s">
        <v>37</v>
      </c>
      <c r="F9" s="753" t="s">
        <v>195</v>
      </c>
      <c r="G9" s="594" t="str">
        <f>VLOOKUP(WWWW[[#This Row],[Site Name]],SiteDB6[[Site Name]:[Location Type]],8,FALSE)</f>
        <v>Camp_not registered</v>
      </c>
      <c r="H9" s="753" t="s">
        <v>2242</v>
      </c>
      <c r="I9" s="755">
        <v>48</v>
      </c>
      <c r="J9" s="755">
        <v>267</v>
      </c>
      <c r="K9" s="756">
        <v>44105</v>
      </c>
      <c r="L9" s="757">
        <v>44681</v>
      </c>
      <c r="M9" s="755"/>
      <c r="N9" s="755"/>
      <c r="O9" s="755"/>
      <c r="P9" s="755"/>
      <c r="Q9" s="758" t="s">
        <v>41</v>
      </c>
      <c r="R9" s="755">
        <v>2</v>
      </c>
      <c r="S9" s="755">
        <v>2</v>
      </c>
      <c r="T9" s="449"/>
      <c r="U9" s="755"/>
      <c r="V9" s="755"/>
      <c r="W9" s="755">
        <v>2</v>
      </c>
      <c r="X9" s="755"/>
      <c r="Y9" s="755"/>
      <c r="Z9" s="755"/>
      <c r="AA9" s="755"/>
      <c r="AB9" s="755"/>
      <c r="AC9" s="755"/>
      <c r="AD9" s="755"/>
      <c r="AE9" s="755"/>
      <c r="AF9" s="755"/>
      <c r="AG9" s="755"/>
      <c r="AH9" s="755">
        <v>2</v>
      </c>
      <c r="AI9" s="755"/>
      <c r="AJ9" s="755"/>
      <c r="AK9" s="755"/>
      <c r="AL9" s="755"/>
      <c r="AM9" s="755">
        <v>1</v>
      </c>
      <c r="AN9" s="755"/>
      <c r="AO9" s="755"/>
      <c r="AP9" s="759"/>
      <c r="AQ9" s="755">
        <v>7</v>
      </c>
      <c r="AR9" s="755"/>
      <c r="AS9" s="760"/>
      <c r="AT9" s="755"/>
      <c r="AU9" s="755"/>
      <c r="AV9" s="755"/>
      <c r="AW9" s="755"/>
      <c r="AX9" s="755">
        <v>6</v>
      </c>
      <c r="AY9" s="754" t="s">
        <v>41</v>
      </c>
      <c r="AZ9" s="759" t="s">
        <v>137</v>
      </c>
      <c r="BA9" s="755"/>
      <c r="BB9" s="755"/>
      <c r="BC9" s="755"/>
      <c r="BD9" s="449"/>
      <c r="BE9" s="449">
        <v>4</v>
      </c>
      <c r="BF9" s="754"/>
      <c r="BG9" s="755">
        <v>1</v>
      </c>
      <c r="BH9" s="755"/>
      <c r="BI9" s="755"/>
      <c r="BJ9" s="755">
        <v>3</v>
      </c>
      <c r="BK9" s="755"/>
      <c r="BL9" s="755"/>
      <c r="BM9" s="755">
        <v>2</v>
      </c>
      <c r="BN9" s="755">
        <v>41</v>
      </c>
      <c r="BO9" s="755">
        <v>85</v>
      </c>
      <c r="BP9" s="754"/>
      <c r="BQ9" s="761"/>
      <c r="BR9" s="760"/>
      <c r="BS9" s="754"/>
      <c r="BT9" s="424"/>
      <c r="BU9" s="424"/>
      <c r="BV9" s="426"/>
      <c r="BW9" s="424"/>
      <c r="BX9" s="449"/>
      <c r="BY9" s="449"/>
      <c r="BZ9" s="449"/>
      <c r="CA9" s="449"/>
      <c r="CB9" s="449"/>
      <c r="CC9" s="807"/>
      <c r="CD9" s="449"/>
      <c r="CE9" s="762" t="str">
        <f>IFERROR(WWWW[[#This Row],['#_Water sources passed]]/WWWW[[#This Row],['#_Water sources tested for fecal coliform ]],"no test")</f>
        <v>no test</v>
      </c>
      <c r="CF9" s="760" t="str">
        <f>IFERROR(WWWW[[#This Row],['#_Household passed]]/WWWW[[#This Row],['#_Household water samples tested for fecal coliform]],"no test")</f>
        <v>no test</v>
      </c>
      <c r="CG9" s="761" t="str">
        <f>IF(AND(WWWW[[#This Row],[% of water sources passed]]="no test",WWWW[[#This Row],[% Household passed]]="no test"),"No Test","Tested")</f>
        <v>No Test</v>
      </c>
      <c r="CH9" s="761">
        <f>WWWW[[#This Row],['#_Constructed/existing protected hand dug well]]-WWWW[[#This Row],['#_Non-functional protected hand dug well]]</f>
        <v>0</v>
      </c>
      <c r="CI9" s="761">
        <f>(WWWW[[#This Row],['#_Constructed/Existing tube wells/boreholes/handpumps_WASH_agency]]+WWWW[[#This Row],['#_Non-Cluster partner water tube-wells/boreholes/handpumps]])-WWWW[[#This Row],['#_Non-functional tube wells/boreholes/handpumps]]</f>
        <v>2</v>
      </c>
      <c r="CJ9" s="761">
        <f>WWWW[[#This Row],['#_Constructed/Existingwater storage tank with gravity fed reticulation system]]-WWWW[[#This Row],['#_Non-functional storage tank gravity fed reticulation system]]</f>
        <v>0</v>
      </c>
      <c r="CK9" s="761">
        <f>(WWWW[[#This Row],['#_Water_Liters_supplied_by_Water boating or water trucking]]/90)/15</f>
        <v>0</v>
      </c>
      <c r="CL9" s="761">
        <f>WWWW[[#This Row],['#_Water_Liters_from_Constructed/Existing water distribution system from river or natural spring]]/90/15</f>
        <v>0</v>
      </c>
      <c r="CM9" s="425">
        <f>IF(WWWW[[#This Row],['#_of water points in TLS/CFS]]*500&gt;WWWW[[#This Row],[Total PoP ]],WWWW[[#This Row],[Total PoP ]],WWWW[[#This Row],['#_of water points in TLS/CFS]]*500)</f>
        <v>0</v>
      </c>
      <c r="CN9" s="425">
        <f>IF(WWWW[[#This Row],['#_of water points in THF]]*500&gt;WWWW[[#This Row],[Total PoP ]],WWWW[[#This Row],[Total PoP ]],WWWW[[#This Row],['#_of water points in THF]]*500)</f>
        <v>0</v>
      </c>
      <c r="CO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 s="760">
        <f>IF(WWWW[[#This Row],[Location Type 1]]="Village",WWWW[[#This Row],[Access to safe drinking water for Village]],WWWW[[#This Row],[Access to safe drinking water for Camp]])</f>
        <v>1</v>
      </c>
      <c r="CR9" s="758">
        <f>WWWW[[#This Row],[%Equitable and continuous access to sufficient quantity of safe drinking water]]*WWWW[[#This Row],[Total PoP ]]</f>
        <v>267</v>
      </c>
      <c r="CS9" s="760">
        <f>IF((WWWW[[#This Row],['#_Constructed/Existing protected/fenced ponds]]*250)/WWWW[[#This Row],[Total PoP ]]&gt;1,1,(WWWW[[#This Row],['#_Constructed/Existing protected/fenced ponds]]*250)/WWWW[[#This Row],[Total PoP ]])</f>
        <v>0</v>
      </c>
      <c r="CT9" s="758">
        <f>WWWW[[#This Row],[% Access to unimproved water points]]*WWWW[[#This Row],[Total PoP ]]</f>
        <v>0</v>
      </c>
      <c r="CU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9" s="758">
        <f>WWWW[[#This Row],[HRP1]]/500</f>
        <v>0.53400000000000003</v>
      </c>
      <c r="CX9" s="763">
        <f>1-WWWW[[#This Row],[% Equitable and continuous access to sufficient quantity of domestic water]]</f>
        <v>0</v>
      </c>
      <c r="CY9" s="758">
        <f>WWWW[[#This Row],[%equitable and continuous access to sufficient quantity of safe drinking and domestic water''s GAP]]*WWWW[[#This Row],[Total PoP ]]</f>
        <v>0</v>
      </c>
      <c r="CZ9" s="761">
        <f>IF(WWWW[[#This Row],[Total required water points]]-WWWW[[#This Row],['#Water points coverage]]&lt;0,0,WWWW[[#This Row],[Total required water points]]-WWWW[[#This Row],['#Water points coverage]])</f>
        <v>0.46599999999999997</v>
      </c>
      <c r="DA9" s="761">
        <f>ROUND(IF(WWWW[[#This Row],[Total PoP ]]&lt;500,1,WWWW[[#This Row],[Total PoP ]]/500),0)</f>
        <v>1</v>
      </c>
      <c r="DB9" s="761">
        <f>(WWWW[[#This Row],['#_Constructed latrines_by_WASHAgencies]]+WWWW[[#This Row],['#_Non Cluster partner latrines]])-WWWW[[#This Row],['#_Non-functional latrines]]</f>
        <v>7</v>
      </c>
      <c r="DC9" s="634">
        <f>WWWW[[#This Row],[HRP2]]/WWWW[[#This Row],[Total PoP ]]</f>
        <v>0.5393258426966292</v>
      </c>
      <c r="DD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 s="425">
        <f>IF(WWWW[[#This Row],['# of functional latrines in THF supported by WASH partners during the reporting period2]]="",0,WWWW[[#This Row],['# of functional latrines in THF supported by WASH partners during the reporting period2]]*50)</f>
        <v>0</v>
      </c>
      <c r="DH9" s="761">
        <f>ROUND(IF(WWWW[[#This Row],[Location Type 1]]="camp",WWWW[[#This Row],[Total PoP ]]/20,IF(WWWW[[#This Row],[Location Type 1]]="Temporary Location",WWWW[[#This Row],[Total PoP ]]/50,(WWWW[[#This Row],[Total PoP ]]/6))),0)</f>
        <v>13</v>
      </c>
      <c r="DI9" s="761">
        <f>IF(WWWW[[#This Row],[Total required Latrines]]-(WWWW[[#This Row],['#_Constructed latrines_by_WASHAgencies]]+WWWW[[#This Row],['#_Non Cluster partner latrines]])&lt;0,0,WWWW[[#This Row],[Total required Latrines]]-(WWWW[[#This Row],['#_Constructed latrines_by_WASHAgencies]]+WWWW[[#This Row],['#_Non Cluster partner latrines]]))</f>
        <v>6</v>
      </c>
      <c r="DJ9" s="763">
        <f>1-WWWW[[#This Row],[% people access to functioning Latrine]]</f>
        <v>0.4606741573033708</v>
      </c>
      <c r="DK9" s="762">
        <f>IF(OR(WWWW[[#This Row],['#_Non-functional latrines]]="",WWWW[[#This Row],['#_Non-functional latrines]]=0),0,WWWW[[#This Row],['#_Non-functional latrines]]/(WWWW[[#This Row],['#_Constructed latrines_by_WASHAgencies]]+WWWW[[#This Row],['#_Non Cluster partner latrines]]))</f>
        <v>0</v>
      </c>
      <c r="DL9" s="758">
        <f>IF(500*(WWWW[[#This Row],['#_male hygiene promoters]]+WWWW[[#This Row],['#_female hygiene promoters]])&gt;WWWW[[#This Row],[Total PoP ]],WWWW[[#This Row],[Total PoP ]],500*(WWWW[[#This Row],['#_male hygiene promoters]]+WWWW[[#This Row],['#_female hygiene promoters]]))</f>
        <v>267</v>
      </c>
      <c r="DM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9" s="761">
        <f>IF(WWWW[[#This Row],['# People with access to soap]]&gt;WWWW[[#This Row],['# People with access to Sanity Pads]],WWWW[[#This Row],['# People with access to soap]],WWWW[[#This Row],['# People with access to Sanity Pads]])</f>
        <v>205</v>
      </c>
      <c r="DP9" s="761">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9" s="763">
        <f>IF(WWWW[[#This Row],[HRP3]]/WWWW[[#This Row],[Total PoP ]]&gt;1,1,WWWW[[#This Row],[HRP3]]/WWWW[[#This Row],[Total PoP ]])</f>
        <v>1</v>
      </c>
      <c r="DR9" s="762">
        <f>1-WWWW[[#This Row],[Hygiene Coverage%]]</f>
        <v>0</v>
      </c>
      <c r="DS9" s="760">
        <f>WWWW[[#This Row],['# people reached by regular dedicated hygiene promotion_5]]/WWWW[[#This Row],[Total PoP ]]</f>
        <v>1</v>
      </c>
      <c r="DT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 s="761">
        <f>WWWW[[#This Row],['#_Constructed/Existing hand washing stations]]-WWWW[[#This Row],['#_Non-Functional_hand_washing_stations]]</f>
        <v>1</v>
      </c>
      <c r="DW9" s="758">
        <f>IF(WWWW[[#This Row],['# Functional hand washing stations during reporting period]]*20&gt;WWWW[[#This Row],[Total HH]],WWWW[[#This Row],[Total HH]],WWWW[[#This Row],['# Functional hand washing stations during reporting period]]*20)</f>
        <v>20</v>
      </c>
      <c r="DX9" s="758">
        <f>IF(WWWW[[#This Row],[Is sufficient soap available for TLS? (Yes/No)]]="yes",WWWW[[#This Row],['#_Constructed/Existing hand washing stations at TLS/CFS/THF]],0)</f>
        <v>0</v>
      </c>
      <c r="DY9" s="429">
        <f>IF(WWWW[[#This Row],['# Functional hand washing stations during reporting period]]*100&gt;WWWW[[#This Row],[Total PoP ]],WWWW[[#This Row],[Total PoP ]],WWWW[[#This Row],['# Functional hand washing stations during reporting period]]*100)</f>
        <v>100</v>
      </c>
      <c r="DZ9" s="429" t="str">
        <f>IF(OR(WWWW[[#This Row],['#_students at TLS_CFS]]="",WWWW[[#This Row],['#_students at TLS_CFS]]=0),"No","Yes")</f>
        <v>No</v>
      </c>
      <c r="EA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 s="754">
        <f>VLOOKUP(WWWW[[#This Row],[Site Name]],SiteDB6[[Site Name]:[CCCM Management]],6,FALSE)</f>
        <v>0</v>
      </c>
      <c r="EF9" s="754">
        <f>VLOOKUP(WWWW[[#This Row],[Site Name]],SiteDB6[[Site Name]:[CCCM Focal Agency]],7,FALSE)</f>
        <v>0</v>
      </c>
      <c r="EG9" s="754" t="str">
        <f>VLOOKUP(WWWW[[#This Row],[Site Name]],SiteDB6[[Site Name]:[Location Type 1]],9,FALSE)</f>
        <v>Camp</v>
      </c>
      <c r="EH9" s="754" t="str">
        <f>VLOOKUP(WWWW[[#This Row],[Site Name]],SiteDB6[[Site Name]:[Type of Accommodation]],10,FALSE)</f>
        <v>Camp like setting</v>
      </c>
      <c r="EI9" s="754" t="str">
        <f>VLOOKUP(WWWW[[#This Row],[Site Name]],SiteDB6[[Site Name]:[Ethnic or GCA/NGCA]],11,FALSE)</f>
        <v>GCA</v>
      </c>
      <c r="EJ9" s="754">
        <f>VLOOKUP(WWWW[[#This Row],[Site Name]],SiteDB6[[Site Name]:[Lat]],12,FALSE)</f>
        <v>0</v>
      </c>
      <c r="EK9" s="754">
        <f>VLOOKUP(WWWW[[#This Row],[Site Name]],SiteDB6[[Site Name]:[Long]],13,FALSE)</f>
        <v>0</v>
      </c>
      <c r="EL9" s="754">
        <f>VLOOKUP(WWWW[[#This Row],[Site Name]],SiteDB6[[Site Name]:[Pcode]],3,FALSE)</f>
        <v>0</v>
      </c>
      <c r="EM9" s="759" t="str">
        <f t="shared" si="0"/>
        <v>Covered</v>
      </c>
      <c r="EN9" s="759"/>
      <c r="EO9" s="754">
        <f>VLOOKUP(WWWW[[#This Row],[Site Name]],SiteDB6[[Site Name]:[Pop
(Kachin/Shan-CCCM as of July 2021)]],16,FALSE)</f>
        <v>0</v>
      </c>
      <c r="EP9" s="754">
        <f>VLOOKUP(WWWW[[#This Row],[Site Name]],SiteDB6[[Site Name]:[Pop
(Kachin/Shan-CCCM as of July 2021)]],17,FALSE)</f>
        <v>0</v>
      </c>
    </row>
    <row r="10" spans="1:146" hidden="1">
      <c r="A10" s="752" t="s">
        <v>2785</v>
      </c>
      <c r="B10" s="752" t="s">
        <v>141</v>
      </c>
      <c r="C10" s="753" t="s">
        <v>141</v>
      </c>
      <c r="D10" s="753" t="s">
        <v>241</v>
      </c>
      <c r="E10" s="753" t="s">
        <v>37</v>
      </c>
      <c r="F10" s="753" t="s">
        <v>146</v>
      </c>
      <c r="G10" s="594" t="str">
        <f>VLOOKUP(WWWW[[#This Row],[Site Name]],SiteDB6[[Site Name]:[Location Type]],8,FALSE)</f>
        <v>Camp</v>
      </c>
      <c r="H10" s="753" t="s">
        <v>147</v>
      </c>
      <c r="I10" s="755">
        <v>169</v>
      </c>
      <c r="J10" s="755">
        <v>837</v>
      </c>
      <c r="K10" s="756">
        <v>44105</v>
      </c>
      <c r="L10" s="757">
        <v>44681</v>
      </c>
      <c r="M10" s="755"/>
      <c r="N10" s="755">
        <v>3</v>
      </c>
      <c r="O10" s="755"/>
      <c r="P10" s="755"/>
      <c r="Q10" s="758" t="s">
        <v>41</v>
      </c>
      <c r="R10" s="755"/>
      <c r="S10" s="755">
        <v>4</v>
      </c>
      <c r="T10" s="449"/>
      <c r="U10" s="755"/>
      <c r="V10" s="755"/>
      <c r="W10" s="755"/>
      <c r="X10" s="755"/>
      <c r="Y10" s="755"/>
      <c r="Z10" s="755"/>
      <c r="AA10" s="755"/>
      <c r="AB10" s="755"/>
      <c r="AC10" s="755"/>
      <c r="AD10" s="755"/>
      <c r="AE10" s="755"/>
      <c r="AF10" s="755"/>
      <c r="AG10" s="755"/>
      <c r="AH10" s="755"/>
      <c r="AI10" s="755"/>
      <c r="AJ10" s="755"/>
      <c r="AK10" s="755"/>
      <c r="AL10" s="755"/>
      <c r="AM10" s="755"/>
      <c r="AN10" s="755"/>
      <c r="AO10" s="755"/>
      <c r="AP10" s="759"/>
      <c r="AQ10" s="755">
        <v>32</v>
      </c>
      <c r="AR10" s="755"/>
      <c r="AS10" s="760"/>
      <c r="AT10" s="755"/>
      <c r="AU10" s="755"/>
      <c r="AV10" s="755"/>
      <c r="AW10" s="755"/>
      <c r="AX10" s="755">
        <v>32</v>
      </c>
      <c r="AY10" s="754" t="s">
        <v>41</v>
      </c>
      <c r="AZ10" s="759" t="s">
        <v>137</v>
      </c>
      <c r="BA10" s="755"/>
      <c r="BB10" s="755"/>
      <c r="BC10" s="755">
        <v>5</v>
      </c>
      <c r="BD10" s="449"/>
      <c r="BE10" s="449"/>
      <c r="BF10" s="754"/>
      <c r="BG10" s="755">
        <v>8</v>
      </c>
      <c r="BH10" s="755"/>
      <c r="BI10" s="755"/>
      <c r="BJ10" s="755">
        <v>3</v>
      </c>
      <c r="BK10" s="755"/>
      <c r="BL10" s="755">
        <v>2</v>
      </c>
      <c r="BM10" s="755">
        <v>1</v>
      </c>
      <c r="BN10" s="755">
        <v>91</v>
      </c>
      <c r="BO10" s="755">
        <v>124</v>
      </c>
      <c r="BP10" s="754"/>
      <c r="BQ10" s="761"/>
      <c r="BR10" s="760"/>
      <c r="BS10" s="754"/>
      <c r="BT10" s="424"/>
      <c r="BU10" s="424"/>
      <c r="BV10" s="426"/>
      <c r="BW10" s="424"/>
      <c r="BX10" s="449"/>
      <c r="BY10" s="449"/>
      <c r="BZ10" s="449"/>
      <c r="CA10" s="449"/>
      <c r="CB10" s="449"/>
      <c r="CC10" s="807"/>
      <c r="CD10" s="449"/>
      <c r="CE10" s="762" t="str">
        <f>IFERROR(WWWW[[#This Row],['#_Water sources passed]]/WWWW[[#This Row],['#_Water sources tested for fecal coliform ]],"no test")</f>
        <v>no test</v>
      </c>
      <c r="CF10" s="760" t="str">
        <f>IFERROR(WWWW[[#This Row],['#_Household passed]]/WWWW[[#This Row],['#_Household water samples tested for fecal coliform]],"no test")</f>
        <v>no test</v>
      </c>
      <c r="CG10" s="761" t="str">
        <f>IF(AND(WWWW[[#This Row],[% of water sources passed]]="no test",WWWW[[#This Row],[% Household passed]]="no test"),"No Test","Tested")</f>
        <v>No Test</v>
      </c>
      <c r="CH10" s="761">
        <f>WWWW[[#This Row],['#_Constructed/existing protected hand dug well]]-WWWW[[#This Row],['#_Non-functional protected hand dug well]]</f>
        <v>0</v>
      </c>
      <c r="CI10" s="761">
        <f>(WWWW[[#This Row],['#_Constructed/Existing tube wells/boreholes/handpumps_WASH_agency]]+WWWW[[#This Row],['#_Non-Cluster partner water tube-wells/boreholes/handpumps]])-WWWW[[#This Row],['#_Non-functional tube wells/boreholes/handpumps]]</f>
        <v>0</v>
      </c>
      <c r="CJ10" s="761">
        <f>WWWW[[#This Row],['#_Constructed/Existingwater storage tank with gravity fed reticulation system]]-WWWW[[#This Row],['#_Non-functional storage tank gravity fed reticulation system]]</f>
        <v>0</v>
      </c>
      <c r="CK10" s="761">
        <f>(WWWW[[#This Row],['#_Water_Liters_supplied_by_Water boating or water trucking]]/90)/15</f>
        <v>0</v>
      </c>
      <c r="CL10" s="761">
        <f>WWWW[[#This Row],['#_Water_Liters_from_Constructed/Existing water distribution system from river or natural spring]]/90/15</f>
        <v>0</v>
      </c>
      <c r="CM10" s="425">
        <f>IF(WWWW[[#This Row],['#_of water points in TLS/CFS]]*500&gt;WWWW[[#This Row],[Total PoP ]],WWWW[[#This Row],[Total PoP ]],WWWW[[#This Row],['#_of water points in TLS/CFS]]*500)</f>
        <v>0</v>
      </c>
      <c r="CN10" s="425">
        <f>IF(WWWW[[#This Row],['#_of water points in THF]]*500&gt;WWWW[[#This Row],[Total PoP ]],WWWW[[#This Row],[Total PoP ]],WWWW[[#This Row],['#_of water points in THF]]*500)</f>
        <v>0</v>
      </c>
      <c r="CO1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0" s="760">
        <f>IF(WWWW[[#This Row],[Location Type 1]]="Village",WWWW[[#This Row],[Access to safe drinking water for Village]],WWWW[[#This Row],[Access to safe drinking water for Camp]])</f>
        <v>0</v>
      </c>
      <c r="CR10" s="758">
        <f>WWWW[[#This Row],[%Equitable and continuous access to sufficient quantity of safe drinking water]]*WWWW[[#This Row],[Total PoP ]]</f>
        <v>0</v>
      </c>
      <c r="CS10" s="760">
        <f>IF((WWWW[[#This Row],['#_Constructed/Existing protected/fenced ponds]]*250)/WWWW[[#This Row],[Total PoP ]]&gt;1,1,(WWWW[[#This Row],['#_Constructed/Existing protected/fenced ponds]]*250)/WWWW[[#This Row],[Total PoP ]])</f>
        <v>0</v>
      </c>
      <c r="CT10" s="758">
        <f>WWWW[[#This Row],[% Access to unimproved water points]]*WWWW[[#This Row],[Total PoP ]]</f>
        <v>0</v>
      </c>
      <c r="CU1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0" s="758">
        <f>WWWW[[#This Row],[HRP1]]/500</f>
        <v>0</v>
      </c>
      <c r="CX10" s="763">
        <f>1-WWWW[[#This Row],[% Equitable and continuous access to sufficient quantity of domestic water]]</f>
        <v>1</v>
      </c>
      <c r="CY10" s="758">
        <f>WWWW[[#This Row],[%equitable and continuous access to sufficient quantity of safe drinking and domestic water''s GAP]]*WWWW[[#This Row],[Total PoP ]]</f>
        <v>837</v>
      </c>
      <c r="CZ10" s="761">
        <f>IF(WWWW[[#This Row],[Total required water points]]-WWWW[[#This Row],['#Water points coverage]]&lt;0,0,WWWW[[#This Row],[Total required water points]]-WWWW[[#This Row],['#Water points coverage]])</f>
        <v>2</v>
      </c>
      <c r="DA10" s="761">
        <f>ROUND(IF(WWWW[[#This Row],[Total PoP ]]&lt;500,1,WWWW[[#This Row],[Total PoP ]]/500),0)</f>
        <v>2</v>
      </c>
      <c r="DB10" s="761">
        <f>(WWWW[[#This Row],['#_Constructed latrines_by_WASHAgencies]]+WWWW[[#This Row],['#_Non Cluster partner latrines]])-WWWW[[#This Row],['#_Non-functional latrines]]</f>
        <v>32</v>
      </c>
      <c r="DC10" s="634">
        <f>WWWW[[#This Row],[HRP2]]/WWWW[[#This Row],[Total PoP ]]</f>
        <v>0.7646356033452808</v>
      </c>
      <c r="DD1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1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 s="425">
        <f>IF(WWWW[[#This Row],['# of functional latrines in THF supported by WASH partners during the reporting period2]]="",0,WWWW[[#This Row],['# of functional latrines in THF supported by WASH partners during the reporting period2]]*50)</f>
        <v>0</v>
      </c>
      <c r="DH10" s="761">
        <f>ROUND(IF(WWWW[[#This Row],[Location Type 1]]="camp",WWWW[[#This Row],[Total PoP ]]/20,IF(WWWW[[#This Row],[Location Type 1]]="Temporary Location",WWWW[[#This Row],[Total PoP ]]/50,(WWWW[[#This Row],[Total PoP ]]/6))),0)</f>
        <v>42</v>
      </c>
      <c r="DI10" s="761">
        <f>IF(WWWW[[#This Row],[Total required Latrines]]-(WWWW[[#This Row],['#_Constructed latrines_by_WASHAgencies]]+WWWW[[#This Row],['#_Non Cluster partner latrines]])&lt;0,0,WWWW[[#This Row],[Total required Latrines]]-(WWWW[[#This Row],['#_Constructed latrines_by_WASHAgencies]]+WWWW[[#This Row],['#_Non Cluster partner latrines]]))</f>
        <v>10</v>
      </c>
      <c r="DJ10" s="763">
        <f>1-WWWW[[#This Row],[% people access to functioning Latrine]]</f>
        <v>0.2353643966547192</v>
      </c>
      <c r="DK10" s="762">
        <f>IF(OR(WWWW[[#This Row],['#_Non-functional latrines]]="",WWWW[[#This Row],['#_Non-functional latrines]]=0),0,WWWW[[#This Row],['#_Non-functional latrines]]/(WWWW[[#This Row],['#_Constructed latrines_by_WASHAgencies]]+WWWW[[#This Row],['#_Non Cluster partner latrines]]))</f>
        <v>0</v>
      </c>
      <c r="DL10" s="758">
        <f>IF(500*(WWWW[[#This Row],['#_male hygiene promoters]]+WWWW[[#This Row],['#_female hygiene promoters]])&gt;WWWW[[#This Row],[Total PoP ]],WWWW[[#This Row],[Total PoP ]],500*(WWWW[[#This Row],['#_male hygiene promoters]]+WWWW[[#This Row],['#_female hygiene promoters]]))</f>
        <v>837</v>
      </c>
      <c r="DM1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0" s="761">
        <f>IF(WWWW[[#This Row],['# People with access to soap]]&gt;WWWW[[#This Row],['# People with access to Sanity Pads]],WWWW[[#This Row],['# People with access to soap]],WWWW[[#This Row],['# People with access to Sanity Pads]])</f>
        <v>455</v>
      </c>
      <c r="DP10" s="761">
        <f>IF(WWWW[[#This Row],['# people reached by regular dedicated hygiene promotion_5]]&gt;WWWW[[#This Row],['# People received regular supply of hygiene items_6]],WWWW[[#This Row],['# people reached by regular dedicated hygiene promotion_5]],WWWW[[#This Row],['# People received regular supply of hygiene items_6]])</f>
        <v>837</v>
      </c>
      <c r="DQ10" s="763">
        <f>IF(WWWW[[#This Row],[HRP3]]/WWWW[[#This Row],[Total PoP ]]&gt;1,1,WWWW[[#This Row],[HRP3]]/WWWW[[#This Row],[Total PoP ]])</f>
        <v>1</v>
      </c>
      <c r="DR10" s="762">
        <f>1-WWWW[[#This Row],[Hygiene Coverage%]]</f>
        <v>0</v>
      </c>
      <c r="DS10" s="760">
        <f>WWWW[[#This Row],['# people reached by regular dedicated hygiene promotion_5]]/WWWW[[#This Row],[Total PoP ]]</f>
        <v>1</v>
      </c>
      <c r="DT1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0.53846153846153844</v>
      </c>
      <c r="DU1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0.73372781065088755</v>
      </c>
      <c r="DV10" s="761">
        <f>WWWW[[#This Row],['#_Constructed/Existing hand washing stations]]-WWWW[[#This Row],['#_Non-Functional_hand_washing_stations]]</f>
        <v>8</v>
      </c>
      <c r="DW10" s="758">
        <f>IF(WWWW[[#This Row],['# Functional hand washing stations during reporting period]]*20&gt;WWWW[[#This Row],[Total HH]],WWWW[[#This Row],[Total HH]],WWWW[[#This Row],['# Functional hand washing stations during reporting period]]*20)</f>
        <v>160</v>
      </c>
      <c r="DX10" s="758">
        <f>IF(WWWW[[#This Row],[Is sufficient soap available for TLS? (Yes/No)]]="yes",WWWW[[#This Row],['#_Constructed/Existing hand washing stations at TLS/CFS/THF]],0)</f>
        <v>0</v>
      </c>
      <c r="DY10" s="429">
        <f>IF(WWWW[[#This Row],['# Functional hand washing stations during reporting period]]*100&gt;WWWW[[#This Row],[Total PoP ]],WWWW[[#This Row],[Total PoP ]],WWWW[[#This Row],['# Functional hand washing stations during reporting period]]*100)</f>
        <v>800</v>
      </c>
      <c r="DZ10" s="429" t="str">
        <f>IF(OR(WWWW[[#This Row],['#_students at TLS_CFS]]="",WWWW[[#This Row],['#_students at TLS_CFS]]=0),"No","Yes")</f>
        <v>No</v>
      </c>
      <c r="EA1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 s="754" t="str">
        <f>VLOOKUP(WWWW[[#This Row],[Site Name]],SiteDB6[[Site Name]:[CCCM Management]],6,FALSE)</f>
        <v>Yes</v>
      </c>
      <c r="EF10" s="754" t="str">
        <f>VLOOKUP(WWWW[[#This Row],[Site Name]],SiteDB6[[Site Name]:[CCCM Focal Agency]],7,FALSE)</f>
        <v>KBC-MYT</v>
      </c>
      <c r="EG10" s="754" t="str">
        <f>VLOOKUP(WWWW[[#This Row],[Site Name]],SiteDB6[[Site Name]:[Location Type 1]],9,FALSE)</f>
        <v>Camp</v>
      </c>
      <c r="EH10" s="754" t="str">
        <f>VLOOKUP(WWWW[[#This Row],[Site Name]],SiteDB6[[Site Name]:[Type of Accommodation]],10,FALSE)</f>
        <v>Camp</v>
      </c>
      <c r="EI10" s="754" t="str">
        <f>VLOOKUP(WWWW[[#This Row],[Site Name]],SiteDB6[[Site Name]:[Ethnic or GCA/NGCA]],11,FALSE)</f>
        <v>NGCA</v>
      </c>
      <c r="EJ10" s="754">
        <f>VLOOKUP(WWWW[[#This Row],[Site Name]],SiteDB6[[Site Name]:[Lat]],12,FALSE)</f>
        <v>25.754110000000001</v>
      </c>
      <c r="EK10" s="754">
        <f>VLOOKUP(WWWW[[#This Row],[Site Name]],SiteDB6[[Site Name]:[Long]],13,FALSE)</f>
        <v>98.475719999999995</v>
      </c>
      <c r="EL10" s="754" t="str">
        <f>VLOOKUP(WWWW[[#This Row],[Site Name]],SiteDB6[[Site Name]:[Pcode]],3,FALSE)</f>
        <v>MMR001CMP043</v>
      </c>
      <c r="EM10" s="759" t="str">
        <f t="shared" si="0"/>
        <v>Covered</v>
      </c>
      <c r="EN10" s="759"/>
      <c r="EO10" s="754">
        <f>VLOOKUP(WWWW[[#This Row],[Site Name]],SiteDB6[[Site Name]:[Pop
(Kachin/Shan-CCCM as of July 2021)]],16,FALSE)</f>
        <v>167</v>
      </c>
      <c r="EP10" s="754">
        <f>VLOOKUP(WWWW[[#This Row],[Site Name]],SiteDB6[[Site Name]:[Pop
(Kachin/Shan-CCCM as of July 2021)]],17,FALSE)</f>
        <v>936</v>
      </c>
    </row>
    <row r="11" spans="1:146" hidden="1">
      <c r="A11" s="752" t="s">
        <v>2785</v>
      </c>
      <c r="B11" s="752" t="s">
        <v>141</v>
      </c>
      <c r="C11" s="753" t="s">
        <v>141</v>
      </c>
      <c r="D11" s="753" t="s">
        <v>241</v>
      </c>
      <c r="E11" s="753" t="s">
        <v>37</v>
      </c>
      <c r="F11" s="753" t="s">
        <v>148</v>
      </c>
      <c r="G11" s="594" t="str">
        <f>VLOOKUP(WWWW[[#This Row],[Site Name]],SiteDB6[[Site Name]:[Location Type]],8,FALSE)</f>
        <v>Camp</v>
      </c>
      <c r="H11" s="753" t="s">
        <v>149</v>
      </c>
      <c r="I11" s="755">
        <v>31</v>
      </c>
      <c r="J11" s="755">
        <v>132</v>
      </c>
      <c r="K11" s="756">
        <v>44105</v>
      </c>
      <c r="L11" s="757">
        <v>44681</v>
      </c>
      <c r="M11" s="755"/>
      <c r="N11" s="755">
        <v>1</v>
      </c>
      <c r="O11" s="755"/>
      <c r="P11" s="755"/>
      <c r="Q11" s="758" t="s">
        <v>41</v>
      </c>
      <c r="R11" s="755"/>
      <c r="S11" s="755">
        <v>1</v>
      </c>
      <c r="T11" s="449"/>
      <c r="U11" s="755"/>
      <c r="V11" s="755"/>
      <c r="W11" s="755">
        <v>1</v>
      </c>
      <c r="X11" s="755"/>
      <c r="Y11" s="755"/>
      <c r="Z11" s="755"/>
      <c r="AA11" s="755"/>
      <c r="AB11" s="755"/>
      <c r="AC11" s="755"/>
      <c r="AD11" s="755"/>
      <c r="AE11" s="755"/>
      <c r="AF11" s="755"/>
      <c r="AG11" s="755"/>
      <c r="AH11" s="755"/>
      <c r="AI11" s="755"/>
      <c r="AJ11" s="755"/>
      <c r="AK11" s="755"/>
      <c r="AL11" s="755"/>
      <c r="AM11" s="755"/>
      <c r="AN11" s="755"/>
      <c r="AO11" s="755"/>
      <c r="AP11" s="759"/>
      <c r="AQ11" s="755">
        <v>9</v>
      </c>
      <c r="AR11" s="755"/>
      <c r="AS11" s="760"/>
      <c r="AT11" s="755"/>
      <c r="AU11" s="755"/>
      <c r="AV11" s="449">
        <v>20</v>
      </c>
      <c r="AW11" s="755"/>
      <c r="AX11" s="755">
        <v>4</v>
      </c>
      <c r="AY11" s="754" t="s">
        <v>41</v>
      </c>
      <c r="AZ11" s="759" t="s">
        <v>137</v>
      </c>
      <c r="BA11" s="755"/>
      <c r="BB11" s="755"/>
      <c r="BC11" s="755"/>
      <c r="BD11" s="449"/>
      <c r="BE11" s="449"/>
      <c r="BF11" s="754"/>
      <c r="BG11" s="755">
        <v>1</v>
      </c>
      <c r="BH11" s="755"/>
      <c r="BI11" s="755"/>
      <c r="BJ11" s="755">
        <v>1</v>
      </c>
      <c r="BK11" s="755"/>
      <c r="BL11" s="755"/>
      <c r="BM11" s="755">
        <v>1</v>
      </c>
      <c r="BN11" s="755">
        <v>6</v>
      </c>
      <c r="BO11" s="755">
        <v>5</v>
      </c>
      <c r="BP11" s="754"/>
      <c r="BQ11" s="761"/>
      <c r="BR11" s="760"/>
      <c r="BS11" s="754"/>
      <c r="BT11" s="424"/>
      <c r="BU11" s="424"/>
      <c r="BV11" s="426"/>
      <c r="BW11" s="424"/>
      <c r="BX11" s="449"/>
      <c r="BY11" s="449"/>
      <c r="BZ11" s="449"/>
      <c r="CA11" s="449"/>
      <c r="CB11" s="449"/>
      <c r="CC11" s="807"/>
      <c r="CD11" s="449"/>
      <c r="CE11" s="762" t="str">
        <f>IFERROR(WWWW[[#This Row],['#_Water sources passed]]/WWWW[[#This Row],['#_Water sources tested for fecal coliform ]],"no test")</f>
        <v>no test</v>
      </c>
      <c r="CF11" s="760" t="str">
        <f>IFERROR(WWWW[[#This Row],['#_Household passed]]/WWWW[[#This Row],['#_Household water samples tested for fecal coliform]],"no test")</f>
        <v>no test</v>
      </c>
      <c r="CG11" s="761" t="str">
        <f>IF(AND(WWWW[[#This Row],[% of water sources passed]]="no test",WWWW[[#This Row],[% Household passed]]="no test"),"No Test","Tested")</f>
        <v>No Test</v>
      </c>
      <c r="CH11" s="761">
        <f>WWWW[[#This Row],['#_Constructed/existing protected hand dug well]]-WWWW[[#This Row],['#_Non-functional protected hand dug well]]</f>
        <v>0</v>
      </c>
      <c r="CI11" s="761">
        <f>(WWWW[[#This Row],['#_Constructed/Existing tube wells/boreholes/handpumps_WASH_agency]]+WWWW[[#This Row],['#_Non-Cluster partner water tube-wells/boreholes/handpumps]])-WWWW[[#This Row],['#_Non-functional tube wells/boreholes/handpumps]]</f>
        <v>1</v>
      </c>
      <c r="CJ11" s="761">
        <f>WWWW[[#This Row],['#_Constructed/Existingwater storage tank with gravity fed reticulation system]]-WWWW[[#This Row],['#_Non-functional storage tank gravity fed reticulation system]]</f>
        <v>0</v>
      </c>
      <c r="CK11" s="761">
        <f>(WWWW[[#This Row],['#_Water_Liters_supplied_by_Water boating or water trucking]]/90)/15</f>
        <v>0</v>
      </c>
      <c r="CL11" s="761">
        <f>WWWW[[#This Row],['#_Water_Liters_from_Constructed/Existing water distribution system from river or natural spring]]/90/15</f>
        <v>0</v>
      </c>
      <c r="CM11" s="425">
        <f>IF(WWWW[[#This Row],['#_of water points in TLS/CFS]]*500&gt;WWWW[[#This Row],[Total PoP ]],WWWW[[#This Row],[Total PoP ]],WWWW[[#This Row],['#_of water points in TLS/CFS]]*500)</f>
        <v>0</v>
      </c>
      <c r="CN11" s="425">
        <f>IF(WWWW[[#This Row],['#_of water points in THF]]*500&gt;WWWW[[#This Row],[Total PoP ]],WWWW[[#This Row],[Total PoP ]],WWWW[[#This Row],['#_of water points in THF]]*500)</f>
        <v>0</v>
      </c>
      <c r="CO1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 s="760">
        <f>IF(WWWW[[#This Row],[Location Type 1]]="Village",WWWW[[#This Row],[Access to safe drinking water for Village]],WWWW[[#This Row],[Access to safe drinking water for Camp]])</f>
        <v>1</v>
      </c>
      <c r="CR11" s="758">
        <f>WWWW[[#This Row],[%Equitable and continuous access to sufficient quantity of safe drinking water]]*WWWW[[#This Row],[Total PoP ]]</f>
        <v>132</v>
      </c>
      <c r="CS11" s="760">
        <f>IF((WWWW[[#This Row],['#_Constructed/Existing protected/fenced ponds]]*250)/WWWW[[#This Row],[Total PoP ]]&gt;1,1,(WWWW[[#This Row],['#_Constructed/Existing protected/fenced ponds]]*250)/WWWW[[#This Row],[Total PoP ]])</f>
        <v>0</v>
      </c>
      <c r="CT11" s="758">
        <f>WWWW[[#This Row],[% Access to unimproved water points]]*WWWW[[#This Row],[Total PoP ]]</f>
        <v>0</v>
      </c>
      <c r="CU1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11" s="758">
        <f>WWWW[[#This Row],[HRP1]]/500</f>
        <v>0.26400000000000001</v>
      </c>
      <c r="CX11" s="763">
        <f>1-WWWW[[#This Row],[% Equitable and continuous access to sufficient quantity of domestic water]]</f>
        <v>0</v>
      </c>
      <c r="CY11" s="758">
        <f>WWWW[[#This Row],[%equitable and continuous access to sufficient quantity of safe drinking and domestic water''s GAP]]*WWWW[[#This Row],[Total PoP ]]</f>
        <v>0</v>
      </c>
      <c r="CZ11" s="761">
        <f>IF(WWWW[[#This Row],[Total required water points]]-WWWW[[#This Row],['#Water points coverage]]&lt;0,0,WWWW[[#This Row],[Total required water points]]-WWWW[[#This Row],['#Water points coverage]])</f>
        <v>0.73599999999999999</v>
      </c>
      <c r="DA11" s="761">
        <f>ROUND(IF(WWWW[[#This Row],[Total PoP ]]&lt;500,1,WWWW[[#This Row],[Total PoP ]]/500),0)</f>
        <v>1</v>
      </c>
      <c r="DB11" s="761">
        <f>(WWWW[[#This Row],['#_Constructed latrines_by_WASHAgencies]]+WWWW[[#This Row],['#_Non Cluster partner latrines]])-WWWW[[#This Row],['#_Non-functional latrines]]</f>
        <v>9</v>
      </c>
      <c r="DC11" s="634">
        <f>WWWW[[#This Row],[HRP2]]/WWWW[[#This Row],[Total PoP ]]</f>
        <v>1</v>
      </c>
      <c r="DD1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1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132</v>
      </c>
      <c r="DF1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 s="425">
        <f>IF(WWWW[[#This Row],['# of functional latrines in THF supported by WASH partners during the reporting period2]]="",0,WWWW[[#This Row],['# of functional latrines in THF supported by WASH partners during the reporting period2]]*50)</f>
        <v>0</v>
      </c>
      <c r="DH11" s="761">
        <f>ROUND(IF(WWWW[[#This Row],[Location Type 1]]="camp",WWWW[[#This Row],[Total PoP ]]/20,IF(WWWW[[#This Row],[Location Type 1]]="Temporary Location",WWWW[[#This Row],[Total PoP ]]/50,(WWWW[[#This Row],[Total PoP ]]/6))),0)</f>
        <v>7</v>
      </c>
      <c r="DI11" s="761">
        <f>IF(WWWW[[#This Row],[Total required Latrines]]-(WWWW[[#This Row],['#_Constructed latrines_by_WASHAgencies]]+WWWW[[#This Row],['#_Non Cluster partner latrines]])&lt;0,0,WWWW[[#This Row],[Total required Latrines]]-(WWWW[[#This Row],['#_Constructed latrines_by_WASHAgencies]]+WWWW[[#This Row],['#_Non Cluster partner latrines]]))</f>
        <v>0</v>
      </c>
      <c r="DJ11" s="763">
        <f>1-WWWW[[#This Row],[% people access to functioning Latrine]]</f>
        <v>0</v>
      </c>
      <c r="DK11" s="762">
        <f>IF(OR(WWWW[[#This Row],['#_Non-functional latrines]]="",WWWW[[#This Row],['#_Non-functional latrines]]=0),0,WWWW[[#This Row],['#_Non-functional latrines]]/(WWWW[[#This Row],['#_Constructed latrines_by_WASHAgencies]]+WWWW[[#This Row],['#_Non Cluster partner latrines]]))</f>
        <v>0</v>
      </c>
      <c r="DL11" s="758">
        <f>IF(500*(WWWW[[#This Row],['#_male hygiene promoters]]+WWWW[[#This Row],['#_female hygiene promoters]])&gt;WWWW[[#This Row],[Total PoP ]],WWWW[[#This Row],[Total PoP ]],500*(WWWW[[#This Row],['#_male hygiene promoters]]+WWWW[[#This Row],['#_female hygiene promoters]]))</f>
        <v>132</v>
      </c>
      <c r="DM1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1" s="761">
        <f>IF(WWWW[[#This Row],['# People with access to soap]]&gt;WWWW[[#This Row],['# People with access to Sanity Pads]],WWWW[[#This Row],['# People with access to soap]],WWWW[[#This Row],['# People with access to Sanity Pads]])</f>
        <v>30</v>
      </c>
      <c r="DP11" s="76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11" s="763">
        <f>IF(WWWW[[#This Row],[HRP3]]/WWWW[[#This Row],[Total PoP ]]&gt;1,1,WWWW[[#This Row],[HRP3]]/WWWW[[#This Row],[Total PoP ]])</f>
        <v>1</v>
      </c>
      <c r="DR11" s="762">
        <f>1-WWWW[[#This Row],[Hygiene Coverage%]]</f>
        <v>0</v>
      </c>
      <c r="DS11" s="760">
        <f>WWWW[[#This Row],['# people reached by regular dedicated hygiene promotion_5]]/WWWW[[#This Row],[Total PoP ]]</f>
        <v>1</v>
      </c>
      <c r="DT1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1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11" s="761">
        <f>WWWW[[#This Row],['#_Constructed/Existing hand washing stations]]-WWWW[[#This Row],['#_Non-Functional_hand_washing_stations]]</f>
        <v>1</v>
      </c>
      <c r="DW11" s="758">
        <f>IF(WWWW[[#This Row],['# Functional hand washing stations during reporting period]]*20&gt;WWWW[[#This Row],[Total HH]],WWWW[[#This Row],[Total HH]],WWWW[[#This Row],['# Functional hand washing stations during reporting period]]*20)</f>
        <v>20</v>
      </c>
      <c r="DX11" s="758">
        <f>IF(WWWW[[#This Row],[Is sufficient soap available for TLS? (Yes/No)]]="yes",WWWW[[#This Row],['#_Constructed/Existing hand washing stations at TLS/CFS/THF]],0)</f>
        <v>0</v>
      </c>
      <c r="DY11" s="429">
        <f>IF(WWWW[[#This Row],['# Functional hand washing stations during reporting period]]*100&gt;WWWW[[#This Row],[Total PoP ]],WWWW[[#This Row],[Total PoP ]],WWWW[[#This Row],['# Functional hand washing stations during reporting period]]*100)</f>
        <v>100</v>
      </c>
      <c r="DZ11" s="429" t="str">
        <f>IF(OR(WWWW[[#This Row],['#_students at TLS_CFS]]="",WWWW[[#This Row],['#_students at TLS_CFS]]=0),"No","Yes")</f>
        <v>No</v>
      </c>
      <c r="EA1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 s="754" t="str">
        <f>VLOOKUP(WWWW[[#This Row],[Site Name]],SiteDB6[[Site Name]:[CCCM Management]],6,FALSE)</f>
        <v>Yes</v>
      </c>
      <c r="EF11" s="754" t="str">
        <f>VLOOKUP(WWWW[[#This Row],[Site Name]],SiteDB6[[Site Name]:[CCCM Focal Agency]],7,FALSE)</f>
        <v>KBC-MYT</v>
      </c>
      <c r="EG11" s="754" t="str">
        <f>VLOOKUP(WWWW[[#This Row],[Site Name]],SiteDB6[[Site Name]:[Location Type 1]],9,FALSE)</f>
        <v>Camp</v>
      </c>
      <c r="EH11" s="754" t="str">
        <f>VLOOKUP(WWWW[[#This Row],[Site Name]],SiteDB6[[Site Name]:[Type of Accommodation]],10,FALSE)</f>
        <v>Camp</v>
      </c>
      <c r="EI11" s="754" t="str">
        <f>VLOOKUP(WWWW[[#This Row],[Site Name]],SiteDB6[[Site Name]:[Ethnic or GCA/NGCA]],11,FALSE)</f>
        <v>GCA</v>
      </c>
      <c r="EJ11" s="754">
        <f>VLOOKUP(WWWW[[#This Row],[Site Name]],SiteDB6[[Site Name]:[Lat]],12,FALSE)</f>
        <v>25.51352</v>
      </c>
      <c r="EK11" s="754">
        <f>VLOOKUP(WWWW[[#This Row],[Site Name]],SiteDB6[[Site Name]:[Long]],13,FALSE)</f>
        <v>96.705960000000005</v>
      </c>
      <c r="EL11" s="754" t="str">
        <f>VLOOKUP(WWWW[[#This Row],[Site Name]],SiteDB6[[Site Name]:[Pcode]],3,FALSE)</f>
        <v>MMR001CMP148</v>
      </c>
      <c r="EM11" s="759" t="str">
        <f t="shared" si="0"/>
        <v>Covered</v>
      </c>
      <c r="EN11" s="759"/>
      <c r="EO11" s="754">
        <f>VLOOKUP(WWWW[[#This Row],[Site Name]],SiteDB6[[Site Name]:[Pop
(Kachin/Shan-CCCM as of July 2021)]],16,FALSE)</f>
        <v>26</v>
      </c>
      <c r="EP11" s="754">
        <f>VLOOKUP(WWWW[[#This Row],[Site Name]],SiteDB6[[Site Name]:[Pop
(Kachin/Shan-CCCM as of July 2021)]],17,FALSE)</f>
        <v>133</v>
      </c>
    </row>
    <row r="12" spans="1:146" hidden="1">
      <c r="A12" s="752" t="s">
        <v>2785</v>
      </c>
      <c r="B12" s="752" t="s">
        <v>141</v>
      </c>
      <c r="C12" s="753" t="s">
        <v>141</v>
      </c>
      <c r="D12" s="753" t="s">
        <v>241</v>
      </c>
      <c r="E12" s="753" t="s">
        <v>37</v>
      </c>
      <c r="F12" s="753" t="s">
        <v>148</v>
      </c>
      <c r="G12" s="594" t="str">
        <f>VLOOKUP(WWWW[[#This Row],[Site Name]],SiteDB6[[Site Name]:[Location Type]],8,FALSE)</f>
        <v>Camp</v>
      </c>
      <c r="H12" s="753" t="s">
        <v>190</v>
      </c>
      <c r="I12" s="755">
        <v>10</v>
      </c>
      <c r="J12" s="755">
        <v>18</v>
      </c>
      <c r="K12" s="756">
        <v>44105</v>
      </c>
      <c r="L12" s="757">
        <v>44681</v>
      </c>
      <c r="M12" s="755"/>
      <c r="N12" s="755"/>
      <c r="O12" s="755"/>
      <c r="P12" s="755"/>
      <c r="Q12" s="758"/>
      <c r="R12" s="755"/>
      <c r="S12" s="755">
        <v>4</v>
      </c>
      <c r="T12" s="449"/>
      <c r="U12" s="755"/>
      <c r="V12" s="755"/>
      <c r="W12" s="755"/>
      <c r="X12" s="755"/>
      <c r="Y12" s="755"/>
      <c r="Z12" s="755"/>
      <c r="AA12" s="755"/>
      <c r="AB12" s="755"/>
      <c r="AC12" s="755"/>
      <c r="AD12" s="755"/>
      <c r="AE12" s="755"/>
      <c r="AF12" s="755"/>
      <c r="AG12" s="755"/>
      <c r="AH12" s="755"/>
      <c r="AI12" s="755"/>
      <c r="AJ12" s="755"/>
      <c r="AK12" s="755"/>
      <c r="AL12" s="755"/>
      <c r="AM12" s="755"/>
      <c r="AN12" s="755"/>
      <c r="AO12" s="755"/>
      <c r="AP12" s="759"/>
      <c r="AQ12" s="755"/>
      <c r="AR12" s="755"/>
      <c r="AS12" s="760"/>
      <c r="AT12" s="755"/>
      <c r="AU12" s="755"/>
      <c r="AV12" s="755"/>
      <c r="AW12" s="755"/>
      <c r="AX12" s="755"/>
      <c r="AY12" s="754" t="s">
        <v>140</v>
      </c>
      <c r="AZ12" s="759" t="s">
        <v>140</v>
      </c>
      <c r="BA12" s="755"/>
      <c r="BB12" s="755"/>
      <c r="BC12" s="755"/>
      <c r="BD12" s="449"/>
      <c r="BE12" s="449"/>
      <c r="BF12" s="754"/>
      <c r="BG12" s="755">
        <v>1</v>
      </c>
      <c r="BH12" s="755"/>
      <c r="BI12" s="755"/>
      <c r="BJ12" s="755">
        <v>1</v>
      </c>
      <c r="BK12" s="755"/>
      <c r="BL12" s="755"/>
      <c r="BM12" s="755"/>
      <c r="BN12" s="755">
        <v>6</v>
      </c>
      <c r="BO12" s="755">
        <v>5</v>
      </c>
      <c r="BP12" s="754"/>
      <c r="BQ12" s="761"/>
      <c r="BR12" s="760"/>
      <c r="BS12" s="754"/>
      <c r="BT12" s="424"/>
      <c r="BU12" s="424"/>
      <c r="BV12" s="426"/>
      <c r="BW12" s="424"/>
      <c r="BX12" s="449"/>
      <c r="BY12" s="449"/>
      <c r="BZ12" s="449"/>
      <c r="CA12" s="449"/>
      <c r="CB12" s="449"/>
      <c r="CC12" s="807"/>
      <c r="CD12" s="449"/>
      <c r="CE12" s="762" t="str">
        <f>IFERROR(WWWW[[#This Row],['#_Water sources passed]]/WWWW[[#This Row],['#_Water sources tested for fecal coliform ]],"no test")</f>
        <v>no test</v>
      </c>
      <c r="CF12" s="760" t="str">
        <f>IFERROR(WWWW[[#This Row],['#_Household passed]]/WWWW[[#This Row],['#_Household water samples tested for fecal coliform]],"no test")</f>
        <v>no test</v>
      </c>
      <c r="CG12" s="761" t="str">
        <f>IF(AND(WWWW[[#This Row],[% of water sources passed]]="no test",WWWW[[#This Row],[% Household passed]]="no test"),"No Test","Tested")</f>
        <v>No Test</v>
      </c>
      <c r="CH12" s="761">
        <f>WWWW[[#This Row],['#_Constructed/existing protected hand dug well]]-WWWW[[#This Row],['#_Non-functional protected hand dug well]]</f>
        <v>0</v>
      </c>
      <c r="CI12" s="761">
        <f>(WWWW[[#This Row],['#_Constructed/Existing tube wells/boreholes/handpumps_WASH_agency]]+WWWW[[#This Row],['#_Non-Cluster partner water tube-wells/boreholes/handpumps]])-WWWW[[#This Row],['#_Non-functional tube wells/boreholes/handpumps]]</f>
        <v>0</v>
      </c>
      <c r="CJ12" s="761">
        <f>WWWW[[#This Row],['#_Constructed/Existingwater storage tank with gravity fed reticulation system]]-WWWW[[#This Row],['#_Non-functional storage tank gravity fed reticulation system]]</f>
        <v>0</v>
      </c>
      <c r="CK12" s="761">
        <f>(WWWW[[#This Row],['#_Water_Liters_supplied_by_Water boating or water trucking]]/90)/15</f>
        <v>0</v>
      </c>
      <c r="CL12" s="761">
        <f>WWWW[[#This Row],['#_Water_Liters_from_Constructed/Existing water distribution system from river or natural spring]]/90/15</f>
        <v>0</v>
      </c>
      <c r="CM12" s="425">
        <f>IF(WWWW[[#This Row],['#_of water points in TLS/CFS]]*500&gt;WWWW[[#This Row],[Total PoP ]],WWWW[[#This Row],[Total PoP ]],WWWW[[#This Row],['#_of water points in TLS/CFS]]*500)</f>
        <v>0</v>
      </c>
      <c r="CN12" s="425">
        <f>IF(WWWW[[#This Row],['#_of water points in THF]]*500&gt;WWWW[[#This Row],[Total PoP ]],WWWW[[#This Row],[Total PoP ]],WWWW[[#This Row],['#_of water points in THF]]*500)</f>
        <v>0</v>
      </c>
      <c r="CO1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 s="760">
        <f>IF(WWWW[[#This Row],[Location Type 1]]="Village",WWWW[[#This Row],[Access to safe drinking water for Village]],WWWW[[#This Row],[Access to safe drinking water for Camp]])</f>
        <v>0</v>
      </c>
      <c r="CR12" s="758">
        <f>WWWW[[#This Row],[%Equitable and continuous access to sufficient quantity of safe drinking water]]*WWWW[[#This Row],[Total PoP ]]</f>
        <v>0</v>
      </c>
      <c r="CS12" s="760">
        <f>IF((WWWW[[#This Row],['#_Constructed/Existing protected/fenced ponds]]*250)/WWWW[[#This Row],[Total PoP ]]&gt;1,1,(WWWW[[#This Row],['#_Constructed/Existing protected/fenced ponds]]*250)/WWWW[[#This Row],[Total PoP ]])</f>
        <v>0</v>
      </c>
      <c r="CT12" s="758">
        <f>WWWW[[#This Row],[% Access to unimproved water points]]*WWWW[[#This Row],[Total PoP ]]</f>
        <v>0</v>
      </c>
      <c r="CU1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 s="758">
        <f>WWWW[[#This Row],[HRP1]]/500</f>
        <v>0</v>
      </c>
      <c r="CX12" s="763">
        <f>1-WWWW[[#This Row],[% Equitable and continuous access to sufficient quantity of domestic water]]</f>
        <v>1</v>
      </c>
      <c r="CY12" s="758">
        <f>WWWW[[#This Row],[%equitable and continuous access to sufficient quantity of safe drinking and domestic water''s GAP]]*WWWW[[#This Row],[Total PoP ]]</f>
        <v>18</v>
      </c>
      <c r="CZ12" s="761">
        <f>IF(WWWW[[#This Row],[Total required water points]]-WWWW[[#This Row],['#Water points coverage]]&lt;0,0,WWWW[[#This Row],[Total required water points]]-WWWW[[#This Row],['#Water points coverage]])</f>
        <v>1</v>
      </c>
      <c r="DA12" s="761">
        <f>ROUND(IF(WWWW[[#This Row],[Total PoP ]]&lt;500,1,WWWW[[#This Row],[Total PoP ]]/500),0)</f>
        <v>1</v>
      </c>
      <c r="DB12" s="761">
        <f>(WWWW[[#This Row],['#_Constructed latrines_by_WASHAgencies]]+WWWW[[#This Row],['#_Non Cluster partner latrines]])-WWWW[[#This Row],['#_Non-functional latrines]]</f>
        <v>0</v>
      </c>
      <c r="DC12" s="634">
        <f>WWWW[[#This Row],[HRP2]]/WWWW[[#This Row],[Total PoP ]]</f>
        <v>0</v>
      </c>
      <c r="DD1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 s="425">
        <f>IF(WWWW[[#This Row],['# of functional latrines in THF supported by WASH partners during the reporting period2]]="",0,WWWW[[#This Row],['# of functional latrines in THF supported by WASH partners during the reporting period2]]*50)</f>
        <v>0</v>
      </c>
      <c r="DH12" s="761">
        <f>ROUND(IF(WWWW[[#This Row],[Location Type 1]]="camp",WWWW[[#This Row],[Total PoP ]]/20,IF(WWWW[[#This Row],[Location Type 1]]="Temporary Location",WWWW[[#This Row],[Total PoP ]]/50,(WWWW[[#This Row],[Total PoP ]]/6))),0)</f>
        <v>1</v>
      </c>
      <c r="DI12" s="761">
        <f>IF(WWWW[[#This Row],[Total required Latrines]]-(WWWW[[#This Row],['#_Constructed latrines_by_WASHAgencies]]+WWWW[[#This Row],['#_Non Cluster partner latrines]])&lt;0,0,WWWW[[#This Row],[Total required Latrines]]-(WWWW[[#This Row],['#_Constructed latrines_by_WASHAgencies]]+WWWW[[#This Row],['#_Non Cluster partner latrines]]))</f>
        <v>1</v>
      </c>
      <c r="DJ12" s="763">
        <f>1-WWWW[[#This Row],[% people access to functioning Latrine]]</f>
        <v>1</v>
      </c>
      <c r="DK12" s="762">
        <f>IF(OR(WWWW[[#This Row],['#_Non-functional latrines]]="",WWWW[[#This Row],['#_Non-functional latrines]]=0),0,WWWW[[#This Row],['#_Non-functional latrines]]/(WWWW[[#This Row],['#_Constructed latrines_by_WASHAgencies]]+WWWW[[#This Row],['#_Non Cluster partner latrines]]))</f>
        <v>0</v>
      </c>
      <c r="DL12" s="758">
        <f>IF(500*(WWWW[[#This Row],['#_male hygiene promoters]]+WWWW[[#This Row],['#_female hygiene promoters]])&gt;WWWW[[#This Row],[Total PoP ]],WWWW[[#This Row],[Total PoP ]],500*(WWWW[[#This Row],['#_male hygiene promoters]]+WWWW[[#This Row],['#_female hygiene promoters]]))</f>
        <v>0</v>
      </c>
      <c r="DM1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v>
      </c>
      <c r="DN1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2" s="761">
        <f>IF(WWWW[[#This Row],['# People with access to soap]]&gt;WWWW[[#This Row],['# People with access to Sanity Pads]],WWWW[[#This Row],['# People with access to soap]],WWWW[[#This Row],['# People with access to Sanity Pads]])</f>
        <v>18</v>
      </c>
      <c r="DP12" s="761">
        <f>IF(WWWW[[#This Row],['# people reached by regular dedicated hygiene promotion_5]]&gt;WWWW[[#This Row],['# People received regular supply of hygiene items_6]],WWWW[[#This Row],['# people reached by regular dedicated hygiene promotion_5]],WWWW[[#This Row],['# People received regular supply of hygiene items_6]])</f>
        <v>18</v>
      </c>
      <c r="DQ12" s="763">
        <f>IF(WWWW[[#This Row],[HRP3]]/WWWW[[#This Row],[Total PoP ]]&gt;1,1,WWWW[[#This Row],[HRP3]]/WWWW[[#This Row],[Total PoP ]])</f>
        <v>1</v>
      </c>
      <c r="DR12" s="762">
        <f>1-WWWW[[#This Row],[Hygiene Coverage%]]</f>
        <v>0</v>
      </c>
      <c r="DS12" s="760">
        <f>WWWW[[#This Row],['# people reached by regular dedicated hygiene promotion_5]]/WWWW[[#This Row],[Total PoP ]]</f>
        <v>0</v>
      </c>
      <c r="DT1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v>
      </c>
      <c r="DV12" s="761">
        <f>WWWW[[#This Row],['#_Constructed/Existing hand washing stations]]-WWWW[[#This Row],['#_Non-Functional_hand_washing_stations]]</f>
        <v>1</v>
      </c>
      <c r="DW12" s="758">
        <f>IF(WWWW[[#This Row],['# Functional hand washing stations during reporting period]]*20&gt;WWWW[[#This Row],[Total HH]],WWWW[[#This Row],[Total HH]],WWWW[[#This Row],['# Functional hand washing stations during reporting period]]*20)</f>
        <v>10</v>
      </c>
      <c r="DX12" s="758">
        <f>IF(WWWW[[#This Row],[Is sufficient soap available for TLS? (Yes/No)]]="yes",WWWW[[#This Row],['#_Constructed/Existing hand washing stations at TLS/CFS/THF]],0)</f>
        <v>0</v>
      </c>
      <c r="DY12" s="429">
        <f>IF(WWWW[[#This Row],['# Functional hand washing stations during reporting period]]*100&gt;WWWW[[#This Row],[Total PoP ]],WWWW[[#This Row],[Total PoP ]],WWWW[[#This Row],['# Functional hand washing stations during reporting period]]*100)</f>
        <v>18</v>
      </c>
      <c r="DZ12" s="429" t="str">
        <f>IF(OR(WWWW[[#This Row],['#_students at TLS_CFS]]="",WWWW[[#This Row],['#_students at TLS_CFS]]=0),"No","Yes")</f>
        <v>No</v>
      </c>
      <c r="EA1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 s="754" t="str">
        <f>VLOOKUP(WWWW[[#This Row],[Site Name]],SiteDB6[[Site Name]:[CCCM Management]],6,FALSE)</f>
        <v>Yes</v>
      </c>
      <c r="EF12" s="754" t="str">
        <f>VLOOKUP(WWWW[[#This Row],[Site Name]],SiteDB6[[Site Name]:[CCCM Focal Agency]],7,FALSE)</f>
        <v>KMSS-MYT</v>
      </c>
      <c r="EG12" s="754" t="str">
        <f>VLOOKUP(WWWW[[#This Row],[Site Name]],SiteDB6[[Site Name]:[Location Type 1]],9,FALSE)</f>
        <v>Camp</v>
      </c>
      <c r="EH12" s="754" t="str">
        <f>VLOOKUP(WWWW[[#This Row],[Site Name]],SiteDB6[[Site Name]:[Type of Accommodation]],10,FALSE)</f>
        <v>Camp</v>
      </c>
      <c r="EI12" s="754" t="str">
        <f>VLOOKUP(WWWW[[#This Row],[Site Name]],SiteDB6[[Site Name]:[Ethnic or GCA/NGCA]],11,FALSE)</f>
        <v>GCA</v>
      </c>
      <c r="EJ12" s="754">
        <f>VLOOKUP(WWWW[[#This Row],[Site Name]],SiteDB6[[Site Name]:[Lat]],12,FALSE)</f>
        <v>25.920006000000001</v>
      </c>
      <c r="EK12" s="754">
        <f>VLOOKUP(WWWW[[#This Row],[Site Name]],SiteDB6[[Site Name]:[Long]],13,FALSE)</f>
        <v>96.662092000000001</v>
      </c>
      <c r="EL12" s="754" t="str">
        <f>VLOOKUP(WWWW[[#This Row],[Site Name]],SiteDB6[[Site Name]:[Pcode]],3,FALSE)</f>
        <v>MMR001CMP247</v>
      </c>
      <c r="EM12" s="759" t="str">
        <f t="shared" si="0"/>
        <v>Covered</v>
      </c>
      <c r="EN12" s="759"/>
      <c r="EO12" s="754">
        <f>VLOOKUP(WWWW[[#This Row],[Site Name]],SiteDB6[[Site Name]:[Pop
(Kachin/Shan-CCCM as of July 2021)]],16,FALSE)</f>
        <v>24</v>
      </c>
      <c r="EP12" s="754">
        <f>VLOOKUP(WWWW[[#This Row],[Site Name]],SiteDB6[[Site Name]:[Pop
(Kachin/Shan-CCCM as of July 2021)]],17,FALSE)</f>
        <v>101</v>
      </c>
    </row>
    <row r="13" spans="1:146" hidden="1">
      <c r="A13" s="752" t="s">
        <v>2785</v>
      </c>
      <c r="B13" s="752" t="s">
        <v>141</v>
      </c>
      <c r="C13" s="753" t="s">
        <v>141</v>
      </c>
      <c r="D13" s="753" t="s">
        <v>241</v>
      </c>
      <c r="E13" s="753" t="s">
        <v>37</v>
      </c>
      <c r="F13" s="753" t="s">
        <v>148</v>
      </c>
      <c r="G13" s="594" t="str">
        <f>VLOOKUP(WWWW[[#This Row],[Site Name]],SiteDB6[[Site Name]:[Location Type]],8,FALSE)</f>
        <v>Camp</v>
      </c>
      <c r="H13" s="753" t="s">
        <v>188</v>
      </c>
      <c r="I13" s="755">
        <v>28</v>
      </c>
      <c r="J13" s="755">
        <v>103</v>
      </c>
      <c r="K13" s="756">
        <v>44105</v>
      </c>
      <c r="L13" s="757">
        <v>44681</v>
      </c>
      <c r="M13" s="755"/>
      <c r="N13" s="755">
        <v>1</v>
      </c>
      <c r="O13" s="755"/>
      <c r="P13" s="755"/>
      <c r="Q13" s="758" t="s">
        <v>41</v>
      </c>
      <c r="R13" s="755"/>
      <c r="S13" s="755">
        <v>4</v>
      </c>
      <c r="T13" s="449">
        <v>1</v>
      </c>
      <c r="U13" s="755"/>
      <c r="V13" s="755"/>
      <c r="W13" s="755">
        <v>1</v>
      </c>
      <c r="X13" s="755"/>
      <c r="Y13" s="755"/>
      <c r="Z13" s="755"/>
      <c r="AA13" s="755"/>
      <c r="AB13" s="755"/>
      <c r="AC13" s="755"/>
      <c r="AD13" s="755"/>
      <c r="AE13" s="755"/>
      <c r="AF13" s="755"/>
      <c r="AG13" s="755"/>
      <c r="AH13" s="755"/>
      <c r="AI13" s="755"/>
      <c r="AJ13" s="755"/>
      <c r="AK13" s="755"/>
      <c r="AL13" s="755"/>
      <c r="AM13" s="755"/>
      <c r="AN13" s="755"/>
      <c r="AO13" s="755"/>
      <c r="AP13" s="759"/>
      <c r="AQ13" s="755">
        <v>8</v>
      </c>
      <c r="AR13" s="755"/>
      <c r="AS13" s="760"/>
      <c r="AT13" s="755"/>
      <c r="AU13" s="755"/>
      <c r="AV13" s="755"/>
      <c r="AW13" s="755"/>
      <c r="AX13" s="755">
        <v>8</v>
      </c>
      <c r="AY13" s="754" t="s">
        <v>41</v>
      </c>
      <c r="AZ13" s="759" t="s">
        <v>904</v>
      </c>
      <c r="BA13" s="755"/>
      <c r="BB13" s="755"/>
      <c r="BC13" s="755"/>
      <c r="BD13" s="449"/>
      <c r="BE13" s="449"/>
      <c r="BF13" s="754"/>
      <c r="BG13" s="755">
        <v>7</v>
      </c>
      <c r="BH13" s="755"/>
      <c r="BI13" s="755"/>
      <c r="BJ13" s="755">
        <v>7</v>
      </c>
      <c r="BK13" s="755"/>
      <c r="BL13" s="755"/>
      <c r="BM13" s="755">
        <v>1</v>
      </c>
      <c r="BN13" s="755">
        <v>104</v>
      </c>
      <c r="BO13" s="755">
        <v>148</v>
      </c>
      <c r="BP13" s="754"/>
      <c r="BQ13" s="761"/>
      <c r="BR13" s="760"/>
      <c r="BS13" s="754"/>
      <c r="BT13" s="424"/>
      <c r="BU13" s="424"/>
      <c r="BV13" s="426"/>
      <c r="BW13" s="424"/>
      <c r="BX13" s="449"/>
      <c r="BY13" s="449"/>
      <c r="BZ13" s="449"/>
      <c r="CA13" s="449"/>
      <c r="CB13" s="449"/>
      <c r="CC13" s="807"/>
      <c r="CD13" s="449"/>
      <c r="CE13" s="762" t="str">
        <f>IFERROR(WWWW[[#This Row],['#_Water sources passed]]/WWWW[[#This Row],['#_Water sources tested for fecal coliform ]],"no test")</f>
        <v>no test</v>
      </c>
      <c r="CF13" s="760" t="str">
        <f>IFERROR(WWWW[[#This Row],['#_Household passed]]/WWWW[[#This Row],['#_Household water samples tested for fecal coliform]],"no test")</f>
        <v>no test</v>
      </c>
      <c r="CG13" s="761" t="str">
        <f>IF(AND(WWWW[[#This Row],[% of water sources passed]]="no test",WWWW[[#This Row],[% Household passed]]="no test"),"No Test","Tested")</f>
        <v>No Test</v>
      </c>
      <c r="CH13" s="761">
        <f>WWWW[[#This Row],['#_Constructed/existing protected hand dug well]]-WWWW[[#This Row],['#_Non-functional protected hand dug well]]</f>
        <v>1</v>
      </c>
      <c r="CI13" s="761">
        <f>(WWWW[[#This Row],['#_Constructed/Existing tube wells/boreholes/handpumps_WASH_agency]]+WWWW[[#This Row],['#_Non-Cluster partner water tube-wells/boreholes/handpumps]])-WWWW[[#This Row],['#_Non-functional tube wells/boreholes/handpumps]]</f>
        <v>1</v>
      </c>
      <c r="CJ13" s="761">
        <f>WWWW[[#This Row],['#_Constructed/Existingwater storage tank with gravity fed reticulation system]]-WWWW[[#This Row],['#_Non-functional storage tank gravity fed reticulation system]]</f>
        <v>0</v>
      </c>
      <c r="CK13" s="761">
        <f>(WWWW[[#This Row],['#_Water_Liters_supplied_by_Water boating or water trucking]]/90)/15</f>
        <v>0</v>
      </c>
      <c r="CL13" s="761">
        <f>WWWW[[#This Row],['#_Water_Liters_from_Constructed/Existing water distribution system from river or natural spring]]/90/15</f>
        <v>0</v>
      </c>
      <c r="CM13" s="425">
        <f>IF(WWWW[[#This Row],['#_of water points in TLS/CFS]]*500&gt;WWWW[[#This Row],[Total PoP ]],WWWW[[#This Row],[Total PoP ]],WWWW[[#This Row],['#_of water points in TLS/CFS]]*500)</f>
        <v>0</v>
      </c>
      <c r="CN13" s="425">
        <f>IF(WWWW[[#This Row],['#_of water points in THF]]*500&gt;WWWW[[#This Row],[Total PoP ]],WWWW[[#This Row],[Total PoP ]],WWWW[[#This Row],['#_of water points in THF]]*500)</f>
        <v>0</v>
      </c>
      <c r="CO1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 s="760">
        <f>IF(WWWW[[#This Row],[Location Type 1]]="Village",WWWW[[#This Row],[Access to safe drinking water for Village]],WWWW[[#This Row],[Access to safe drinking water for Camp]])</f>
        <v>1</v>
      </c>
      <c r="CR13" s="758">
        <f>WWWW[[#This Row],[%Equitable and continuous access to sufficient quantity of safe drinking water]]*WWWW[[#This Row],[Total PoP ]]</f>
        <v>103</v>
      </c>
      <c r="CS13" s="760">
        <f>IF((WWWW[[#This Row],['#_Constructed/Existing protected/fenced ponds]]*250)/WWWW[[#This Row],[Total PoP ]]&gt;1,1,(WWWW[[#This Row],['#_Constructed/Existing protected/fenced ponds]]*250)/WWWW[[#This Row],[Total PoP ]])</f>
        <v>0</v>
      </c>
      <c r="CT13" s="758">
        <f>WWWW[[#This Row],[% Access to unimproved water points]]*WWWW[[#This Row],[Total PoP ]]</f>
        <v>0</v>
      </c>
      <c r="CU1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13" s="758">
        <f>WWWW[[#This Row],[HRP1]]/500</f>
        <v>0.20599999999999999</v>
      </c>
      <c r="CX13" s="763">
        <f>1-WWWW[[#This Row],[% Equitable and continuous access to sufficient quantity of domestic water]]</f>
        <v>0</v>
      </c>
      <c r="CY13" s="758">
        <f>WWWW[[#This Row],[%equitable and continuous access to sufficient quantity of safe drinking and domestic water''s GAP]]*WWWW[[#This Row],[Total PoP ]]</f>
        <v>0</v>
      </c>
      <c r="CZ13" s="761">
        <f>IF(WWWW[[#This Row],[Total required water points]]-WWWW[[#This Row],['#Water points coverage]]&lt;0,0,WWWW[[#This Row],[Total required water points]]-WWWW[[#This Row],['#Water points coverage]])</f>
        <v>0.79400000000000004</v>
      </c>
      <c r="DA13" s="761">
        <f>ROUND(IF(WWWW[[#This Row],[Total PoP ]]&lt;500,1,WWWW[[#This Row],[Total PoP ]]/500),0)</f>
        <v>1</v>
      </c>
      <c r="DB13" s="761">
        <f>(WWWW[[#This Row],['#_Constructed latrines_by_WASHAgencies]]+WWWW[[#This Row],['#_Non Cluster partner latrines]])-WWWW[[#This Row],['#_Non-functional latrines]]</f>
        <v>8</v>
      </c>
      <c r="DC13" s="634">
        <f>WWWW[[#This Row],[HRP2]]/WWWW[[#This Row],[Total PoP ]]</f>
        <v>1</v>
      </c>
      <c r="DD1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1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 s="425">
        <f>IF(WWWW[[#This Row],['# of functional latrines in THF supported by WASH partners during the reporting period2]]="",0,WWWW[[#This Row],['# of functional latrines in THF supported by WASH partners during the reporting period2]]*50)</f>
        <v>0</v>
      </c>
      <c r="DH13" s="761">
        <f>ROUND(IF(WWWW[[#This Row],[Location Type 1]]="camp",WWWW[[#This Row],[Total PoP ]]/20,IF(WWWW[[#This Row],[Location Type 1]]="Temporary Location",WWWW[[#This Row],[Total PoP ]]/50,(WWWW[[#This Row],[Total PoP ]]/6))),0)</f>
        <v>5</v>
      </c>
      <c r="DI13" s="761">
        <f>IF(WWWW[[#This Row],[Total required Latrines]]-(WWWW[[#This Row],['#_Constructed latrines_by_WASHAgencies]]+WWWW[[#This Row],['#_Non Cluster partner latrines]])&lt;0,0,WWWW[[#This Row],[Total required Latrines]]-(WWWW[[#This Row],['#_Constructed latrines_by_WASHAgencies]]+WWWW[[#This Row],['#_Non Cluster partner latrines]]))</f>
        <v>0</v>
      </c>
      <c r="DJ13" s="763">
        <f>1-WWWW[[#This Row],[% people access to functioning Latrine]]</f>
        <v>0</v>
      </c>
      <c r="DK13" s="762">
        <f>IF(OR(WWWW[[#This Row],['#_Non-functional latrines]]="",WWWW[[#This Row],['#_Non-functional latrines]]=0),0,WWWW[[#This Row],['#_Non-functional latrines]]/(WWWW[[#This Row],['#_Constructed latrines_by_WASHAgencies]]+WWWW[[#This Row],['#_Non Cluster partner latrines]]))</f>
        <v>0</v>
      </c>
      <c r="DL13" s="758">
        <f>IF(500*(WWWW[[#This Row],['#_male hygiene promoters]]+WWWW[[#This Row],['#_female hygiene promoters]])&gt;WWWW[[#This Row],[Total PoP ]],WWWW[[#This Row],[Total PoP ]],500*(WWWW[[#This Row],['#_male hygiene promoters]]+WWWW[[#This Row],['#_female hygiene promoters]]))</f>
        <v>103</v>
      </c>
      <c r="DM1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1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103</v>
      </c>
      <c r="DO13" s="761">
        <f>IF(WWWW[[#This Row],['# People with access to soap]]&gt;WWWW[[#This Row],['# People with access to Sanity Pads]],WWWW[[#This Row],['# People with access to soap]],WWWW[[#This Row],['# People with access to Sanity Pads]])</f>
        <v>103</v>
      </c>
      <c r="DP13" s="76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13" s="763">
        <f>IF(WWWW[[#This Row],[HRP3]]/WWWW[[#This Row],[Total PoP ]]&gt;1,1,WWWW[[#This Row],[HRP3]]/WWWW[[#This Row],[Total PoP ]])</f>
        <v>1</v>
      </c>
      <c r="DR13" s="762">
        <f>1-WWWW[[#This Row],[Hygiene Coverage%]]</f>
        <v>0</v>
      </c>
      <c r="DS13" s="760">
        <f>WWWW[[#This Row],['# people reached by regular dedicated hygiene promotion_5]]/WWWW[[#This Row],[Total PoP ]]</f>
        <v>1</v>
      </c>
      <c r="DT1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 s="761">
        <f>WWWW[[#This Row],['#_Constructed/Existing hand washing stations]]-WWWW[[#This Row],['#_Non-Functional_hand_washing_stations]]</f>
        <v>7</v>
      </c>
      <c r="DW13" s="758">
        <f>IF(WWWW[[#This Row],['# Functional hand washing stations during reporting period]]*20&gt;WWWW[[#This Row],[Total HH]],WWWW[[#This Row],[Total HH]],WWWW[[#This Row],['# Functional hand washing stations during reporting period]]*20)</f>
        <v>28</v>
      </c>
      <c r="DX13" s="758">
        <f>IF(WWWW[[#This Row],[Is sufficient soap available for TLS? (Yes/No)]]="yes",WWWW[[#This Row],['#_Constructed/Existing hand washing stations at TLS/CFS/THF]],0)</f>
        <v>0</v>
      </c>
      <c r="DY13" s="429">
        <f>IF(WWWW[[#This Row],['# Functional hand washing stations during reporting period]]*100&gt;WWWW[[#This Row],[Total PoP ]],WWWW[[#This Row],[Total PoP ]],WWWW[[#This Row],['# Functional hand washing stations during reporting period]]*100)</f>
        <v>103</v>
      </c>
      <c r="DZ13" s="429" t="str">
        <f>IF(OR(WWWW[[#This Row],['#_students at TLS_CFS]]="",WWWW[[#This Row],['#_students at TLS_CFS]]=0),"No","Yes")</f>
        <v>No</v>
      </c>
      <c r="EA1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 s="754" t="str">
        <f>VLOOKUP(WWWW[[#This Row],[Site Name]],SiteDB6[[Site Name]:[CCCM Management]],6,FALSE)</f>
        <v>Yes</v>
      </c>
      <c r="EF13" s="754" t="str">
        <f>VLOOKUP(WWWW[[#This Row],[Site Name]],SiteDB6[[Site Name]:[CCCM Focal Agency]],7,FALSE)</f>
        <v>KBC-MYT</v>
      </c>
      <c r="EG13" s="754" t="str">
        <f>VLOOKUP(WWWW[[#This Row],[Site Name]],SiteDB6[[Site Name]:[Location Type 1]],9,FALSE)</f>
        <v>Camp</v>
      </c>
      <c r="EH13" s="754" t="str">
        <f>VLOOKUP(WWWW[[#This Row],[Site Name]],SiteDB6[[Site Name]:[Type of Accommodation]],10,FALSE)</f>
        <v>Camp</v>
      </c>
      <c r="EI13" s="754" t="str">
        <f>VLOOKUP(WWWW[[#This Row],[Site Name]],SiteDB6[[Site Name]:[Ethnic or GCA/NGCA]],11,FALSE)</f>
        <v>GCA</v>
      </c>
      <c r="EJ13" s="754">
        <f>VLOOKUP(WWWW[[#This Row],[Site Name]],SiteDB6[[Site Name]:[Lat]],12,FALSE)</f>
        <v>25.920006000000001</v>
      </c>
      <c r="EK13" s="754">
        <f>VLOOKUP(WWWW[[#This Row],[Site Name]],SiteDB6[[Site Name]:[Long]],13,FALSE)</f>
        <v>96.662092000000001</v>
      </c>
      <c r="EL13" s="754" t="str">
        <f>VLOOKUP(WWWW[[#This Row],[Site Name]],SiteDB6[[Site Name]:[Pcode]],3,FALSE)</f>
        <v>MMR001CMP244</v>
      </c>
      <c r="EM13" s="759" t="str">
        <f t="shared" si="0"/>
        <v>Covered</v>
      </c>
      <c r="EN13" s="759"/>
      <c r="EO13" s="754">
        <f>VLOOKUP(WWWW[[#This Row],[Site Name]],SiteDB6[[Site Name]:[Pop
(Kachin/Shan-CCCM as of July 2021)]],16,FALSE)</f>
        <v>24</v>
      </c>
      <c r="EP13" s="754">
        <f>VLOOKUP(WWWW[[#This Row],[Site Name]],SiteDB6[[Site Name]:[Pop
(Kachin/Shan-CCCM as of July 2021)]],17,FALSE)</f>
        <v>110</v>
      </c>
    </row>
    <row r="14" spans="1:146" hidden="1">
      <c r="A14" s="752" t="s">
        <v>2785</v>
      </c>
      <c r="B14" s="729" t="s">
        <v>2828</v>
      </c>
      <c r="C14" s="753" t="s">
        <v>141</v>
      </c>
      <c r="D14" s="370" t="s">
        <v>2609</v>
      </c>
      <c r="E14" s="816" t="s">
        <v>37</v>
      </c>
      <c r="F14" s="816" t="s">
        <v>38</v>
      </c>
      <c r="G14" s="817" t="str">
        <f>VLOOKUP(WWWW[[#This Row],[Site Name]],SiteDB6[[Site Name]:[Location Type]],8,FALSE)</f>
        <v>Camp</v>
      </c>
      <c r="H14" s="816" t="s">
        <v>183</v>
      </c>
      <c r="I14" s="818">
        <v>364</v>
      </c>
      <c r="J14" s="818">
        <v>1599</v>
      </c>
      <c r="K14" s="830" t="s">
        <v>2829</v>
      </c>
      <c r="L14" s="56" t="s">
        <v>2830</v>
      </c>
      <c r="M14" s="818">
        <v>456</v>
      </c>
      <c r="N14" s="818">
        <v>9</v>
      </c>
      <c r="O14" s="818"/>
      <c r="P14" s="818"/>
      <c r="Q14" s="758" t="s">
        <v>41</v>
      </c>
      <c r="R14" s="818">
        <v>14</v>
      </c>
      <c r="S14" s="818">
        <v>42</v>
      </c>
      <c r="T14" s="449"/>
      <c r="U14" s="818"/>
      <c r="V14" s="818">
        <v>0</v>
      </c>
      <c r="W14" s="818">
        <v>4</v>
      </c>
      <c r="X14" s="818">
        <v>0</v>
      </c>
      <c r="Y14" s="818"/>
      <c r="Z14" s="818">
        <v>3</v>
      </c>
      <c r="AA14" s="818"/>
      <c r="AB14" s="818"/>
      <c r="AC14" s="818"/>
      <c r="AD14" s="818"/>
      <c r="AE14" s="818"/>
      <c r="AF14" s="818"/>
      <c r="AG14" s="818">
        <v>5</v>
      </c>
      <c r="AH14" s="818"/>
      <c r="AI14" s="818">
        <v>4</v>
      </c>
      <c r="AJ14" s="818">
        <v>4</v>
      </c>
      <c r="AK14" s="818">
        <v>15</v>
      </c>
      <c r="AL14" s="818">
        <v>13</v>
      </c>
      <c r="AM14" s="818">
        <v>8</v>
      </c>
      <c r="AN14" s="818"/>
      <c r="AO14" s="818"/>
      <c r="AP14" s="822"/>
      <c r="AQ14" s="449">
        <v>110</v>
      </c>
      <c r="AR14" s="818">
        <v>0</v>
      </c>
      <c r="AS14" s="823"/>
      <c r="AT14" s="818">
        <v>0</v>
      </c>
      <c r="AU14" s="818"/>
      <c r="AV14" s="818"/>
      <c r="AW14" s="818"/>
      <c r="AX14" s="449">
        <v>110</v>
      </c>
      <c r="AY14" s="817" t="s">
        <v>41</v>
      </c>
      <c r="AZ14" s="822" t="s">
        <v>137</v>
      </c>
      <c r="BA14" s="818"/>
      <c r="BB14" s="818"/>
      <c r="BC14" s="818">
        <v>4</v>
      </c>
      <c r="BD14" s="449"/>
      <c r="BE14" s="449">
        <v>76</v>
      </c>
      <c r="BF14" s="817"/>
      <c r="BG14" s="755">
        <v>1</v>
      </c>
      <c r="BH14" s="818"/>
      <c r="BI14" s="818"/>
      <c r="BJ14" s="755">
        <v>3</v>
      </c>
      <c r="BK14" s="818"/>
      <c r="BL14" s="818"/>
      <c r="BM14" s="818">
        <v>5</v>
      </c>
      <c r="BN14" s="818">
        <v>41</v>
      </c>
      <c r="BO14" s="449">
        <v>85</v>
      </c>
      <c r="BP14" s="817"/>
      <c r="BQ14" s="824"/>
      <c r="BR14" s="823"/>
      <c r="BS14" s="817"/>
      <c r="BT14" s="424"/>
      <c r="BU14" s="424"/>
      <c r="BV14" s="576">
        <f>88%*WWWW[[#This Row],[Total PoP ]]</f>
        <v>1407.1200000000001</v>
      </c>
      <c r="BW14" s="424">
        <v>0.62</v>
      </c>
      <c r="BX14" s="449"/>
      <c r="BY14" s="449">
        <v>17</v>
      </c>
      <c r="BZ14" s="449"/>
      <c r="CA14" s="449">
        <v>0</v>
      </c>
      <c r="CB14" s="449">
        <v>0</v>
      </c>
      <c r="CC14" s="807"/>
      <c r="CD14" s="449"/>
      <c r="CE14" s="825">
        <f>IFERROR(WWWW[[#This Row],['#_Water sources passed]]/WWWW[[#This Row],['#_Water sources tested for fecal coliform ]],"no test")</f>
        <v>1</v>
      </c>
      <c r="CF14" s="823">
        <f>IFERROR(WWWW[[#This Row],['#_Household passed]]/WWWW[[#This Row],['#_Household water samples tested for fecal coliform]],"no test")</f>
        <v>0.8666666666666667</v>
      </c>
      <c r="CG14" s="824" t="str">
        <f>IF(AND(WWWW[[#This Row],[% of water sources passed]]="no test",WWWW[[#This Row],[% Household passed]]="no test"),"No Test","Tested")</f>
        <v>Tested</v>
      </c>
      <c r="CH14" s="824">
        <f>WWWW[[#This Row],['#_Constructed/existing protected hand dug well]]-WWWW[[#This Row],['#_Non-functional protected hand dug well]]</f>
        <v>0</v>
      </c>
      <c r="CI14" s="824">
        <f>(WWWW[[#This Row],['#_Constructed/Existing tube wells/boreholes/handpumps_WASH_agency]]+WWWW[[#This Row],['#_Non-Cluster partner water tube-wells/boreholes/handpumps]])-WWWW[[#This Row],['#_Non-functional tube wells/boreholes/handpumps]]</f>
        <v>4</v>
      </c>
      <c r="CJ14" s="824">
        <f>WWWW[[#This Row],['#_Constructed/Existingwater storage tank with gravity fed reticulation system]]-WWWW[[#This Row],['#_Non-functional storage tank gravity fed reticulation system]]</f>
        <v>0</v>
      </c>
      <c r="CK14" s="824">
        <f>(WWWW[[#This Row],['#_Water_Liters_supplied_by_Water boating or water trucking]]/90)/15</f>
        <v>0</v>
      </c>
      <c r="CL14" s="824">
        <f>WWWW[[#This Row],['#_Water_Liters_from_Constructed/Existing water distribution system from river or natural spring]]/90/15</f>
        <v>0</v>
      </c>
      <c r="CM14" s="425">
        <f>IF(WWWW[[#This Row],['#_of water points in TLS/CFS]]*500&gt;WWWW[[#This Row],[Total PoP ]],WWWW[[#This Row],[Total PoP ]],WWWW[[#This Row],['#_of water points in TLS/CFS]]*500)</f>
        <v>0</v>
      </c>
      <c r="CN14" s="425">
        <f>IF(WWWW[[#This Row],['#_of water points in THF]]*500&gt;WWWW[[#This Row],[Total PoP ]],WWWW[[#This Row],[Total PoP ]],WWWW[[#This Row],['#_of water points in THF]]*500)</f>
        <v>0</v>
      </c>
      <c r="CO14"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4"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0.62539086929330834</v>
      </c>
      <c r="CQ14" s="823">
        <f>IF(WWWW[[#This Row],[Location Type 1]]="Village",WWWW[[#This Row],[Access to safe drinking water for Village]],WWWW[[#This Row],[Access to safe drinking water for Camp]])</f>
        <v>1</v>
      </c>
      <c r="CR14" s="821">
        <f>WWWW[[#This Row],[%Equitable and continuous access to sufficient quantity of safe drinking water]]*WWWW[[#This Row],[Total PoP ]]</f>
        <v>1599</v>
      </c>
      <c r="CS14" s="823">
        <f>IF((WWWW[[#This Row],['#_Constructed/Existing protected/fenced ponds]]*250)/WWWW[[#This Row],[Total PoP ]]&gt;1,1,(WWWW[[#This Row],['#_Constructed/Existing protected/fenced ponds]]*250)/WWWW[[#This Row],[Total PoP ]])</f>
        <v>0</v>
      </c>
      <c r="CT14" s="821">
        <f>WWWW[[#This Row],[% Access to unimproved water points]]*WWWW[[#This Row],[Total PoP ]]</f>
        <v>0</v>
      </c>
      <c r="CU14"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4"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1599</v>
      </c>
      <c r="CW14" s="821">
        <f>WWWW[[#This Row],[HRP1]]/500</f>
        <v>3.198</v>
      </c>
      <c r="CX14" s="826">
        <f>1-WWWW[[#This Row],[% Equitable and continuous access to sufficient quantity of domestic water]]</f>
        <v>0</v>
      </c>
      <c r="CY14" s="821">
        <f>WWWW[[#This Row],[%equitable and continuous access to sufficient quantity of safe drinking and domestic water''s GAP]]*WWWW[[#This Row],[Total PoP ]]</f>
        <v>0</v>
      </c>
      <c r="CZ14" s="824">
        <f>IF(WWWW[[#This Row],[Total required water points]]-WWWW[[#This Row],['#Water points coverage]]&lt;0,0,WWWW[[#This Row],[Total required water points]]-WWWW[[#This Row],['#Water points coverage]])</f>
        <v>0</v>
      </c>
      <c r="DA14" s="824">
        <f>ROUND(IF(WWWW[[#This Row],[Total PoP ]]&lt;500,1,WWWW[[#This Row],[Total PoP ]]/500),0)</f>
        <v>3</v>
      </c>
      <c r="DB14" s="824">
        <f>(WWWW[[#This Row],['#_Constructed latrines_by_WASHAgencies]]+WWWW[[#This Row],['#_Non Cluster partner latrines]])-WWWW[[#This Row],['#_Non-functional latrines]]</f>
        <v>110</v>
      </c>
      <c r="DC14" s="634">
        <f>WWWW[[#This Row],[HRP2]]/WWWW[[#This Row],[Total PoP ]]</f>
        <v>1</v>
      </c>
      <c r="DD14"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1599</v>
      </c>
      <c r="DE14"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G14" s="425">
        <f>IF(WWWW[[#This Row],['# of functional latrines in THF supported by WASH partners during the reporting period2]]="",0,WWWW[[#This Row],['# of functional latrines in THF supported by WASH partners during the reporting period2]]*50)</f>
        <v>0</v>
      </c>
      <c r="DH14" s="824">
        <f>ROUND(IF(WWWW[[#This Row],[Location Type 1]]="camp",WWWW[[#This Row],[Total PoP ]]/20,IF(WWWW[[#This Row],[Location Type 1]]="Temporary Location",WWWW[[#This Row],[Total PoP ]]/50,(WWWW[[#This Row],[Total PoP ]]/6))),0)</f>
        <v>80</v>
      </c>
      <c r="DI14" s="824">
        <f>IF(WWWW[[#This Row],[Total required Latrines]]-(WWWW[[#This Row],['#_Constructed latrines_by_WASHAgencies]]+WWWW[[#This Row],['#_Non Cluster partner latrines]])&lt;0,0,WWWW[[#This Row],[Total required Latrines]]-(WWWW[[#This Row],['#_Constructed latrines_by_WASHAgencies]]+WWWW[[#This Row],['#_Non Cluster partner latrines]]))</f>
        <v>0</v>
      </c>
      <c r="DJ14" s="826">
        <f>1-WWWW[[#This Row],[% people access to functioning Latrine]]</f>
        <v>0</v>
      </c>
      <c r="DK14" s="825">
        <f>IF(OR(WWWW[[#This Row],['#_Non-functional latrines]]="",WWWW[[#This Row],['#_Non-functional latrines]]=0),0,WWWW[[#This Row],['#_Non-functional latrines]]/(WWWW[[#This Row],['#_Constructed latrines_by_WASHAgencies]]+WWWW[[#This Row],['#_Non Cluster partner latrines]]))</f>
        <v>0</v>
      </c>
      <c r="DL14" s="821">
        <f>IF(500*(WWWW[[#This Row],['#_male hygiene promoters]]+WWWW[[#This Row],['#_female hygiene promoters]])&gt;WWWW[[#This Row],[Total PoP ]],WWWW[[#This Row],[Total PoP ]],500*(WWWW[[#This Row],['#_male hygiene promoters]]+WWWW[[#This Row],['#_female hygiene promoters]]))</f>
        <v>1599</v>
      </c>
      <c r="DM14"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4"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4" s="824">
        <f>IF(WWWW[[#This Row],['# People with access to soap]]&gt;WWWW[[#This Row],['# People with access to Sanity Pads]],WWWW[[#This Row],['# People with access to soap]],WWWW[[#This Row],['# People with access to Sanity Pads]])</f>
        <v>205</v>
      </c>
      <c r="DP14" s="824">
        <f>IF(WWWW[[#This Row],['# people reached by regular dedicated hygiene promotion_5]]&gt;WWWW[[#This Row],['# People received regular supply of hygiene items_6]],WWWW[[#This Row],['# people reached by regular dedicated hygiene promotion_5]],WWWW[[#This Row],['# People received regular supply of hygiene items_6]])</f>
        <v>1599</v>
      </c>
      <c r="DQ14" s="826">
        <f>IF(WWWW[[#This Row],[HRP3]]/WWWW[[#This Row],[Total PoP ]]&gt;1,1,WWWW[[#This Row],[HRP3]]/WWWW[[#This Row],[Total PoP ]])</f>
        <v>1</v>
      </c>
      <c r="DR14" s="825">
        <f>1-WWWW[[#This Row],[Hygiene Coverage%]]</f>
        <v>0</v>
      </c>
      <c r="DS14" s="823">
        <f>WWWW[[#This Row],['# people reached by regular dedicated hygiene promotion_5]]/WWWW[[#This Row],[Total PoP ]]</f>
        <v>1</v>
      </c>
      <c r="DT14"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0.45054945054945056</v>
      </c>
      <c r="DU14"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0.23351648351648352</v>
      </c>
      <c r="DV14" s="824">
        <f>WWWW[[#This Row],['#_Constructed/Existing hand washing stations]]-WWWW[[#This Row],['#_Non-Functional_hand_washing_stations]]</f>
        <v>1</v>
      </c>
      <c r="DW14" s="821">
        <f>IF(WWWW[[#This Row],['# Functional hand washing stations during reporting period]]*20&gt;WWWW[[#This Row],[Total HH]],WWWW[[#This Row],[Total HH]],WWWW[[#This Row],['# Functional hand washing stations during reporting period]]*20)</f>
        <v>20</v>
      </c>
      <c r="DX14" s="821">
        <f>IF(WWWW[[#This Row],[Is sufficient soap available for TLS? (Yes/No)]]="yes",WWWW[[#This Row],['#_Constructed/Existing hand washing stations at TLS/CFS/THF]],0)</f>
        <v>0</v>
      </c>
      <c r="DY14" s="429">
        <f>IF(WWWW[[#This Row],['# Functional hand washing stations during reporting period]]*100&gt;WWWW[[#This Row],[Total PoP ]],WWWW[[#This Row],[Total PoP ]],WWWW[[#This Row],['# Functional hand washing stations during reporting period]]*100)</f>
        <v>100</v>
      </c>
      <c r="DZ14" s="429" t="str">
        <f>IF(OR(WWWW[[#This Row],['#_students at TLS_CFS]]="",WWWW[[#This Row],['#_students at TLS_CFS]]=0),"No","Yes")</f>
        <v>Yes</v>
      </c>
      <c r="EA14" s="634">
        <f>IF(WWWW[[#This Row],['#_of_affected_people_surveyed_who_report_feeling_informed_about_the_different_WASH_services_available_to_them]]="","",WWWW[[#This Row],['#_of_affected_people_surveyed_who_report_feeling_informed_about_the_different_WASH_services_available_to_them]]/WWWW[[#This Row],[Total PoP ]])</f>
        <v>0.88000000000000012</v>
      </c>
      <c r="EB1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17</v>
      </c>
      <c r="EC1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200</v>
      </c>
      <c r="ED1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 s="817" t="str">
        <f>VLOOKUP(WWWW[[#This Row],[Site Name]],SiteDB6[[Site Name]:[CCCM Management]],6,FALSE)</f>
        <v>Yes</v>
      </c>
      <c r="EF14" s="817" t="str">
        <f>VLOOKUP(WWWW[[#This Row],[Site Name]],SiteDB6[[Site Name]:[CCCM Focal Agency]],7,FALSE)</f>
        <v>KBC-BMO</v>
      </c>
      <c r="EG14" s="817" t="str">
        <f>VLOOKUP(WWWW[[#This Row],[Site Name]],SiteDB6[[Site Name]:[Location Type 1]],9,FALSE)</f>
        <v>Camp</v>
      </c>
      <c r="EH14" s="817" t="str">
        <f>VLOOKUP(WWWW[[#This Row],[Site Name]],SiteDB6[[Site Name]:[Type of Accommodation]],10,FALSE)</f>
        <v>Camp</v>
      </c>
      <c r="EI14" s="817" t="str">
        <f>VLOOKUP(WWWW[[#This Row],[Site Name]],SiteDB6[[Site Name]:[Ethnic or GCA/NGCA]],11,FALSE)</f>
        <v>GCA</v>
      </c>
      <c r="EJ14" s="817">
        <f>VLOOKUP(WWWW[[#This Row],[Site Name]],SiteDB6[[Site Name]:[Lat]],12,FALSE)</f>
        <v>23.972453000000002</v>
      </c>
      <c r="EK14" s="817">
        <f>VLOOKUP(WWWW[[#This Row],[Site Name]],SiteDB6[[Site Name]:[Long]],13,FALSE)</f>
        <v>97.225881000000001</v>
      </c>
      <c r="EL14" s="817" t="str">
        <f>VLOOKUP(WWWW[[#This Row],[Site Name]],SiteDB6[[Site Name]:[Pcode]],3,FALSE)</f>
        <v>MMR001CMP218</v>
      </c>
      <c r="EM14" s="822" t="str">
        <f t="shared" si="0"/>
        <v>Covered</v>
      </c>
      <c r="EN14" s="822"/>
      <c r="EO14" s="817">
        <f>VLOOKUP(WWWW[[#This Row],[Site Name]],SiteDB6[[Site Name]:[Pop
(Kachin/Shan-CCCM as of July 2021)]],16,FALSE)</f>
        <v>363</v>
      </c>
      <c r="EP14" s="817">
        <f>VLOOKUP(WWWW[[#This Row],[Site Name]],SiteDB6[[Site Name]:[Pop
(Kachin/Shan-CCCM as of July 2021)]],17,FALSE)</f>
        <v>1757</v>
      </c>
    </row>
    <row r="15" spans="1:146" hidden="1">
      <c r="A15" s="752" t="s">
        <v>2785</v>
      </c>
      <c r="B15" s="752" t="s">
        <v>141</v>
      </c>
      <c r="C15" s="753" t="s">
        <v>141</v>
      </c>
      <c r="D15" s="753" t="s">
        <v>241</v>
      </c>
      <c r="E15" s="753" t="s">
        <v>37</v>
      </c>
      <c r="F15" s="753" t="s">
        <v>152</v>
      </c>
      <c r="G15" s="594" t="str">
        <f>VLOOKUP(WWWW[[#This Row],[Site Name]],SiteDB6[[Site Name]:[Location Type]],8,FALSE)</f>
        <v>Camp</v>
      </c>
      <c r="H15" s="753" t="s">
        <v>153</v>
      </c>
      <c r="I15" s="755">
        <v>13</v>
      </c>
      <c r="J15" s="755">
        <v>66</v>
      </c>
      <c r="K15" s="756">
        <v>44105</v>
      </c>
      <c r="L15" s="757">
        <v>44681</v>
      </c>
      <c r="M15" s="755"/>
      <c r="N15" s="755">
        <v>1</v>
      </c>
      <c r="O15" s="755"/>
      <c r="P15" s="755"/>
      <c r="Q15" s="758" t="s">
        <v>41</v>
      </c>
      <c r="R15" s="755"/>
      <c r="S15" s="755">
        <v>3</v>
      </c>
      <c r="T15" s="449"/>
      <c r="U15" s="755"/>
      <c r="V15" s="755"/>
      <c r="W15" s="755">
        <v>1</v>
      </c>
      <c r="X15" s="755"/>
      <c r="Y15" s="755"/>
      <c r="Z15" s="755"/>
      <c r="AA15" s="755"/>
      <c r="AB15" s="755"/>
      <c r="AC15" s="755"/>
      <c r="AD15" s="755"/>
      <c r="AE15" s="755"/>
      <c r="AF15" s="755"/>
      <c r="AG15" s="755"/>
      <c r="AH15" s="755">
        <v>2</v>
      </c>
      <c r="AI15" s="755"/>
      <c r="AJ15" s="755"/>
      <c r="AK15" s="755"/>
      <c r="AL15" s="755"/>
      <c r="AM15" s="755"/>
      <c r="AN15" s="755"/>
      <c r="AO15" s="755"/>
      <c r="AP15" s="759"/>
      <c r="AQ15" s="755">
        <v>6</v>
      </c>
      <c r="AR15" s="755"/>
      <c r="AS15" s="760"/>
      <c r="AT15" s="755"/>
      <c r="AU15" s="755"/>
      <c r="AV15" s="755"/>
      <c r="AW15" s="755"/>
      <c r="AX15" s="755">
        <v>6</v>
      </c>
      <c r="AY15" s="754" t="s">
        <v>41</v>
      </c>
      <c r="AZ15" s="759" t="s">
        <v>904</v>
      </c>
      <c r="BA15" s="755"/>
      <c r="BB15" s="755"/>
      <c r="BC15" s="755"/>
      <c r="BD15" s="449"/>
      <c r="BE15" s="449"/>
      <c r="BF15" s="754"/>
      <c r="BG15" s="755">
        <v>7</v>
      </c>
      <c r="BH15" s="755"/>
      <c r="BI15" s="755"/>
      <c r="BJ15" s="755">
        <v>4</v>
      </c>
      <c r="BK15" s="755"/>
      <c r="BL15" s="755"/>
      <c r="BM15" s="755">
        <v>1</v>
      </c>
      <c r="BN15" s="755">
        <v>124</v>
      </c>
      <c r="BO15" s="755">
        <v>198</v>
      </c>
      <c r="BP15" s="754"/>
      <c r="BQ15" s="761"/>
      <c r="BR15" s="760"/>
      <c r="BS15" s="754"/>
      <c r="BT15" s="424"/>
      <c r="BU15" s="424"/>
      <c r="BV15" s="426"/>
      <c r="BW15" s="424"/>
      <c r="BX15" s="449"/>
      <c r="BY15" s="449"/>
      <c r="BZ15" s="449"/>
      <c r="CA15" s="449"/>
      <c r="CB15" s="449"/>
      <c r="CC15" s="807"/>
      <c r="CD15" s="449"/>
      <c r="CE15" s="762" t="str">
        <f>IFERROR(WWWW[[#This Row],['#_Water sources passed]]/WWWW[[#This Row],['#_Water sources tested for fecal coliform ]],"no test")</f>
        <v>no test</v>
      </c>
      <c r="CF15" s="760" t="str">
        <f>IFERROR(WWWW[[#This Row],['#_Household passed]]/WWWW[[#This Row],['#_Household water samples tested for fecal coliform]],"no test")</f>
        <v>no test</v>
      </c>
      <c r="CG15" s="761" t="str">
        <f>IF(AND(WWWW[[#This Row],[% of water sources passed]]="no test",WWWW[[#This Row],[% Household passed]]="no test"),"No Test","Tested")</f>
        <v>No Test</v>
      </c>
      <c r="CH15" s="761">
        <f>WWWW[[#This Row],['#_Constructed/existing protected hand dug well]]-WWWW[[#This Row],['#_Non-functional protected hand dug well]]</f>
        <v>0</v>
      </c>
      <c r="CI15" s="761">
        <f>(WWWW[[#This Row],['#_Constructed/Existing tube wells/boreholes/handpumps_WASH_agency]]+WWWW[[#This Row],['#_Non-Cluster partner water tube-wells/boreholes/handpumps]])-WWWW[[#This Row],['#_Non-functional tube wells/boreholes/handpumps]]</f>
        <v>1</v>
      </c>
      <c r="CJ15" s="761">
        <f>WWWW[[#This Row],['#_Constructed/Existingwater storage tank with gravity fed reticulation system]]-WWWW[[#This Row],['#_Non-functional storage tank gravity fed reticulation system]]</f>
        <v>0</v>
      </c>
      <c r="CK15" s="761">
        <f>(WWWW[[#This Row],['#_Water_Liters_supplied_by_Water boating or water trucking]]/90)/15</f>
        <v>0</v>
      </c>
      <c r="CL15" s="761">
        <f>WWWW[[#This Row],['#_Water_Liters_from_Constructed/Existing water distribution system from river or natural spring]]/90/15</f>
        <v>0</v>
      </c>
      <c r="CM15" s="425">
        <f>IF(WWWW[[#This Row],['#_of water points in TLS/CFS]]*500&gt;WWWW[[#This Row],[Total PoP ]],WWWW[[#This Row],[Total PoP ]],WWWW[[#This Row],['#_of water points in TLS/CFS]]*500)</f>
        <v>0</v>
      </c>
      <c r="CN15" s="425">
        <f>IF(WWWW[[#This Row],['#_of water points in THF]]*500&gt;WWWW[[#This Row],[Total PoP ]],WWWW[[#This Row],[Total PoP ]],WWWW[[#This Row],['#_of water points in THF]]*500)</f>
        <v>0</v>
      </c>
      <c r="CO1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5" s="760">
        <f>IF(WWWW[[#This Row],[Location Type 1]]="Village",WWWW[[#This Row],[Access to safe drinking water for Village]],WWWW[[#This Row],[Access to safe drinking water for Camp]])</f>
        <v>1</v>
      </c>
      <c r="CR15" s="758">
        <f>WWWW[[#This Row],[%Equitable and continuous access to sufficient quantity of safe drinking water]]*WWWW[[#This Row],[Total PoP ]]</f>
        <v>66</v>
      </c>
      <c r="CS15" s="760">
        <f>IF((WWWW[[#This Row],['#_Constructed/Existing protected/fenced ponds]]*250)/WWWW[[#This Row],[Total PoP ]]&gt;1,1,(WWWW[[#This Row],['#_Constructed/Existing protected/fenced ponds]]*250)/WWWW[[#This Row],[Total PoP ]])</f>
        <v>0</v>
      </c>
      <c r="CT15" s="758">
        <f>WWWW[[#This Row],[% Access to unimproved water points]]*WWWW[[#This Row],[Total PoP ]]</f>
        <v>0</v>
      </c>
      <c r="CU1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15" s="758">
        <f>WWWW[[#This Row],[HRP1]]/500</f>
        <v>0.13200000000000001</v>
      </c>
      <c r="CX15" s="763">
        <f>1-WWWW[[#This Row],[% Equitable and continuous access to sufficient quantity of domestic water]]</f>
        <v>0</v>
      </c>
      <c r="CY15" s="758">
        <f>WWWW[[#This Row],[%equitable and continuous access to sufficient quantity of safe drinking and domestic water''s GAP]]*WWWW[[#This Row],[Total PoP ]]</f>
        <v>0</v>
      </c>
      <c r="CZ15" s="761">
        <f>IF(WWWW[[#This Row],[Total required water points]]-WWWW[[#This Row],['#Water points coverage]]&lt;0,0,WWWW[[#This Row],[Total required water points]]-WWWW[[#This Row],['#Water points coverage]])</f>
        <v>0.86799999999999999</v>
      </c>
      <c r="DA15" s="761">
        <f>ROUND(IF(WWWW[[#This Row],[Total PoP ]]&lt;500,1,WWWW[[#This Row],[Total PoP ]]/500),0)</f>
        <v>1</v>
      </c>
      <c r="DB15" s="761">
        <f>(WWWW[[#This Row],['#_Constructed latrines_by_WASHAgencies]]+WWWW[[#This Row],['#_Non Cluster partner latrines]])-WWWW[[#This Row],['#_Non-functional latrines]]</f>
        <v>6</v>
      </c>
      <c r="DC15" s="634">
        <f>WWWW[[#This Row],[HRP2]]/WWWW[[#This Row],[Total PoP ]]</f>
        <v>1</v>
      </c>
      <c r="DD1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1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 s="425">
        <f>IF(WWWW[[#This Row],['# of functional latrines in THF supported by WASH partners during the reporting period2]]="",0,WWWW[[#This Row],['# of functional latrines in THF supported by WASH partners during the reporting period2]]*50)</f>
        <v>0</v>
      </c>
      <c r="DH15" s="761">
        <f>ROUND(IF(WWWW[[#This Row],[Location Type 1]]="camp",WWWW[[#This Row],[Total PoP ]]/20,IF(WWWW[[#This Row],[Location Type 1]]="Temporary Location",WWWW[[#This Row],[Total PoP ]]/50,(WWWW[[#This Row],[Total PoP ]]/6))),0)</f>
        <v>3</v>
      </c>
      <c r="DI15" s="761">
        <f>IF(WWWW[[#This Row],[Total required Latrines]]-(WWWW[[#This Row],['#_Constructed latrines_by_WASHAgencies]]+WWWW[[#This Row],['#_Non Cluster partner latrines]])&lt;0,0,WWWW[[#This Row],[Total required Latrines]]-(WWWW[[#This Row],['#_Constructed latrines_by_WASHAgencies]]+WWWW[[#This Row],['#_Non Cluster partner latrines]]))</f>
        <v>0</v>
      </c>
      <c r="DJ15" s="763">
        <f>1-WWWW[[#This Row],[% people access to functioning Latrine]]</f>
        <v>0</v>
      </c>
      <c r="DK15" s="762">
        <f>IF(OR(WWWW[[#This Row],['#_Non-functional latrines]]="",WWWW[[#This Row],['#_Non-functional latrines]]=0),0,WWWW[[#This Row],['#_Non-functional latrines]]/(WWWW[[#This Row],['#_Constructed latrines_by_WASHAgencies]]+WWWW[[#This Row],['#_Non Cluster partner latrines]]))</f>
        <v>0</v>
      </c>
      <c r="DL15" s="758">
        <f>IF(500*(WWWW[[#This Row],['#_male hygiene promoters]]+WWWW[[#This Row],['#_female hygiene promoters]])&gt;WWWW[[#This Row],[Total PoP ]],WWWW[[#This Row],[Total PoP ]],500*(WWWW[[#This Row],['#_male hygiene promoters]]+WWWW[[#This Row],['#_female hygiene promoters]]))</f>
        <v>66</v>
      </c>
      <c r="DM1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1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v>
      </c>
      <c r="DO15" s="761">
        <f>IF(WWWW[[#This Row],['# People with access to soap]]&gt;WWWW[[#This Row],['# People with access to Sanity Pads]],WWWW[[#This Row],['# People with access to soap]],WWWW[[#This Row],['# People with access to Sanity Pads]])</f>
        <v>66</v>
      </c>
      <c r="DP15" s="761">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15" s="763">
        <f>IF(WWWW[[#This Row],[HRP3]]/WWWW[[#This Row],[Total PoP ]]&gt;1,1,WWWW[[#This Row],[HRP3]]/WWWW[[#This Row],[Total PoP ]])</f>
        <v>1</v>
      </c>
      <c r="DR15" s="762">
        <f>1-WWWW[[#This Row],[Hygiene Coverage%]]</f>
        <v>0</v>
      </c>
      <c r="DS15" s="760">
        <f>WWWW[[#This Row],['# people reached by regular dedicated hygiene promotion_5]]/WWWW[[#This Row],[Total PoP ]]</f>
        <v>1</v>
      </c>
      <c r="DT1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 s="761">
        <f>WWWW[[#This Row],['#_Constructed/Existing hand washing stations]]-WWWW[[#This Row],['#_Non-Functional_hand_washing_stations]]</f>
        <v>7</v>
      </c>
      <c r="DW15" s="758">
        <f>IF(WWWW[[#This Row],['# Functional hand washing stations during reporting period]]*20&gt;WWWW[[#This Row],[Total HH]],WWWW[[#This Row],[Total HH]],WWWW[[#This Row],['# Functional hand washing stations during reporting period]]*20)</f>
        <v>13</v>
      </c>
      <c r="DX15" s="758">
        <f>IF(WWWW[[#This Row],[Is sufficient soap available for TLS? (Yes/No)]]="yes",WWWW[[#This Row],['#_Constructed/Existing hand washing stations at TLS/CFS/THF]],0)</f>
        <v>0</v>
      </c>
      <c r="DY15" s="429">
        <f>IF(WWWW[[#This Row],['# Functional hand washing stations during reporting period]]*100&gt;WWWW[[#This Row],[Total PoP ]],WWWW[[#This Row],[Total PoP ]],WWWW[[#This Row],['# Functional hand washing stations during reporting period]]*100)</f>
        <v>66</v>
      </c>
      <c r="DZ15" s="429" t="str">
        <f>IF(OR(WWWW[[#This Row],['#_students at TLS_CFS]]="",WWWW[[#This Row],['#_students at TLS_CFS]]=0),"No","Yes")</f>
        <v>No</v>
      </c>
      <c r="EA1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 s="754" t="str">
        <f>VLOOKUP(WWWW[[#This Row],[Site Name]],SiteDB6[[Site Name]:[CCCM Management]],6,FALSE)</f>
        <v>Yes</v>
      </c>
      <c r="EF15" s="754" t="str">
        <f>VLOOKUP(WWWW[[#This Row],[Site Name]],SiteDB6[[Site Name]:[CCCM Focal Agency]],7,FALSE)</f>
        <v>KBC-MYT</v>
      </c>
      <c r="EG15" s="754" t="str">
        <f>VLOOKUP(WWWW[[#This Row],[Site Name]],SiteDB6[[Site Name]:[Location Type 1]],9,FALSE)</f>
        <v>Camp</v>
      </c>
      <c r="EH15" s="754" t="str">
        <f>VLOOKUP(WWWW[[#This Row],[Site Name]],SiteDB6[[Site Name]:[Type of Accommodation]],10,FALSE)</f>
        <v>Camp</v>
      </c>
      <c r="EI15" s="754" t="str">
        <f>VLOOKUP(WWWW[[#This Row],[Site Name]],SiteDB6[[Site Name]:[Ethnic or GCA/NGCA]],11,FALSE)</f>
        <v>GCA</v>
      </c>
      <c r="EJ15" s="754">
        <f>VLOOKUP(WWWW[[#This Row],[Site Name]],SiteDB6[[Site Name]:[Lat]],12,FALSE)</f>
        <v>25.305669999999999</v>
      </c>
      <c r="EK15" s="754">
        <f>VLOOKUP(WWWW[[#This Row],[Site Name]],SiteDB6[[Site Name]:[Long]],13,FALSE)</f>
        <v>96.922619999999995</v>
      </c>
      <c r="EL15" s="754" t="str">
        <f>VLOOKUP(WWWW[[#This Row],[Site Name]],SiteDB6[[Site Name]:[Pcode]],3,FALSE)</f>
        <v>MMR001CMP078</v>
      </c>
      <c r="EM15" s="759" t="str">
        <f t="shared" si="0"/>
        <v>Covered</v>
      </c>
      <c r="EN15" s="759"/>
      <c r="EO15" s="754">
        <f>VLOOKUP(WWWW[[#This Row],[Site Name]],SiteDB6[[Site Name]:[Pop
(Kachin/Shan-CCCM as of July 2021)]],16,FALSE)</f>
        <v>13</v>
      </c>
      <c r="EP15" s="754">
        <f>VLOOKUP(WWWW[[#This Row],[Site Name]],SiteDB6[[Site Name]:[Pop
(Kachin/Shan-CCCM as of July 2021)]],17,FALSE)</f>
        <v>76</v>
      </c>
    </row>
    <row r="16" spans="1:146" hidden="1">
      <c r="A16" s="752" t="s">
        <v>2785</v>
      </c>
      <c r="B16" s="752" t="s">
        <v>141</v>
      </c>
      <c r="C16" s="753" t="s">
        <v>141</v>
      </c>
      <c r="D16" s="753" t="s">
        <v>241</v>
      </c>
      <c r="E16" s="753" t="s">
        <v>37</v>
      </c>
      <c r="F16" s="753" t="s">
        <v>152</v>
      </c>
      <c r="G16" s="594" t="str">
        <f>VLOOKUP(WWWW[[#This Row],[Site Name]],SiteDB6[[Site Name]:[Location Type]],8,FALSE)</f>
        <v>Camp</v>
      </c>
      <c r="H16" s="753" t="s">
        <v>1614</v>
      </c>
      <c r="I16" s="755">
        <v>16</v>
      </c>
      <c r="J16" s="755">
        <v>78</v>
      </c>
      <c r="K16" s="756">
        <v>44105</v>
      </c>
      <c r="L16" s="757">
        <v>44681</v>
      </c>
      <c r="M16" s="755"/>
      <c r="N16" s="755">
        <v>1</v>
      </c>
      <c r="O16" s="755"/>
      <c r="P16" s="755"/>
      <c r="Q16" s="758" t="s">
        <v>41</v>
      </c>
      <c r="R16" s="755"/>
      <c r="S16" s="755">
        <v>3</v>
      </c>
      <c r="T16" s="449"/>
      <c r="U16" s="755"/>
      <c r="V16" s="755"/>
      <c r="W16" s="755">
        <v>1</v>
      </c>
      <c r="X16" s="755"/>
      <c r="Y16" s="755"/>
      <c r="Z16" s="755"/>
      <c r="AA16" s="755"/>
      <c r="AB16" s="755"/>
      <c r="AC16" s="755"/>
      <c r="AD16" s="755"/>
      <c r="AE16" s="755"/>
      <c r="AF16" s="755"/>
      <c r="AG16" s="755"/>
      <c r="AH16" s="755">
        <v>2</v>
      </c>
      <c r="AI16" s="755"/>
      <c r="AJ16" s="755"/>
      <c r="AK16" s="755"/>
      <c r="AL16" s="755"/>
      <c r="AM16" s="755"/>
      <c r="AN16" s="755"/>
      <c r="AO16" s="755"/>
      <c r="AP16" s="759"/>
      <c r="AQ16" s="755">
        <v>2</v>
      </c>
      <c r="AR16" s="755"/>
      <c r="AS16" s="760"/>
      <c r="AT16" s="755"/>
      <c r="AU16" s="755"/>
      <c r="AV16" s="755"/>
      <c r="AW16" s="755"/>
      <c r="AX16" s="755">
        <v>2</v>
      </c>
      <c r="AY16" s="754" t="s">
        <v>41</v>
      </c>
      <c r="AZ16" s="759" t="s">
        <v>137</v>
      </c>
      <c r="BA16" s="755"/>
      <c r="BB16" s="755"/>
      <c r="BC16" s="755"/>
      <c r="BD16" s="449"/>
      <c r="BE16" s="449"/>
      <c r="BF16" s="754"/>
      <c r="BG16" s="755">
        <v>1</v>
      </c>
      <c r="BH16" s="755"/>
      <c r="BI16" s="755"/>
      <c r="BJ16" s="755">
        <v>1</v>
      </c>
      <c r="BK16" s="755"/>
      <c r="BL16" s="755"/>
      <c r="BM16" s="755">
        <v>1</v>
      </c>
      <c r="BN16" s="755">
        <v>6</v>
      </c>
      <c r="BO16" s="755">
        <v>5</v>
      </c>
      <c r="BP16" s="754"/>
      <c r="BQ16" s="761"/>
      <c r="BR16" s="760"/>
      <c r="BS16" s="754"/>
      <c r="BT16" s="424"/>
      <c r="BU16" s="424"/>
      <c r="BV16" s="426"/>
      <c r="BW16" s="424"/>
      <c r="BX16" s="449"/>
      <c r="BY16" s="449"/>
      <c r="BZ16" s="449"/>
      <c r="CA16" s="449"/>
      <c r="CB16" s="449"/>
      <c r="CC16" s="807"/>
      <c r="CD16" s="449"/>
      <c r="CE16" s="762" t="str">
        <f>IFERROR(WWWW[[#This Row],['#_Water sources passed]]/WWWW[[#This Row],['#_Water sources tested for fecal coliform ]],"no test")</f>
        <v>no test</v>
      </c>
      <c r="CF16" s="760" t="str">
        <f>IFERROR(WWWW[[#This Row],['#_Household passed]]/WWWW[[#This Row],['#_Household water samples tested for fecal coliform]],"no test")</f>
        <v>no test</v>
      </c>
      <c r="CG16" s="761" t="str">
        <f>IF(AND(WWWW[[#This Row],[% of water sources passed]]="no test",WWWW[[#This Row],[% Household passed]]="no test"),"No Test","Tested")</f>
        <v>No Test</v>
      </c>
      <c r="CH16" s="761">
        <f>WWWW[[#This Row],['#_Constructed/existing protected hand dug well]]-WWWW[[#This Row],['#_Non-functional protected hand dug well]]</f>
        <v>0</v>
      </c>
      <c r="CI16" s="761">
        <f>(WWWW[[#This Row],['#_Constructed/Existing tube wells/boreholes/handpumps_WASH_agency]]+WWWW[[#This Row],['#_Non-Cluster partner water tube-wells/boreholes/handpumps]])-WWWW[[#This Row],['#_Non-functional tube wells/boreholes/handpumps]]</f>
        <v>1</v>
      </c>
      <c r="CJ16" s="761">
        <f>WWWW[[#This Row],['#_Constructed/Existingwater storage tank with gravity fed reticulation system]]-WWWW[[#This Row],['#_Non-functional storage tank gravity fed reticulation system]]</f>
        <v>0</v>
      </c>
      <c r="CK16" s="761">
        <f>(WWWW[[#This Row],['#_Water_Liters_supplied_by_Water boating or water trucking]]/90)/15</f>
        <v>0</v>
      </c>
      <c r="CL16" s="761">
        <f>WWWW[[#This Row],['#_Water_Liters_from_Constructed/Existing water distribution system from river or natural spring]]/90/15</f>
        <v>0</v>
      </c>
      <c r="CM16" s="425">
        <f>IF(WWWW[[#This Row],['#_of water points in TLS/CFS]]*500&gt;WWWW[[#This Row],[Total PoP ]],WWWW[[#This Row],[Total PoP ]],WWWW[[#This Row],['#_of water points in TLS/CFS]]*500)</f>
        <v>0</v>
      </c>
      <c r="CN16" s="425">
        <f>IF(WWWW[[#This Row],['#_of water points in THF]]*500&gt;WWWW[[#This Row],[Total PoP ]],WWWW[[#This Row],[Total PoP ]],WWWW[[#This Row],['#_of water points in THF]]*500)</f>
        <v>0</v>
      </c>
      <c r="CO1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 s="760">
        <f>IF(WWWW[[#This Row],[Location Type 1]]="Village",WWWW[[#This Row],[Access to safe drinking water for Village]],WWWW[[#This Row],[Access to safe drinking water for Camp]])</f>
        <v>1</v>
      </c>
      <c r="CR16" s="758">
        <f>WWWW[[#This Row],[%Equitable and continuous access to sufficient quantity of safe drinking water]]*WWWW[[#This Row],[Total PoP ]]</f>
        <v>78</v>
      </c>
      <c r="CS16" s="760">
        <f>IF((WWWW[[#This Row],['#_Constructed/Existing protected/fenced ponds]]*250)/WWWW[[#This Row],[Total PoP ]]&gt;1,1,(WWWW[[#This Row],['#_Constructed/Existing protected/fenced ponds]]*250)/WWWW[[#This Row],[Total PoP ]])</f>
        <v>0</v>
      </c>
      <c r="CT16" s="758">
        <f>WWWW[[#This Row],[% Access to unimproved water points]]*WWWW[[#This Row],[Total PoP ]]</f>
        <v>0</v>
      </c>
      <c r="CU1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W16" s="758">
        <f>WWWW[[#This Row],[HRP1]]/500</f>
        <v>0.156</v>
      </c>
      <c r="CX16" s="763">
        <f>1-WWWW[[#This Row],[% Equitable and continuous access to sufficient quantity of domestic water]]</f>
        <v>0</v>
      </c>
      <c r="CY16" s="758">
        <f>WWWW[[#This Row],[%equitable and continuous access to sufficient quantity of safe drinking and domestic water''s GAP]]*WWWW[[#This Row],[Total PoP ]]</f>
        <v>0</v>
      </c>
      <c r="CZ16" s="761">
        <f>IF(WWWW[[#This Row],[Total required water points]]-WWWW[[#This Row],['#Water points coverage]]&lt;0,0,WWWW[[#This Row],[Total required water points]]-WWWW[[#This Row],['#Water points coverage]])</f>
        <v>0.84399999999999997</v>
      </c>
      <c r="DA16" s="761">
        <f>ROUND(IF(WWWW[[#This Row],[Total PoP ]]&lt;500,1,WWWW[[#This Row],[Total PoP ]]/500),0)</f>
        <v>1</v>
      </c>
      <c r="DB16" s="761">
        <f>(WWWW[[#This Row],['#_Constructed latrines_by_WASHAgencies]]+WWWW[[#This Row],['#_Non Cluster partner latrines]])-WWWW[[#This Row],['#_Non-functional latrines]]</f>
        <v>2</v>
      </c>
      <c r="DC16" s="634">
        <f>WWWW[[#This Row],[HRP2]]/WWWW[[#This Row],[Total PoP ]]</f>
        <v>0.51282051282051277</v>
      </c>
      <c r="DD1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 s="425">
        <f>IF(WWWW[[#This Row],['# of functional latrines in THF supported by WASH partners during the reporting period2]]="",0,WWWW[[#This Row],['# of functional latrines in THF supported by WASH partners during the reporting period2]]*50)</f>
        <v>0</v>
      </c>
      <c r="DH16" s="761">
        <f>ROUND(IF(WWWW[[#This Row],[Location Type 1]]="camp",WWWW[[#This Row],[Total PoP ]]/20,IF(WWWW[[#This Row],[Location Type 1]]="Temporary Location",WWWW[[#This Row],[Total PoP ]]/50,(WWWW[[#This Row],[Total PoP ]]/6))),0)</f>
        <v>4</v>
      </c>
      <c r="DI16" s="761">
        <f>IF(WWWW[[#This Row],[Total required Latrines]]-(WWWW[[#This Row],['#_Constructed latrines_by_WASHAgencies]]+WWWW[[#This Row],['#_Non Cluster partner latrines]])&lt;0,0,WWWW[[#This Row],[Total required Latrines]]-(WWWW[[#This Row],['#_Constructed latrines_by_WASHAgencies]]+WWWW[[#This Row],['#_Non Cluster partner latrines]]))</f>
        <v>2</v>
      </c>
      <c r="DJ16" s="763">
        <f>1-WWWW[[#This Row],[% people access to functioning Latrine]]</f>
        <v>0.48717948717948723</v>
      </c>
      <c r="DK16" s="762">
        <f>IF(OR(WWWW[[#This Row],['#_Non-functional latrines]]="",WWWW[[#This Row],['#_Non-functional latrines]]=0),0,WWWW[[#This Row],['#_Non-functional latrines]]/(WWWW[[#This Row],['#_Constructed latrines_by_WASHAgencies]]+WWWW[[#This Row],['#_Non Cluster partner latrines]]))</f>
        <v>0</v>
      </c>
      <c r="DL16" s="758">
        <f>IF(500*(WWWW[[#This Row],['#_male hygiene promoters]]+WWWW[[#This Row],['#_female hygiene promoters]])&gt;WWWW[[#This Row],[Total PoP ]],WWWW[[#This Row],[Total PoP ]],500*(WWWW[[#This Row],['#_male hygiene promoters]]+WWWW[[#This Row],['#_female hygiene promoters]]))</f>
        <v>78</v>
      </c>
      <c r="DM1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6" s="761">
        <f>IF(WWWW[[#This Row],['# People with access to soap]]&gt;WWWW[[#This Row],['# People with access to Sanity Pads]],WWWW[[#This Row],['# People with access to soap]],WWWW[[#This Row],['# People with access to Sanity Pads]])</f>
        <v>30</v>
      </c>
      <c r="DP16" s="761">
        <f>IF(WWWW[[#This Row],['# people reached by regular dedicated hygiene promotion_5]]&gt;WWWW[[#This Row],['# People received regular supply of hygiene items_6]],WWWW[[#This Row],['# people reached by regular dedicated hygiene promotion_5]],WWWW[[#This Row],['# People received regular supply of hygiene items_6]])</f>
        <v>78</v>
      </c>
      <c r="DQ16" s="763">
        <f>IF(WWWW[[#This Row],[HRP3]]/WWWW[[#This Row],[Total PoP ]]&gt;1,1,WWWW[[#This Row],[HRP3]]/WWWW[[#This Row],[Total PoP ]])</f>
        <v>1</v>
      </c>
      <c r="DR16" s="762">
        <f>1-WWWW[[#This Row],[Hygiene Coverage%]]</f>
        <v>0</v>
      </c>
      <c r="DS16" s="760">
        <f>WWWW[[#This Row],['# people reached by regular dedicated hygiene promotion_5]]/WWWW[[#This Row],[Total PoP ]]</f>
        <v>1</v>
      </c>
      <c r="DT1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0.3125</v>
      </c>
      <c r="DV16" s="761">
        <f>WWWW[[#This Row],['#_Constructed/Existing hand washing stations]]-WWWW[[#This Row],['#_Non-Functional_hand_washing_stations]]</f>
        <v>1</v>
      </c>
      <c r="DW16" s="758">
        <f>IF(WWWW[[#This Row],['# Functional hand washing stations during reporting period]]*20&gt;WWWW[[#This Row],[Total HH]],WWWW[[#This Row],[Total HH]],WWWW[[#This Row],['# Functional hand washing stations during reporting period]]*20)</f>
        <v>16</v>
      </c>
      <c r="DX16" s="758">
        <f>IF(WWWW[[#This Row],[Is sufficient soap available for TLS? (Yes/No)]]="yes",WWWW[[#This Row],['#_Constructed/Existing hand washing stations at TLS/CFS/THF]],0)</f>
        <v>0</v>
      </c>
      <c r="DY16" s="429">
        <f>IF(WWWW[[#This Row],['# Functional hand washing stations during reporting period]]*100&gt;WWWW[[#This Row],[Total PoP ]],WWWW[[#This Row],[Total PoP ]],WWWW[[#This Row],['# Functional hand washing stations during reporting period]]*100)</f>
        <v>78</v>
      </c>
      <c r="DZ16" s="429" t="str">
        <f>IF(OR(WWWW[[#This Row],['#_students at TLS_CFS]]="",WWWW[[#This Row],['#_students at TLS_CFS]]=0),"No","Yes")</f>
        <v>No</v>
      </c>
      <c r="EA1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 s="754" t="str">
        <f>VLOOKUP(WWWW[[#This Row],[Site Name]],SiteDB6[[Site Name]:[CCCM Management]],6,FALSE)</f>
        <v>Yes</v>
      </c>
      <c r="EF16" s="754" t="str">
        <f>VLOOKUP(WWWW[[#This Row],[Site Name]],SiteDB6[[Site Name]:[CCCM Focal Agency]],7,FALSE)</f>
        <v>KBC-MYT</v>
      </c>
      <c r="EG16" s="754" t="str">
        <f>VLOOKUP(WWWW[[#This Row],[Site Name]],SiteDB6[[Site Name]:[Location Type 1]],9,FALSE)</f>
        <v>Camp</v>
      </c>
      <c r="EH16" s="754" t="str">
        <f>VLOOKUP(WWWW[[#This Row],[Site Name]],SiteDB6[[Site Name]:[Type of Accommodation]],10,FALSE)</f>
        <v>Camp</v>
      </c>
      <c r="EI16" s="754" t="str">
        <f>VLOOKUP(WWWW[[#This Row],[Site Name]],SiteDB6[[Site Name]:[Ethnic or GCA/NGCA]],11,FALSE)</f>
        <v>GCA</v>
      </c>
      <c r="EJ16" s="754">
        <f>VLOOKUP(WWWW[[#This Row],[Site Name]],SiteDB6[[Site Name]:[Lat]],12,FALSE)</f>
        <v>25.296579999999999</v>
      </c>
      <c r="EK16" s="754">
        <f>VLOOKUP(WWWW[[#This Row],[Site Name]],SiteDB6[[Site Name]:[Long]],13,FALSE)</f>
        <v>96.942279999999997</v>
      </c>
      <c r="EL16" s="754" t="str">
        <f>VLOOKUP(WWWW[[#This Row],[Site Name]],SiteDB6[[Site Name]:[Pcode]],3,FALSE)</f>
        <v>MMR001CMP077</v>
      </c>
      <c r="EM16" s="759" t="str">
        <f t="shared" si="0"/>
        <v>Covered</v>
      </c>
      <c r="EN16" s="759"/>
      <c r="EO16" s="754">
        <f>VLOOKUP(WWWW[[#This Row],[Site Name]],SiteDB6[[Site Name]:[Pop
(Kachin/Shan-CCCM as of July 2021)]],16,FALSE)</f>
        <v>16</v>
      </c>
      <c r="EP16" s="754">
        <f>VLOOKUP(WWWW[[#This Row],[Site Name]],SiteDB6[[Site Name]:[Pop
(Kachin/Shan-CCCM as of July 2021)]],17,FALSE)</f>
        <v>75</v>
      </c>
    </row>
    <row r="17" spans="1:146" hidden="1">
      <c r="A17" s="752" t="s">
        <v>2785</v>
      </c>
      <c r="B17" s="752" t="s">
        <v>141</v>
      </c>
      <c r="C17" s="753" t="s">
        <v>141</v>
      </c>
      <c r="D17" s="753" t="s">
        <v>241</v>
      </c>
      <c r="E17" s="753" t="s">
        <v>37</v>
      </c>
      <c r="F17" s="753" t="s">
        <v>152</v>
      </c>
      <c r="G17" s="594" t="str">
        <f>VLOOKUP(WWWW[[#This Row],[Site Name]],SiteDB6[[Site Name]:[Location Type]],8,FALSE)</f>
        <v>Camp_not registered</v>
      </c>
      <c r="H17" s="753" t="s">
        <v>2646</v>
      </c>
      <c r="I17" s="755">
        <v>6</v>
      </c>
      <c r="J17" s="755">
        <v>36</v>
      </c>
      <c r="K17" s="756">
        <v>44105</v>
      </c>
      <c r="L17" s="757">
        <v>44681</v>
      </c>
      <c r="M17" s="755"/>
      <c r="N17" s="755">
        <v>1</v>
      </c>
      <c r="O17" s="755"/>
      <c r="P17" s="755"/>
      <c r="Q17" s="758" t="s">
        <v>41</v>
      </c>
      <c r="R17" s="755"/>
      <c r="S17" s="755">
        <v>1</v>
      </c>
      <c r="T17" s="449"/>
      <c r="U17" s="755"/>
      <c r="V17" s="755"/>
      <c r="W17" s="755">
        <v>1</v>
      </c>
      <c r="X17" s="755"/>
      <c r="Y17" s="755"/>
      <c r="Z17" s="755"/>
      <c r="AA17" s="755"/>
      <c r="AB17" s="755"/>
      <c r="AC17" s="755"/>
      <c r="AD17" s="755"/>
      <c r="AE17" s="755"/>
      <c r="AF17" s="755"/>
      <c r="AG17" s="755"/>
      <c r="AH17" s="755">
        <v>3</v>
      </c>
      <c r="AI17" s="755"/>
      <c r="AJ17" s="755"/>
      <c r="AK17" s="755"/>
      <c r="AL17" s="755"/>
      <c r="AM17" s="755"/>
      <c r="AN17" s="755"/>
      <c r="AO17" s="755"/>
      <c r="AP17" s="759"/>
      <c r="AQ17" s="755">
        <v>2</v>
      </c>
      <c r="AR17" s="755"/>
      <c r="AS17" s="760"/>
      <c r="AT17" s="755"/>
      <c r="AU17" s="449">
        <v>2</v>
      </c>
      <c r="AV17" s="755"/>
      <c r="AW17" s="755"/>
      <c r="AX17" s="755">
        <v>2</v>
      </c>
      <c r="AY17" s="754" t="s">
        <v>41</v>
      </c>
      <c r="AZ17" s="759" t="s">
        <v>137</v>
      </c>
      <c r="BA17" s="755"/>
      <c r="BB17" s="755"/>
      <c r="BC17" s="755"/>
      <c r="BD17" s="449"/>
      <c r="BE17" s="449"/>
      <c r="BF17" s="754"/>
      <c r="BG17" s="755">
        <v>8</v>
      </c>
      <c r="BH17" s="755"/>
      <c r="BI17" s="755"/>
      <c r="BJ17" s="755">
        <v>3</v>
      </c>
      <c r="BK17" s="755"/>
      <c r="BL17" s="755"/>
      <c r="BM17" s="755">
        <v>1</v>
      </c>
      <c r="BN17" s="755">
        <v>91</v>
      </c>
      <c r="BO17" s="755">
        <v>124</v>
      </c>
      <c r="BP17" s="754"/>
      <c r="BQ17" s="761"/>
      <c r="BR17" s="760"/>
      <c r="BS17" s="754"/>
      <c r="BT17" s="424"/>
      <c r="BU17" s="424"/>
      <c r="BV17" s="426"/>
      <c r="BW17" s="424"/>
      <c r="BX17" s="449"/>
      <c r="BY17" s="449"/>
      <c r="BZ17" s="449"/>
      <c r="CA17" s="449"/>
      <c r="CB17" s="449"/>
      <c r="CC17" s="807"/>
      <c r="CD17" s="449"/>
      <c r="CE17" s="762" t="str">
        <f>IFERROR(WWWW[[#This Row],['#_Water sources passed]]/WWWW[[#This Row],['#_Water sources tested for fecal coliform ]],"no test")</f>
        <v>no test</v>
      </c>
      <c r="CF17" s="760" t="str">
        <f>IFERROR(WWWW[[#This Row],['#_Household passed]]/WWWW[[#This Row],['#_Household water samples tested for fecal coliform]],"no test")</f>
        <v>no test</v>
      </c>
      <c r="CG17" s="761" t="str">
        <f>IF(AND(WWWW[[#This Row],[% of water sources passed]]="no test",WWWW[[#This Row],[% Household passed]]="no test"),"No Test","Tested")</f>
        <v>No Test</v>
      </c>
      <c r="CH17" s="761">
        <f>WWWW[[#This Row],['#_Constructed/existing protected hand dug well]]-WWWW[[#This Row],['#_Non-functional protected hand dug well]]</f>
        <v>0</v>
      </c>
      <c r="CI17" s="761">
        <f>(WWWW[[#This Row],['#_Constructed/Existing tube wells/boreholes/handpumps_WASH_agency]]+WWWW[[#This Row],['#_Non-Cluster partner water tube-wells/boreholes/handpumps]])-WWWW[[#This Row],['#_Non-functional tube wells/boreholes/handpumps]]</f>
        <v>1</v>
      </c>
      <c r="CJ17" s="761">
        <f>WWWW[[#This Row],['#_Constructed/Existingwater storage tank with gravity fed reticulation system]]-WWWW[[#This Row],['#_Non-functional storage tank gravity fed reticulation system]]</f>
        <v>0</v>
      </c>
      <c r="CK17" s="761">
        <f>(WWWW[[#This Row],['#_Water_Liters_supplied_by_Water boating or water trucking]]/90)/15</f>
        <v>0</v>
      </c>
      <c r="CL17" s="761">
        <f>WWWW[[#This Row],['#_Water_Liters_from_Constructed/Existing water distribution system from river or natural spring]]/90/15</f>
        <v>0</v>
      </c>
      <c r="CM17" s="425">
        <f>IF(WWWW[[#This Row],['#_of water points in TLS/CFS]]*500&gt;WWWW[[#This Row],[Total PoP ]],WWWW[[#This Row],[Total PoP ]],WWWW[[#This Row],['#_of water points in TLS/CFS]]*500)</f>
        <v>0</v>
      </c>
      <c r="CN17" s="425">
        <f>IF(WWWW[[#This Row],['#_of water points in THF]]*500&gt;WWWW[[#This Row],[Total PoP ]],WWWW[[#This Row],[Total PoP ]],WWWW[[#This Row],['#_of water points in THF]]*500)</f>
        <v>0</v>
      </c>
      <c r="CO1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 s="760">
        <f>IF(WWWW[[#This Row],[Location Type 1]]="Village",WWWW[[#This Row],[Access to safe drinking water for Village]],WWWW[[#This Row],[Access to safe drinking water for Camp]])</f>
        <v>1</v>
      </c>
      <c r="CR17" s="758">
        <f>WWWW[[#This Row],[%Equitable and continuous access to sufficient quantity of safe drinking water]]*WWWW[[#This Row],[Total PoP ]]</f>
        <v>36</v>
      </c>
      <c r="CS17" s="760">
        <f>IF((WWWW[[#This Row],['#_Constructed/Existing protected/fenced ponds]]*250)/WWWW[[#This Row],[Total PoP ]]&gt;1,1,(WWWW[[#This Row],['#_Constructed/Existing protected/fenced ponds]]*250)/WWWW[[#This Row],[Total PoP ]])</f>
        <v>0</v>
      </c>
      <c r="CT17" s="758">
        <f>WWWW[[#This Row],[% Access to unimproved water points]]*WWWW[[#This Row],[Total PoP ]]</f>
        <v>0</v>
      </c>
      <c r="CU1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v>
      </c>
      <c r="CW17" s="758">
        <f>WWWW[[#This Row],[HRP1]]/500</f>
        <v>7.1999999999999995E-2</v>
      </c>
      <c r="CX17" s="763">
        <f>1-WWWW[[#This Row],[% Equitable and continuous access to sufficient quantity of domestic water]]</f>
        <v>0</v>
      </c>
      <c r="CY17" s="758">
        <f>WWWW[[#This Row],[%equitable and continuous access to sufficient quantity of safe drinking and domestic water''s GAP]]*WWWW[[#This Row],[Total PoP ]]</f>
        <v>0</v>
      </c>
      <c r="CZ17" s="761">
        <f>IF(WWWW[[#This Row],[Total required water points]]-WWWW[[#This Row],['#Water points coverage]]&lt;0,0,WWWW[[#This Row],[Total required water points]]-WWWW[[#This Row],['#Water points coverage]])</f>
        <v>0.92800000000000005</v>
      </c>
      <c r="DA17" s="761">
        <f>ROUND(IF(WWWW[[#This Row],[Total PoP ]]&lt;500,1,WWWW[[#This Row],[Total PoP ]]/500),0)</f>
        <v>1</v>
      </c>
      <c r="DB17" s="761">
        <f>(WWWW[[#This Row],['#_Constructed latrines_by_WASHAgencies]]+WWWW[[#This Row],['#_Non Cluster partner latrines]])-WWWW[[#This Row],['#_Non-functional latrines]]</f>
        <v>2</v>
      </c>
      <c r="DC17" s="634">
        <f>WWWW[[#This Row],[HRP2]]/WWWW[[#This Row],[Total PoP ]]</f>
        <v>1</v>
      </c>
      <c r="DD1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v>
      </c>
      <c r="DE1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 s="425">
        <f>IF(WWWW[[#This Row],['# of functional latrines in THF supported by WASH partners during the reporting period2]]="",0,WWWW[[#This Row],['# of functional latrines in THF supported by WASH partners during the reporting period2]]*50)</f>
        <v>0</v>
      </c>
      <c r="DH17" s="761">
        <f>ROUND(IF(WWWW[[#This Row],[Location Type 1]]="camp",WWWW[[#This Row],[Total PoP ]]/20,IF(WWWW[[#This Row],[Location Type 1]]="Temporary Location",WWWW[[#This Row],[Total PoP ]]/50,(WWWW[[#This Row],[Total PoP ]]/6))),0)</f>
        <v>2</v>
      </c>
      <c r="DI17" s="761">
        <f>IF(WWWW[[#This Row],[Total required Latrines]]-(WWWW[[#This Row],['#_Constructed latrines_by_WASHAgencies]]+WWWW[[#This Row],['#_Non Cluster partner latrines]])&lt;0,0,WWWW[[#This Row],[Total required Latrines]]-(WWWW[[#This Row],['#_Constructed latrines_by_WASHAgencies]]+WWWW[[#This Row],['#_Non Cluster partner latrines]]))</f>
        <v>0</v>
      </c>
      <c r="DJ17" s="763">
        <f>1-WWWW[[#This Row],[% people access to functioning Latrine]]</f>
        <v>0</v>
      </c>
      <c r="DK17" s="762">
        <f>IF(OR(WWWW[[#This Row],['#_Non-functional latrines]]="",WWWW[[#This Row],['#_Non-functional latrines]]=0),0,WWWW[[#This Row],['#_Non-functional latrines]]/(WWWW[[#This Row],['#_Constructed latrines_by_WASHAgencies]]+WWWW[[#This Row],['#_Non Cluster partner latrines]]))</f>
        <v>0</v>
      </c>
      <c r="DL17" s="758">
        <f>IF(500*(WWWW[[#This Row],['#_male hygiene promoters]]+WWWW[[#This Row],['#_female hygiene promoters]])&gt;WWWW[[#This Row],[Total PoP ]],WWWW[[#This Row],[Total PoP ]],500*(WWWW[[#This Row],['#_male hygiene promoters]]+WWWW[[#This Row],['#_female hygiene promoters]]))</f>
        <v>36</v>
      </c>
      <c r="DM1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36</v>
      </c>
      <c r="DN1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36</v>
      </c>
      <c r="DO17" s="761">
        <f>IF(WWWW[[#This Row],['# People with access to soap]]&gt;WWWW[[#This Row],['# People with access to Sanity Pads]],WWWW[[#This Row],['# People with access to soap]],WWWW[[#This Row],['# People with access to Sanity Pads]])</f>
        <v>36</v>
      </c>
      <c r="DP17" s="761">
        <f>IF(WWWW[[#This Row],['# people reached by regular dedicated hygiene promotion_5]]&gt;WWWW[[#This Row],['# People received regular supply of hygiene items_6]],WWWW[[#This Row],['# people reached by regular dedicated hygiene promotion_5]],WWWW[[#This Row],['# People received regular supply of hygiene items_6]])</f>
        <v>36</v>
      </c>
      <c r="DQ17" s="763">
        <f>IF(WWWW[[#This Row],[HRP3]]/WWWW[[#This Row],[Total PoP ]]&gt;1,1,WWWW[[#This Row],[HRP3]]/WWWW[[#This Row],[Total PoP ]])</f>
        <v>1</v>
      </c>
      <c r="DR17" s="762">
        <f>1-WWWW[[#This Row],[Hygiene Coverage%]]</f>
        <v>0</v>
      </c>
      <c r="DS17" s="760">
        <f>WWWW[[#This Row],['# people reached by regular dedicated hygiene promotion_5]]/WWWW[[#This Row],[Total PoP ]]</f>
        <v>1</v>
      </c>
      <c r="DT1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 s="761">
        <f>WWWW[[#This Row],['#_Constructed/Existing hand washing stations]]-WWWW[[#This Row],['#_Non-Functional_hand_washing_stations]]</f>
        <v>8</v>
      </c>
      <c r="DW17" s="758">
        <f>IF(WWWW[[#This Row],['# Functional hand washing stations during reporting period]]*20&gt;WWWW[[#This Row],[Total HH]],WWWW[[#This Row],[Total HH]],WWWW[[#This Row],['# Functional hand washing stations during reporting period]]*20)</f>
        <v>6</v>
      </c>
      <c r="DX17" s="758">
        <f>IF(WWWW[[#This Row],[Is sufficient soap available for TLS? (Yes/No)]]="yes",WWWW[[#This Row],['#_Constructed/Existing hand washing stations at TLS/CFS/THF]],0)</f>
        <v>0</v>
      </c>
      <c r="DY17" s="429">
        <f>IF(WWWW[[#This Row],['# Functional hand washing stations during reporting period]]*100&gt;WWWW[[#This Row],[Total PoP ]],WWWW[[#This Row],[Total PoP ]],WWWW[[#This Row],['# Functional hand washing stations during reporting period]]*100)</f>
        <v>36</v>
      </c>
      <c r="DZ17" s="429" t="str">
        <f>IF(OR(WWWW[[#This Row],['#_students at TLS_CFS]]="",WWWW[[#This Row],['#_students at TLS_CFS]]=0),"No","Yes")</f>
        <v>No</v>
      </c>
      <c r="EA1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 s="754">
        <f>VLOOKUP(WWWW[[#This Row],[Site Name]],SiteDB6[[Site Name]:[CCCM Management]],6,FALSE)</f>
        <v>0</v>
      </c>
      <c r="EF17" s="754">
        <f>VLOOKUP(WWWW[[#This Row],[Site Name]],SiteDB6[[Site Name]:[CCCM Focal Agency]],7,FALSE)</f>
        <v>0</v>
      </c>
      <c r="EG17" s="754" t="str">
        <f>VLOOKUP(WWWW[[#This Row],[Site Name]],SiteDB6[[Site Name]:[Location Type 1]],9,FALSE)</f>
        <v>Camp</v>
      </c>
      <c r="EH17" s="754" t="str">
        <f>VLOOKUP(WWWW[[#This Row],[Site Name]],SiteDB6[[Site Name]:[Type of Accommodation]],10,FALSE)</f>
        <v>Camp like setting</v>
      </c>
      <c r="EI17" s="754" t="str">
        <f>VLOOKUP(WWWW[[#This Row],[Site Name]],SiteDB6[[Site Name]:[Ethnic or GCA/NGCA]],11,FALSE)</f>
        <v>GCA</v>
      </c>
      <c r="EJ17" s="754">
        <f>VLOOKUP(WWWW[[#This Row],[Site Name]],SiteDB6[[Site Name]:[Lat]],12,FALSE)</f>
        <v>0</v>
      </c>
      <c r="EK17" s="754">
        <f>VLOOKUP(WWWW[[#This Row],[Site Name]],SiteDB6[[Site Name]:[Long]],13,FALSE)</f>
        <v>0</v>
      </c>
      <c r="EL17" s="754">
        <f>VLOOKUP(WWWW[[#This Row],[Site Name]],SiteDB6[[Site Name]:[Pcode]],3,FALSE)</f>
        <v>0</v>
      </c>
      <c r="EM17" s="759" t="str">
        <f t="shared" si="0"/>
        <v>Covered</v>
      </c>
      <c r="EN17" s="759"/>
      <c r="EO17" s="754">
        <f>VLOOKUP(WWWW[[#This Row],[Site Name]],SiteDB6[[Site Name]:[Pop
(Kachin/Shan-CCCM as of July 2021)]],16,FALSE)</f>
        <v>0</v>
      </c>
      <c r="EP17" s="754">
        <f>VLOOKUP(WWWW[[#This Row],[Site Name]],SiteDB6[[Site Name]:[Pop
(Kachin/Shan-CCCM as of July 2021)]],17,FALSE)</f>
        <v>0</v>
      </c>
    </row>
    <row r="18" spans="1:146" hidden="1">
      <c r="A18" s="752" t="s">
        <v>2785</v>
      </c>
      <c r="B18" s="752" t="s">
        <v>141</v>
      </c>
      <c r="C18" s="753" t="s">
        <v>141</v>
      </c>
      <c r="D18" s="753" t="s">
        <v>241</v>
      </c>
      <c r="E18" s="753" t="s">
        <v>37</v>
      </c>
      <c r="F18" s="753" t="s">
        <v>152</v>
      </c>
      <c r="G18" s="594" t="str">
        <f>VLOOKUP(WWWW[[#This Row],[Site Name]],SiteDB6[[Site Name]:[Location Type]],8,FALSE)</f>
        <v>Camp</v>
      </c>
      <c r="H18" s="753" t="s">
        <v>1613</v>
      </c>
      <c r="I18" s="755">
        <v>105</v>
      </c>
      <c r="J18" s="755">
        <v>474</v>
      </c>
      <c r="K18" s="756">
        <v>44105</v>
      </c>
      <c r="L18" s="757">
        <v>44681</v>
      </c>
      <c r="M18" s="755"/>
      <c r="N18" s="755">
        <v>3</v>
      </c>
      <c r="O18" s="755"/>
      <c r="P18" s="755"/>
      <c r="Q18" s="758" t="s">
        <v>41</v>
      </c>
      <c r="R18" s="755"/>
      <c r="S18" s="755">
        <v>2</v>
      </c>
      <c r="T18" s="449">
        <v>1</v>
      </c>
      <c r="U18" s="755"/>
      <c r="V18" s="755"/>
      <c r="W18" s="755"/>
      <c r="X18" s="755"/>
      <c r="Y18" s="755"/>
      <c r="Z18" s="755"/>
      <c r="AA18" s="755"/>
      <c r="AB18" s="755"/>
      <c r="AC18" s="755"/>
      <c r="AD18" s="755"/>
      <c r="AE18" s="755"/>
      <c r="AF18" s="755"/>
      <c r="AG18" s="755"/>
      <c r="AH18" s="755">
        <v>2</v>
      </c>
      <c r="AI18" s="755"/>
      <c r="AJ18" s="755"/>
      <c r="AK18" s="755"/>
      <c r="AL18" s="755"/>
      <c r="AM18" s="755"/>
      <c r="AN18" s="755"/>
      <c r="AO18" s="755"/>
      <c r="AP18" s="759"/>
      <c r="AQ18" s="755">
        <v>13</v>
      </c>
      <c r="AR18" s="755"/>
      <c r="AS18" s="760"/>
      <c r="AT18" s="755"/>
      <c r="AU18" s="449">
        <v>12</v>
      </c>
      <c r="AV18" s="755"/>
      <c r="AW18" s="755"/>
      <c r="AX18" s="755">
        <v>12</v>
      </c>
      <c r="AY18" s="754" t="s">
        <v>41</v>
      </c>
      <c r="AZ18" s="759" t="s">
        <v>137</v>
      </c>
      <c r="BA18" s="755"/>
      <c r="BB18" s="755"/>
      <c r="BC18" s="755"/>
      <c r="BD18" s="449"/>
      <c r="BE18" s="449"/>
      <c r="BF18" s="754"/>
      <c r="BG18" s="755">
        <v>7</v>
      </c>
      <c r="BH18" s="755"/>
      <c r="BI18" s="755"/>
      <c r="BJ18" s="755">
        <v>7</v>
      </c>
      <c r="BK18" s="755"/>
      <c r="BL18" s="755">
        <v>2</v>
      </c>
      <c r="BM18" s="755">
        <v>1</v>
      </c>
      <c r="BN18" s="755">
        <v>104</v>
      </c>
      <c r="BO18" s="755">
        <v>148</v>
      </c>
      <c r="BP18" s="754"/>
      <c r="BQ18" s="761"/>
      <c r="BR18" s="760"/>
      <c r="BS18" s="754"/>
      <c r="BT18" s="424"/>
      <c r="BU18" s="424"/>
      <c r="BV18" s="426"/>
      <c r="BW18" s="424"/>
      <c r="BX18" s="449"/>
      <c r="BY18" s="449"/>
      <c r="BZ18" s="449"/>
      <c r="CA18" s="449"/>
      <c r="CB18" s="449"/>
      <c r="CC18" s="807"/>
      <c r="CD18" s="449"/>
      <c r="CE18" s="762" t="str">
        <f>IFERROR(WWWW[[#This Row],['#_Water sources passed]]/WWWW[[#This Row],['#_Water sources tested for fecal coliform ]],"no test")</f>
        <v>no test</v>
      </c>
      <c r="CF18" s="760" t="str">
        <f>IFERROR(WWWW[[#This Row],['#_Household passed]]/WWWW[[#This Row],['#_Household water samples tested for fecal coliform]],"no test")</f>
        <v>no test</v>
      </c>
      <c r="CG18" s="761" t="str">
        <f>IF(AND(WWWW[[#This Row],[% of water sources passed]]="no test",WWWW[[#This Row],[% Household passed]]="no test"),"No Test","Tested")</f>
        <v>No Test</v>
      </c>
      <c r="CH18" s="761">
        <f>WWWW[[#This Row],['#_Constructed/existing protected hand dug well]]-WWWW[[#This Row],['#_Non-functional protected hand dug well]]</f>
        <v>1</v>
      </c>
      <c r="CI18" s="761">
        <f>(WWWW[[#This Row],['#_Constructed/Existing tube wells/boreholes/handpumps_WASH_agency]]+WWWW[[#This Row],['#_Non-Cluster partner water tube-wells/boreholes/handpumps]])-WWWW[[#This Row],['#_Non-functional tube wells/boreholes/handpumps]]</f>
        <v>0</v>
      </c>
      <c r="CJ18" s="761">
        <f>WWWW[[#This Row],['#_Constructed/Existingwater storage tank with gravity fed reticulation system]]-WWWW[[#This Row],['#_Non-functional storage tank gravity fed reticulation system]]</f>
        <v>0</v>
      </c>
      <c r="CK18" s="761">
        <f>(WWWW[[#This Row],['#_Water_Liters_supplied_by_Water boating or water trucking]]/90)/15</f>
        <v>0</v>
      </c>
      <c r="CL18" s="761">
        <f>WWWW[[#This Row],['#_Water_Liters_from_Constructed/Existing water distribution system from river or natural spring]]/90/15</f>
        <v>0</v>
      </c>
      <c r="CM18" s="425">
        <f>IF(WWWW[[#This Row],['#_of water points in TLS/CFS]]*500&gt;WWWW[[#This Row],[Total PoP ]],WWWW[[#This Row],[Total PoP ]],WWWW[[#This Row],['#_of water points in TLS/CFS]]*500)</f>
        <v>0</v>
      </c>
      <c r="CN18" s="425">
        <f>IF(WWWW[[#This Row],['#_of water points in THF]]*500&gt;WWWW[[#This Row],[Total PoP ]],WWWW[[#This Row],[Total PoP ]],WWWW[[#This Row],['#_of water points in THF]]*500)</f>
        <v>0</v>
      </c>
      <c r="CO1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0.84388185654008441</v>
      </c>
      <c r="CP1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0.52742616033755274</v>
      </c>
      <c r="CQ18" s="760">
        <f>IF(WWWW[[#This Row],[Location Type 1]]="Village",WWWW[[#This Row],[Access to safe drinking water for Village]],WWWW[[#This Row],[Access to safe drinking water for Camp]])</f>
        <v>0.84388185654008441</v>
      </c>
      <c r="CR18" s="758">
        <f>WWWW[[#This Row],[%Equitable and continuous access to sufficient quantity of safe drinking water]]*WWWW[[#This Row],[Total PoP ]]</f>
        <v>400</v>
      </c>
      <c r="CS18" s="760">
        <f>IF((WWWW[[#This Row],['#_Constructed/Existing protected/fenced ponds]]*250)/WWWW[[#This Row],[Total PoP ]]&gt;1,1,(WWWW[[#This Row],['#_Constructed/Existing protected/fenced ponds]]*250)/WWWW[[#This Row],[Total PoP ]])</f>
        <v>0</v>
      </c>
      <c r="CT18" s="758">
        <f>WWWW[[#This Row],[% Access to unimproved water points]]*WWWW[[#This Row],[Total PoP ]]</f>
        <v>0</v>
      </c>
      <c r="CU1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0.84388185654008441</v>
      </c>
      <c r="CV1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18" s="758">
        <f>WWWW[[#This Row],[HRP1]]/500</f>
        <v>0.8</v>
      </c>
      <c r="CX18" s="763">
        <f>1-WWWW[[#This Row],[% Equitable and continuous access to sufficient quantity of domestic water]]</f>
        <v>0.15611814345991559</v>
      </c>
      <c r="CY18" s="758">
        <f>WWWW[[#This Row],[%equitable and continuous access to sufficient quantity of safe drinking and domestic water''s GAP]]*WWWW[[#This Row],[Total PoP ]]</f>
        <v>73.999999999999986</v>
      </c>
      <c r="CZ18" s="761">
        <f>IF(WWWW[[#This Row],[Total required water points]]-WWWW[[#This Row],['#Water points coverage]]&lt;0,0,WWWW[[#This Row],[Total required water points]]-WWWW[[#This Row],['#Water points coverage]])</f>
        <v>0.19999999999999996</v>
      </c>
      <c r="DA18" s="761">
        <f>ROUND(IF(WWWW[[#This Row],[Total PoP ]]&lt;500,1,WWWW[[#This Row],[Total PoP ]]/500),0)</f>
        <v>1</v>
      </c>
      <c r="DB18" s="761">
        <f>(WWWW[[#This Row],['#_Constructed latrines_by_WASHAgencies]]+WWWW[[#This Row],['#_Non Cluster partner latrines]])-WWWW[[#This Row],['#_Non-functional latrines]]</f>
        <v>13</v>
      </c>
      <c r="DC18" s="634">
        <f>WWWW[[#This Row],[HRP2]]/WWWW[[#This Row],[Total PoP ]]</f>
        <v>0.54852320675105481</v>
      </c>
      <c r="DD1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1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 s="425">
        <f>IF(WWWW[[#This Row],['# of functional latrines in THF supported by WASH partners during the reporting period2]]="",0,WWWW[[#This Row],['# of functional latrines in THF supported by WASH partners during the reporting period2]]*50)</f>
        <v>0</v>
      </c>
      <c r="DH18" s="761">
        <f>ROUND(IF(WWWW[[#This Row],[Location Type 1]]="camp",WWWW[[#This Row],[Total PoP ]]/20,IF(WWWW[[#This Row],[Location Type 1]]="Temporary Location",WWWW[[#This Row],[Total PoP ]]/50,(WWWW[[#This Row],[Total PoP ]]/6))),0)</f>
        <v>24</v>
      </c>
      <c r="DI18" s="761">
        <f>IF(WWWW[[#This Row],[Total required Latrines]]-(WWWW[[#This Row],['#_Constructed latrines_by_WASHAgencies]]+WWWW[[#This Row],['#_Non Cluster partner latrines]])&lt;0,0,WWWW[[#This Row],[Total required Latrines]]-(WWWW[[#This Row],['#_Constructed latrines_by_WASHAgencies]]+WWWW[[#This Row],['#_Non Cluster partner latrines]]))</f>
        <v>11</v>
      </c>
      <c r="DJ18" s="763">
        <f>1-WWWW[[#This Row],[% people access to functioning Latrine]]</f>
        <v>0.45147679324894519</v>
      </c>
      <c r="DK18" s="762">
        <f>IF(OR(WWWW[[#This Row],['#_Non-functional latrines]]="",WWWW[[#This Row],['#_Non-functional latrines]]=0),0,WWWW[[#This Row],['#_Non-functional latrines]]/(WWWW[[#This Row],['#_Constructed latrines_by_WASHAgencies]]+WWWW[[#This Row],['#_Non Cluster partner latrines]]))</f>
        <v>0</v>
      </c>
      <c r="DL18" s="758">
        <f>IF(500*(WWWW[[#This Row],['#_male hygiene promoters]]+WWWW[[#This Row],['#_female hygiene promoters]])&gt;WWWW[[#This Row],[Total PoP ]],WWWW[[#This Row],[Total PoP ]],500*(WWWW[[#This Row],['#_male hygiene promoters]]+WWWW[[#This Row],['#_female hygiene promoters]]))</f>
        <v>474</v>
      </c>
      <c r="DM1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474</v>
      </c>
      <c r="DN1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8" s="761">
        <f>IF(WWWW[[#This Row],['# People with access to soap]]&gt;WWWW[[#This Row],['# People with access to Sanity Pads]],WWWW[[#This Row],['# People with access to soap]],WWWW[[#This Row],['# People with access to Sanity Pads]])</f>
        <v>474</v>
      </c>
      <c r="DP18" s="761">
        <f>IF(WWWW[[#This Row],['# people reached by regular dedicated hygiene promotion_5]]&gt;WWWW[[#This Row],['# People received regular supply of hygiene items_6]],WWWW[[#This Row],['# people reached by regular dedicated hygiene promotion_5]],WWWW[[#This Row],['# People received regular supply of hygiene items_6]])</f>
        <v>474</v>
      </c>
      <c r="DQ18" s="763">
        <f>IF(WWWW[[#This Row],[HRP3]]/WWWW[[#This Row],[Total PoP ]]&gt;1,1,WWWW[[#This Row],[HRP3]]/WWWW[[#This Row],[Total PoP ]])</f>
        <v>1</v>
      </c>
      <c r="DR18" s="762">
        <f>1-WWWW[[#This Row],[Hygiene Coverage%]]</f>
        <v>0</v>
      </c>
      <c r="DS18" s="760">
        <f>WWWW[[#This Row],['# people reached by regular dedicated hygiene promotion_5]]/WWWW[[#This Row],[Total PoP ]]</f>
        <v>1</v>
      </c>
      <c r="DT1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 s="761">
        <f>WWWW[[#This Row],['#_Constructed/Existing hand washing stations]]-WWWW[[#This Row],['#_Non-Functional_hand_washing_stations]]</f>
        <v>7</v>
      </c>
      <c r="DW18" s="758">
        <f>IF(WWWW[[#This Row],['# Functional hand washing stations during reporting period]]*20&gt;WWWW[[#This Row],[Total HH]],WWWW[[#This Row],[Total HH]],WWWW[[#This Row],['# Functional hand washing stations during reporting period]]*20)</f>
        <v>105</v>
      </c>
      <c r="DX18" s="758">
        <f>IF(WWWW[[#This Row],[Is sufficient soap available for TLS? (Yes/No)]]="yes",WWWW[[#This Row],['#_Constructed/Existing hand washing stations at TLS/CFS/THF]],0)</f>
        <v>0</v>
      </c>
      <c r="DY18" s="429">
        <f>IF(WWWW[[#This Row],['# Functional hand washing stations during reporting period]]*100&gt;WWWW[[#This Row],[Total PoP ]],WWWW[[#This Row],[Total PoP ]],WWWW[[#This Row],['# Functional hand washing stations during reporting period]]*100)</f>
        <v>474</v>
      </c>
      <c r="DZ18" s="429" t="str">
        <f>IF(OR(WWWW[[#This Row],['#_students at TLS_CFS]]="",WWWW[[#This Row],['#_students at TLS_CFS]]=0),"No","Yes")</f>
        <v>No</v>
      </c>
      <c r="EA1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 s="754">
        <f>VLOOKUP(WWWW[[#This Row],[Site Name]],SiteDB6[[Site Name]:[CCCM Management]],6,FALSE)</f>
        <v>0</v>
      </c>
      <c r="EF18" s="754" t="str">
        <f>VLOOKUP(WWWW[[#This Row],[Site Name]],SiteDB6[[Site Name]:[CCCM Focal Agency]],7,FALSE)</f>
        <v>KBC-MYT</v>
      </c>
      <c r="EG18" s="754" t="str">
        <f>VLOOKUP(WWWW[[#This Row],[Site Name]],SiteDB6[[Site Name]:[Location Type 1]],9,FALSE)</f>
        <v>Camp</v>
      </c>
      <c r="EH18" s="754" t="str">
        <f>VLOOKUP(WWWW[[#This Row],[Site Name]],SiteDB6[[Site Name]:[Type of Accommodation]],10,FALSE)</f>
        <v>Camp</v>
      </c>
      <c r="EI18" s="754" t="str">
        <f>VLOOKUP(WWWW[[#This Row],[Site Name]],SiteDB6[[Site Name]:[Ethnic or GCA/NGCA]],11,FALSE)</f>
        <v>GCA</v>
      </c>
      <c r="EJ18" s="754">
        <f>VLOOKUP(WWWW[[#This Row],[Site Name]],SiteDB6[[Site Name]:[Lat]],12,FALSE)</f>
        <v>25.2226</v>
      </c>
      <c r="EK18" s="754">
        <f>VLOOKUP(WWWW[[#This Row],[Site Name]],SiteDB6[[Site Name]:[Long]],13,FALSE)</f>
        <v>97.012299999999996</v>
      </c>
      <c r="EL18" s="754" t="str">
        <f>VLOOKUP(WWWW[[#This Row],[Site Name]],SiteDB6[[Site Name]:[Pcode]],3,FALSE)</f>
        <v>MMR001CMP261</v>
      </c>
      <c r="EM18" s="759" t="str">
        <f t="shared" si="0"/>
        <v>Covered</v>
      </c>
      <c r="EN18" s="759"/>
      <c r="EO18" s="754">
        <f>VLOOKUP(WWWW[[#This Row],[Site Name]],SiteDB6[[Site Name]:[Pop
(Kachin/Shan-CCCM as of July 2021)]],16,FALSE)</f>
        <v>111</v>
      </c>
      <c r="EP18" s="754">
        <f>VLOOKUP(WWWW[[#This Row],[Site Name]],SiteDB6[[Site Name]:[Pop
(Kachin/Shan-CCCM as of July 2021)]],17,FALSE)</f>
        <v>599</v>
      </c>
    </row>
    <row r="19" spans="1:146" hidden="1">
      <c r="A19" s="752" t="s">
        <v>2785</v>
      </c>
      <c r="B19" s="752" t="s">
        <v>141</v>
      </c>
      <c r="C19" s="753" t="s">
        <v>141</v>
      </c>
      <c r="D19" s="753" t="s">
        <v>241</v>
      </c>
      <c r="E19" s="753" t="s">
        <v>37</v>
      </c>
      <c r="F19" s="753" t="s">
        <v>152</v>
      </c>
      <c r="G19" s="594" t="str">
        <f>VLOOKUP(WWWW[[#This Row],[Site Name]],SiteDB6[[Site Name]:[Location Type]],8,FALSE)</f>
        <v>Camp</v>
      </c>
      <c r="H19" s="753" t="s">
        <v>155</v>
      </c>
      <c r="I19" s="755">
        <v>10</v>
      </c>
      <c r="J19" s="755">
        <v>41</v>
      </c>
      <c r="K19" s="756">
        <v>44105</v>
      </c>
      <c r="L19" s="757">
        <v>44681</v>
      </c>
      <c r="M19" s="755"/>
      <c r="N19" s="755">
        <v>1</v>
      </c>
      <c r="O19" s="755"/>
      <c r="P19" s="755"/>
      <c r="Q19" s="758" t="s">
        <v>41</v>
      </c>
      <c r="R19" s="755"/>
      <c r="S19" s="755">
        <v>5</v>
      </c>
      <c r="T19" s="449">
        <v>1</v>
      </c>
      <c r="U19" s="755"/>
      <c r="V19" s="755"/>
      <c r="W19" s="755"/>
      <c r="X19" s="755"/>
      <c r="Y19" s="755"/>
      <c r="Z19" s="755"/>
      <c r="AA19" s="755"/>
      <c r="AB19" s="755"/>
      <c r="AC19" s="755"/>
      <c r="AD19" s="755"/>
      <c r="AE19" s="755"/>
      <c r="AF19" s="755"/>
      <c r="AG19" s="755"/>
      <c r="AH19" s="755">
        <v>3</v>
      </c>
      <c r="AI19" s="755"/>
      <c r="AJ19" s="755"/>
      <c r="AK19" s="755"/>
      <c r="AL19" s="755"/>
      <c r="AM19" s="755"/>
      <c r="AN19" s="755"/>
      <c r="AO19" s="755"/>
      <c r="AP19" s="759"/>
      <c r="AQ19" s="755">
        <v>3</v>
      </c>
      <c r="AR19" s="755"/>
      <c r="AS19" s="760"/>
      <c r="AT19" s="755"/>
      <c r="AU19" s="755"/>
      <c r="AV19" s="755"/>
      <c r="AW19" s="755"/>
      <c r="AX19" s="755">
        <v>3</v>
      </c>
      <c r="AY19" s="754" t="s">
        <v>41</v>
      </c>
      <c r="AZ19" s="759" t="s">
        <v>137</v>
      </c>
      <c r="BA19" s="755"/>
      <c r="BB19" s="755"/>
      <c r="BC19" s="755"/>
      <c r="BD19" s="449"/>
      <c r="BE19" s="449"/>
      <c r="BF19" s="754"/>
      <c r="BG19" s="755">
        <v>7</v>
      </c>
      <c r="BH19" s="755"/>
      <c r="BI19" s="755"/>
      <c r="BJ19" s="755">
        <v>4</v>
      </c>
      <c r="BK19" s="755"/>
      <c r="BL19" s="755"/>
      <c r="BM19" s="755">
        <v>1</v>
      </c>
      <c r="BN19" s="755">
        <v>124</v>
      </c>
      <c r="BO19" s="755">
        <v>198</v>
      </c>
      <c r="BP19" s="754"/>
      <c r="BQ19" s="761"/>
      <c r="BR19" s="760"/>
      <c r="BS19" s="754"/>
      <c r="BT19" s="424"/>
      <c r="BU19" s="424"/>
      <c r="BV19" s="426"/>
      <c r="BW19" s="424"/>
      <c r="BX19" s="449"/>
      <c r="BY19" s="449"/>
      <c r="BZ19" s="449"/>
      <c r="CA19" s="449"/>
      <c r="CB19" s="449"/>
      <c r="CC19" s="807"/>
      <c r="CD19" s="449"/>
      <c r="CE19" s="762" t="str">
        <f>IFERROR(WWWW[[#This Row],['#_Water sources passed]]/WWWW[[#This Row],['#_Water sources tested for fecal coliform ]],"no test")</f>
        <v>no test</v>
      </c>
      <c r="CF19" s="760" t="str">
        <f>IFERROR(WWWW[[#This Row],['#_Household passed]]/WWWW[[#This Row],['#_Household water samples tested for fecal coliform]],"no test")</f>
        <v>no test</v>
      </c>
      <c r="CG19" s="761" t="str">
        <f>IF(AND(WWWW[[#This Row],[% of water sources passed]]="no test",WWWW[[#This Row],[% Household passed]]="no test"),"No Test","Tested")</f>
        <v>No Test</v>
      </c>
      <c r="CH19" s="761">
        <f>WWWW[[#This Row],['#_Constructed/existing protected hand dug well]]-WWWW[[#This Row],['#_Non-functional protected hand dug well]]</f>
        <v>1</v>
      </c>
      <c r="CI19" s="761">
        <f>(WWWW[[#This Row],['#_Constructed/Existing tube wells/boreholes/handpumps_WASH_agency]]+WWWW[[#This Row],['#_Non-Cluster partner water tube-wells/boreholes/handpumps]])-WWWW[[#This Row],['#_Non-functional tube wells/boreholes/handpumps]]</f>
        <v>0</v>
      </c>
      <c r="CJ19" s="761">
        <f>WWWW[[#This Row],['#_Constructed/Existingwater storage tank with gravity fed reticulation system]]-WWWW[[#This Row],['#_Non-functional storage tank gravity fed reticulation system]]</f>
        <v>0</v>
      </c>
      <c r="CK19" s="761">
        <f>(WWWW[[#This Row],['#_Water_Liters_supplied_by_Water boating or water trucking]]/90)/15</f>
        <v>0</v>
      </c>
      <c r="CL19" s="761">
        <f>WWWW[[#This Row],['#_Water_Liters_from_Constructed/Existing water distribution system from river or natural spring]]/90/15</f>
        <v>0</v>
      </c>
      <c r="CM19" s="425">
        <f>IF(WWWW[[#This Row],['#_of water points in TLS/CFS]]*500&gt;WWWW[[#This Row],[Total PoP ]],WWWW[[#This Row],[Total PoP ]],WWWW[[#This Row],['#_of water points in TLS/CFS]]*500)</f>
        <v>0</v>
      </c>
      <c r="CN19" s="425">
        <f>IF(WWWW[[#This Row],['#_of water points in THF]]*500&gt;WWWW[[#This Row],[Total PoP ]],WWWW[[#This Row],[Total PoP ]],WWWW[[#This Row],['#_of water points in THF]]*500)</f>
        <v>0</v>
      </c>
      <c r="CO1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 s="760">
        <f>IF(WWWW[[#This Row],[Location Type 1]]="Village",WWWW[[#This Row],[Access to safe drinking water for Village]],WWWW[[#This Row],[Access to safe drinking water for Camp]])</f>
        <v>1</v>
      </c>
      <c r="CR19" s="758">
        <f>WWWW[[#This Row],[%Equitable and continuous access to sufficient quantity of safe drinking water]]*WWWW[[#This Row],[Total PoP ]]</f>
        <v>41</v>
      </c>
      <c r="CS19" s="760">
        <f>IF((WWWW[[#This Row],['#_Constructed/Existing protected/fenced ponds]]*250)/WWWW[[#This Row],[Total PoP ]]&gt;1,1,(WWWW[[#This Row],['#_Constructed/Existing protected/fenced ponds]]*250)/WWWW[[#This Row],[Total PoP ]])</f>
        <v>0</v>
      </c>
      <c r="CT19" s="758">
        <f>WWWW[[#This Row],[% Access to unimproved water points]]*WWWW[[#This Row],[Total PoP ]]</f>
        <v>0</v>
      </c>
      <c r="CU1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v>
      </c>
      <c r="CW19" s="758">
        <f>WWWW[[#This Row],[HRP1]]/500</f>
        <v>8.2000000000000003E-2</v>
      </c>
      <c r="CX19" s="763">
        <f>1-WWWW[[#This Row],[% Equitable and continuous access to sufficient quantity of domestic water]]</f>
        <v>0</v>
      </c>
      <c r="CY19" s="758">
        <f>WWWW[[#This Row],[%equitable and continuous access to sufficient quantity of safe drinking and domestic water''s GAP]]*WWWW[[#This Row],[Total PoP ]]</f>
        <v>0</v>
      </c>
      <c r="CZ19" s="761">
        <f>IF(WWWW[[#This Row],[Total required water points]]-WWWW[[#This Row],['#Water points coverage]]&lt;0,0,WWWW[[#This Row],[Total required water points]]-WWWW[[#This Row],['#Water points coverage]])</f>
        <v>0.91800000000000004</v>
      </c>
      <c r="DA19" s="761">
        <f>ROUND(IF(WWWW[[#This Row],[Total PoP ]]&lt;500,1,WWWW[[#This Row],[Total PoP ]]/500),0)</f>
        <v>1</v>
      </c>
      <c r="DB19" s="761">
        <f>(WWWW[[#This Row],['#_Constructed latrines_by_WASHAgencies]]+WWWW[[#This Row],['#_Non Cluster partner latrines]])-WWWW[[#This Row],['#_Non-functional latrines]]</f>
        <v>3</v>
      </c>
      <c r="DC19" s="634">
        <f>WWWW[[#This Row],[HRP2]]/WWWW[[#This Row],[Total PoP ]]</f>
        <v>1</v>
      </c>
      <c r="DD1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v>
      </c>
      <c r="DE1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 s="425">
        <f>IF(WWWW[[#This Row],['# of functional latrines in THF supported by WASH partners during the reporting period2]]="",0,WWWW[[#This Row],['# of functional latrines in THF supported by WASH partners during the reporting period2]]*50)</f>
        <v>0</v>
      </c>
      <c r="DH19" s="761">
        <f>ROUND(IF(WWWW[[#This Row],[Location Type 1]]="camp",WWWW[[#This Row],[Total PoP ]]/20,IF(WWWW[[#This Row],[Location Type 1]]="Temporary Location",WWWW[[#This Row],[Total PoP ]]/50,(WWWW[[#This Row],[Total PoP ]]/6))),0)</f>
        <v>2</v>
      </c>
      <c r="DI19" s="761">
        <f>IF(WWWW[[#This Row],[Total required Latrines]]-(WWWW[[#This Row],['#_Constructed latrines_by_WASHAgencies]]+WWWW[[#This Row],['#_Non Cluster partner latrines]])&lt;0,0,WWWW[[#This Row],[Total required Latrines]]-(WWWW[[#This Row],['#_Constructed latrines_by_WASHAgencies]]+WWWW[[#This Row],['#_Non Cluster partner latrines]]))</f>
        <v>0</v>
      </c>
      <c r="DJ19" s="763">
        <f>1-WWWW[[#This Row],[% people access to functioning Latrine]]</f>
        <v>0</v>
      </c>
      <c r="DK19" s="762">
        <f>IF(OR(WWWW[[#This Row],['#_Non-functional latrines]]="",WWWW[[#This Row],['#_Non-functional latrines]]=0),0,WWWW[[#This Row],['#_Non-functional latrines]]/(WWWW[[#This Row],['#_Constructed latrines_by_WASHAgencies]]+WWWW[[#This Row],['#_Non Cluster partner latrines]]))</f>
        <v>0</v>
      </c>
      <c r="DL19" s="758">
        <f>IF(500*(WWWW[[#This Row],['#_male hygiene promoters]]+WWWW[[#This Row],['#_female hygiene promoters]])&gt;WWWW[[#This Row],[Total PoP ]],WWWW[[#This Row],[Total PoP ]],500*(WWWW[[#This Row],['#_male hygiene promoters]]+WWWW[[#This Row],['#_female hygiene promoters]]))</f>
        <v>41</v>
      </c>
      <c r="DM1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41</v>
      </c>
      <c r="DN1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41</v>
      </c>
      <c r="DO19" s="761">
        <f>IF(WWWW[[#This Row],['# People with access to soap]]&gt;WWWW[[#This Row],['# People with access to Sanity Pads]],WWWW[[#This Row],['# People with access to soap]],WWWW[[#This Row],['# People with access to Sanity Pads]])</f>
        <v>41</v>
      </c>
      <c r="DP19" s="761">
        <f>IF(WWWW[[#This Row],['# people reached by regular dedicated hygiene promotion_5]]&gt;WWWW[[#This Row],['# People received regular supply of hygiene items_6]],WWWW[[#This Row],['# people reached by regular dedicated hygiene promotion_5]],WWWW[[#This Row],['# People received regular supply of hygiene items_6]])</f>
        <v>41</v>
      </c>
      <c r="DQ19" s="763">
        <f>IF(WWWW[[#This Row],[HRP3]]/WWWW[[#This Row],[Total PoP ]]&gt;1,1,WWWW[[#This Row],[HRP3]]/WWWW[[#This Row],[Total PoP ]])</f>
        <v>1</v>
      </c>
      <c r="DR19" s="762">
        <f>1-WWWW[[#This Row],[Hygiene Coverage%]]</f>
        <v>0</v>
      </c>
      <c r="DS19" s="760">
        <f>WWWW[[#This Row],['# people reached by regular dedicated hygiene promotion_5]]/WWWW[[#This Row],[Total PoP ]]</f>
        <v>1</v>
      </c>
      <c r="DT1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 s="761">
        <f>WWWW[[#This Row],['#_Constructed/Existing hand washing stations]]-WWWW[[#This Row],['#_Non-Functional_hand_washing_stations]]</f>
        <v>7</v>
      </c>
      <c r="DW19" s="758">
        <f>IF(WWWW[[#This Row],['# Functional hand washing stations during reporting period]]*20&gt;WWWW[[#This Row],[Total HH]],WWWW[[#This Row],[Total HH]],WWWW[[#This Row],['# Functional hand washing stations during reporting period]]*20)</f>
        <v>10</v>
      </c>
      <c r="DX19" s="758">
        <f>IF(WWWW[[#This Row],[Is sufficient soap available for TLS? (Yes/No)]]="yes",WWWW[[#This Row],['#_Constructed/Existing hand washing stations at TLS/CFS/THF]],0)</f>
        <v>0</v>
      </c>
      <c r="DY19" s="429">
        <f>IF(WWWW[[#This Row],['# Functional hand washing stations during reporting period]]*100&gt;WWWW[[#This Row],[Total PoP ]],WWWW[[#This Row],[Total PoP ]],WWWW[[#This Row],['# Functional hand washing stations during reporting period]]*100)</f>
        <v>41</v>
      </c>
      <c r="DZ19" s="429" t="str">
        <f>IF(OR(WWWW[[#This Row],['#_students at TLS_CFS]]="",WWWW[[#This Row],['#_students at TLS_CFS]]=0),"No","Yes")</f>
        <v>No</v>
      </c>
      <c r="EA1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 s="754" t="str">
        <f>VLOOKUP(WWWW[[#This Row],[Site Name]],SiteDB6[[Site Name]:[CCCM Management]],6,FALSE)</f>
        <v>Yes</v>
      </c>
      <c r="EF19" s="754" t="str">
        <f>VLOOKUP(WWWW[[#This Row],[Site Name]],SiteDB6[[Site Name]:[CCCM Focal Agency]],7,FALSE)</f>
        <v>KBC-MYT</v>
      </c>
      <c r="EG19" s="754" t="str">
        <f>VLOOKUP(WWWW[[#This Row],[Site Name]],SiteDB6[[Site Name]:[Location Type 1]],9,FALSE)</f>
        <v>Camp</v>
      </c>
      <c r="EH19" s="754" t="str">
        <f>VLOOKUP(WWWW[[#This Row],[Site Name]],SiteDB6[[Site Name]:[Type of Accommodation]],10,FALSE)</f>
        <v>Camp</v>
      </c>
      <c r="EI19" s="754" t="str">
        <f>VLOOKUP(WWWW[[#This Row],[Site Name]],SiteDB6[[Site Name]:[Ethnic or GCA/NGCA]],11,FALSE)</f>
        <v>GCA</v>
      </c>
      <c r="EJ19" s="754">
        <f>VLOOKUP(WWWW[[#This Row],[Site Name]],SiteDB6[[Site Name]:[Lat]],12,FALSE)</f>
        <v>25.30442</v>
      </c>
      <c r="EK19" s="754">
        <f>VLOOKUP(WWWW[[#This Row],[Site Name]],SiteDB6[[Site Name]:[Long]],13,FALSE)</f>
        <v>96.948740000000001</v>
      </c>
      <c r="EL19" s="754" t="str">
        <f>VLOOKUP(WWWW[[#This Row],[Site Name]],SiteDB6[[Site Name]:[Pcode]],3,FALSE)</f>
        <v>MMR001CMP079</v>
      </c>
      <c r="EM19" s="759" t="str">
        <f t="shared" si="0"/>
        <v>Covered</v>
      </c>
      <c r="EN19" s="759"/>
      <c r="EO19" s="754">
        <f>VLOOKUP(WWWW[[#This Row],[Site Name]],SiteDB6[[Site Name]:[Pop
(Kachin/Shan-CCCM as of July 2021)]],16,FALSE)</f>
        <v>10</v>
      </c>
      <c r="EP19" s="754">
        <f>VLOOKUP(WWWW[[#This Row],[Site Name]],SiteDB6[[Site Name]:[Pop
(Kachin/Shan-CCCM as of July 2021)]],17,FALSE)</f>
        <v>48</v>
      </c>
    </row>
    <row r="20" spans="1:146" hidden="1">
      <c r="A20" s="752" t="s">
        <v>2785</v>
      </c>
      <c r="B20" s="752" t="s">
        <v>141</v>
      </c>
      <c r="C20" s="753" t="s">
        <v>141</v>
      </c>
      <c r="D20" s="753" t="s">
        <v>241</v>
      </c>
      <c r="E20" s="753" t="s">
        <v>37</v>
      </c>
      <c r="F20" s="753" t="s">
        <v>152</v>
      </c>
      <c r="G20" s="594" t="str">
        <f>VLOOKUP(WWWW[[#This Row],[Site Name]],SiteDB6[[Site Name]:[Location Type]],8,FALSE)</f>
        <v>Camp</v>
      </c>
      <c r="H20" s="753" t="s">
        <v>156</v>
      </c>
      <c r="I20" s="755">
        <v>28</v>
      </c>
      <c r="J20" s="755">
        <v>136</v>
      </c>
      <c r="K20" s="756">
        <v>44105</v>
      </c>
      <c r="L20" s="757">
        <v>44681</v>
      </c>
      <c r="M20" s="755"/>
      <c r="N20" s="755">
        <v>1</v>
      </c>
      <c r="O20" s="755"/>
      <c r="P20" s="755"/>
      <c r="Q20" s="758" t="s">
        <v>41</v>
      </c>
      <c r="R20" s="755"/>
      <c r="S20" s="755">
        <v>4</v>
      </c>
      <c r="T20" s="449">
        <v>1</v>
      </c>
      <c r="U20" s="755"/>
      <c r="V20" s="755"/>
      <c r="W20" s="755">
        <v>1</v>
      </c>
      <c r="X20" s="755"/>
      <c r="Y20" s="755"/>
      <c r="Z20" s="755"/>
      <c r="AA20" s="755"/>
      <c r="AB20" s="755"/>
      <c r="AC20" s="755"/>
      <c r="AD20" s="755"/>
      <c r="AE20" s="755"/>
      <c r="AF20" s="755"/>
      <c r="AG20" s="755"/>
      <c r="AH20" s="755">
        <v>3</v>
      </c>
      <c r="AI20" s="755"/>
      <c r="AJ20" s="755"/>
      <c r="AK20" s="755"/>
      <c r="AL20" s="755"/>
      <c r="AM20" s="755"/>
      <c r="AN20" s="755"/>
      <c r="AO20" s="755"/>
      <c r="AP20" s="759"/>
      <c r="AQ20" s="755">
        <v>12</v>
      </c>
      <c r="AR20" s="755"/>
      <c r="AS20" s="760"/>
      <c r="AT20" s="755"/>
      <c r="AU20" s="755"/>
      <c r="AV20" s="755"/>
      <c r="AW20" s="755"/>
      <c r="AX20" s="755">
        <v>12</v>
      </c>
      <c r="AY20" s="754" t="s">
        <v>41</v>
      </c>
      <c r="AZ20" s="759" t="s">
        <v>904</v>
      </c>
      <c r="BA20" s="755"/>
      <c r="BB20" s="755"/>
      <c r="BC20" s="755"/>
      <c r="BD20" s="449"/>
      <c r="BE20" s="449"/>
      <c r="BF20" s="754"/>
      <c r="BG20" s="755">
        <v>8</v>
      </c>
      <c r="BH20" s="755"/>
      <c r="BI20" s="755"/>
      <c r="BJ20" s="755">
        <v>3</v>
      </c>
      <c r="BK20" s="755"/>
      <c r="BL20" s="755"/>
      <c r="BM20" s="755">
        <v>1</v>
      </c>
      <c r="BN20" s="755">
        <v>91</v>
      </c>
      <c r="BO20" s="755">
        <v>124</v>
      </c>
      <c r="BP20" s="754"/>
      <c r="BQ20" s="761"/>
      <c r="BR20" s="760"/>
      <c r="BS20" s="754"/>
      <c r="BT20" s="424"/>
      <c r="BU20" s="424"/>
      <c r="BV20" s="426"/>
      <c r="BW20" s="424"/>
      <c r="BX20" s="449"/>
      <c r="BY20" s="449"/>
      <c r="BZ20" s="449"/>
      <c r="CA20" s="449"/>
      <c r="CB20" s="449"/>
      <c r="CC20" s="807"/>
      <c r="CD20" s="449"/>
      <c r="CE20" s="762" t="str">
        <f>IFERROR(WWWW[[#This Row],['#_Water sources passed]]/WWWW[[#This Row],['#_Water sources tested for fecal coliform ]],"no test")</f>
        <v>no test</v>
      </c>
      <c r="CF20" s="760" t="str">
        <f>IFERROR(WWWW[[#This Row],['#_Household passed]]/WWWW[[#This Row],['#_Household water samples tested for fecal coliform]],"no test")</f>
        <v>no test</v>
      </c>
      <c r="CG20" s="761" t="str">
        <f>IF(AND(WWWW[[#This Row],[% of water sources passed]]="no test",WWWW[[#This Row],[% Household passed]]="no test"),"No Test","Tested")</f>
        <v>No Test</v>
      </c>
      <c r="CH20" s="761">
        <f>WWWW[[#This Row],['#_Constructed/existing protected hand dug well]]-WWWW[[#This Row],['#_Non-functional protected hand dug well]]</f>
        <v>1</v>
      </c>
      <c r="CI20" s="761">
        <f>(WWWW[[#This Row],['#_Constructed/Existing tube wells/boreholes/handpumps_WASH_agency]]+WWWW[[#This Row],['#_Non-Cluster partner water tube-wells/boreholes/handpumps]])-WWWW[[#This Row],['#_Non-functional tube wells/boreholes/handpumps]]</f>
        <v>1</v>
      </c>
      <c r="CJ20" s="761">
        <f>WWWW[[#This Row],['#_Constructed/Existingwater storage tank with gravity fed reticulation system]]-WWWW[[#This Row],['#_Non-functional storage tank gravity fed reticulation system]]</f>
        <v>0</v>
      </c>
      <c r="CK20" s="761">
        <f>(WWWW[[#This Row],['#_Water_Liters_supplied_by_Water boating or water trucking]]/90)/15</f>
        <v>0</v>
      </c>
      <c r="CL20" s="761">
        <f>WWWW[[#This Row],['#_Water_Liters_from_Constructed/Existing water distribution system from river or natural spring]]/90/15</f>
        <v>0</v>
      </c>
      <c r="CM20" s="425">
        <f>IF(WWWW[[#This Row],['#_of water points in TLS/CFS]]*500&gt;WWWW[[#This Row],[Total PoP ]],WWWW[[#This Row],[Total PoP ]],WWWW[[#This Row],['#_of water points in TLS/CFS]]*500)</f>
        <v>0</v>
      </c>
      <c r="CN20" s="425">
        <f>IF(WWWW[[#This Row],['#_of water points in THF]]*500&gt;WWWW[[#This Row],[Total PoP ]],WWWW[[#This Row],[Total PoP ]],WWWW[[#This Row],['#_of water points in THF]]*500)</f>
        <v>0</v>
      </c>
      <c r="CO2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 s="760">
        <f>IF(WWWW[[#This Row],[Location Type 1]]="Village",WWWW[[#This Row],[Access to safe drinking water for Village]],WWWW[[#This Row],[Access to safe drinking water for Camp]])</f>
        <v>1</v>
      </c>
      <c r="CR20" s="758">
        <f>WWWW[[#This Row],[%Equitable and continuous access to sufficient quantity of safe drinking water]]*WWWW[[#This Row],[Total PoP ]]</f>
        <v>136</v>
      </c>
      <c r="CS20" s="760">
        <f>IF((WWWW[[#This Row],['#_Constructed/Existing protected/fenced ponds]]*250)/WWWW[[#This Row],[Total PoP ]]&gt;1,1,(WWWW[[#This Row],['#_Constructed/Existing protected/fenced ponds]]*250)/WWWW[[#This Row],[Total PoP ]])</f>
        <v>0</v>
      </c>
      <c r="CT20" s="758">
        <f>WWWW[[#This Row],[% Access to unimproved water points]]*WWWW[[#This Row],[Total PoP ]]</f>
        <v>0</v>
      </c>
      <c r="CU2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20" s="758">
        <f>WWWW[[#This Row],[HRP1]]/500</f>
        <v>0.27200000000000002</v>
      </c>
      <c r="CX20" s="763">
        <f>1-WWWW[[#This Row],[% Equitable and continuous access to sufficient quantity of domestic water]]</f>
        <v>0</v>
      </c>
      <c r="CY20" s="758">
        <f>WWWW[[#This Row],[%equitable and continuous access to sufficient quantity of safe drinking and domestic water''s GAP]]*WWWW[[#This Row],[Total PoP ]]</f>
        <v>0</v>
      </c>
      <c r="CZ20" s="761">
        <f>IF(WWWW[[#This Row],[Total required water points]]-WWWW[[#This Row],['#Water points coverage]]&lt;0,0,WWWW[[#This Row],[Total required water points]]-WWWW[[#This Row],['#Water points coverage]])</f>
        <v>0.72799999999999998</v>
      </c>
      <c r="DA20" s="761">
        <f>ROUND(IF(WWWW[[#This Row],[Total PoP ]]&lt;500,1,WWWW[[#This Row],[Total PoP ]]/500),0)</f>
        <v>1</v>
      </c>
      <c r="DB20" s="761">
        <f>(WWWW[[#This Row],['#_Constructed latrines_by_WASHAgencies]]+WWWW[[#This Row],['#_Non Cluster partner latrines]])-WWWW[[#This Row],['#_Non-functional latrines]]</f>
        <v>12</v>
      </c>
      <c r="DC20" s="634">
        <f>WWWW[[#This Row],[HRP2]]/WWWW[[#This Row],[Total PoP ]]</f>
        <v>1</v>
      </c>
      <c r="DD2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2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 s="425">
        <f>IF(WWWW[[#This Row],['# of functional latrines in THF supported by WASH partners during the reporting period2]]="",0,WWWW[[#This Row],['# of functional latrines in THF supported by WASH partners during the reporting period2]]*50)</f>
        <v>0</v>
      </c>
      <c r="DH20" s="761">
        <f>ROUND(IF(WWWW[[#This Row],[Location Type 1]]="camp",WWWW[[#This Row],[Total PoP ]]/20,IF(WWWW[[#This Row],[Location Type 1]]="Temporary Location",WWWW[[#This Row],[Total PoP ]]/50,(WWWW[[#This Row],[Total PoP ]]/6))),0)</f>
        <v>7</v>
      </c>
      <c r="DI20" s="761">
        <f>IF(WWWW[[#This Row],[Total required Latrines]]-(WWWW[[#This Row],['#_Constructed latrines_by_WASHAgencies]]+WWWW[[#This Row],['#_Non Cluster partner latrines]])&lt;0,0,WWWW[[#This Row],[Total required Latrines]]-(WWWW[[#This Row],['#_Constructed latrines_by_WASHAgencies]]+WWWW[[#This Row],['#_Non Cluster partner latrines]]))</f>
        <v>0</v>
      </c>
      <c r="DJ20" s="763">
        <f>1-WWWW[[#This Row],[% people access to functioning Latrine]]</f>
        <v>0</v>
      </c>
      <c r="DK20" s="762">
        <f>IF(OR(WWWW[[#This Row],['#_Non-functional latrines]]="",WWWW[[#This Row],['#_Non-functional latrines]]=0),0,WWWW[[#This Row],['#_Non-functional latrines]]/(WWWW[[#This Row],['#_Constructed latrines_by_WASHAgencies]]+WWWW[[#This Row],['#_Non Cluster partner latrines]]))</f>
        <v>0</v>
      </c>
      <c r="DL20" s="758">
        <f>IF(500*(WWWW[[#This Row],['#_male hygiene promoters]]+WWWW[[#This Row],['#_female hygiene promoters]])&gt;WWWW[[#This Row],[Total PoP ]],WWWW[[#This Row],[Total PoP ]],500*(WWWW[[#This Row],['#_male hygiene promoters]]+WWWW[[#This Row],['#_female hygiene promoters]]))</f>
        <v>136</v>
      </c>
      <c r="DM2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136</v>
      </c>
      <c r="DN2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20" s="761">
        <f>IF(WWWW[[#This Row],['# People with access to soap]]&gt;WWWW[[#This Row],['# People with access to Sanity Pads]],WWWW[[#This Row],['# People with access to soap]],WWWW[[#This Row],['# People with access to Sanity Pads]])</f>
        <v>136</v>
      </c>
      <c r="DP20" s="761">
        <f>IF(WWWW[[#This Row],['# people reached by regular dedicated hygiene promotion_5]]&gt;WWWW[[#This Row],['# People received regular supply of hygiene items_6]],WWWW[[#This Row],['# people reached by regular dedicated hygiene promotion_5]],WWWW[[#This Row],['# People received regular supply of hygiene items_6]])</f>
        <v>136</v>
      </c>
      <c r="DQ20" s="763">
        <f>IF(WWWW[[#This Row],[HRP3]]/WWWW[[#This Row],[Total PoP ]]&gt;1,1,WWWW[[#This Row],[HRP3]]/WWWW[[#This Row],[Total PoP ]])</f>
        <v>1</v>
      </c>
      <c r="DR20" s="762">
        <f>1-WWWW[[#This Row],[Hygiene Coverage%]]</f>
        <v>0</v>
      </c>
      <c r="DS20" s="760">
        <f>WWWW[[#This Row],['# people reached by regular dedicated hygiene promotion_5]]/WWWW[[#This Row],[Total PoP ]]</f>
        <v>1</v>
      </c>
      <c r="DT2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 s="761">
        <f>WWWW[[#This Row],['#_Constructed/Existing hand washing stations]]-WWWW[[#This Row],['#_Non-Functional_hand_washing_stations]]</f>
        <v>8</v>
      </c>
      <c r="DW20" s="758">
        <f>IF(WWWW[[#This Row],['# Functional hand washing stations during reporting period]]*20&gt;WWWW[[#This Row],[Total HH]],WWWW[[#This Row],[Total HH]],WWWW[[#This Row],['# Functional hand washing stations during reporting period]]*20)</f>
        <v>28</v>
      </c>
      <c r="DX20" s="758">
        <f>IF(WWWW[[#This Row],[Is sufficient soap available for TLS? (Yes/No)]]="yes",WWWW[[#This Row],['#_Constructed/Existing hand washing stations at TLS/CFS/THF]],0)</f>
        <v>0</v>
      </c>
      <c r="DY20" s="429">
        <f>IF(WWWW[[#This Row],['# Functional hand washing stations during reporting period]]*100&gt;WWWW[[#This Row],[Total PoP ]],WWWW[[#This Row],[Total PoP ]],WWWW[[#This Row],['# Functional hand washing stations during reporting period]]*100)</f>
        <v>136</v>
      </c>
      <c r="DZ20" s="429" t="str">
        <f>IF(OR(WWWW[[#This Row],['#_students at TLS_CFS]]="",WWWW[[#This Row],['#_students at TLS_CFS]]=0),"No","Yes")</f>
        <v>No</v>
      </c>
      <c r="EA2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 s="754" t="str">
        <f>VLOOKUP(WWWW[[#This Row],[Site Name]],SiteDB6[[Site Name]:[CCCM Management]],6,FALSE)</f>
        <v>Yes</v>
      </c>
      <c r="EF20" s="754" t="str">
        <f>VLOOKUP(WWWW[[#This Row],[Site Name]],SiteDB6[[Site Name]:[CCCM Focal Agency]],7,FALSE)</f>
        <v>KBC-MYT</v>
      </c>
      <c r="EG20" s="754" t="str">
        <f>VLOOKUP(WWWW[[#This Row],[Site Name]],SiteDB6[[Site Name]:[Location Type 1]],9,FALSE)</f>
        <v>Camp</v>
      </c>
      <c r="EH20" s="754" t="str">
        <f>VLOOKUP(WWWW[[#This Row],[Site Name]],SiteDB6[[Site Name]:[Type of Accommodation]],10,FALSE)</f>
        <v>Camp</v>
      </c>
      <c r="EI20" s="754" t="str">
        <f>VLOOKUP(WWWW[[#This Row],[Site Name]],SiteDB6[[Site Name]:[Ethnic or GCA/NGCA]],11,FALSE)</f>
        <v>GCA</v>
      </c>
      <c r="EJ20" s="754">
        <f>VLOOKUP(WWWW[[#This Row],[Site Name]],SiteDB6[[Site Name]:[Lat]],12,FALSE)</f>
        <v>25.225000000000001</v>
      </c>
      <c r="EK20" s="754">
        <f>VLOOKUP(WWWW[[#This Row],[Site Name]],SiteDB6[[Site Name]:[Long]],13,FALSE)</f>
        <v>96.793999999999997</v>
      </c>
      <c r="EL20" s="754" t="str">
        <f>VLOOKUP(WWWW[[#This Row],[Site Name]],SiteDB6[[Site Name]:[Pcode]],3,FALSE)</f>
        <v>MMR001CMP236</v>
      </c>
      <c r="EM20" s="759" t="str">
        <f t="shared" si="0"/>
        <v>Covered</v>
      </c>
      <c r="EN20" s="759"/>
      <c r="EO20" s="754">
        <f>VLOOKUP(WWWW[[#This Row],[Site Name]],SiteDB6[[Site Name]:[Pop
(Kachin/Shan-CCCM as of July 2021)]],16,FALSE)</f>
        <v>27</v>
      </c>
      <c r="EP20" s="754">
        <f>VLOOKUP(WWWW[[#This Row],[Site Name]],SiteDB6[[Site Name]:[Pop
(Kachin/Shan-CCCM as of July 2021)]],17,FALSE)</f>
        <v>137</v>
      </c>
    </row>
    <row r="21" spans="1:146" hidden="1">
      <c r="A21" s="752" t="s">
        <v>2785</v>
      </c>
      <c r="B21" s="752" t="s">
        <v>141</v>
      </c>
      <c r="C21" s="753" t="s">
        <v>141</v>
      </c>
      <c r="D21" s="753" t="s">
        <v>241</v>
      </c>
      <c r="E21" s="753" t="s">
        <v>37</v>
      </c>
      <c r="F21" s="753" t="s">
        <v>157</v>
      </c>
      <c r="G21" s="594" t="str">
        <f>VLOOKUP(WWWW[[#This Row],[Site Name]],SiteDB6[[Site Name]:[Location Type]],8,FALSE)</f>
        <v>Camp</v>
      </c>
      <c r="H21" s="753" t="s">
        <v>158</v>
      </c>
      <c r="I21" s="755">
        <v>22</v>
      </c>
      <c r="J21" s="755">
        <v>113</v>
      </c>
      <c r="K21" s="756">
        <v>44105</v>
      </c>
      <c r="L21" s="757">
        <v>44681</v>
      </c>
      <c r="M21" s="755"/>
      <c r="N21" s="755">
        <v>1</v>
      </c>
      <c r="O21" s="755"/>
      <c r="P21" s="755"/>
      <c r="Q21" s="758" t="s">
        <v>41</v>
      </c>
      <c r="R21" s="755"/>
      <c r="S21" s="755">
        <v>1</v>
      </c>
      <c r="T21" s="449">
        <v>0</v>
      </c>
      <c r="U21" s="755"/>
      <c r="V21" s="755"/>
      <c r="W21" s="755">
        <v>3</v>
      </c>
      <c r="X21" s="755"/>
      <c r="Y21" s="755"/>
      <c r="Z21" s="755"/>
      <c r="AA21" s="755"/>
      <c r="AB21" s="755"/>
      <c r="AC21" s="755"/>
      <c r="AD21" s="755"/>
      <c r="AE21" s="755"/>
      <c r="AF21" s="755"/>
      <c r="AG21" s="755"/>
      <c r="AH21" s="755"/>
      <c r="AI21" s="755"/>
      <c r="AJ21" s="755"/>
      <c r="AK21" s="755"/>
      <c r="AL21" s="755"/>
      <c r="AM21" s="755"/>
      <c r="AN21" s="755"/>
      <c r="AO21" s="755"/>
      <c r="AP21" s="759"/>
      <c r="AQ21" s="755">
        <v>5</v>
      </c>
      <c r="AR21" s="755"/>
      <c r="AS21" s="760"/>
      <c r="AT21" s="755"/>
      <c r="AU21" s="755"/>
      <c r="AV21" s="755"/>
      <c r="AW21" s="755"/>
      <c r="AX21" s="755"/>
      <c r="AY21" s="754" t="s">
        <v>41</v>
      </c>
      <c r="AZ21" s="759" t="s">
        <v>904</v>
      </c>
      <c r="BA21" s="755"/>
      <c r="BB21" s="755"/>
      <c r="BC21" s="755"/>
      <c r="BD21" s="449"/>
      <c r="BE21" s="449"/>
      <c r="BF21" s="754"/>
      <c r="BG21" s="755">
        <v>3</v>
      </c>
      <c r="BH21" s="755"/>
      <c r="BI21" s="755"/>
      <c r="BJ21" s="755">
        <v>2</v>
      </c>
      <c r="BK21" s="755"/>
      <c r="BL21" s="755">
        <v>1</v>
      </c>
      <c r="BM21" s="755"/>
      <c r="BN21" s="755">
        <v>88</v>
      </c>
      <c r="BO21" s="755">
        <v>100</v>
      </c>
      <c r="BP21" s="754"/>
      <c r="BQ21" s="761"/>
      <c r="BR21" s="760"/>
      <c r="BS21" s="754"/>
      <c r="BT21" s="424"/>
      <c r="BU21" s="424"/>
      <c r="BV21" s="426"/>
      <c r="BW21" s="424"/>
      <c r="BX21" s="449"/>
      <c r="BY21" s="449"/>
      <c r="BZ21" s="449"/>
      <c r="CA21" s="449"/>
      <c r="CB21" s="449"/>
      <c r="CC21" s="807"/>
      <c r="CD21" s="449"/>
      <c r="CE21" s="762" t="str">
        <f>IFERROR(WWWW[[#This Row],['#_Water sources passed]]/WWWW[[#This Row],['#_Water sources tested for fecal coliform ]],"no test")</f>
        <v>no test</v>
      </c>
      <c r="CF21" s="760" t="str">
        <f>IFERROR(WWWW[[#This Row],['#_Household passed]]/WWWW[[#This Row],['#_Household water samples tested for fecal coliform]],"no test")</f>
        <v>no test</v>
      </c>
      <c r="CG21" s="761" t="str">
        <f>IF(AND(WWWW[[#This Row],[% of water sources passed]]="no test",WWWW[[#This Row],[% Household passed]]="no test"),"No Test","Tested")</f>
        <v>No Test</v>
      </c>
      <c r="CH21" s="761">
        <f>WWWW[[#This Row],['#_Constructed/existing protected hand dug well]]-WWWW[[#This Row],['#_Non-functional protected hand dug well]]</f>
        <v>0</v>
      </c>
      <c r="CI21" s="761">
        <f>(WWWW[[#This Row],['#_Constructed/Existing tube wells/boreholes/handpumps_WASH_agency]]+WWWW[[#This Row],['#_Non-Cluster partner water tube-wells/boreholes/handpumps]])-WWWW[[#This Row],['#_Non-functional tube wells/boreholes/handpumps]]</f>
        <v>3</v>
      </c>
      <c r="CJ21" s="761">
        <f>WWWW[[#This Row],['#_Constructed/Existingwater storage tank with gravity fed reticulation system]]-WWWW[[#This Row],['#_Non-functional storage tank gravity fed reticulation system]]</f>
        <v>0</v>
      </c>
      <c r="CK21" s="761">
        <f>(WWWW[[#This Row],['#_Water_Liters_supplied_by_Water boating or water trucking]]/90)/15</f>
        <v>0</v>
      </c>
      <c r="CL21" s="761">
        <f>WWWW[[#This Row],['#_Water_Liters_from_Constructed/Existing water distribution system from river or natural spring]]/90/15</f>
        <v>0</v>
      </c>
      <c r="CM21" s="425">
        <f>IF(WWWW[[#This Row],['#_of water points in TLS/CFS]]*500&gt;WWWW[[#This Row],[Total PoP ]],WWWW[[#This Row],[Total PoP ]],WWWW[[#This Row],['#_of water points in TLS/CFS]]*500)</f>
        <v>0</v>
      </c>
      <c r="CN21" s="425">
        <f>IF(WWWW[[#This Row],['#_of water points in THF]]*500&gt;WWWW[[#This Row],[Total PoP ]],WWWW[[#This Row],[Total PoP ]],WWWW[[#This Row],['#_of water points in THF]]*500)</f>
        <v>0</v>
      </c>
      <c r="CO2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 s="760">
        <f>IF(WWWW[[#This Row],[Location Type 1]]="Village",WWWW[[#This Row],[Access to safe drinking water for Village]],WWWW[[#This Row],[Access to safe drinking water for Camp]])</f>
        <v>1</v>
      </c>
      <c r="CR21" s="758">
        <f>WWWW[[#This Row],[%Equitable and continuous access to sufficient quantity of safe drinking water]]*WWWW[[#This Row],[Total PoP ]]</f>
        <v>113</v>
      </c>
      <c r="CS21" s="760">
        <f>IF((WWWW[[#This Row],['#_Constructed/Existing protected/fenced ponds]]*250)/WWWW[[#This Row],[Total PoP ]]&gt;1,1,(WWWW[[#This Row],['#_Constructed/Existing protected/fenced ponds]]*250)/WWWW[[#This Row],[Total PoP ]])</f>
        <v>0</v>
      </c>
      <c r="CT21" s="758">
        <f>WWWW[[#This Row],[% Access to unimproved water points]]*WWWW[[#This Row],[Total PoP ]]</f>
        <v>0</v>
      </c>
      <c r="CU2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113</v>
      </c>
      <c r="CW21" s="758">
        <f>WWWW[[#This Row],[HRP1]]/500</f>
        <v>0.22600000000000001</v>
      </c>
      <c r="CX21" s="763">
        <f>1-WWWW[[#This Row],[% Equitable and continuous access to sufficient quantity of domestic water]]</f>
        <v>0</v>
      </c>
      <c r="CY21" s="758">
        <f>WWWW[[#This Row],[%equitable and continuous access to sufficient quantity of safe drinking and domestic water''s GAP]]*WWWW[[#This Row],[Total PoP ]]</f>
        <v>0</v>
      </c>
      <c r="CZ21" s="761">
        <f>IF(WWWW[[#This Row],[Total required water points]]-WWWW[[#This Row],['#Water points coverage]]&lt;0,0,WWWW[[#This Row],[Total required water points]]-WWWW[[#This Row],['#Water points coverage]])</f>
        <v>0.77400000000000002</v>
      </c>
      <c r="DA21" s="761">
        <f>ROUND(IF(WWWW[[#This Row],[Total PoP ]]&lt;500,1,WWWW[[#This Row],[Total PoP ]]/500),0)</f>
        <v>1</v>
      </c>
      <c r="DB21" s="761">
        <f>(WWWW[[#This Row],['#_Constructed latrines_by_WASHAgencies]]+WWWW[[#This Row],['#_Non Cluster partner latrines]])-WWWW[[#This Row],['#_Non-functional latrines]]</f>
        <v>5</v>
      </c>
      <c r="DC21" s="634">
        <f>WWWW[[#This Row],[HRP2]]/WWWW[[#This Row],[Total PoP ]]</f>
        <v>0.88495575221238942</v>
      </c>
      <c r="DD2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 s="425">
        <f>IF(WWWW[[#This Row],['# of functional latrines in THF supported by WASH partners during the reporting period2]]="",0,WWWW[[#This Row],['# of functional latrines in THF supported by WASH partners during the reporting period2]]*50)</f>
        <v>0</v>
      </c>
      <c r="DH21" s="761">
        <f>ROUND(IF(WWWW[[#This Row],[Location Type 1]]="camp",WWWW[[#This Row],[Total PoP ]]/20,IF(WWWW[[#This Row],[Location Type 1]]="Temporary Location",WWWW[[#This Row],[Total PoP ]]/50,(WWWW[[#This Row],[Total PoP ]]/6))),0)</f>
        <v>6</v>
      </c>
      <c r="DI21" s="761">
        <f>IF(WWWW[[#This Row],[Total required Latrines]]-(WWWW[[#This Row],['#_Constructed latrines_by_WASHAgencies]]+WWWW[[#This Row],['#_Non Cluster partner latrines]])&lt;0,0,WWWW[[#This Row],[Total required Latrines]]-(WWWW[[#This Row],['#_Constructed latrines_by_WASHAgencies]]+WWWW[[#This Row],['#_Non Cluster partner latrines]]))</f>
        <v>1</v>
      </c>
      <c r="DJ21" s="763">
        <f>1-WWWW[[#This Row],[% people access to functioning Latrine]]</f>
        <v>0.11504424778761058</v>
      </c>
      <c r="DK21" s="762">
        <f>IF(OR(WWWW[[#This Row],['#_Non-functional latrines]]="",WWWW[[#This Row],['#_Non-functional latrines]]=0),0,WWWW[[#This Row],['#_Non-functional latrines]]/(WWWW[[#This Row],['#_Constructed latrines_by_WASHAgencies]]+WWWW[[#This Row],['#_Non Cluster partner latrines]]))</f>
        <v>0</v>
      </c>
      <c r="DL21" s="758">
        <f>IF(500*(WWWW[[#This Row],['#_male hygiene promoters]]+WWWW[[#This Row],['#_female hygiene promoters]])&gt;WWWW[[#This Row],[Total PoP ]],WWWW[[#This Row],[Total PoP ]],500*(WWWW[[#This Row],['#_male hygiene promoters]]+WWWW[[#This Row],['#_female hygiene promoters]]))</f>
        <v>113</v>
      </c>
      <c r="DM2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113</v>
      </c>
      <c r="DN2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1" s="761">
        <f>IF(WWWW[[#This Row],['# People with access to soap]]&gt;WWWW[[#This Row],['# People with access to Sanity Pads]],WWWW[[#This Row],['# People with access to soap]],WWWW[[#This Row],['# People with access to Sanity Pads]])</f>
        <v>113</v>
      </c>
      <c r="DP21" s="761">
        <f>IF(WWWW[[#This Row],['# people reached by regular dedicated hygiene promotion_5]]&gt;WWWW[[#This Row],['# People received regular supply of hygiene items_6]],WWWW[[#This Row],['# people reached by regular dedicated hygiene promotion_5]],WWWW[[#This Row],['# People received regular supply of hygiene items_6]])</f>
        <v>113</v>
      </c>
      <c r="DQ21" s="763">
        <f>IF(WWWW[[#This Row],[HRP3]]/WWWW[[#This Row],[Total PoP ]]&gt;1,1,WWWW[[#This Row],[HRP3]]/WWWW[[#This Row],[Total PoP ]])</f>
        <v>1</v>
      </c>
      <c r="DR21" s="762">
        <f>1-WWWW[[#This Row],[Hygiene Coverage%]]</f>
        <v>0</v>
      </c>
      <c r="DS21" s="760">
        <f>WWWW[[#This Row],['# people reached by regular dedicated hygiene promotion_5]]/WWWW[[#This Row],[Total PoP ]]</f>
        <v>1</v>
      </c>
      <c r="DT2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 s="761">
        <f>WWWW[[#This Row],['#_Constructed/Existing hand washing stations]]-WWWW[[#This Row],['#_Non-Functional_hand_washing_stations]]</f>
        <v>3</v>
      </c>
      <c r="DW21" s="758">
        <f>IF(WWWW[[#This Row],['# Functional hand washing stations during reporting period]]*20&gt;WWWW[[#This Row],[Total HH]],WWWW[[#This Row],[Total HH]],WWWW[[#This Row],['# Functional hand washing stations during reporting period]]*20)</f>
        <v>22</v>
      </c>
      <c r="DX21" s="758">
        <f>IF(WWWW[[#This Row],[Is sufficient soap available for TLS? (Yes/No)]]="yes",WWWW[[#This Row],['#_Constructed/Existing hand washing stations at TLS/CFS/THF]],0)</f>
        <v>0</v>
      </c>
      <c r="DY21" s="429">
        <f>IF(WWWW[[#This Row],['# Functional hand washing stations during reporting period]]*100&gt;WWWW[[#This Row],[Total PoP ]],WWWW[[#This Row],[Total PoP ]],WWWW[[#This Row],['# Functional hand washing stations during reporting period]]*100)</f>
        <v>113</v>
      </c>
      <c r="DZ21" s="429" t="str">
        <f>IF(OR(WWWW[[#This Row],['#_students at TLS_CFS]]="",WWWW[[#This Row],['#_students at TLS_CFS]]=0),"No","Yes")</f>
        <v>No</v>
      </c>
      <c r="EA2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 s="754" t="str">
        <f>VLOOKUP(WWWW[[#This Row],[Site Name]],SiteDB6[[Site Name]:[CCCM Management]],6,FALSE)</f>
        <v>Yes</v>
      </c>
      <c r="EF21" s="754" t="str">
        <f>VLOOKUP(WWWW[[#This Row],[Site Name]],SiteDB6[[Site Name]:[CCCM Focal Agency]],7,FALSE)</f>
        <v>KBC-MYT</v>
      </c>
      <c r="EG21" s="754" t="str">
        <f>VLOOKUP(WWWW[[#This Row],[Site Name]],SiteDB6[[Site Name]:[Location Type 1]],9,FALSE)</f>
        <v>Camp</v>
      </c>
      <c r="EH21" s="754" t="str">
        <f>VLOOKUP(WWWW[[#This Row],[Site Name]],SiteDB6[[Site Name]:[Type of Accommodation]],10,FALSE)</f>
        <v>Camp</v>
      </c>
      <c r="EI21" s="754" t="str">
        <f>VLOOKUP(WWWW[[#This Row],[Site Name]],SiteDB6[[Site Name]:[Ethnic or GCA/NGCA]],11,FALSE)</f>
        <v>GCA</v>
      </c>
      <c r="EJ21" s="754">
        <f>VLOOKUP(WWWW[[#This Row],[Site Name]],SiteDB6[[Site Name]:[Lat]],12,FALSE)</f>
        <v>24.998349999999999</v>
      </c>
      <c r="EK21" s="754">
        <f>VLOOKUP(WWWW[[#This Row],[Site Name]],SiteDB6[[Site Name]:[Long]],13,FALSE)</f>
        <v>96.364949999999993</v>
      </c>
      <c r="EL21" s="754" t="str">
        <f>VLOOKUP(WWWW[[#This Row],[Site Name]],SiteDB6[[Site Name]:[Pcode]],3,FALSE)</f>
        <v>MMR001CMP152</v>
      </c>
      <c r="EM21" s="759" t="str">
        <f t="shared" si="0"/>
        <v>Covered</v>
      </c>
      <c r="EN21" s="759"/>
      <c r="EO21" s="754">
        <f>VLOOKUP(WWWW[[#This Row],[Site Name]],SiteDB6[[Site Name]:[Pop
(Kachin/Shan-CCCM as of July 2021)]],16,FALSE)</f>
        <v>26</v>
      </c>
      <c r="EP21" s="754">
        <f>VLOOKUP(WWWW[[#This Row],[Site Name]],SiteDB6[[Site Name]:[Pop
(Kachin/Shan-CCCM as of July 2021)]],17,FALSE)</f>
        <v>127</v>
      </c>
    </row>
    <row r="22" spans="1:146" hidden="1">
      <c r="A22" s="752" t="s">
        <v>2785</v>
      </c>
      <c r="B22" s="752" t="s">
        <v>141</v>
      </c>
      <c r="C22" s="753" t="s">
        <v>141</v>
      </c>
      <c r="D22" s="753" t="s">
        <v>241</v>
      </c>
      <c r="E22" s="753" t="s">
        <v>37</v>
      </c>
      <c r="F22" s="753" t="s">
        <v>205</v>
      </c>
      <c r="G22" s="594" t="str">
        <f>VLOOKUP(WWWW[[#This Row],[Site Name]],SiteDB6[[Site Name]:[Location Type]],8,FALSE)</f>
        <v>Camp</v>
      </c>
      <c r="H22" s="753" t="s">
        <v>290</v>
      </c>
      <c r="I22" s="755">
        <v>1490</v>
      </c>
      <c r="J22" s="755">
        <v>8486</v>
      </c>
      <c r="K22" s="591">
        <v>44105</v>
      </c>
      <c r="L22" s="592">
        <v>44681</v>
      </c>
      <c r="M22" s="755"/>
      <c r="N22" s="755"/>
      <c r="O22" s="755"/>
      <c r="P22" s="755"/>
      <c r="Q22" s="758" t="s">
        <v>41</v>
      </c>
      <c r="R22" s="755"/>
      <c r="S22" s="755"/>
      <c r="T22" s="449">
        <v>1</v>
      </c>
      <c r="U22" s="755"/>
      <c r="V22" s="755"/>
      <c r="W22" s="755"/>
      <c r="X22" s="755"/>
      <c r="Y22" s="755"/>
      <c r="Z22" s="755"/>
      <c r="AA22" s="755"/>
      <c r="AB22" s="755"/>
      <c r="AC22" s="755"/>
      <c r="AD22" s="755"/>
      <c r="AE22" s="755"/>
      <c r="AF22" s="755"/>
      <c r="AG22" s="755"/>
      <c r="AH22" s="755"/>
      <c r="AI22" s="755"/>
      <c r="AJ22" s="755"/>
      <c r="AK22" s="755"/>
      <c r="AL22" s="755"/>
      <c r="AM22" s="755">
        <v>3</v>
      </c>
      <c r="AN22" s="755"/>
      <c r="AO22" s="755"/>
      <c r="AP22" s="759"/>
      <c r="AQ22" s="755">
        <v>34</v>
      </c>
      <c r="AR22" s="755"/>
      <c r="AS22" s="760"/>
      <c r="AT22" s="755"/>
      <c r="AU22" s="755"/>
      <c r="AV22" s="755"/>
      <c r="AW22" s="755"/>
      <c r="AX22" s="755"/>
      <c r="AY22" s="754" t="s">
        <v>41</v>
      </c>
      <c r="AZ22" s="759" t="s">
        <v>137</v>
      </c>
      <c r="BA22" s="755">
        <v>6</v>
      </c>
      <c r="BB22" s="755"/>
      <c r="BC22" s="755"/>
      <c r="BD22" s="449"/>
      <c r="BE22" s="449"/>
      <c r="BF22" s="754"/>
      <c r="BG22" s="755">
        <v>7</v>
      </c>
      <c r="BH22" s="755"/>
      <c r="BI22" s="755"/>
      <c r="BJ22" s="755">
        <v>7</v>
      </c>
      <c r="BK22" s="755"/>
      <c r="BL22" s="755"/>
      <c r="BM22" s="755">
        <v>9</v>
      </c>
      <c r="BN22" s="755">
        <v>104</v>
      </c>
      <c r="BO22" s="755">
        <v>148</v>
      </c>
      <c r="BP22" s="754"/>
      <c r="BQ22" s="761"/>
      <c r="BR22" s="760"/>
      <c r="BS22" s="754"/>
      <c r="BT22" s="424"/>
      <c r="BU22" s="424"/>
      <c r="BV22" s="426"/>
      <c r="BW22" s="424"/>
      <c r="BX22" s="449"/>
      <c r="BY22" s="449"/>
      <c r="BZ22" s="449"/>
      <c r="CA22" s="449"/>
      <c r="CB22" s="449"/>
      <c r="CC22" s="807"/>
      <c r="CD22" s="449"/>
      <c r="CE22" s="762" t="str">
        <f>IFERROR(WWWW[[#This Row],['#_Water sources passed]]/WWWW[[#This Row],['#_Water sources tested for fecal coliform ]],"no test")</f>
        <v>no test</v>
      </c>
      <c r="CF22" s="760" t="str">
        <f>IFERROR(WWWW[[#This Row],['#_Household passed]]/WWWW[[#This Row],['#_Household water samples tested for fecal coliform]],"no test")</f>
        <v>no test</v>
      </c>
      <c r="CG22" s="761" t="str">
        <f>IF(AND(WWWW[[#This Row],[% of water sources passed]]="no test",WWWW[[#This Row],[% Household passed]]="no test"),"No Test","Tested")</f>
        <v>No Test</v>
      </c>
      <c r="CH22" s="761">
        <f>WWWW[[#This Row],['#_Constructed/existing protected hand dug well]]-WWWW[[#This Row],['#_Non-functional protected hand dug well]]</f>
        <v>1</v>
      </c>
      <c r="CI22" s="761">
        <f>(WWWW[[#This Row],['#_Constructed/Existing tube wells/boreholes/handpumps_WASH_agency]]+WWWW[[#This Row],['#_Non-Cluster partner water tube-wells/boreholes/handpumps]])-WWWW[[#This Row],['#_Non-functional tube wells/boreholes/handpumps]]</f>
        <v>0</v>
      </c>
      <c r="CJ22" s="761">
        <f>WWWW[[#This Row],['#_Constructed/Existingwater storage tank with gravity fed reticulation system]]-WWWW[[#This Row],['#_Non-functional storage tank gravity fed reticulation system]]</f>
        <v>0</v>
      </c>
      <c r="CK22" s="761">
        <f>(WWWW[[#This Row],['#_Water_Liters_supplied_by_Water boating or water trucking]]/90)/15</f>
        <v>0</v>
      </c>
      <c r="CL22" s="761">
        <f>WWWW[[#This Row],['#_Water_Liters_from_Constructed/Existing water distribution system from river or natural spring]]/90/15</f>
        <v>0</v>
      </c>
      <c r="CM22" s="425">
        <f>IF(WWWW[[#This Row],['#_of water points in TLS/CFS]]*500&gt;WWWW[[#This Row],[Total PoP ]],WWWW[[#This Row],[Total PoP ]],WWWW[[#This Row],['#_of water points in TLS/CFS]]*500)</f>
        <v>0</v>
      </c>
      <c r="CN22" s="425">
        <f>IF(WWWW[[#This Row],['#_of water points in THF]]*500&gt;WWWW[[#This Row],[Total PoP ]],WWWW[[#This Row],[Total PoP ]],WWWW[[#This Row],['#_of water points in THF]]*500)</f>
        <v>0</v>
      </c>
      <c r="CO2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4.7136460051850106E-2</v>
      </c>
      <c r="CP2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2.9460287532406315E-2</v>
      </c>
      <c r="CQ22" s="760">
        <f>IF(WWWW[[#This Row],[Location Type 1]]="Village",WWWW[[#This Row],[Access to safe drinking water for Village]],WWWW[[#This Row],[Access to safe drinking water for Camp]])</f>
        <v>4.7136460051850106E-2</v>
      </c>
      <c r="CR22" s="758">
        <f>WWWW[[#This Row],[%Equitable and continuous access to sufficient quantity of safe drinking water]]*WWWW[[#This Row],[Total PoP ]]</f>
        <v>400</v>
      </c>
      <c r="CS22" s="760">
        <f>IF((WWWW[[#This Row],['#_Constructed/Existing protected/fenced ponds]]*250)/WWWW[[#This Row],[Total PoP ]]&gt;1,1,(WWWW[[#This Row],['#_Constructed/Existing protected/fenced ponds]]*250)/WWWW[[#This Row],[Total PoP ]])</f>
        <v>0</v>
      </c>
      <c r="CT22" s="758">
        <f>WWWW[[#This Row],[% Access to unimproved water points]]*WWWW[[#This Row],[Total PoP ]]</f>
        <v>0</v>
      </c>
      <c r="CU2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4.7136460051850106E-2</v>
      </c>
      <c r="CV2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2" s="758">
        <f>WWWW[[#This Row],[HRP1]]/500</f>
        <v>0.8</v>
      </c>
      <c r="CX22" s="763">
        <f>1-WWWW[[#This Row],[% Equitable and continuous access to sufficient quantity of domestic water]]</f>
        <v>0.95286353994814987</v>
      </c>
      <c r="CY22" s="758">
        <f>WWWW[[#This Row],[%equitable and continuous access to sufficient quantity of safe drinking and domestic water''s GAP]]*WWWW[[#This Row],[Total PoP ]]</f>
        <v>8086</v>
      </c>
      <c r="CZ22" s="761">
        <f>IF(WWWW[[#This Row],[Total required water points]]-WWWW[[#This Row],['#Water points coverage]]&lt;0,0,WWWW[[#This Row],[Total required water points]]-WWWW[[#This Row],['#Water points coverage]])</f>
        <v>16.2</v>
      </c>
      <c r="DA22" s="761">
        <f>ROUND(IF(WWWW[[#This Row],[Total PoP ]]&lt;500,1,WWWW[[#This Row],[Total PoP ]]/500),0)</f>
        <v>17</v>
      </c>
      <c r="DB22" s="761">
        <f>(WWWW[[#This Row],['#_Constructed latrines_by_WASHAgencies]]+WWWW[[#This Row],['#_Non Cluster partner latrines]])-WWWW[[#This Row],['#_Non-functional latrines]]</f>
        <v>34</v>
      </c>
      <c r="DC22" s="634">
        <f>WWWW[[#This Row],[HRP2]]/WWWW[[#This Row],[Total PoP ]]</f>
        <v>9.4272920103700211E-2</v>
      </c>
      <c r="DD2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2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 s="425">
        <f>IF(WWWW[[#This Row],['# of functional latrines in THF supported by WASH partners during the reporting period2]]="",0,WWWW[[#This Row],['# of functional latrines in THF supported by WASH partners during the reporting period2]]*50)</f>
        <v>0</v>
      </c>
      <c r="DH22" s="761">
        <f>ROUND(IF(WWWW[[#This Row],[Location Type 1]]="camp",WWWW[[#This Row],[Total PoP ]]/20,IF(WWWW[[#This Row],[Location Type 1]]="Temporary Location",WWWW[[#This Row],[Total PoP ]]/50,(WWWW[[#This Row],[Total PoP ]]/6))),0)</f>
        <v>424</v>
      </c>
      <c r="DI22" s="761">
        <f>IF(WWWW[[#This Row],[Total required Latrines]]-(WWWW[[#This Row],['#_Constructed latrines_by_WASHAgencies]]+WWWW[[#This Row],['#_Non Cluster partner latrines]])&lt;0,0,WWWW[[#This Row],[Total required Latrines]]-(WWWW[[#This Row],['#_Constructed latrines_by_WASHAgencies]]+WWWW[[#This Row],['#_Non Cluster partner latrines]]))</f>
        <v>390</v>
      </c>
      <c r="DJ22" s="763">
        <f>1-WWWW[[#This Row],[% people access to functioning Latrine]]</f>
        <v>0.90572707989629975</v>
      </c>
      <c r="DK22" s="762">
        <f>IF(OR(WWWW[[#This Row],['#_Non-functional latrines]]="",WWWW[[#This Row],['#_Non-functional latrines]]=0),0,WWWW[[#This Row],['#_Non-functional latrines]]/(WWWW[[#This Row],['#_Constructed latrines_by_WASHAgencies]]+WWWW[[#This Row],['#_Non Cluster partner latrines]]))</f>
        <v>0</v>
      </c>
      <c r="DL22" s="758">
        <f>IF(500*(WWWW[[#This Row],['#_male hygiene promoters]]+WWWW[[#This Row],['#_female hygiene promoters]])&gt;WWWW[[#This Row],[Total PoP ]],WWWW[[#This Row],[Total PoP ]],500*(WWWW[[#This Row],['#_male hygiene promoters]]+WWWW[[#This Row],['#_female hygiene promoters]]))</f>
        <v>4500</v>
      </c>
      <c r="DM2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2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2" s="761">
        <f>IF(WWWW[[#This Row],['# People with access to soap]]&gt;WWWW[[#This Row],['# People with access to Sanity Pads]],WWWW[[#This Row],['# People with access to soap]],WWWW[[#This Row],['# People with access to Sanity Pads]])</f>
        <v>520</v>
      </c>
      <c r="DP22" s="761">
        <f>IF(WWWW[[#This Row],['# people reached by regular dedicated hygiene promotion_5]]&gt;WWWW[[#This Row],['# People received regular supply of hygiene items_6]],WWWW[[#This Row],['# people reached by regular dedicated hygiene promotion_5]],WWWW[[#This Row],['# People received regular supply of hygiene items_6]])</f>
        <v>4500</v>
      </c>
      <c r="DQ22" s="763">
        <f>IF(WWWW[[#This Row],[HRP3]]/WWWW[[#This Row],[Total PoP ]]&gt;1,1,WWWW[[#This Row],[HRP3]]/WWWW[[#This Row],[Total PoP ]])</f>
        <v>0.53028517558331367</v>
      </c>
      <c r="DR22" s="762">
        <f>1-WWWW[[#This Row],[Hygiene Coverage%]]</f>
        <v>0.46971482441668633</v>
      </c>
      <c r="DS22" s="760">
        <f>WWWW[[#This Row],['# people reached by regular dedicated hygiene promotion_5]]/WWWW[[#This Row],[Total PoP ]]</f>
        <v>0.53028517558331367</v>
      </c>
      <c r="DT2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6.9798657718120799E-2</v>
      </c>
      <c r="DU2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9.9328859060402688E-2</v>
      </c>
      <c r="DV22" s="761">
        <f>WWWW[[#This Row],['#_Constructed/Existing hand washing stations]]-WWWW[[#This Row],['#_Non-Functional_hand_washing_stations]]</f>
        <v>7</v>
      </c>
      <c r="DW22" s="758">
        <f>IF(WWWW[[#This Row],['# Functional hand washing stations during reporting period]]*20&gt;WWWW[[#This Row],[Total HH]],WWWW[[#This Row],[Total HH]],WWWW[[#This Row],['# Functional hand washing stations during reporting period]]*20)</f>
        <v>140</v>
      </c>
      <c r="DX22" s="758">
        <f>IF(WWWW[[#This Row],[Is sufficient soap available for TLS? (Yes/No)]]="yes",WWWW[[#This Row],['#_Constructed/Existing hand washing stations at TLS/CFS/THF]],0)</f>
        <v>0</v>
      </c>
      <c r="DY22" s="429">
        <f>IF(WWWW[[#This Row],['# Functional hand washing stations during reporting period]]*100&gt;WWWW[[#This Row],[Total PoP ]],WWWW[[#This Row],[Total PoP ]],WWWW[[#This Row],['# Functional hand washing stations during reporting period]]*100)</f>
        <v>700</v>
      </c>
      <c r="DZ22" s="429" t="str">
        <f>IF(OR(WWWW[[#This Row],['#_students at TLS_CFS]]="",WWWW[[#This Row],['#_students at TLS_CFS]]=0),"No","Yes")</f>
        <v>No</v>
      </c>
      <c r="EA2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 s="754" t="str">
        <f>VLOOKUP(WWWW[[#This Row],[Site Name]],SiteDB6[[Site Name]:[CCCM Management]],6,FALSE)</f>
        <v>Yes</v>
      </c>
      <c r="EF22" s="754" t="str">
        <f>VLOOKUP(WWWW[[#This Row],[Site Name]],SiteDB6[[Site Name]:[CCCM Focal Agency]],7,FALSE)</f>
        <v>KMSS-MYT</v>
      </c>
      <c r="EG22" s="754" t="str">
        <f>VLOOKUP(WWWW[[#This Row],[Site Name]],SiteDB6[[Site Name]:[Location Type 1]],9,FALSE)</f>
        <v>Camp</v>
      </c>
      <c r="EH22" s="754" t="str">
        <f>VLOOKUP(WWWW[[#This Row],[Site Name]],SiteDB6[[Site Name]:[Type of Accommodation]],10,FALSE)</f>
        <v>Camp</v>
      </c>
      <c r="EI22" s="754" t="str">
        <f>VLOOKUP(WWWW[[#This Row],[Site Name]],SiteDB6[[Site Name]:[Ethnic or GCA/NGCA]],11,FALSE)</f>
        <v>NGCA</v>
      </c>
      <c r="EJ22" s="754">
        <f>VLOOKUP(WWWW[[#This Row],[Site Name]],SiteDB6[[Site Name]:[Lat]],12,FALSE)</f>
        <v>24.688338999999999</v>
      </c>
      <c r="EK22" s="754">
        <f>VLOOKUP(WWWW[[#This Row],[Site Name]],SiteDB6[[Site Name]:[Long]],13,FALSE)</f>
        <v>97.568331999999998</v>
      </c>
      <c r="EL22" s="754" t="str">
        <f>VLOOKUP(WWWW[[#This Row],[Site Name]],SiteDB6[[Site Name]:[Pcode]],3,FALSE)</f>
        <v>MMR001CMP121</v>
      </c>
      <c r="EM22" s="759" t="str">
        <f t="shared" si="0"/>
        <v>Covered</v>
      </c>
      <c r="EN22" s="759"/>
      <c r="EO22" s="754">
        <f>VLOOKUP(WWWW[[#This Row],[Site Name]],SiteDB6[[Site Name]:[Pop
(Kachin/Shan-CCCM as of July 2021)]],16,FALSE)</f>
        <v>1592</v>
      </c>
      <c r="EP22" s="754">
        <f>VLOOKUP(WWWW[[#This Row],[Site Name]],SiteDB6[[Site Name]:[Pop
(Kachin/Shan-CCCM as of July 2021)]],17,FALSE)</f>
        <v>8220</v>
      </c>
    </row>
    <row r="23" spans="1:146" hidden="1">
      <c r="A23" s="752" t="s">
        <v>2785</v>
      </c>
      <c r="B23" s="752" t="s">
        <v>141</v>
      </c>
      <c r="C23" s="753" t="s">
        <v>141</v>
      </c>
      <c r="D23" s="753" t="s">
        <v>241</v>
      </c>
      <c r="E23" s="753" t="s">
        <v>37</v>
      </c>
      <c r="F23" s="753" t="s">
        <v>205</v>
      </c>
      <c r="G23" s="594" t="str">
        <f>VLOOKUP(WWWW[[#This Row],[Site Name]],SiteDB6[[Site Name]:[Location Type]],8,FALSE)</f>
        <v>Camp_not registered</v>
      </c>
      <c r="H23" s="753" t="s">
        <v>289</v>
      </c>
      <c r="I23" s="755">
        <v>440</v>
      </c>
      <c r="J23" s="755">
        <v>2199</v>
      </c>
      <c r="K23" s="591">
        <v>44105</v>
      </c>
      <c r="L23" s="592">
        <v>44681</v>
      </c>
      <c r="M23" s="755"/>
      <c r="N23" s="755"/>
      <c r="O23" s="755"/>
      <c r="P23" s="755"/>
      <c r="Q23" s="758" t="s">
        <v>41</v>
      </c>
      <c r="R23" s="755"/>
      <c r="S23" s="755"/>
      <c r="T23" s="449"/>
      <c r="U23" s="755"/>
      <c r="V23" s="755"/>
      <c r="W23" s="755">
        <v>1</v>
      </c>
      <c r="X23" s="755"/>
      <c r="Y23" s="755"/>
      <c r="Z23" s="755"/>
      <c r="AA23" s="755"/>
      <c r="AB23" s="755"/>
      <c r="AC23" s="755"/>
      <c r="AD23" s="755"/>
      <c r="AE23" s="755"/>
      <c r="AF23" s="755"/>
      <c r="AG23" s="755"/>
      <c r="AH23" s="755"/>
      <c r="AI23" s="755"/>
      <c r="AJ23" s="755"/>
      <c r="AK23" s="755"/>
      <c r="AL23" s="755"/>
      <c r="AM23" s="755">
        <v>20</v>
      </c>
      <c r="AN23" s="755"/>
      <c r="AO23" s="755"/>
      <c r="AP23" s="759"/>
      <c r="AQ23" s="755"/>
      <c r="AR23" s="755">
        <v>0</v>
      </c>
      <c r="AS23" s="760"/>
      <c r="AT23" s="755"/>
      <c r="AU23" s="755"/>
      <c r="AV23" s="755"/>
      <c r="AW23" s="755"/>
      <c r="AX23" s="755"/>
      <c r="AY23" s="754" t="s">
        <v>140</v>
      </c>
      <c r="AZ23" s="759" t="s">
        <v>140</v>
      </c>
      <c r="BA23" s="755"/>
      <c r="BB23" s="755"/>
      <c r="BC23" s="755">
        <v>51</v>
      </c>
      <c r="BD23" s="449"/>
      <c r="BE23" s="449"/>
      <c r="BF23" s="754"/>
      <c r="BG23" s="755">
        <v>3</v>
      </c>
      <c r="BH23" s="755"/>
      <c r="BI23" s="755"/>
      <c r="BJ23" s="755">
        <v>2</v>
      </c>
      <c r="BK23" s="755"/>
      <c r="BL23" s="755"/>
      <c r="BM23" s="755"/>
      <c r="BN23" s="755">
        <v>88</v>
      </c>
      <c r="BO23" s="755">
        <v>100</v>
      </c>
      <c r="BP23" s="754"/>
      <c r="BQ23" s="761"/>
      <c r="BR23" s="760"/>
      <c r="BS23" s="754"/>
      <c r="BT23" s="424"/>
      <c r="BU23" s="424"/>
      <c r="BV23" s="426"/>
      <c r="BW23" s="424"/>
      <c r="BX23" s="449"/>
      <c r="BY23" s="449"/>
      <c r="BZ23" s="449"/>
      <c r="CA23" s="449"/>
      <c r="CB23" s="449"/>
      <c r="CC23" s="807"/>
      <c r="CD23" s="449"/>
      <c r="CE23" s="762" t="str">
        <f>IFERROR(WWWW[[#This Row],['#_Water sources passed]]/WWWW[[#This Row],['#_Water sources tested for fecal coliform ]],"no test")</f>
        <v>no test</v>
      </c>
      <c r="CF23" s="760" t="str">
        <f>IFERROR(WWWW[[#This Row],['#_Household passed]]/WWWW[[#This Row],['#_Household water samples tested for fecal coliform]],"no test")</f>
        <v>no test</v>
      </c>
      <c r="CG23" s="761" t="str">
        <f>IF(AND(WWWW[[#This Row],[% of water sources passed]]="no test",WWWW[[#This Row],[% Household passed]]="no test"),"No Test","Tested")</f>
        <v>No Test</v>
      </c>
      <c r="CH23" s="761">
        <f>WWWW[[#This Row],['#_Constructed/existing protected hand dug well]]-WWWW[[#This Row],['#_Non-functional protected hand dug well]]</f>
        <v>0</v>
      </c>
      <c r="CI23" s="761">
        <f>(WWWW[[#This Row],['#_Constructed/Existing tube wells/boreholes/handpumps_WASH_agency]]+WWWW[[#This Row],['#_Non-Cluster partner water tube-wells/boreholes/handpumps]])-WWWW[[#This Row],['#_Non-functional tube wells/boreholes/handpumps]]</f>
        <v>1</v>
      </c>
      <c r="CJ23" s="761">
        <f>WWWW[[#This Row],['#_Constructed/Existingwater storage tank with gravity fed reticulation system]]-WWWW[[#This Row],['#_Non-functional storage tank gravity fed reticulation system]]</f>
        <v>0</v>
      </c>
      <c r="CK23" s="761">
        <f>(WWWW[[#This Row],['#_Water_Liters_supplied_by_Water boating or water trucking]]/90)/15</f>
        <v>0</v>
      </c>
      <c r="CL23" s="761">
        <f>WWWW[[#This Row],['#_Water_Liters_from_Constructed/Existing water distribution system from river or natural spring]]/90/15</f>
        <v>0</v>
      </c>
      <c r="CM23" s="425">
        <f>IF(WWWW[[#This Row],['#_of water points in TLS/CFS]]*500&gt;WWWW[[#This Row],[Total PoP ]],WWWW[[#This Row],[Total PoP ]],WWWW[[#This Row],['#_of water points in TLS/CFS]]*500)</f>
        <v>0</v>
      </c>
      <c r="CN23" s="425">
        <f>IF(WWWW[[#This Row],['#_of water points in THF]]*500&gt;WWWW[[#This Row],[Total PoP ]],WWWW[[#This Row],[Total PoP ]],WWWW[[#This Row],['#_of water points in THF]]*500)</f>
        <v>0</v>
      </c>
      <c r="CO2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2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23" s="760">
        <f>IF(WWWW[[#This Row],[Location Type 1]]="Village",WWWW[[#This Row],[Access to safe drinking water for Village]],WWWW[[#This Row],[Access to safe drinking water for Camp]])</f>
        <v>0.22737608003638018</v>
      </c>
      <c r="CR23" s="758">
        <f>WWWW[[#This Row],[%Equitable and continuous access to sufficient quantity of safe drinking water]]*WWWW[[#This Row],[Total PoP ]]</f>
        <v>500</v>
      </c>
      <c r="CS23" s="760">
        <f>IF((WWWW[[#This Row],['#_Constructed/Existing protected/fenced ponds]]*250)/WWWW[[#This Row],[Total PoP ]]&gt;1,1,(WWWW[[#This Row],['#_Constructed/Existing protected/fenced ponds]]*250)/WWWW[[#This Row],[Total PoP ]])</f>
        <v>0</v>
      </c>
      <c r="CT23" s="758">
        <f>WWWW[[#This Row],[% Access to unimproved water points]]*WWWW[[#This Row],[Total PoP ]]</f>
        <v>0</v>
      </c>
      <c r="CU2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2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23" s="758">
        <f>WWWW[[#This Row],[HRP1]]/500</f>
        <v>1</v>
      </c>
      <c r="CX23" s="763">
        <f>1-WWWW[[#This Row],[% Equitable and continuous access to sufficient quantity of domestic water]]</f>
        <v>0.77262391996361979</v>
      </c>
      <c r="CY23" s="758">
        <f>WWWW[[#This Row],[%equitable and continuous access to sufficient quantity of safe drinking and domestic water''s GAP]]*WWWW[[#This Row],[Total PoP ]]</f>
        <v>1699</v>
      </c>
      <c r="CZ23" s="761">
        <f>IF(WWWW[[#This Row],[Total required water points]]-WWWW[[#This Row],['#Water points coverage]]&lt;0,0,WWWW[[#This Row],[Total required water points]]-WWWW[[#This Row],['#Water points coverage]])</f>
        <v>3</v>
      </c>
      <c r="DA23" s="761">
        <f>ROUND(IF(WWWW[[#This Row],[Total PoP ]]&lt;500,1,WWWW[[#This Row],[Total PoP ]]/500),0)</f>
        <v>4</v>
      </c>
      <c r="DB23" s="761">
        <f>(WWWW[[#This Row],['#_Constructed latrines_by_WASHAgencies]]+WWWW[[#This Row],['#_Non Cluster partner latrines]])-WWWW[[#This Row],['#_Non-functional latrines]]</f>
        <v>0</v>
      </c>
      <c r="DC23" s="634">
        <f>WWWW[[#This Row],[HRP2]]/WWWW[[#This Row],[Total PoP ]]</f>
        <v>0</v>
      </c>
      <c r="DD2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 s="425">
        <f>IF(WWWW[[#This Row],['# of functional latrines in THF supported by WASH partners during the reporting period2]]="",0,WWWW[[#This Row],['# of functional latrines in THF supported by WASH partners during the reporting period2]]*50)</f>
        <v>0</v>
      </c>
      <c r="DH23" s="761">
        <f>ROUND(IF(WWWW[[#This Row],[Location Type 1]]="camp",WWWW[[#This Row],[Total PoP ]]/20,IF(WWWW[[#This Row],[Location Type 1]]="Temporary Location",WWWW[[#This Row],[Total PoP ]]/50,(WWWW[[#This Row],[Total PoP ]]/6))),0)</f>
        <v>110</v>
      </c>
      <c r="DI23" s="761">
        <f>IF(WWWW[[#This Row],[Total required Latrines]]-(WWWW[[#This Row],['#_Constructed latrines_by_WASHAgencies]]+WWWW[[#This Row],['#_Non Cluster partner latrines]])&lt;0,0,WWWW[[#This Row],[Total required Latrines]]-(WWWW[[#This Row],['#_Constructed latrines_by_WASHAgencies]]+WWWW[[#This Row],['#_Non Cluster partner latrines]]))</f>
        <v>110</v>
      </c>
      <c r="DJ23" s="763">
        <f>1-WWWW[[#This Row],[% people access to functioning Latrine]]</f>
        <v>1</v>
      </c>
      <c r="DK23" s="762">
        <f>IF(OR(WWWW[[#This Row],['#_Non-functional latrines]]="",WWWW[[#This Row],['#_Non-functional latrines]]=0),0,WWWW[[#This Row],['#_Non-functional latrines]]/(WWWW[[#This Row],['#_Constructed latrines_by_WASHAgencies]]+WWWW[[#This Row],['#_Non Cluster partner latrines]]))</f>
        <v>0</v>
      </c>
      <c r="DL23" s="758">
        <f>IF(500*(WWWW[[#This Row],['#_male hygiene promoters]]+WWWW[[#This Row],['#_female hygiene promoters]])&gt;WWWW[[#This Row],[Total PoP ]],WWWW[[#This Row],[Total PoP ]],500*(WWWW[[#This Row],['#_male hygiene promoters]]+WWWW[[#This Row],['#_female hygiene promoters]]))</f>
        <v>0</v>
      </c>
      <c r="DM2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2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3" s="761">
        <f>IF(WWWW[[#This Row],['# People with access to soap]]&gt;WWWW[[#This Row],['# People with access to Sanity Pads]],WWWW[[#This Row],['# People with access to soap]],WWWW[[#This Row],['# People with access to Sanity Pads]])</f>
        <v>440</v>
      </c>
      <c r="DP23" s="761">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23" s="763">
        <f>IF(WWWW[[#This Row],[HRP3]]/WWWW[[#This Row],[Total PoP ]]&gt;1,1,WWWW[[#This Row],[HRP3]]/WWWW[[#This Row],[Total PoP ]])</f>
        <v>0.20009095043201455</v>
      </c>
      <c r="DR23" s="762">
        <f>1-WWWW[[#This Row],[Hygiene Coverage%]]</f>
        <v>0.79990904956798548</v>
      </c>
      <c r="DS23" s="760">
        <f>WWWW[[#This Row],['# people reached by regular dedicated hygiene promotion_5]]/WWWW[[#This Row],[Total PoP ]]</f>
        <v>0</v>
      </c>
      <c r="DT2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v>
      </c>
      <c r="DU2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0.22727272727272727</v>
      </c>
      <c r="DV23" s="761">
        <f>WWWW[[#This Row],['#_Constructed/Existing hand washing stations]]-WWWW[[#This Row],['#_Non-Functional_hand_washing_stations]]</f>
        <v>3</v>
      </c>
      <c r="DW23" s="758">
        <f>IF(WWWW[[#This Row],['# Functional hand washing stations during reporting period]]*20&gt;WWWW[[#This Row],[Total HH]],WWWW[[#This Row],[Total HH]],WWWW[[#This Row],['# Functional hand washing stations during reporting period]]*20)</f>
        <v>60</v>
      </c>
      <c r="DX23" s="758">
        <f>IF(WWWW[[#This Row],[Is sufficient soap available for TLS? (Yes/No)]]="yes",WWWW[[#This Row],['#_Constructed/Existing hand washing stations at TLS/CFS/THF]],0)</f>
        <v>0</v>
      </c>
      <c r="DY23" s="429">
        <f>IF(WWWW[[#This Row],['# Functional hand washing stations during reporting period]]*100&gt;WWWW[[#This Row],[Total PoP ]],WWWW[[#This Row],[Total PoP ]],WWWW[[#This Row],['# Functional hand washing stations during reporting period]]*100)</f>
        <v>300</v>
      </c>
      <c r="DZ23" s="429" t="str">
        <f>IF(OR(WWWW[[#This Row],['#_students at TLS_CFS]]="",WWWW[[#This Row],['#_students at TLS_CFS]]=0),"No","Yes")</f>
        <v>No</v>
      </c>
      <c r="EA2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 s="754">
        <f>VLOOKUP(WWWW[[#This Row],[Site Name]],SiteDB6[[Site Name]:[CCCM Management]],6,FALSE)</f>
        <v>0</v>
      </c>
      <c r="EF23" s="754">
        <f>VLOOKUP(WWWW[[#This Row],[Site Name]],SiteDB6[[Site Name]:[CCCM Focal Agency]],7,FALSE)</f>
        <v>0</v>
      </c>
      <c r="EG23" s="754" t="str">
        <f>VLOOKUP(WWWW[[#This Row],[Site Name]],SiteDB6[[Site Name]:[Location Type 1]],9,FALSE)</f>
        <v>Camp</v>
      </c>
      <c r="EH23" s="754" t="str">
        <f>VLOOKUP(WWWW[[#This Row],[Site Name]],SiteDB6[[Site Name]:[Type of Accommodation]],10,FALSE)</f>
        <v>School</v>
      </c>
      <c r="EI23" s="754" t="str">
        <f>VLOOKUP(WWWW[[#This Row],[Site Name]],SiteDB6[[Site Name]:[Ethnic or GCA/NGCA]],11,FALSE)</f>
        <v>NGCA</v>
      </c>
      <c r="EJ23" s="754">
        <f>VLOOKUP(WWWW[[#This Row],[Site Name]],SiteDB6[[Site Name]:[Lat]],12,FALSE)</f>
        <v>0</v>
      </c>
      <c r="EK23" s="754">
        <f>VLOOKUP(WWWW[[#This Row],[Site Name]],SiteDB6[[Site Name]:[Long]],13,FALSE)</f>
        <v>0</v>
      </c>
      <c r="EL23" s="754">
        <f>VLOOKUP(WWWW[[#This Row],[Site Name]],SiteDB6[[Site Name]:[Pcode]],3,FALSE)</f>
        <v>0</v>
      </c>
      <c r="EM23" s="759" t="str">
        <f t="shared" si="0"/>
        <v>Covered</v>
      </c>
      <c r="EN23" s="759"/>
      <c r="EO23" s="754">
        <f>VLOOKUP(WWWW[[#This Row],[Site Name]],SiteDB6[[Site Name]:[Pop
(Kachin/Shan-CCCM as of July 2021)]],16,FALSE)</f>
        <v>0</v>
      </c>
      <c r="EP23" s="754">
        <f>VLOOKUP(WWWW[[#This Row],[Site Name]],SiteDB6[[Site Name]:[Pop
(Kachin/Shan-CCCM as of July 2021)]],17,FALSE)</f>
        <v>0</v>
      </c>
    </row>
    <row r="24" spans="1:146" hidden="1">
      <c r="A24" s="752" t="s">
        <v>2785</v>
      </c>
      <c r="B24" s="913" t="s">
        <v>2082</v>
      </c>
      <c r="C24" s="816" t="s">
        <v>141</v>
      </c>
      <c r="D24" s="816" t="s">
        <v>299</v>
      </c>
      <c r="E24" s="816" t="s">
        <v>37</v>
      </c>
      <c r="F24" s="816" t="s">
        <v>205</v>
      </c>
      <c r="G24" s="594" t="str">
        <f>VLOOKUP(WWWW[[#This Row],[Site Name]],SiteDB6[[Site Name]:[Location Type]],8,FALSE)</f>
        <v>Camp_not registered</v>
      </c>
      <c r="H24" s="816" t="s">
        <v>1535</v>
      </c>
      <c r="I24" s="818">
        <v>311</v>
      </c>
      <c r="J24" s="818">
        <v>1340</v>
      </c>
      <c r="K24" s="819">
        <v>44412</v>
      </c>
      <c r="L24" s="820">
        <v>44776</v>
      </c>
      <c r="M24" s="818">
        <v>543</v>
      </c>
      <c r="N24" s="818">
        <v>4</v>
      </c>
      <c r="O24" s="818"/>
      <c r="P24" s="818"/>
      <c r="Q24" s="821" t="s">
        <v>136</v>
      </c>
      <c r="R24" s="818">
        <v>2</v>
      </c>
      <c r="S24" s="818">
        <v>6</v>
      </c>
      <c r="T24" s="449"/>
      <c r="U24" s="818">
        <v>0</v>
      </c>
      <c r="V24" s="818">
        <v>0</v>
      </c>
      <c r="W24" s="818">
        <v>0</v>
      </c>
      <c r="X24" s="818">
        <v>0</v>
      </c>
      <c r="Y24" s="818">
        <v>0</v>
      </c>
      <c r="Z24" s="818">
        <v>8</v>
      </c>
      <c r="AA24" s="818">
        <v>0</v>
      </c>
      <c r="AB24" s="818">
        <v>0</v>
      </c>
      <c r="AC24" s="818"/>
      <c r="AD24" s="818">
        <v>0</v>
      </c>
      <c r="AE24" s="818">
        <v>0</v>
      </c>
      <c r="AF24" s="818">
        <v>0</v>
      </c>
      <c r="AG24" s="818">
        <v>0</v>
      </c>
      <c r="AH24" s="818">
        <v>0</v>
      </c>
      <c r="AI24" s="818">
        <v>6</v>
      </c>
      <c r="AJ24" s="818">
        <v>6</v>
      </c>
      <c r="AK24" s="818">
        <v>19</v>
      </c>
      <c r="AL24" s="818">
        <v>0</v>
      </c>
      <c r="AM24" s="818">
        <v>0</v>
      </c>
      <c r="AN24" s="818">
        <v>0</v>
      </c>
      <c r="AO24" s="818"/>
      <c r="AP24" s="822"/>
      <c r="AQ24" s="818">
        <v>0</v>
      </c>
      <c r="AR24" s="818">
        <v>0</v>
      </c>
      <c r="AS24" s="823"/>
      <c r="AT24" s="818">
        <v>0</v>
      </c>
      <c r="AU24" s="818"/>
      <c r="AV24" s="818"/>
      <c r="AW24" s="818"/>
      <c r="AX24" s="818">
        <v>0</v>
      </c>
      <c r="AY24" s="817" t="s">
        <v>41</v>
      </c>
      <c r="AZ24" s="822" t="s">
        <v>137</v>
      </c>
      <c r="BA24" s="818">
        <v>0</v>
      </c>
      <c r="BB24" s="818">
        <v>0</v>
      </c>
      <c r="BC24" s="818">
        <v>0</v>
      </c>
      <c r="BD24" s="449">
        <v>0</v>
      </c>
      <c r="BE24" s="449">
        <v>9</v>
      </c>
      <c r="BF24" s="817"/>
      <c r="BG24" s="818">
        <v>3</v>
      </c>
      <c r="BH24" s="818"/>
      <c r="BI24" s="818"/>
      <c r="BJ24" s="818">
        <v>2</v>
      </c>
      <c r="BK24" s="818"/>
      <c r="BL24" s="818"/>
      <c r="BM24" s="818">
        <v>6</v>
      </c>
      <c r="BN24" s="818">
        <v>88</v>
      </c>
      <c r="BO24" s="818">
        <v>100</v>
      </c>
      <c r="BP24" s="817"/>
      <c r="BQ24" s="824"/>
      <c r="BR24" s="823"/>
      <c r="BS24" s="817"/>
      <c r="BT24" s="424"/>
      <c r="BU24" s="424"/>
      <c r="BV24" s="426">
        <v>0.8</v>
      </c>
      <c r="BW24" s="424">
        <v>0.46</v>
      </c>
      <c r="BX24" s="449"/>
      <c r="BY24" s="449"/>
      <c r="BZ24" s="449"/>
      <c r="CA24" s="449">
        <v>0</v>
      </c>
      <c r="CB24" s="449">
        <v>0</v>
      </c>
      <c r="CC24" s="807"/>
      <c r="CD24" s="449"/>
      <c r="CE24" s="825">
        <f>IFERROR(WWWW[[#This Row],['#_Water sources passed]]/WWWW[[#This Row],['#_Water sources tested for fecal coliform ]],"no test")</f>
        <v>1</v>
      </c>
      <c r="CF24" s="823">
        <f>IFERROR(WWWW[[#This Row],['#_Household passed]]/WWWW[[#This Row],['#_Household water samples tested for fecal coliform]],"no test")</f>
        <v>0</v>
      </c>
      <c r="CG24" s="824" t="str">
        <f>IF(AND(WWWW[[#This Row],[% of water sources passed]]="no test",WWWW[[#This Row],[% Household passed]]="no test"),"No Test","Tested")</f>
        <v>Tested</v>
      </c>
      <c r="CH24" s="824">
        <f>WWWW[[#This Row],['#_Constructed/existing protected hand dug well]]-WWWW[[#This Row],['#_Non-functional protected hand dug well]]</f>
        <v>0</v>
      </c>
      <c r="CI24" s="824">
        <f>(WWWW[[#This Row],['#_Constructed/Existing tube wells/boreholes/handpumps_WASH_agency]]+WWWW[[#This Row],['#_Non-Cluster partner water tube-wells/boreholes/handpumps]])-WWWW[[#This Row],['#_Non-functional tube wells/boreholes/handpumps]]</f>
        <v>0</v>
      </c>
      <c r="CJ24" s="824">
        <f>WWWW[[#This Row],['#_Constructed/Existingwater storage tank with gravity fed reticulation system]]-WWWW[[#This Row],['#_Non-functional storage tank gravity fed reticulation system]]</f>
        <v>0</v>
      </c>
      <c r="CK24" s="824">
        <f>(WWWW[[#This Row],['#_Water_Liters_supplied_by_Water boating or water trucking]]/90)/15</f>
        <v>0</v>
      </c>
      <c r="CL24" s="824">
        <f>WWWW[[#This Row],['#_Water_Liters_from_Constructed/Existing water distribution system from river or natural spring]]/90/15</f>
        <v>0</v>
      </c>
      <c r="CM24" s="425">
        <f>IF(WWWW[[#This Row],['#_of water points in TLS/CFS]]*500&gt;WWWW[[#This Row],[Total PoP ]],WWWW[[#This Row],[Total PoP ]],WWWW[[#This Row],['#_of water points in TLS/CFS]]*500)</f>
        <v>0</v>
      </c>
      <c r="CN24" s="425">
        <f>IF(WWWW[[#This Row],['#_of water points in THF]]*500&gt;WWWW[[#This Row],[Total PoP ]],WWWW[[#This Row],[Total PoP ]],WWWW[[#This Row],['#_of water points in THF]]*500)</f>
        <v>0</v>
      </c>
      <c r="CO24"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4"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4" s="823">
        <f>IF(WWWW[[#This Row],[Location Type 1]]="Village",WWWW[[#This Row],[Access to safe drinking water for Village]],WWWW[[#This Row],[Access to safe drinking water for Camp]])</f>
        <v>0</v>
      </c>
      <c r="CR24" s="821">
        <f>WWWW[[#This Row],[%Equitable and continuous access to sufficient quantity of safe drinking water]]*WWWW[[#This Row],[Total PoP ]]</f>
        <v>0</v>
      </c>
      <c r="CS24" s="823">
        <f>IF((WWWW[[#This Row],['#_Constructed/Existing protected/fenced ponds]]*250)/WWWW[[#This Row],[Total PoP ]]&gt;1,1,(WWWW[[#This Row],['#_Constructed/Existing protected/fenced ponds]]*250)/WWWW[[#This Row],[Total PoP ]])</f>
        <v>0</v>
      </c>
      <c r="CT24" s="821">
        <f>WWWW[[#This Row],[% Access to unimproved water points]]*WWWW[[#This Row],[Total PoP ]]</f>
        <v>0</v>
      </c>
      <c r="CU24"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4"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4" s="821">
        <f>WWWW[[#This Row],[HRP1]]/500</f>
        <v>0</v>
      </c>
      <c r="CX24" s="826">
        <f>1-WWWW[[#This Row],[% Equitable and continuous access to sufficient quantity of domestic water]]</f>
        <v>1</v>
      </c>
      <c r="CY24" s="821">
        <f>WWWW[[#This Row],[%equitable and continuous access to sufficient quantity of safe drinking and domestic water''s GAP]]*WWWW[[#This Row],[Total PoP ]]</f>
        <v>1340</v>
      </c>
      <c r="CZ24" s="824">
        <f>IF(WWWW[[#This Row],[Total required water points]]-WWWW[[#This Row],['#Water points coverage]]&lt;0,0,WWWW[[#This Row],[Total required water points]]-WWWW[[#This Row],['#Water points coverage]])</f>
        <v>3</v>
      </c>
      <c r="DA24" s="824">
        <f>ROUND(IF(WWWW[[#This Row],[Total PoP ]]&lt;500,1,WWWW[[#This Row],[Total PoP ]]/500),0)</f>
        <v>3</v>
      </c>
      <c r="DB24" s="824">
        <f>(WWWW[[#This Row],['#_Constructed latrines_by_WASHAgencies]]+WWWW[[#This Row],['#_Non Cluster partner latrines]])-WWWW[[#This Row],['#_Non-functional latrines]]</f>
        <v>0</v>
      </c>
      <c r="DC24" s="634">
        <f>WWWW[[#This Row],[HRP2]]/WWWW[[#This Row],[Total PoP ]]</f>
        <v>6.7164179104477612E-3</v>
      </c>
      <c r="DD24"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v>
      </c>
      <c r="DE24"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 s="425">
        <f>IF(WWWW[[#This Row],['# of functional latrines in THF supported by WASH partners during the reporting period2]]="",0,WWWW[[#This Row],['# of functional latrines in THF supported by WASH partners during the reporting period2]]*50)</f>
        <v>0</v>
      </c>
      <c r="DH24" s="824">
        <f>ROUND(IF(WWWW[[#This Row],[Location Type 1]]="camp",WWWW[[#This Row],[Total PoP ]]/20,IF(WWWW[[#This Row],[Location Type 1]]="Temporary Location",WWWW[[#This Row],[Total PoP ]]/50,(WWWW[[#This Row],[Total PoP ]]/6))),0)</f>
        <v>67</v>
      </c>
      <c r="DI24" s="824">
        <f>IF(WWWW[[#This Row],[Total required Latrines]]-(WWWW[[#This Row],['#_Constructed latrines_by_WASHAgencies]]+WWWW[[#This Row],['#_Non Cluster partner latrines]])&lt;0,0,WWWW[[#This Row],[Total required Latrines]]-(WWWW[[#This Row],['#_Constructed latrines_by_WASHAgencies]]+WWWW[[#This Row],['#_Non Cluster partner latrines]]))</f>
        <v>67</v>
      </c>
      <c r="DJ24" s="826">
        <f>1-WWWW[[#This Row],[% people access to functioning Latrine]]</f>
        <v>0.99328358208955225</v>
      </c>
      <c r="DK24" s="825">
        <f>IF(OR(WWWW[[#This Row],['#_Non-functional latrines]]="",WWWW[[#This Row],['#_Non-functional latrines]]=0),0,WWWW[[#This Row],['#_Non-functional latrines]]/(WWWW[[#This Row],['#_Constructed latrines_by_WASHAgencies]]+WWWW[[#This Row],['#_Non Cluster partner latrines]]))</f>
        <v>0</v>
      </c>
      <c r="DL24" s="821">
        <f>IF(500*(WWWW[[#This Row],['#_male hygiene promoters]]+WWWW[[#This Row],['#_female hygiene promoters]])&gt;WWWW[[#This Row],[Total PoP ]],WWWW[[#This Row],[Total PoP ]],500*(WWWW[[#This Row],['#_male hygiene promoters]]+WWWW[[#This Row],['#_female hygiene promoters]]))</f>
        <v>1340</v>
      </c>
      <c r="DM24"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24"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4" s="824">
        <f>IF(WWWW[[#This Row],['# People with access to soap]]&gt;WWWW[[#This Row],['# People with access to Sanity Pads]],WWWW[[#This Row],['# People with access to soap]],WWWW[[#This Row],['# People with access to Sanity Pads]])</f>
        <v>440</v>
      </c>
      <c r="DP24" s="824">
        <f>IF(WWWW[[#This Row],['# people reached by regular dedicated hygiene promotion_5]]&gt;WWWW[[#This Row],['# People received regular supply of hygiene items_6]],WWWW[[#This Row],['# people reached by regular dedicated hygiene promotion_5]],WWWW[[#This Row],['# People received regular supply of hygiene items_6]])</f>
        <v>1340</v>
      </c>
      <c r="DQ24" s="826">
        <f>IF(WWWW[[#This Row],[HRP3]]/WWWW[[#This Row],[Total PoP ]]&gt;1,1,WWWW[[#This Row],[HRP3]]/WWWW[[#This Row],[Total PoP ]])</f>
        <v>1</v>
      </c>
      <c r="DR24" s="825">
        <f>1-WWWW[[#This Row],[Hygiene Coverage%]]</f>
        <v>0</v>
      </c>
      <c r="DS24" s="823">
        <f>WWWW[[#This Row],['# people reached by regular dedicated hygiene promotion_5]]/WWWW[[#This Row],[Total PoP ]]</f>
        <v>1</v>
      </c>
      <c r="DT24"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0.32154340836012862</v>
      </c>
      <c r="DV24" s="824">
        <f>WWWW[[#This Row],['#_Constructed/Existing hand washing stations]]-WWWW[[#This Row],['#_Non-Functional_hand_washing_stations]]</f>
        <v>3</v>
      </c>
      <c r="DW24" s="821">
        <f>IF(WWWW[[#This Row],['# Functional hand washing stations during reporting period]]*20&gt;WWWW[[#This Row],[Total HH]],WWWW[[#This Row],[Total HH]],WWWW[[#This Row],['# Functional hand washing stations during reporting period]]*20)</f>
        <v>60</v>
      </c>
      <c r="DX24" s="821">
        <f>IF(WWWW[[#This Row],[Is sufficient soap available for TLS? (Yes/No)]]="yes",WWWW[[#This Row],['#_Constructed/Existing hand washing stations at TLS/CFS/THF]],0)</f>
        <v>0</v>
      </c>
      <c r="DY24" s="429">
        <f>IF(WWWW[[#This Row],['# Functional hand washing stations during reporting period]]*100&gt;WWWW[[#This Row],[Total PoP ]],WWWW[[#This Row],[Total PoP ]],WWWW[[#This Row],['# Functional hand washing stations during reporting period]]*100)</f>
        <v>300</v>
      </c>
      <c r="DZ24" s="429" t="str">
        <f>IF(OR(WWWW[[#This Row],['#_students at TLS_CFS]]="",WWWW[[#This Row],['#_students at TLS_CFS]]=0),"No","Yes")</f>
        <v>Yes</v>
      </c>
      <c r="EA24" s="634">
        <f>IF(WWWW[[#This Row],['#_of_affected_people_surveyed_who_report_feeling_informed_about_the_different_WASH_services_available_to_them]]="","",WWWW[[#This Row],['#_of_affected_people_surveyed_who_report_feeling_informed_about_the_different_WASH_services_available_to_them]]/WWWW[[#This Row],[Total PoP ]])</f>
        <v>5.9701492537313433E-4</v>
      </c>
      <c r="EB2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 s="817">
        <f>VLOOKUP(WWWW[[#This Row],[Site Name]],SiteDB6[[Site Name]:[CCCM Management]],6,FALSE)</f>
        <v>0</v>
      </c>
      <c r="EF24" s="817">
        <f>VLOOKUP(WWWW[[#This Row],[Site Name]],SiteDB6[[Site Name]:[CCCM Focal Agency]],7,FALSE)</f>
        <v>0</v>
      </c>
      <c r="EG24" s="817" t="str">
        <f>VLOOKUP(WWWW[[#This Row],[Site Name]],SiteDB6[[Site Name]:[Location Type 1]],9,FALSE)</f>
        <v>Camp</v>
      </c>
      <c r="EH24" s="817" t="str">
        <f>VLOOKUP(WWWW[[#This Row],[Site Name]],SiteDB6[[Site Name]:[Type of Accommodation]],10,FALSE)</f>
        <v>Camp</v>
      </c>
      <c r="EI24" s="817" t="str">
        <f>VLOOKUP(WWWW[[#This Row],[Site Name]],SiteDB6[[Site Name]:[Ethnic or GCA/NGCA]],11,FALSE)</f>
        <v>GCA</v>
      </c>
      <c r="EJ24" s="817">
        <f>VLOOKUP(WWWW[[#This Row],[Site Name]],SiteDB6[[Site Name]:[Lat]],12,FALSE)</f>
        <v>0</v>
      </c>
      <c r="EK24" s="817">
        <f>VLOOKUP(WWWW[[#This Row],[Site Name]],SiteDB6[[Site Name]:[Long]],13,FALSE)</f>
        <v>0</v>
      </c>
      <c r="EL24" s="817">
        <f>VLOOKUP(WWWW[[#This Row],[Site Name]],SiteDB6[[Site Name]:[Pcode]],3,FALSE)</f>
        <v>0</v>
      </c>
      <c r="EM24" s="822" t="str">
        <f t="shared" si="0"/>
        <v>Covered</v>
      </c>
      <c r="EN24" s="822"/>
      <c r="EO24" s="817">
        <f>VLOOKUP(WWWW[[#This Row],[Site Name]],SiteDB6[[Site Name]:[Pop
(Kachin/Shan-CCCM as of July 2021)]],16,FALSE)</f>
        <v>0</v>
      </c>
      <c r="EP24" s="817">
        <f>VLOOKUP(WWWW[[#This Row],[Site Name]],SiteDB6[[Site Name]:[Pop
(Kachin/Shan-CCCM as of July 2021)]],17,FALSE)</f>
        <v>0</v>
      </c>
    </row>
    <row r="25" spans="1:146" hidden="1">
      <c r="A25" s="752" t="s">
        <v>2785</v>
      </c>
      <c r="B25" s="752" t="s">
        <v>141</v>
      </c>
      <c r="C25" s="753" t="s">
        <v>141</v>
      </c>
      <c r="D25" s="753" t="s">
        <v>241</v>
      </c>
      <c r="E25" s="753" t="s">
        <v>37</v>
      </c>
      <c r="F25" s="753" t="s">
        <v>159</v>
      </c>
      <c r="G25" s="594" t="str">
        <f>VLOOKUP(WWWW[[#This Row],[Site Name]],SiteDB6[[Site Name]:[Location Type]],8,FALSE)</f>
        <v>Camp</v>
      </c>
      <c r="H25" s="753" t="s">
        <v>160</v>
      </c>
      <c r="I25" s="755">
        <v>43</v>
      </c>
      <c r="J25" s="755">
        <v>197</v>
      </c>
      <c r="K25" s="756">
        <v>44105</v>
      </c>
      <c r="L25" s="592">
        <v>44681</v>
      </c>
      <c r="M25" s="755"/>
      <c r="N25" s="755">
        <v>2</v>
      </c>
      <c r="O25" s="755"/>
      <c r="P25" s="755"/>
      <c r="Q25" s="758" t="s">
        <v>41</v>
      </c>
      <c r="R25" s="755"/>
      <c r="S25" s="755"/>
      <c r="T25" s="449">
        <v>0</v>
      </c>
      <c r="U25" s="755"/>
      <c r="V25" s="755"/>
      <c r="W25" s="755">
        <v>3</v>
      </c>
      <c r="X25" s="755"/>
      <c r="Y25" s="755"/>
      <c r="Z25" s="755"/>
      <c r="AA25" s="755"/>
      <c r="AB25" s="755"/>
      <c r="AC25" s="755"/>
      <c r="AD25" s="755"/>
      <c r="AE25" s="755">
        <v>3</v>
      </c>
      <c r="AF25" s="755"/>
      <c r="AG25" s="755"/>
      <c r="AH25" s="755">
        <v>3</v>
      </c>
      <c r="AI25" s="755"/>
      <c r="AJ25" s="755"/>
      <c r="AK25" s="755"/>
      <c r="AL25" s="755"/>
      <c r="AM25" s="755"/>
      <c r="AN25" s="755"/>
      <c r="AO25" s="755"/>
      <c r="AP25" s="759"/>
      <c r="AQ25" s="755">
        <v>7</v>
      </c>
      <c r="AR25" s="755"/>
      <c r="AS25" s="760"/>
      <c r="AT25" s="755"/>
      <c r="AU25" s="449">
        <v>2</v>
      </c>
      <c r="AV25" s="449">
        <v>51</v>
      </c>
      <c r="AW25" s="755"/>
      <c r="AX25" s="755">
        <v>7</v>
      </c>
      <c r="AY25" s="754" t="s">
        <v>41</v>
      </c>
      <c r="AZ25" s="759" t="s">
        <v>137</v>
      </c>
      <c r="BA25" s="755"/>
      <c r="BB25" s="755"/>
      <c r="BC25" s="755"/>
      <c r="BD25" s="449"/>
      <c r="BE25" s="449"/>
      <c r="BF25" s="754"/>
      <c r="BG25" s="755">
        <v>1</v>
      </c>
      <c r="BH25" s="755"/>
      <c r="BI25" s="755"/>
      <c r="BJ25" s="755">
        <v>3</v>
      </c>
      <c r="BK25" s="755"/>
      <c r="BL25" s="755">
        <v>1</v>
      </c>
      <c r="BM25" s="755">
        <v>1</v>
      </c>
      <c r="BN25" s="755">
        <v>41</v>
      </c>
      <c r="BO25" s="755">
        <v>85</v>
      </c>
      <c r="BP25" s="754"/>
      <c r="BQ25" s="761"/>
      <c r="BR25" s="760"/>
      <c r="BS25" s="754"/>
      <c r="BT25" s="424"/>
      <c r="BU25" s="424"/>
      <c r="BV25" s="426"/>
      <c r="BW25" s="424"/>
      <c r="BX25" s="449"/>
      <c r="BY25" s="449"/>
      <c r="BZ25" s="449"/>
      <c r="CA25" s="449"/>
      <c r="CB25" s="449"/>
      <c r="CC25" s="807"/>
      <c r="CD25" s="449"/>
      <c r="CE25" s="762" t="str">
        <f>IFERROR(WWWW[[#This Row],['#_Water sources passed]]/WWWW[[#This Row],['#_Water sources tested for fecal coliform ]],"no test")</f>
        <v>no test</v>
      </c>
      <c r="CF25" s="760" t="str">
        <f>IFERROR(WWWW[[#This Row],['#_Household passed]]/WWWW[[#This Row],['#_Household water samples tested for fecal coliform]],"no test")</f>
        <v>no test</v>
      </c>
      <c r="CG25" s="761" t="str">
        <f>IF(AND(WWWW[[#This Row],[% of water sources passed]]="no test",WWWW[[#This Row],[% Household passed]]="no test"),"No Test","Tested")</f>
        <v>No Test</v>
      </c>
      <c r="CH25" s="761">
        <f>WWWW[[#This Row],['#_Constructed/existing protected hand dug well]]-WWWW[[#This Row],['#_Non-functional protected hand dug well]]</f>
        <v>0</v>
      </c>
      <c r="CI25" s="761">
        <f>(WWWW[[#This Row],['#_Constructed/Existing tube wells/boreholes/handpumps_WASH_agency]]+WWWW[[#This Row],['#_Non-Cluster partner water tube-wells/boreholes/handpumps]])-WWWW[[#This Row],['#_Non-functional tube wells/boreholes/handpumps]]</f>
        <v>3</v>
      </c>
      <c r="CJ25" s="761">
        <f>WWWW[[#This Row],['#_Constructed/Existingwater storage tank with gravity fed reticulation system]]-WWWW[[#This Row],['#_Non-functional storage tank gravity fed reticulation system]]</f>
        <v>0</v>
      </c>
      <c r="CK25" s="761">
        <f>(WWWW[[#This Row],['#_Water_Liters_supplied_by_Water boating or water trucking]]/90)/15</f>
        <v>0</v>
      </c>
      <c r="CL25" s="761">
        <f>WWWW[[#This Row],['#_Water_Liters_from_Constructed/Existing water distribution system from river or natural spring]]/90/15</f>
        <v>0</v>
      </c>
      <c r="CM25" s="425">
        <f>IF(WWWW[[#This Row],['#_of water points in TLS/CFS]]*500&gt;WWWW[[#This Row],[Total PoP ]],WWWW[[#This Row],[Total PoP ]],WWWW[[#This Row],['#_of water points in TLS/CFS]]*500)</f>
        <v>0</v>
      </c>
      <c r="CN25" s="425">
        <f>IF(WWWW[[#This Row],['#_of water points in THF]]*500&gt;WWWW[[#This Row],[Total PoP ]],WWWW[[#This Row],[Total PoP ]],WWWW[[#This Row],['#_of water points in THF]]*500)</f>
        <v>0</v>
      </c>
      <c r="CO2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 s="760">
        <f>IF(WWWW[[#This Row],[Location Type 1]]="Village",WWWW[[#This Row],[Access to safe drinking water for Village]],WWWW[[#This Row],[Access to safe drinking water for Camp]])</f>
        <v>1</v>
      </c>
      <c r="CR25" s="758">
        <f>WWWW[[#This Row],[%Equitable and continuous access to sufficient quantity of safe drinking water]]*WWWW[[#This Row],[Total PoP ]]</f>
        <v>197</v>
      </c>
      <c r="CS25" s="760">
        <f>IF((WWWW[[#This Row],['#_Constructed/Existing protected/fenced ponds]]*250)/WWWW[[#This Row],[Total PoP ]]&gt;1,1,(WWWW[[#This Row],['#_Constructed/Existing protected/fenced ponds]]*250)/WWWW[[#This Row],[Total PoP ]])</f>
        <v>1</v>
      </c>
      <c r="CT25" s="758">
        <f>WWWW[[#This Row],[% Access to unimproved water points]]*WWWW[[#This Row],[Total PoP ]]</f>
        <v>197</v>
      </c>
      <c r="CU2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25" s="758">
        <f>WWWW[[#This Row],[HRP1]]/500</f>
        <v>0.39400000000000002</v>
      </c>
      <c r="CX25" s="763">
        <f>1-WWWW[[#This Row],[% Equitable and continuous access to sufficient quantity of domestic water]]</f>
        <v>0</v>
      </c>
      <c r="CY25" s="758">
        <f>WWWW[[#This Row],[%equitable and continuous access to sufficient quantity of safe drinking and domestic water''s GAP]]*WWWW[[#This Row],[Total PoP ]]</f>
        <v>0</v>
      </c>
      <c r="CZ25" s="761">
        <f>IF(WWWW[[#This Row],[Total required water points]]-WWWW[[#This Row],['#Water points coverage]]&lt;0,0,WWWW[[#This Row],[Total required water points]]-WWWW[[#This Row],['#Water points coverage]])</f>
        <v>0.60599999999999998</v>
      </c>
      <c r="DA25" s="761">
        <f>ROUND(IF(WWWW[[#This Row],[Total PoP ]]&lt;500,1,WWWW[[#This Row],[Total PoP ]]/500),0)</f>
        <v>1</v>
      </c>
      <c r="DB25" s="761">
        <f>(WWWW[[#This Row],['#_Constructed latrines_by_WASHAgencies]]+WWWW[[#This Row],['#_Non Cluster partner latrines]])-WWWW[[#This Row],['#_Non-functional latrines]]</f>
        <v>7</v>
      </c>
      <c r="DC25" s="634">
        <f>WWWW[[#This Row],[HRP2]]/WWWW[[#This Row],[Total PoP ]]</f>
        <v>0.71065989847715738</v>
      </c>
      <c r="DD2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197</v>
      </c>
      <c r="DF2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 s="425">
        <f>IF(WWWW[[#This Row],['# of functional latrines in THF supported by WASH partners during the reporting period2]]="",0,WWWW[[#This Row],['# of functional latrines in THF supported by WASH partners during the reporting period2]]*50)</f>
        <v>0</v>
      </c>
      <c r="DH25" s="761">
        <f>ROUND(IF(WWWW[[#This Row],[Location Type 1]]="camp",WWWW[[#This Row],[Total PoP ]]/20,IF(WWWW[[#This Row],[Location Type 1]]="Temporary Location",WWWW[[#This Row],[Total PoP ]]/50,(WWWW[[#This Row],[Total PoP ]]/6))),0)</f>
        <v>10</v>
      </c>
      <c r="DI25" s="761">
        <f>IF(WWWW[[#This Row],[Total required Latrines]]-(WWWW[[#This Row],['#_Constructed latrines_by_WASHAgencies]]+WWWW[[#This Row],['#_Non Cluster partner latrines]])&lt;0,0,WWWW[[#This Row],[Total required Latrines]]-(WWWW[[#This Row],['#_Constructed latrines_by_WASHAgencies]]+WWWW[[#This Row],['#_Non Cluster partner latrines]]))</f>
        <v>3</v>
      </c>
      <c r="DJ25" s="763">
        <f>1-WWWW[[#This Row],[% people access to functioning Latrine]]</f>
        <v>0.28934010152284262</v>
      </c>
      <c r="DK25" s="762">
        <f>IF(OR(WWWW[[#This Row],['#_Non-functional latrines]]="",WWWW[[#This Row],['#_Non-functional latrines]]=0),0,WWWW[[#This Row],['#_Non-functional latrines]]/(WWWW[[#This Row],['#_Constructed latrines_by_WASHAgencies]]+WWWW[[#This Row],['#_Non Cluster partner latrines]]))</f>
        <v>0</v>
      </c>
      <c r="DL25" s="758">
        <f>IF(500*(WWWW[[#This Row],['#_male hygiene promoters]]+WWWW[[#This Row],['#_female hygiene promoters]])&gt;WWWW[[#This Row],[Total PoP ]],WWWW[[#This Row],[Total PoP ]],500*(WWWW[[#This Row],['#_male hygiene promoters]]+WWWW[[#This Row],['#_female hygiene promoters]]))</f>
        <v>197</v>
      </c>
      <c r="DM2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197</v>
      </c>
      <c r="DN2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25" s="761">
        <f>IF(WWWW[[#This Row],['# People with access to soap]]&gt;WWWW[[#This Row],['# People with access to Sanity Pads]],WWWW[[#This Row],['# People with access to soap]],WWWW[[#This Row],['# People with access to Sanity Pads]])</f>
        <v>197</v>
      </c>
      <c r="DP25" s="761">
        <f>IF(WWWW[[#This Row],['# people reached by regular dedicated hygiene promotion_5]]&gt;WWWW[[#This Row],['# People received regular supply of hygiene items_6]],WWWW[[#This Row],['# people reached by regular dedicated hygiene promotion_5]],WWWW[[#This Row],['# People received regular supply of hygiene items_6]])</f>
        <v>197</v>
      </c>
      <c r="DQ25" s="763">
        <f>IF(WWWW[[#This Row],[HRP3]]/WWWW[[#This Row],[Total PoP ]]&gt;1,1,WWWW[[#This Row],[HRP3]]/WWWW[[#This Row],[Total PoP ]])</f>
        <v>1</v>
      </c>
      <c r="DR25" s="762">
        <f>1-WWWW[[#This Row],[Hygiene Coverage%]]</f>
        <v>0</v>
      </c>
      <c r="DS25" s="760">
        <f>WWWW[[#This Row],['# people reached by regular dedicated hygiene promotion_5]]/WWWW[[#This Row],[Total PoP ]]</f>
        <v>1</v>
      </c>
      <c r="DT2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 s="761">
        <f>WWWW[[#This Row],['#_Constructed/Existing hand washing stations]]-WWWW[[#This Row],['#_Non-Functional_hand_washing_stations]]</f>
        <v>1</v>
      </c>
      <c r="DW25" s="758">
        <f>IF(WWWW[[#This Row],['# Functional hand washing stations during reporting period]]*20&gt;WWWW[[#This Row],[Total HH]],WWWW[[#This Row],[Total HH]],WWWW[[#This Row],['# Functional hand washing stations during reporting period]]*20)</f>
        <v>20</v>
      </c>
      <c r="DX25" s="758">
        <f>IF(WWWW[[#This Row],[Is sufficient soap available for TLS? (Yes/No)]]="yes",WWWW[[#This Row],['#_Constructed/Existing hand washing stations at TLS/CFS/THF]],0)</f>
        <v>0</v>
      </c>
      <c r="DY25" s="429">
        <f>IF(WWWW[[#This Row],['# Functional hand washing stations during reporting period]]*100&gt;WWWW[[#This Row],[Total PoP ]],WWWW[[#This Row],[Total PoP ]],WWWW[[#This Row],['# Functional hand washing stations during reporting period]]*100)</f>
        <v>100</v>
      </c>
      <c r="DZ25" s="429" t="str">
        <f>IF(OR(WWWW[[#This Row],['#_students at TLS_CFS]]="",WWWW[[#This Row],['#_students at TLS_CFS]]=0),"No","Yes")</f>
        <v>No</v>
      </c>
      <c r="EA2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 s="754" t="str">
        <f>VLOOKUP(WWWW[[#This Row],[Site Name]],SiteDB6[[Site Name]:[CCCM Management]],6,FALSE)</f>
        <v>Yes</v>
      </c>
      <c r="EF25" s="754" t="str">
        <f>VLOOKUP(WWWW[[#This Row],[Site Name]],SiteDB6[[Site Name]:[CCCM Focal Agency]],7,FALSE)</f>
        <v>KBC-MYT</v>
      </c>
      <c r="EG25" s="754" t="str">
        <f>VLOOKUP(WWWW[[#This Row],[Site Name]],SiteDB6[[Site Name]:[Location Type 1]],9,FALSE)</f>
        <v>Camp</v>
      </c>
      <c r="EH25" s="754" t="str">
        <f>VLOOKUP(WWWW[[#This Row],[Site Name]],SiteDB6[[Site Name]:[Type of Accommodation]],10,FALSE)</f>
        <v>Camp</v>
      </c>
      <c r="EI25" s="754" t="str">
        <f>VLOOKUP(WWWW[[#This Row],[Site Name]],SiteDB6[[Site Name]:[Ethnic or GCA/NGCA]],11,FALSE)</f>
        <v>GCA</v>
      </c>
      <c r="EJ25" s="754">
        <f>VLOOKUP(WWWW[[#This Row],[Site Name]],SiteDB6[[Site Name]:[Lat]],12,FALSE)</f>
        <v>25.3959740909091</v>
      </c>
      <c r="EK25" s="754">
        <f>VLOOKUP(WWWW[[#This Row],[Site Name]],SiteDB6[[Site Name]:[Long]],13,FALSE)</f>
        <v>97.382997575757599</v>
      </c>
      <c r="EL25" s="754" t="str">
        <f>VLOOKUP(WWWW[[#This Row],[Site Name]],SiteDB6[[Site Name]:[Pcode]],3,FALSE)</f>
        <v>MMR001CMP010</v>
      </c>
      <c r="EM25" s="759" t="str">
        <f t="shared" si="0"/>
        <v>Covered</v>
      </c>
      <c r="EN25" s="759"/>
      <c r="EO25" s="754">
        <f>VLOOKUP(WWWW[[#This Row],[Site Name]],SiteDB6[[Site Name]:[Pop
(Kachin/Shan-CCCM as of July 2021)]],16,FALSE)</f>
        <v>44</v>
      </c>
      <c r="EP25" s="754">
        <f>VLOOKUP(WWWW[[#This Row],[Site Name]],SiteDB6[[Site Name]:[Pop
(Kachin/Shan-CCCM as of July 2021)]],17,FALSE)</f>
        <v>196</v>
      </c>
    </row>
    <row r="26" spans="1:146" hidden="1">
      <c r="A26" s="752" t="s">
        <v>2785</v>
      </c>
      <c r="B26" s="729" t="s">
        <v>2828</v>
      </c>
      <c r="C26" s="816" t="s">
        <v>141</v>
      </c>
      <c r="D26" s="370" t="s">
        <v>2835</v>
      </c>
      <c r="E26" s="816" t="s">
        <v>37</v>
      </c>
      <c r="F26" s="816" t="s">
        <v>159</v>
      </c>
      <c r="G26" s="817" t="str">
        <f>VLOOKUP(WWWW[[#This Row],[Site Name]],SiteDB6[[Site Name]:[Location Type]],8,FALSE)</f>
        <v>Camp</v>
      </c>
      <c r="H26" s="912" t="s">
        <v>161</v>
      </c>
      <c r="I26" s="818">
        <v>197</v>
      </c>
      <c r="J26" s="818">
        <v>1124</v>
      </c>
      <c r="K26" s="830" t="s">
        <v>2836</v>
      </c>
      <c r="L26" s="592" t="s">
        <v>2837</v>
      </c>
      <c r="M26" s="818"/>
      <c r="N26" s="818">
        <v>3</v>
      </c>
      <c r="O26" s="818"/>
      <c r="P26" s="818"/>
      <c r="Q26" s="758" t="s">
        <v>41</v>
      </c>
      <c r="R26" s="818"/>
      <c r="S26" s="818">
        <v>1</v>
      </c>
      <c r="T26" s="449">
        <v>1</v>
      </c>
      <c r="U26" s="818">
        <v>0</v>
      </c>
      <c r="V26" s="818">
        <v>0</v>
      </c>
      <c r="W26" s="818">
        <v>4</v>
      </c>
      <c r="X26" s="818">
        <v>0</v>
      </c>
      <c r="Y26" s="818"/>
      <c r="Z26" s="818"/>
      <c r="AA26" s="818"/>
      <c r="AB26" s="818"/>
      <c r="AC26" s="818"/>
      <c r="AD26" s="818"/>
      <c r="AE26" s="818"/>
      <c r="AF26" s="818"/>
      <c r="AG26" s="818"/>
      <c r="AH26" s="818">
        <v>5</v>
      </c>
      <c r="AI26" s="818"/>
      <c r="AJ26" s="818"/>
      <c r="AK26" s="818"/>
      <c r="AL26" s="818"/>
      <c r="AM26" s="818"/>
      <c r="AN26" s="818"/>
      <c r="AO26" s="818"/>
      <c r="AP26" s="822"/>
      <c r="AQ26" s="818">
        <v>43</v>
      </c>
      <c r="AR26" s="818"/>
      <c r="AS26" s="823"/>
      <c r="AT26" s="818"/>
      <c r="AU26" s="449">
        <v>30</v>
      </c>
      <c r="AV26" s="449">
        <v>162</v>
      </c>
      <c r="AW26" s="818"/>
      <c r="AX26" s="755">
        <v>43</v>
      </c>
      <c r="AY26" s="754" t="s">
        <v>41</v>
      </c>
      <c r="AZ26" s="759" t="s">
        <v>137</v>
      </c>
      <c r="BA26" s="818"/>
      <c r="BB26" s="818"/>
      <c r="BC26" s="818"/>
      <c r="BD26" s="449"/>
      <c r="BE26" s="449"/>
      <c r="BF26" s="817"/>
      <c r="BG26" s="818">
        <v>7</v>
      </c>
      <c r="BH26" s="818"/>
      <c r="BI26" s="818"/>
      <c r="BJ26" s="818">
        <v>7</v>
      </c>
      <c r="BK26" s="818"/>
      <c r="BL26" s="818"/>
      <c r="BM26" s="818">
        <v>3</v>
      </c>
      <c r="BN26" s="818">
        <v>104</v>
      </c>
      <c r="BO26" s="818">
        <v>148</v>
      </c>
      <c r="BP26" s="817"/>
      <c r="BQ26" s="824"/>
      <c r="BR26" s="823"/>
      <c r="BS26" s="817"/>
      <c r="BT26" s="424"/>
      <c r="BU26" s="424"/>
      <c r="BV26" s="449">
        <f>0.95*WWWW[[#This Row],[Total PoP ]]</f>
        <v>1067.8</v>
      </c>
      <c r="BW26" s="424">
        <v>0.35</v>
      </c>
      <c r="BX26" s="449"/>
      <c r="BY26" s="449"/>
      <c r="BZ26" s="449"/>
      <c r="CA26" s="449">
        <v>0</v>
      </c>
      <c r="CB26" s="449">
        <v>0</v>
      </c>
      <c r="CC26" s="807"/>
      <c r="CD26" s="449"/>
      <c r="CE26" s="825" t="str">
        <f>IFERROR(WWWW[[#This Row],['#_Water sources passed]]/WWWW[[#This Row],['#_Water sources tested for fecal coliform ]],"no test")</f>
        <v>no test</v>
      </c>
      <c r="CF26" s="823" t="str">
        <f>IFERROR(WWWW[[#This Row],['#_Household passed]]/WWWW[[#This Row],['#_Household water samples tested for fecal coliform]],"no test")</f>
        <v>no test</v>
      </c>
      <c r="CG26" s="824" t="str">
        <f>IF(AND(WWWW[[#This Row],[% of water sources passed]]="no test",WWWW[[#This Row],[% Household passed]]="no test"),"No Test","Tested")</f>
        <v>No Test</v>
      </c>
      <c r="CH26" s="824">
        <f>WWWW[[#This Row],['#_Constructed/existing protected hand dug well]]-WWWW[[#This Row],['#_Non-functional protected hand dug well]]</f>
        <v>1</v>
      </c>
      <c r="CI26" s="824">
        <f>(WWWW[[#This Row],['#_Constructed/Existing tube wells/boreholes/handpumps_WASH_agency]]+WWWW[[#This Row],['#_Non-Cluster partner water tube-wells/boreholes/handpumps]])-WWWW[[#This Row],['#_Non-functional tube wells/boreholes/handpumps]]</f>
        <v>4</v>
      </c>
      <c r="CJ26" s="824">
        <f>WWWW[[#This Row],['#_Constructed/Existingwater storage tank with gravity fed reticulation system]]-WWWW[[#This Row],['#_Non-functional storage tank gravity fed reticulation system]]</f>
        <v>0</v>
      </c>
      <c r="CK26" s="824">
        <f>(WWWW[[#This Row],['#_Water_Liters_supplied_by_Water boating or water trucking]]/90)/15</f>
        <v>0</v>
      </c>
      <c r="CL26" s="824">
        <f>WWWW[[#This Row],['#_Water_Liters_from_Constructed/Existing water distribution system from river or natural spring]]/90/15</f>
        <v>0</v>
      </c>
      <c r="CM26" s="425">
        <f>IF(WWWW[[#This Row],['#_of water points in TLS/CFS]]*500&gt;WWWW[[#This Row],[Total PoP ]],WWWW[[#This Row],[Total PoP ]],WWWW[[#This Row],['#_of water points in TLS/CFS]]*500)</f>
        <v>0</v>
      </c>
      <c r="CN26" s="425">
        <f>IF(WWWW[[#This Row],['#_of water points in THF]]*500&gt;WWWW[[#This Row],[Total PoP ]],WWWW[[#This Row],[Total PoP ]],WWWW[[#This Row],['#_of water points in THF]]*500)</f>
        <v>0</v>
      </c>
      <c r="CO26"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 s="823">
        <f>IF(WWWW[[#This Row],[Location Type 1]]="Village",WWWW[[#This Row],[Access to safe drinking water for Village]],WWWW[[#This Row],[Access to safe drinking water for Camp]])</f>
        <v>1</v>
      </c>
      <c r="CR26" s="821">
        <f>WWWW[[#This Row],[%Equitable and continuous access to sufficient quantity of safe drinking water]]*WWWW[[#This Row],[Total PoP ]]</f>
        <v>1124</v>
      </c>
      <c r="CS26" s="823">
        <f>IF((WWWW[[#This Row],['#_Constructed/Existing protected/fenced ponds]]*250)/WWWW[[#This Row],[Total PoP ]]&gt;1,1,(WWWW[[#This Row],['#_Constructed/Existing protected/fenced ponds]]*250)/WWWW[[#This Row],[Total PoP ]])</f>
        <v>0</v>
      </c>
      <c r="CT26" s="821">
        <f>WWWW[[#This Row],[% Access to unimproved water points]]*WWWW[[#This Row],[Total PoP ]]</f>
        <v>0</v>
      </c>
      <c r="CU26"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1124</v>
      </c>
      <c r="CW26" s="821">
        <f>WWWW[[#This Row],[HRP1]]/500</f>
        <v>2.2480000000000002</v>
      </c>
      <c r="CX26" s="826">
        <f>1-WWWW[[#This Row],[% Equitable and continuous access to sufficient quantity of domestic water]]</f>
        <v>0</v>
      </c>
      <c r="CY26" s="821">
        <f>WWWW[[#This Row],[%equitable and continuous access to sufficient quantity of safe drinking and domestic water''s GAP]]*WWWW[[#This Row],[Total PoP ]]</f>
        <v>0</v>
      </c>
      <c r="CZ26" s="824">
        <f>IF(WWWW[[#This Row],[Total required water points]]-WWWW[[#This Row],['#Water points coverage]]&lt;0,0,WWWW[[#This Row],[Total required water points]]-WWWW[[#This Row],['#Water points coverage]])</f>
        <v>0</v>
      </c>
      <c r="DA26" s="824">
        <f>ROUND(IF(WWWW[[#This Row],[Total PoP ]]&lt;500,1,WWWW[[#This Row],[Total PoP ]]/500),0)</f>
        <v>2</v>
      </c>
      <c r="DB26" s="824">
        <f>(WWWW[[#This Row],['#_Constructed latrines_by_WASHAgencies]]+WWWW[[#This Row],['#_Non Cluster partner latrines]])-WWWW[[#This Row],['#_Non-functional latrines]]</f>
        <v>43</v>
      </c>
      <c r="DC26" s="634">
        <f>WWWW[[#This Row],[HRP2]]/WWWW[[#This Row],[Total PoP ]]</f>
        <v>0.76512455516014233</v>
      </c>
      <c r="DD26"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860</v>
      </c>
      <c r="DE26"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1124</v>
      </c>
      <c r="DF26"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 s="425">
        <f>IF(WWWW[[#This Row],['# of functional latrines in THF supported by WASH partners during the reporting period2]]="",0,WWWW[[#This Row],['# of functional latrines in THF supported by WASH partners during the reporting period2]]*50)</f>
        <v>0</v>
      </c>
      <c r="DH26" s="824">
        <f>ROUND(IF(WWWW[[#This Row],[Location Type 1]]="camp",WWWW[[#This Row],[Total PoP ]]/20,IF(WWWW[[#This Row],[Location Type 1]]="Temporary Location",WWWW[[#This Row],[Total PoP ]]/50,(WWWW[[#This Row],[Total PoP ]]/6))),0)</f>
        <v>56</v>
      </c>
      <c r="DI26" s="824">
        <f>IF(WWWW[[#This Row],[Total required Latrines]]-(WWWW[[#This Row],['#_Constructed latrines_by_WASHAgencies]]+WWWW[[#This Row],['#_Non Cluster partner latrines]])&lt;0,0,WWWW[[#This Row],[Total required Latrines]]-(WWWW[[#This Row],['#_Constructed latrines_by_WASHAgencies]]+WWWW[[#This Row],['#_Non Cluster partner latrines]]))</f>
        <v>13</v>
      </c>
      <c r="DJ26" s="826">
        <f>1-WWWW[[#This Row],[% people access to functioning Latrine]]</f>
        <v>0.23487544483985767</v>
      </c>
      <c r="DK26" s="825">
        <f>IF(OR(WWWW[[#This Row],['#_Non-functional latrines]]="",WWWW[[#This Row],['#_Non-functional latrines]]=0),0,WWWW[[#This Row],['#_Non-functional latrines]]/(WWWW[[#This Row],['#_Constructed latrines_by_WASHAgencies]]+WWWW[[#This Row],['#_Non Cluster partner latrines]]))</f>
        <v>0</v>
      </c>
      <c r="DL26" s="821">
        <f>IF(500*(WWWW[[#This Row],['#_male hygiene promoters]]+WWWW[[#This Row],['#_female hygiene promoters]])&gt;WWWW[[#This Row],[Total PoP ]],WWWW[[#This Row],[Total PoP ]],500*(WWWW[[#This Row],['#_male hygiene promoters]]+WWWW[[#This Row],['#_female hygiene promoters]]))</f>
        <v>1124</v>
      </c>
      <c r="DM26"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26"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6" s="824">
        <f>IF(WWWW[[#This Row],['# People with access to soap]]&gt;WWWW[[#This Row],['# People with access to Sanity Pads]],WWWW[[#This Row],['# People with access to soap]],WWWW[[#This Row],['# People with access to Sanity Pads]])</f>
        <v>520</v>
      </c>
      <c r="DP26" s="824">
        <f>IF(WWWW[[#This Row],['# people reached by regular dedicated hygiene promotion_5]]&gt;WWWW[[#This Row],['# People received regular supply of hygiene items_6]],WWWW[[#This Row],['# people reached by regular dedicated hygiene promotion_5]],WWWW[[#This Row],['# People received regular supply of hygiene items_6]])</f>
        <v>1124</v>
      </c>
      <c r="DQ26" s="826">
        <f>IF(WWWW[[#This Row],[HRP3]]/WWWW[[#This Row],[Total PoP ]]&gt;1,1,WWWW[[#This Row],[HRP3]]/WWWW[[#This Row],[Total PoP ]])</f>
        <v>1</v>
      </c>
      <c r="DR26" s="825">
        <f>1-WWWW[[#This Row],[Hygiene Coverage%]]</f>
        <v>0</v>
      </c>
      <c r="DS26" s="823">
        <f>WWWW[[#This Row],['# people reached by regular dedicated hygiene promotion_5]]/WWWW[[#This Row],[Total PoP ]]</f>
        <v>1</v>
      </c>
      <c r="DT26"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0.75126903553299496</v>
      </c>
      <c r="DV26" s="824">
        <f>WWWW[[#This Row],['#_Constructed/Existing hand washing stations]]-WWWW[[#This Row],['#_Non-Functional_hand_washing_stations]]</f>
        <v>7</v>
      </c>
      <c r="DW26" s="821">
        <f>IF(WWWW[[#This Row],['# Functional hand washing stations during reporting period]]*20&gt;WWWW[[#This Row],[Total HH]],WWWW[[#This Row],[Total HH]],WWWW[[#This Row],['# Functional hand washing stations during reporting period]]*20)</f>
        <v>140</v>
      </c>
      <c r="DX26" s="821">
        <f>IF(WWWW[[#This Row],[Is sufficient soap available for TLS? (Yes/No)]]="yes",WWWW[[#This Row],['#_Constructed/Existing hand washing stations at TLS/CFS/THF]],0)</f>
        <v>0</v>
      </c>
      <c r="DY26" s="429">
        <f>IF(WWWW[[#This Row],['# Functional hand washing stations during reporting period]]*100&gt;WWWW[[#This Row],[Total PoP ]],WWWW[[#This Row],[Total PoP ]],WWWW[[#This Row],['# Functional hand washing stations during reporting period]]*100)</f>
        <v>700</v>
      </c>
      <c r="DZ26" s="429" t="str">
        <f>IF(OR(WWWW[[#This Row],['#_students at TLS_CFS]]="",WWWW[[#This Row],['#_students at TLS_CFS]]=0),"No","Yes")</f>
        <v>No</v>
      </c>
      <c r="EA26" s="634">
        <f>IF(WWWW[[#This Row],['#_of_affected_people_surveyed_who_report_feeling_informed_about_the_different_WASH_services_available_to_them]]="","",WWWW[[#This Row],['#_of_affected_people_surveyed_who_report_feeling_informed_about_the_different_WASH_services_available_to_them]]/WWWW[[#This Row],[Total PoP ]])</f>
        <v>0.95</v>
      </c>
      <c r="EB2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 s="817" t="str">
        <f>VLOOKUP(WWWW[[#This Row],[Site Name]],SiteDB6[[Site Name]:[CCCM Management]],6,FALSE)</f>
        <v>Yes</v>
      </c>
      <c r="EF26" s="817" t="str">
        <f>VLOOKUP(WWWW[[#This Row],[Site Name]],SiteDB6[[Site Name]:[CCCM Focal Agency]],7,FALSE)</f>
        <v>KBC-MYT</v>
      </c>
      <c r="EG26" s="817" t="str">
        <f>VLOOKUP(WWWW[[#This Row],[Site Name]],SiteDB6[[Site Name]:[Location Type 1]],9,FALSE)</f>
        <v>Camp</v>
      </c>
      <c r="EH26" s="817" t="str">
        <f>VLOOKUP(WWWW[[#This Row],[Site Name]],SiteDB6[[Site Name]:[Type of Accommodation]],10,FALSE)</f>
        <v>Camp</v>
      </c>
      <c r="EI26" s="817" t="str">
        <f>VLOOKUP(WWWW[[#This Row],[Site Name]],SiteDB6[[Site Name]:[Ethnic or GCA/NGCA]],11,FALSE)</f>
        <v>GCA</v>
      </c>
      <c r="EJ26" s="817">
        <f>VLOOKUP(WWWW[[#This Row],[Site Name]],SiteDB6[[Site Name]:[Lat]],12,FALSE)</f>
        <v>25.397850999999999</v>
      </c>
      <c r="EK26" s="817">
        <f>VLOOKUP(WWWW[[#This Row],[Site Name]],SiteDB6[[Site Name]:[Long]],13,FALSE)</f>
        <v>97.370900000000006</v>
      </c>
      <c r="EL26" s="817" t="str">
        <f>VLOOKUP(WWWW[[#This Row],[Site Name]],SiteDB6[[Site Name]:[Pcode]],3,FALSE)</f>
        <v>MMR001CMP018</v>
      </c>
      <c r="EM26" s="822" t="str">
        <f t="shared" si="0"/>
        <v>Covered</v>
      </c>
      <c r="EN26" s="822"/>
      <c r="EO26" s="817">
        <f>VLOOKUP(WWWW[[#This Row],[Site Name]],SiteDB6[[Site Name]:[Pop
(Kachin/Shan-CCCM as of July 2021)]],16,FALSE)</f>
        <v>201</v>
      </c>
      <c r="EP26" s="817">
        <f>VLOOKUP(WWWW[[#This Row],[Site Name]],SiteDB6[[Site Name]:[Pop
(Kachin/Shan-CCCM as of July 2021)]],17,FALSE)</f>
        <v>1187</v>
      </c>
    </row>
    <row r="27" spans="1:146" hidden="1">
      <c r="A27" s="752" t="s">
        <v>2785</v>
      </c>
      <c r="B27" s="729" t="s">
        <v>2828</v>
      </c>
      <c r="C27" s="816" t="s">
        <v>141</v>
      </c>
      <c r="D27" s="370" t="s">
        <v>2835</v>
      </c>
      <c r="E27" s="816" t="s">
        <v>37</v>
      </c>
      <c r="F27" s="816" t="s">
        <v>159</v>
      </c>
      <c r="G27" s="817" t="str">
        <f>VLOOKUP(WWWW[[#This Row],[Site Name]],SiteDB6[[Site Name]:[Location Type]],8,FALSE)</f>
        <v>Camp</v>
      </c>
      <c r="H27" s="912" t="s">
        <v>1605</v>
      </c>
      <c r="I27" s="818">
        <v>137</v>
      </c>
      <c r="J27" s="818">
        <v>612</v>
      </c>
      <c r="K27" s="830" t="s">
        <v>2836</v>
      </c>
      <c r="L27" s="592" t="s">
        <v>2837</v>
      </c>
      <c r="M27" s="818"/>
      <c r="N27" s="818">
        <v>3</v>
      </c>
      <c r="O27" s="818"/>
      <c r="P27" s="818"/>
      <c r="Q27" s="758" t="s">
        <v>41</v>
      </c>
      <c r="R27" s="818"/>
      <c r="S27" s="818">
        <v>5</v>
      </c>
      <c r="T27" s="449">
        <v>1</v>
      </c>
      <c r="U27" s="818">
        <v>0</v>
      </c>
      <c r="V27" s="818">
        <v>0</v>
      </c>
      <c r="W27" s="818">
        <v>7</v>
      </c>
      <c r="X27" s="818">
        <v>0</v>
      </c>
      <c r="Y27" s="818"/>
      <c r="Z27" s="818"/>
      <c r="AA27" s="818"/>
      <c r="AB27" s="818"/>
      <c r="AC27" s="818"/>
      <c r="AD27" s="818"/>
      <c r="AE27" s="818"/>
      <c r="AF27" s="818"/>
      <c r="AG27" s="818"/>
      <c r="AH27" s="818">
        <v>6</v>
      </c>
      <c r="AI27" s="818"/>
      <c r="AJ27" s="818"/>
      <c r="AK27" s="818"/>
      <c r="AL27" s="818"/>
      <c r="AM27" s="818"/>
      <c r="AN27" s="818"/>
      <c r="AO27" s="818"/>
      <c r="AP27" s="822"/>
      <c r="AQ27" s="818">
        <v>16</v>
      </c>
      <c r="AR27" s="818"/>
      <c r="AS27" s="823"/>
      <c r="AT27" s="818"/>
      <c r="AU27" s="818"/>
      <c r="AV27" s="818">
        <v>40</v>
      </c>
      <c r="AW27" s="818"/>
      <c r="AX27" s="755">
        <v>16</v>
      </c>
      <c r="AY27" s="754" t="s">
        <v>41</v>
      </c>
      <c r="AZ27" s="759" t="s">
        <v>137</v>
      </c>
      <c r="BA27" s="818"/>
      <c r="BB27" s="818"/>
      <c r="BC27" s="818"/>
      <c r="BD27" s="449"/>
      <c r="BE27" s="449"/>
      <c r="BF27" s="817"/>
      <c r="BG27" s="818">
        <v>7</v>
      </c>
      <c r="BH27" s="818"/>
      <c r="BI27" s="818"/>
      <c r="BJ27" s="818">
        <v>4</v>
      </c>
      <c r="BK27" s="818"/>
      <c r="BL27" s="818">
        <v>1</v>
      </c>
      <c r="BM27" s="818">
        <v>2</v>
      </c>
      <c r="BN27" s="818">
        <v>124</v>
      </c>
      <c r="BO27" s="818">
        <v>198</v>
      </c>
      <c r="BP27" s="817"/>
      <c r="BQ27" s="824"/>
      <c r="BR27" s="823"/>
      <c r="BS27" s="817"/>
      <c r="BT27" s="424"/>
      <c r="BU27" s="424"/>
      <c r="BV27" s="449"/>
      <c r="BW27" s="424"/>
      <c r="BX27" s="449"/>
      <c r="BY27" s="449"/>
      <c r="BZ27" s="449"/>
      <c r="CA27" s="449">
        <v>0</v>
      </c>
      <c r="CB27" s="449">
        <v>0</v>
      </c>
      <c r="CC27" s="807"/>
      <c r="CD27" s="449"/>
      <c r="CE27" s="825" t="str">
        <f>IFERROR(WWWW[[#This Row],['#_Water sources passed]]/WWWW[[#This Row],['#_Water sources tested for fecal coliform ]],"no test")</f>
        <v>no test</v>
      </c>
      <c r="CF27" s="823" t="str">
        <f>IFERROR(WWWW[[#This Row],['#_Household passed]]/WWWW[[#This Row],['#_Household water samples tested for fecal coliform]],"no test")</f>
        <v>no test</v>
      </c>
      <c r="CG27" s="824" t="str">
        <f>IF(AND(WWWW[[#This Row],[% of water sources passed]]="no test",WWWW[[#This Row],[% Household passed]]="no test"),"No Test","Tested")</f>
        <v>No Test</v>
      </c>
      <c r="CH27" s="824">
        <f>WWWW[[#This Row],['#_Constructed/existing protected hand dug well]]-WWWW[[#This Row],['#_Non-functional protected hand dug well]]</f>
        <v>1</v>
      </c>
      <c r="CI27" s="824">
        <f>(WWWW[[#This Row],['#_Constructed/Existing tube wells/boreholes/handpumps_WASH_agency]]+WWWW[[#This Row],['#_Non-Cluster partner water tube-wells/boreholes/handpumps]])-WWWW[[#This Row],['#_Non-functional tube wells/boreholes/handpumps]]</f>
        <v>7</v>
      </c>
      <c r="CJ27" s="824">
        <f>WWWW[[#This Row],['#_Constructed/Existingwater storage tank with gravity fed reticulation system]]-WWWW[[#This Row],['#_Non-functional storage tank gravity fed reticulation system]]</f>
        <v>0</v>
      </c>
      <c r="CK27" s="824">
        <f>(WWWW[[#This Row],['#_Water_Liters_supplied_by_Water boating or water trucking]]/90)/15</f>
        <v>0</v>
      </c>
      <c r="CL27" s="824">
        <f>WWWW[[#This Row],['#_Water_Liters_from_Constructed/Existing water distribution system from river or natural spring]]/90/15</f>
        <v>0</v>
      </c>
      <c r="CM27" s="425">
        <f>IF(WWWW[[#This Row],['#_of water points in TLS/CFS]]*500&gt;WWWW[[#This Row],[Total PoP ]],WWWW[[#This Row],[Total PoP ]],WWWW[[#This Row],['#_of water points in TLS/CFS]]*500)</f>
        <v>0</v>
      </c>
      <c r="CN27" s="425">
        <f>IF(WWWW[[#This Row],['#_of water points in THF]]*500&gt;WWWW[[#This Row],[Total PoP ]],WWWW[[#This Row],[Total PoP ]],WWWW[[#This Row],['#_of water points in THF]]*500)</f>
        <v>0</v>
      </c>
      <c r="CO27"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 s="823">
        <f>IF(WWWW[[#This Row],[Location Type 1]]="Village",WWWW[[#This Row],[Access to safe drinking water for Village]],WWWW[[#This Row],[Access to safe drinking water for Camp]])</f>
        <v>1</v>
      </c>
      <c r="CR27" s="821">
        <f>WWWW[[#This Row],[%Equitable and continuous access to sufficient quantity of safe drinking water]]*WWWW[[#This Row],[Total PoP ]]</f>
        <v>612</v>
      </c>
      <c r="CS27" s="823">
        <f>IF((WWWW[[#This Row],['#_Constructed/Existing protected/fenced ponds]]*250)/WWWW[[#This Row],[Total PoP ]]&gt;1,1,(WWWW[[#This Row],['#_Constructed/Existing protected/fenced ponds]]*250)/WWWW[[#This Row],[Total PoP ]])</f>
        <v>0</v>
      </c>
      <c r="CT27" s="821">
        <f>WWWW[[#This Row],[% Access to unimproved water points]]*WWWW[[#This Row],[Total PoP ]]</f>
        <v>0</v>
      </c>
      <c r="CU27"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612</v>
      </c>
      <c r="CW27" s="821">
        <f>WWWW[[#This Row],[HRP1]]/500</f>
        <v>1.224</v>
      </c>
      <c r="CX27" s="826">
        <f>1-WWWW[[#This Row],[% Equitable and continuous access to sufficient quantity of domestic water]]</f>
        <v>0</v>
      </c>
      <c r="CY27" s="821">
        <f>WWWW[[#This Row],[%equitable and continuous access to sufficient quantity of safe drinking and domestic water''s GAP]]*WWWW[[#This Row],[Total PoP ]]</f>
        <v>0</v>
      </c>
      <c r="CZ27" s="824">
        <f>IF(WWWW[[#This Row],[Total required water points]]-WWWW[[#This Row],['#Water points coverage]]&lt;0,0,WWWW[[#This Row],[Total required water points]]-WWWW[[#This Row],['#Water points coverage]])</f>
        <v>0</v>
      </c>
      <c r="DA27" s="824">
        <f>ROUND(IF(WWWW[[#This Row],[Total PoP ]]&lt;500,1,WWWW[[#This Row],[Total PoP ]]/500),0)</f>
        <v>1</v>
      </c>
      <c r="DB27" s="824">
        <f>(WWWW[[#This Row],['#_Constructed latrines_by_WASHAgencies]]+WWWW[[#This Row],['#_Non Cluster partner latrines]])-WWWW[[#This Row],['#_Non-functional latrines]]</f>
        <v>16</v>
      </c>
      <c r="DC27" s="634">
        <f>WWWW[[#This Row],[HRP2]]/WWWW[[#This Row],[Total PoP ]]</f>
        <v>0.52287581699346408</v>
      </c>
      <c r="DD27"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320</v>
      </c>
      <c r="DE27"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612</v>
      </c>
      <c r="DF27"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 s="425">
        <f>IF(WWWW[[#This Row],['# of functional latrines in THF supported by WASH partners during the reporting period2]]="",0,WWWW[[#This Row],['# of functional latrines in THF supported by WASH partners during the reporting period2]]*50)</f>
        <v>0</v>
      </c>
      <c r="DH27" s="824">
        <f>ROUND(IF(WWWW[[#This Row],[Location Type 1]]="camp",WWWW[[#This Row],[Total PoP ]]/20,IF(WWWW[[#This Row],[Location Type 1]]="Temporary Location",WWWW[[#This Row],[Total PoP ]]/50,(WWWW[[#This Row],[Total PoP ]]/6))),0)</f>
        <v>31</v>
      </c>
      <c r="DI27" s="824">
        <f>IF(WWWW[[#This Row],[Total required Latrines]]-(WWWW[[#This Row],['#_Constructed latrines_by_WASHAgencies]]+WWWW[[#This Row],['#_Non Cluster partner latrines]])&lt;0,0,WWWW[[#This Row],[Total required Latrines]]-(WWWW[[#This Row],['#_Constructed latrines_by_WASHAgencies]]+WWWW[[#This Row],['#_Non Cluster partner latrines]]))</f>
        <v>15</v>
      </c>
      <c r="DJ27" s="826">
        <f>1-WWWW[[#This Row],[% people access to functioning Latrine]]</f>
        <v>0.47712418300653592</v>
      </c>
      <c r="DK27" s="825">
        <f>IF(OR(WWWW[[#This Row],['#_Non-functional latrines]]="",WWWW[[#This Row],['#_Non-functional latrines]]=0),0,WWWW[[#This Row],['#_Non-functional latrines]]/(WWWW[[#This Row],['#_Constructed latrines_by_WASHAgencies]]+WWWW[[#This Row],['#_Non Cluster partner latrines]]))</f>
        <v>0</v>
      </c>
      <c r="DL27" s="821">
        <f>IF(500*(WWWW[[#This Row],['#_male hygiene promoters]]+WWWW[[#This Row],['#_female hygiene promoters]])&gt;WWWW[[#This Row],[Total PoP ]],WWWW[[#This Row],[Total PoP ]],500*(WWWW[[#This Row],['#_male hygiene promoters]]+WWWW[[#This Row],['#_female hygiene promoters]]))</f>
        <v>612</v>
      </c>
      <c r="DM27"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612</v>
      </c>
      <c r="DN27"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27" s="824">
        <f>IF(WWWW[[#This Row],['# People with access to soap]]&gt;WWWW[[#This Row],['# People with access to Sanity Pads]],WWWW[[#This Row],['# People with access to soap]],WWWW[[#This Row],['# People with access to Sanity Pads]])</f>
        <v>612</v>
      </c>
      <c r="DP27" s="824">
        <f>IF(WWWW[[#This Row],['# people reached by regular dedicated hygiene promotion_5]]&gt;WWWW[[#This Row],['# People received regular supply of hygiene items_6]],WWWW[[#This Row],['# people reached by regular dedicated hygiene promotion_5]],WWWW[[#This Row],['# People received regular supply of hygiene items_6]])</f>
        <v>612</v>
      </c>
      <c r="DQ27" s="826">
        <f>IF(WWWW[[#This Row],[HRP3]]/WWWW[[#This Row],[Total PoP ]]&gt;1,1,WWWW[[#This Row],[HRP3]]/WWWW[[#This Row],[Total PoP ]])</f>
        <v>1</v>
      </c>
      <c r="DR27" s="825">
        <f>1-WWWW[[#This Row],[Hygiene Coverage%]]</f>
        <v>0</v>
      </c>
      <c r="DS27" s="823">
        <f>WWWW[[#This Row],['# people reached by regular dedicated hygiene promotion_5]]/WWWW[[#This Row],[Total PoP ]]</f>
        <v>1</v>
      </c>
      <c r="DT27"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 s="824">
        <f>WWWW[[#This Row],['#_Constructed/Existing hand washing stations]]-WWWW[[#This Row],['#_Non-Functional_hand_washing_stations]]</f>
        <v>7</v>
      </c>
      <c r="DW27" s="821">
        <f>IF(WWWW[[#This Row],['# Functional hand washing stations during reporting period]]*20&gt;WWWW[[#This Row],[Total HH]],WWWW[[#This Row],[Total HH]],WWWW[[#This Row],['# Functional hand washing stations during reporting period]]*20)</f>
        <v>137</v>
      </c>
      <c r="DX27" s="821">
        <f>IF(WWWW[[#This Row],[Is sufficient soap available for TLS? (Yes/No)]]="yes",WWWW[[#This Row],['#_Constructed/Existing hand washing stations at TLS/CFS/THF]],0)</f>
        <v>0</v>
      </c>
      <c r="DY27" s="429">
        <f>IF(WWWW[[#This Row],['# Functional hand washing stations during reporting period]]*100&gt;WWWW[[#This Row],[Total PoP ]],WWWW[[#This Row],[Total PoP ]],WWWW[[#This Row],['# Functional hand washing stations during reporting period]]*100)</f>
        <v>612</v>
      </c>
      <c r="DZ27" s="429" t="str">
        <f>IF(OR(WWWW[[#This Row],['#_students at TLS_CFS]]="",WWWW[[#This Row],['#_students at TLS_CFS]]=0),"No","Yes")</f>
        <v>No</v>
      </c>
      <c r="EA2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 s="817">
        <f>VLOOKUP(WWWW[[#This Row],[Site Name]],SiteDB6[[Site Name]:[CCCM Management]],6,FALSE)</f>
        <v>0</v>
      </c>
      <c r="EF27" s="817" t="str">
        <f>VLOOKUP(WWWW[[#This Row],[Site Name]],SiteDB6[[Site Name]:[CCCM Focal Agency]],7,FALSE)</f>
        <v>KBC-MYT</v>
      </c>
      <c r="EG27" s="817" t="str">
        <f>VLOOKUP(WWWW[[#This Row],[Site Name]],SiteDB6[[Site Name]:[Location Type 1]],9,FALSE)</f>
        <v>Camp</v>
      </c>
      <c r="EH27" s="817" t="str">
        <f>VLOOKUP(WWWW[[#This Row],[Site Name]],SiteDB6[[Site Name]:[Type of Accommodation]],10,FALSE)</f>
        <v>Camp</v>
      </c>
      <c r="EI27" s="817" t="str">
        <f>VLOOKUP(WWWW[[#This Row],[Site Name]],SiteDB6[[Site Name]:[Ethnic or GCA/NGCA]],11,FALSE)</f>
        <v>GCA</v>
      </c>
      <c r="EJ27" s="817">
        <f>VLOOKUP(WWWW[[#This Row],[Site Name]],SiteDB6[[Site Name]:[Lat]],12,FALSE)</f>
        <v>25.489669799804702</v>
      </c>
      <c r="EK27" s="817">
        <f>VLOOKUP(WWWW[[#This Row],[Site Name]],SiteDB6[[Site Name]:[Long]],13,FALSE)</f>
        <v>97.458778381347699</v>
      </c>
      <c r="EL27" s="817" t="str">
        <f>VLOOKUP(WWWW[[#This Row],[Site Name]],SiteDB6[[Site Name]:[Pcode]],3,FALSE)</f>
        <v>MMR001CMP265</v>
      </c>
      <c r="EM27" s="822" t="str">
        <f t="shared" si="0"/>
        <v>Covered</v>
      </c>
      <c r="EN27" s="822"/>
      <c r="EO27" s="817">
        <f>VLOOKUP(WWWW[[#This Row],[Site Name]],SiteDB6[[Site Name]:[Pop
(Kachin/Shan-CCCM as of July 2021)]],16,FALSE)</f>
        <v>136</v>
      </c>
      <c r="EP27" s="817">
        <f>VLOOKUP(WWWW[[#This Row],[Site Name]],SiteDB6[[Site Name]:[Pop
(Kachin/Shan-CCCM as of July 2021)]],17,FALSE)</f>
        <v>658</v>
      </c>
    </row>
    <row r="28" spans="1:146" hidden="1">
      <c r="A28" s="752" t="s">
        <v>2785</v>
      </c>
      <c r="B28" s="729" t="s">
        <v>2828</v>
      </c>
      <c r="C28" s="816" t="s">
        <v>141</v>
      </c>
      <c r="D28" s="370" t="s">
        <v>2835</v>
      </c>
      <c r="E28" s="816" t="s">
        <v>37</v>
      </c>
      <c r="F28" s="816" t="s">
        <v>159</v>
      </c>
      <c r="G28" s="817" t="str">
        <f>VLOOKUP(WWWW[[#This Row],[Site Name]],SiteDB6[[Site Name]:[Location Type]],8,FALSE)</f>
        <v>Camp</v>
      </c>
      <c r="H28" s="912" t="s">
        <v>163</v>
      </c>
      <c r="I28" s="818">
        <v>137</v>
      </c>
      <c r="J28" s="818">
        <v>680</v>
      </c>
      <c r="K28" s="830" t="s">
        <v>2836</v>
      </c>
      <c r="L28" s="592" t="s">
        <v>2837</v>
      </c>
      <c r="M28" s="818"/>
      <c r="N28" s="818">
        <v>3</v>
      </c>
      <c r="O28" s="818"/>
      <c r="P28" s="818"/>
      <c r="Q28" s="758" t="s">
        <v>41</v>
      </c>
      <c r="R28" s="818"/>
      <c r="S28" s="818">
        <v>0</v>
      </c>
      <c r="T28" s="449"/>
      <c r="U28" s="818">
        <v>0</v>
      </c>
      <c r="V28" s="818">
        <v>0</v>
      </c>
      <c r="W28" s="818">
        <v>3</v>
      </c>
      <c r="X28" s="818">
        <v>0</v>
      </c>
      <c r="Y28" s="818"/>
      <c r="Z28" s="818"/>
      <c r="AA28" s="818"/>
      <c r="AB28" s="818"/>
      <c r="AC28" s="818"/>
      <c r="AD28" s="818"/>
      <c r="AE28" s="818"/>
      <c r="AF28" s="818"/>
      <c r="AG28" s="818"/>
      <c r="AH28" s="818">
        <v>2</v>
      </c>
      <c r="AI28" s="818"/>
      <c r="AJ28" s="818"/>
      <c r="AK28" s="818"/>
      <c r="AL28" s="818"/>
      <c r="AM28" s="818"/>
      <c r="AN28" s="818"/>
      <c r="AO28" s="818"/>
      <c r="AP28" s="822"/>
      <c r="AQ28" s="818">
        <v>8</v>
      </c>
      <c r="AR28" s="818"/>
      <c r="AS28" s="823"/>
      <c r="AT28" s="818"/>
      <c r="AU28" s="818"/>
      <c r="AV28" s="818">
        <v>99</v>
      </c>
      <c r="AW28" s="818"/>
      <c r="AX28" s="818">
        <v>8</v>
      </c>
      <c r="AY28" s="754" t="s">
        <v>41</v>
      </c>
      <c r="AZ28" s="759" t="s">
        <v>904</v>
      </c>
      <c r="BA28" s="818"/>
      <c r="BB28" s="818"/>
      <c r="BC28" s="818"/>
      <c r="BD28" s="449"/>
      <c r="BE28" s="449"/>
      <c r="BF28" s="817"/>
      <c r="BG28" s="818">
        <v>3</v>
      </c>
      <c r="BH28" s="818"/>
      <c r="BI28" s="818"/>
      <c r="BJ28" s="818">
        <v>2</v>
      </c>
      <c r="BK28" s="818"/>
      <c r="BL28" s="818"/>
      <c r="BM28" s="818">
        <v>3</v>
      </c>
      <c r="BN28" s="818">
        <v>88</v>
      </c>
      <c r="BO28" s="818">
        <v>100</v>
      </c>
      <c r="BP28" s="817"/>
      <c r="BQ28" s="824"/>
      <c r="BR28" s="823"/>
      <c r="BS28" s="817"/>
      <c r="BT28" s="424"/>
      <c r="BU28" s="424"/>
      <c r="BV28" s="449">
        <f>1*WWWW[[#This Row],[Total PoP ]]</f>
        <v>680</v>
      </c>
      <c r="BW28" s="424">
        <v>0.88</v>
      </c>
      <c r="BX28" s="449"/>
      <c r="BY28" s="449"/>
      <c r="BZ28" s="449"/>
      <c r="CA28" s="449">
        <v>0</v>
      </c>
      <c r="CB28" s="449">
        <v>0</v>
      </c>
      <c r="CC28" s="807"/>
      <c r="CD28" s="449"/>
      <c r="CE28" s="825" t="str">
        <f>IFERROR(WWWW[[#This Row],['#_Water sources passed]]/WWWW[[#This Row],['#_Water sources tested for fecal coliform ]],"no test")</f>
        <v>no test</v>
      </c>
      <c r="CF28" s="823" t="str">
        <f>IFERROR(WWWW[[#This Row],['#_Household passed]]/WWWW[[#This Row],['#_Household water samples tested for fecal coliform]],"no test")</f>
        <v>no test</v>
      </c>
      <c r="CG28" s="824" t="str">
        <f>IF(AND(WWWW[[#This Row],[% of water sources passed]]="no test",WWWW[[#This Row],[% Household passed]]="no test"),"No Test","Tested")</f>
        <v>No Test</v>
      </c>
      <c r="CH28" s="824">
        <f>WWWW[[#This Row],['#_Constructed/existing protected hand dug well]]-WWWW[[#This Row],['#_Non-functional protected hand dug well]]</f>
        <v>0</v>
      </c>
      <c r="CI28" s="824">
        <f>(WWWW[[#This Row],['#_Constructed/Existing tube wells/boreholes/handpumps_WASH_agency]]+WWWW[[#This Row],['#_Non-Cluster partner water tube-wells/boreholes/handpumps]])-WWWW[[#This Row],['#_Non-functional tube wells/boreholes/handpumps]]</f>
        <v>3</v>
      </c>
      <c r="CJ28" s="824">
        <f>WWWW[[#This Row],['#_Constructed/Existingwater storage tank with gravity fed reticulation system]]-WWWW[[#This Row],['#_Non-functional storage tank gravity fed reticulation system]]</f>
        <v>0</v>
      </c>
      <c r="CK28" s="824">
        <f>(WWWW[[#This Row],['#_Water_Liters_supplied_by_Water boating or water trucking]]/90)/15</f>
        <v>0</v>
      </c>
      <c r="CL28" s="824">
        <f>WWWW[[#This Row],['#_Water_Liters_from_Constructed/Existing water distribution system from river or natural spring]]/90/15</f>
        <v>0</v>
      </c>
      <c r="CM28" s="425">
        <f>IF(WWWW[[#This Row],['#_of water points in TLS/CFS]]*500&gt;WWWW[[#This Row],[Total PoP ]],WWWW[[#This Row],[Total PoP ]],WWWW[[#This Row],['#_of water points in TLS/CFS]]*500)</f>
        <v>0</v>
      </c>
      <c r="CN28" s="425">
        <f>IF(WWWW[[#This Row],['#_of water points in THF]]*500&gt;WWWW[[#This Row],[Total PoP ]],WWWW[[#This Row],[Total PoP ]],WWWW[[#This Row],['#_of water points in THF]]*500)</f>
        <v>0</v>
      </c>
      <c r="CO28"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 s="823">
        <f>IF(WWWW[[#This Row],[Location Type 1]]="Village",WWWW[[#This Row],[Access to safe drinking water for Village]],WWWW[[#This Row],[Access to safe drinking water for Camp]])</f>
        <v>1</v>
      </c>
      <c r="CR28" s="821">
        <f>WWWW[[#This Row],[%Equitable and continuous access to sufficient quantity of safe drinking water]]*WWWW[[#This Row],[Total PoP ]]</f>
        <v>680</v>
      </c>
      <c r="CS28" s="823">
        <f>IF((WWWW[[#This Row],['#_Constructed/Existing protected/fenced ponds]]*250)/WWWW[[#This Row],[Total PoP ]]&gt;1,1,(WWWW[[#This Row],['#_Constructed/Existing protected/fenced ponds]]*250)/WWWW[[#This Row],[Total PoP ]])</f>
        <v>0</v>
      </c>
      <c r="CT28" s="821">
        <f>WWWW[[#This Row],[% Access to unimproved water points]]*WWWW[[#This Row],[Total PoP ]]</f>
        <v>0</v>
      </c>
      <c r="CU28"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680</v>
      </c>
      <c r="CW28" s="821">
        <f>WWWW[[#This Row],[HRP1]]/500</f>
        <v>1.36</v>
      </c>
      <c r="CX28" s="826">
        <f>1-WWWW[[#This Row],[% Equitable and continuous access to sufficient quantity of domestic water]]</f>
        <v>0</v>
      </c>
      <c r="CY28" s="821">
        <f>WWWW[[#This Row],[%equitable and continuous access to sufficient quantity of safe drinking and domestic water''s GAP]]*WWWW[[#This Row],[Total PoP ]]</f>
        <v>0</v>
      </c>
      <c r="CZ28" s="824">
        <f>IF(WWWW[[#This Row],[Total required water points]]-WWWW[[#This Row],['#Water points coverage]]&lt;0,0,WWWW[[#This Row],[Total required water points]]-WWWW[[#This Row],['#Water points coverage]])</f>
        <v>0</v>
      </c>
      <c r="DA28" s="824">
        <f>ROUND(IF(WWWW[[#This Row],[Total PoP ]]&lt;500,1,WWWW[[#This Row],[Total PoP ]]/500),0)</f>
        <v>1</v>
      </c>
      <c r="DB28" s="824">
        <f>(WWWW[[#This Row],['#_Constructed latrines_by_WASHAgencies]]+WWWW[[#This Row],['#_Non Cluster partner latrines]])-WWWW[[#This Row],['#_Non-functional latrines]]</f>
        <v>8</v>
      </c>
      <c r="DC28" s="634">
        <f>WWWW[[#This Row],[HRP2]]/WWWW[[#This Row],[Total PoP ]]</f>
        <v>0.23529411764705882</v>
      </c>
      <c r="DD28"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8"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680</v>
      </c>
      <c r="DF28"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 s="425">
        <f>IF(WWWW[[#This Row],['# of functional latrines in THF supported by WASH partners during the reporting period2]]="",0,WWWW[[#This Row],['# of functional latrines in THF supported by WASH partners during the reporting period2]]*50)</f>
        <v>0</v>
      </c>
      <c r="DH28" s="824">
        <f>ROUND(IF(WWWW[[#This Row],[Location Type 1]]="camp",WWWW[[#This Row],[Total PoP ]]/20,IF(WWWW[[#This Row],[Location Type 1]]="Temporary Location",WWWW[[#This Row],[Total PoP ]]/50,(WWWW[[#This Row],[Total PoP ]]/6))),0)</f>
        <v>34</v>
      </c>
      <c r="DI28" s="824">
        <f>IF(WWWW[[#This Row],[Total required Latrines]]-(WWWW[[#This Row],['#_Constructed latrines_by_WASHAgencies]]+WWWW[[#This Row],['#_Non Cluster partner latrines]])&lt;0,0,WWWW[[#This Row],[Total required Latrines]]-(WWWW[[#This Row],['#_Constructed latrines_by_WASHAgencies]]+WWWW[[#This Row],['#_Non Cluster partner latrines]]))</f>
        <v>26</v>
      </c>
      <c r="DJ28" s="826">
        <f>1-WWWW[[#This Row],[% people access to functioning Latrine]]</f>
        <v>0.76470588235294112</v>
      </c>
      <c r="DK28" s="825">
        <f>IF(OR(WWWW[[#This Row],['#_Non-functional latrines]]="",WWWW[[#This Row],['#_Non-functional latrines]]=0),0,WWWW[[#This Row],['#_Non-functional latrines]]/(WWWW[[#This Row],['#_Constructed latrines_by_WASHAgencies]]+WWWW[[#This Row],['#_Non Cluster partner latrines]]))</f>
        <v>0</v>
      </c>
      <c r="DL28" s="821">
        <f>IF(500*(WWWW[[#This Row],['#_male hygiene promoters]]+WWWW[[#This Row],['#_female hygiene promoters]])&gt;WWWW[[#This Row],[Total PoP ]],WWWW[[#This Row],[Total PoP ]],500*(WWWW[[#This Row],['#_male hygiene promoters]]+WWWW[[#This Row],['#_female hygiene promoters]]))</f>
        <v>680</v>
      </c>
      <c r="DM28"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28"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28" s="824">
        <f>IF(WWWW[[#This Row],['# People with access to soap]]&gt;WWWW[[#This Row],['# People with access to Sanity Pads]],WWWW[[#This Row],['# People with access to soap]],WWWW[[#This Row],['# People with access to Sanity Pads]])</f>
        <v>440</v>
      </c>
      <c r="DP28" s="824">
        <f>IF(WWWW[[#This Row],['# people reached by regular dedicated hygiene promotion_5]]&gt;WWWW[[#This Row],['# People received regular supply of hygiene items_6]],WWWW[[#This Row],['# people reached by regular dedicated hygiene promotion_5]],WWWW[[#This Row],['# People received regular supply of hygiene items_6]])</f>
        <v>680</v>
      </c>
      <c r="DQ28" s="826">
        <f>IF(WWWW[[#This Row],[HRP3]]/WWWW[[#This Row],[Total PoP ]]&gt;1,1,WWWW[[#This Row],[HRP3]]/WWWW[[#This Row],[Total PoP ]])</f>
        <v>1</v>
      </c>
      <c r="DR28" s="825">
        <f>1-WWWW[[#This Row],[Hygiene Coverage%]]</f>
        <v>0</v>
      </c>
      <c r="DS28" s="823">
        <f>WWWW[[#This Row],['# people reached by regular dedicated hygiene promotion_5]]/WWWW[[#This Row],[Total PoP ]]</f>
        <v>1</v>
      </c>
      <c r="DT28"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8"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0.72992700729927007</v>
      </c>
      <c r="DV28" s="824">
        <f>WWWW[[#This Row],['#_Constructed/Existing hand washing stations]]-WWWW[[#This Row],['#_Non-Functional_hand_washing_stations]]</f>
        <v>3</v>
      </c>
      <c r="DW28" s="821">
        <f>IF(WWWW[[#This Row],['# Functional hand washing stations during reporting period]]*20&gt;WWWW[[#This Row],[Total HH]],WWWW[[#This Row],[Total HH]],WWWW[[#This Row],['# Functional hand washing stations during reporting period]]*20)</f>
        <v>60</v>
      </c>
      <c r="DX28" s="821">
        <f>IF(WWWW[[#This Row],[Is sufficient soap available for TLS? (Yes/No)]]="yes",WWWW[[#This Row],['#_Constructed/Existing hand washing stations at TLS/CFS/THF]],0)</f>
        <v>0</v>
      </c>
      <c r="DY28" s="429">
        <f>IF(WWWW[[#This Row],['# Functional hand washing stations during reporting period]]*100&gt;WWWW[[#This Row],[Total PoP ]],WWWW[[#This Row],[Total PoP ]],WWWW[[#This Row],['# Functional hand washing stations during reporting period]]*100)</f>
        <v>300</v>
      </c>
      <c r="DZ28" s="429" t="str">
        <f>IF(OR(WWWW[[#This Row],['#_students at TLS_CFS]]="",WWWW[[#This Row],['#_students at TLS_CFS]]=0),"No","Yes")</f>
        <v>No</v>
      </c>
      <c r="EA28" s="634">
        <f>IF(WWWW[[#This Row],['#_of_affected_people_surveyed_who_report_feeling_informed_about_the_different_WASH_services_available_to_them]]="","",WWWW[[#This Row],['#_of_affected_people_surveyed_who_report_feeling_informed_about_the_different_WASH_services_available_to_them]]/WWWW[[#This Row],[Total PoP ]])</f>
        <v>1</v>
      </c>
      <c r="EB2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 s="817" t="str">
        <f>VLOOKUP(WWWW[[#This Row],[Site Name]],SiteDB6[[Site Name]:[CCCM Management]],6,FALSE)</f>
        <v>Yes</v>
      </c>
      <c r="EF28" s="817" t="str">
        <f>VLOOKUP(WWWW[[#This Row],[Site Name]],SiteDB6[[Site Name]:[CCCM Focal Agency]],7,FALSE)</f>
        <v>KBC-MYT</v>
      </c>
      <c r="EG28" s="817" t="str">
        <f>VLOOKUP(WWWW[[#This Row],[Site Name]],SiteDB6[[Site Name]:[Location Type 1]],9,FALSE)</f>
        <v>Camp</v>
      </c>
      <c r="EH28" s="817" t="str">
        <f>VLOOKUP(WWWW[[#This Row],[Site Name]],SiteDB6[[Site Name]:[Type of Accommodation]],10,FALSE)</f>
        <v>Camp</v>
      </c>
      <c r="EI28" s="817" t="str">
        <f>VLOOKUP(WWWW[[#This Row],[Site Name]],SiteDB6[[Site Name]:[Ethnic or GCA/NGCA]],11,FALSE)</f>
        <v>GCA</v>
      </c>
      <c r="EJ28" s="817">
        <f>VLOOKUP(WWWW[[#This Row],[Site Name]],SiteDB6[[Site Name]:[Lat]],12,FALSE)</f>
        <v>25.362420757575801</v>
      </c>
      <c r="EK28" s="817">
        <f>VLOOKUP(WWWW[[#This Row],[Site Name]],SiteDB6[[Site Name]:[Long]],13,FALSE)</f>
        <v>97.409035000000003</v>
      </c>
      <c r="EL28" s="817" t="str">
        <f>VLOOKUP(WWWW[[#This Row],[Site Name]],SiteDB6[[Site Name]:[Pcode]],3,FALSE)</f>
        <v>MMR001CMP015</v>
      </c>
      <c r="EM28" s="822" t="str">
        <f t="shared" si="0"/>
        <v>Covered</v>
      </c>
      <c r="EN28" s="822"/>
      <c r="EO28" s="817">
        <f>VLOOKUP(WWWW[[#This Row],[Site Name]],SiteDB6[[Site Name]:[Pop
(Kachin/Shan-CCCM as of July 2021)]],16,FALSE)</f>
        <v>144</v>
      </c>
      <c r="EP28" s="817">
        <f>VLOOKUP(WWWW[[#This Row],[Site Name]],SiteDB6[[Site Name]:[Pop
(Kachin/Shan-CCCM as of July 2021)]],17,FALSE)</f>
        <v>723</v>
      </c>
    </row>
    <row r="29" spans="1:146" hidden="1">
      <c r="A29" s="752" t="s">
        <v>2785</v>
      </c>
      <c r="B29" s="752" t="s">
        <v>141</v>
      </c>
      <c r="C29" s="753" t="s">
        <v>141</v>
      </c>
      <c r="D29" s="753" t="s">
        <v>241</v>
      </c>
      <c r="E29" s="753" t="s">
        <v>37</v>
      </c>
      <c r="F29" s="753" t="s">
        <v>159</v>
      </c>
      <c r="G29" s="594" t="str">
        <f>VLOOKUP(WWWW[[#This Row],[Site Name]],SiteDB6[[Site Name]:[Location Type]],8,FALSE)</f>
        <v>Camp</v>
      </c>
      <c r="H29" s="753" t="s">
        <v>164</v>
      </c>
      <c r="I29" s="755">
        <v>132</v>
      </c>
      <c r="J29" s="755">
        <v>676</v>
      </c>
      <c r="K29" s="756">
        <v>44105</v>
      </c>
      <c r="L29" s="592">
        <v>44681</v>
      </c>
      <c r="M29" s="755"/>
      <c r="N29" s="755">
        <v>3</v>
      </c>
      <c r="O29" s="755"/>
      <c r="P29" s="755"/>
      <c r="Q29" s="758" t="s">
        <v>41</v>
      </c>
      <c r="R29" s="755"/>
      <c r="S29" s="755">
        <v>5</v>
      </c>
      <c r="T29" s="449"/>
      <c r="U29" s="755"/>
      <c r="V29" s="755"/>
      <c r="W29" s="755">
        <v>3</v>
      </c>
      <c r="X29" s="755"/>
      <c r="Y29" s="755"/>
      <c r="Z29" s="755"/>
      <c r="AA29" s="755"/>
      <c r="AB29" s="755"/>
      <c r="AC29" s="755"/>
      <c r="AD29" s="755"/>
      <c r="AE29" s="755"/>
      <c r="AF29" s="755"/>
      <c r="AG29" s="755"/>
      <c r="AH29" s="755">
        <v>2</v>
      </c>
      <c r="AI29" s="755"/>
      <c r="AJ29" s="755"/>
      <c r="AK29" s="755"/>
      <c r="AL29" s="755"/>
      <c r="AM29" s="755"/>
      <c r="AN29" s="755"/>
      <c r="AO29" s="755"/>
      <c r="AP29" s="759"/>
      <c r="AQ29" s="755">
        <v>32</v>
      </c>
      <c r="AR29" s="755"/>
      <c r="AS29" s="760"/>
      <c r="AT29" s="755"/>
      <c r="AU29" s="755"/>
      <c r="AV29" s="755">
        <v>52</v>
      </c>
      <c r="AW29" s="755"/>
      <c r="AX29" s="755">
        <v>32</v>
      </c>
      <c r="AY29" s="754" t="s">
        <v>41</v>
      </c>
      <c r="AZ29" s="759" t="s">
        <v>137</v>
      </c>
      <c r="BA29" s="755"/>
      <c r="BB29" s="755"/>
      <c r="BC29" s="755"/>
      <c r="BD29" s="449"/>
      <c r="BE29" s="449"/>
      <c r="BF29" s="754"/>
      <c r="BG29" s="755">
        <v>3</v>
      </c>
      <c r="BH29" s="755"/>
      <c r="BI29" s="755"/>
      <c r="BJ29" s="755">
        <v>2</v>
      </c>
      <c r="BK29" s="755"/>
      <c r="BL29" s="755"/>
      <c r="BM29" s="755">
        <v>2</v>
      </c>
      <c r="BN29" s="755">
        <v>10</v>
      </c>
      <c r="BO29" s="755">
        <v>18</v>
      </c>
      <c r="BP29" s="754"/>
      <c r="BQ29" s="761"/>
      <c r="BR29" s="760"/>
      <c r="BS29" s="754"/>
      <c r="BT29" s="424"/>
      <c r="BU29" s="424"/>
      <c r="BV29" s="426"/>
      <c r="BW29" s="424"/>
      <c r="BX29" s="449"/>
      <c r="BY29" s="449"/>
      <c r="BZ29" s="449"/>
      <c r="CA29" s="449"/>
      <c r="CB29" s="449"/>
      <c r="CC29" s="807"/>
      <c r="CD29" s="449"/>
      <c r="CE29" s="762" t="str">
        <f>IFERROR(WWWW[[#This Row],['#_Water sources passed]]/WWWW[[#This Row],['#_Water sources tested for fecal coliform ]],"no test")</f>
        <v>no test</v>
      </c>
      <c r="CF29" s="760" t="str">
        <f>IFERROR(WWWW[[#This Row],['#_Household passed]]/WWWW[[#This Row],['#_Household water samples tested for fecal coliform]],"no test")</f>
        <v>no test</v>
      </c>
      <c r="CG29" s="761" t="str">
        <f>IF(AND(WWWW[[#This Row],[% of water sources passed]]="no test",WWWW[[#This Row],[% Household passed]]="no test"),"No Test","Tested")</f>
        <v>No Test</v>
      </c>
      <c r="CH29" s="761">
        <f>WWWW[[#This Row],['#_Constructed/existing protected hand dug well]]-WWWW[[#This Row],['#_Non-functional protected hand dug well]]</f>
        <v>0</v>
      </c>
      <c r="CI29" s="761">
        <f>(WWWW[[#This Row],['#_Constructed/Existing tube wells/boreholes/handpumps_WASH_agency]]+WWWW[[#This Row],['#_Non-Cluster partner water tube-wells/boreholes/handpumps]])-WWWW[[#This Row],['#_Non-functional tube wells/boreholes/handpumps]]</f>
        <v>3</v>
      </c>
      <c r="CJ29" s="761">
        <f>WWWW[[#This Row],['#_Constructed/Existingwater storage tank with gravity fed reticulation system]]-WWWW[[#This Row],['#_Non-functional storage tank gravity fed reticulation system]]</f>
        <v>0</v>
      </c>
      <c r="CK29" s="761">
        <f>(WWWW[[#This Row],['#_Water_Liters_supplied_by_Water boating or water trucking]]/90)/15</f>
        <v>0</v>
      </c>
      <c r="CL29" s="761">
        <f>WWWW[[#This Row],['#_Water_Liters_from_Constructed/Existing water distribution system from river or natural spring]]/90/15</f>
        <v>0</v>
      </c>
      <c r="CM29" s="425">
        <f>IF(WWWW[[#This Row],['#_of water points in TLS/CFS]]*500&gt;WWWW[[#This Row],[Total PoP ]],WWWW[[#This Row],[Total PoP ]],WWWW[[#This Row],['#_of water points in TLS/CFS]]*500)</f>
        <v>0</v>
      </c>
      <c r="CN29" s="425">
        <f>IF(WWWW[[#This Row],['#_of water points in THF]]*500&gt;WWWW[[#This Row],[Total PoP ]],WWWW[[#This Row],[Total PoP ]],WWWW[[#This Row],['#_of water points in THF]]*500)</f>
        <v>0</v>
      </c>
      <c r="CO2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 s="760">
        <f>IF(WWWW[[#This Row],[Location Type 1]]="Village",WWWW[[#This Row],[Access to safe drinking water for Village]],WWWW[[#This Row],[Access to safe drinking water for Camp]])</f>
        <v>1</v>
      </c>
      <c r="CR29" s="758">
        <f>WWWW[[#This Row],[%Equitable and continuous access to sufficient quantity of safe drinking water]]*WWWW[[#This Row],[Total PoP ]]</f>
        <v>676</v>
      </c>
      <c r="CS29" s="760">
        <f>IF((WWWW[[#This Row],['#_Constructed/Existing protected/fenced ponds]]*250)/WWWW[[#This Row],[Total PoP ]]&gt;1,1,(WWWW[[#This Row],['#_Constructed/Existing protected/fenced ponds]]*250)/WWWW[[#This Row],[Total PoP ]])</f>
        <v>0</v>
      </c>
      <c r="CT29" s="758">
        <f>WWWW[[#This Row],[% Access to unimproved water points]]*WWWW[[#This Row],[Total PoP ]]</f>
        <v>0</v>
      </c>
      <c r="CU2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676</v>
      </c>
      <c r="CW29" s="758">
        <f>WWWW[[#This Row],[HRP1]]/500</f>
        <v>1.3520000000000001</v>
      </c>
      <c r="CX29" s="763">
        <f>1-WWWW[[#This Row],[% Equitable and continuous access to sufficient quantity of domestic water]]</f>
        <v>0</v>
      </c>
      <c r="CY29" s="758">
        <f>WWWW[[#This Row],[%equitable and continuous access to sufficient quantity of safe drinking and domestic water''s GAP]]*WWWW[[#This Row],[Total PoP ]]</f>
        <v>0</v>
      </c>
      <c r="CZ29" s="761">
        <f>IF(WWWW[[#This Row],[Total required water points]]-WWWW[[#This Row],['#Water points coverage]]&lt;0,0,WWWW[[#This Row],[Total required water points]]-WWWW[[#This Row],['#Water points coverage]])</f>
        <v>0</v>
      </c>
      <c r="DA29" s="761">
        <f>ROUND(IF(WWWW[[#This Row],[Total PoP ]]&lt;500,1,WWWW[[#This Row],[Total PoP ]]/500),0)</f>
        <v>1</v>
      </c>
      <c r="DB29" s="761">
        <f>(WWWW[[#This Row],['#_Constructed latrines_by_WASHAgencies]]+WWWW[[#This Row],['#_Non Cluster partner latrines]])-WWWW[[#This Row],['#_Non-functional latrines]]</f>
        <v>32</v>
      </c>
      <c r="DC29" s="634">
        <f>WWWW[[#This Row],[HRP2]]/WWWW[[#This Row],[Total PoP ]]</f>
        <v>0.94674556213017746</v>
      </c>
      <c r="DD2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676</v>
      </c>
      <c r="DF2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 s="425">
        <f>IF(WWWW[[#This Row],['# of functional latrines in THF supported by WASH partners during the reporting period2]]="",0,WWWW[[#This Row],['# of functional latrines in THF supported by WASH partners during the reporting period2]]*50)</f>
        <v>0</v>
      </c>
      <c r="DH29" s="761">
        <f>ROUND(IF(WWWW[[#This Row],[Location Type 1]]="camp",WWWW[[#This Row],[Total PoP ]]/20,IF(WWWW[[#This Row],[Location Type 1]]="Temporary Location",WWWW[[#This Row],[Total PoP ]]/50,(WWWW[[#This Row],[Total PoP ]]/6))),0)</f>
        <v>34</v>
      </c>
      <c r="DI29" s="761">
        <f>IF(WWWW[[#This Row],[Total required Latrines]]-(WWWW[[#This Row],['#_Constructed latrines_by_WASHAgencies]]+WWWW[[#This Row],['#_Non Cluster partner latrines]])&lt;0,0,WWWW[[#This Row],[Total required Latrines]]-(WWWW[[#This Row],['#_Constructed latrines_by_WASHAgencies]]+WWWW[[#This Row],['#_Non Cluster partner latrines]]))</f>
        <v>2</v>
      </c>
      <c r="DJ29" s="763">
        <f>1-WWWW[[#This Row],[% people access to functioning Latrine]]</f>
        <v>5.3254437869822535E-2</v>
      </c>
      <c r="DK29" s="762">
        <f>IF(OR(WWWW[[#This Row],['#_Non-functional latrines]]="",WWWW[[#This Row],['#_Non-functional latrines]]=0),0,WWWW[[#This Row],['#_Non-functional latrines]]/(WWWW[[#This Row],['#_Constructed latrines_by_WASHAgencies]]+WWWW[[#This Row],['#_Non Cluster partner latrines]]))</f>
        <v>0</v>
      </c>
      <c r="DL29" s="758">
        <f>IF(500*(WWWW[[#This Row],['#_male hygiene promoters]]+WWWW[[#This Row],['#_female hygiene promoters]])&gt;WWWW[[#This Row],[Total PoP ]],WWWW[[#This Row],[Total PoP ]],500*(WWWW[[#This Row],['#_male hygiene promoters]]+WWWW[[#This Row],['#_female hygiene promoters]]))</f>
        <v>676</v>
      </c>
      <c r="DM2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2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29" s="761">
        <f>IF(WWWW[[#This Row],['# People with access to soap]]&gt;WWWW[[#This Row],['# People with access to Sanity Pads]],WWWW[[#This Row],['# People with access to soap]],WWWW[[#This Row],['# People with access to Sanity Pads]])</f>
        <v>50</v>
      </c>
      <c r="DP29" s="761">
        <f>IF(WWWW[[#This Row],['# people reached by regular dedicated hygiene promotion_5]]&gt;WWWW[[#This Row],['# People received regular supply of hygiene items_6]],WWWW[[#This Row],['# people reached by regular dedicated hygiene promotion_5]],WWWW[[#This Row],['# People received regular supply of hygiene items_6]])</f>
        <v>676</v>
      </c>
      <c r="DQ29" s="763">
        <f>IF(WWWW[[#This Row],[HRP3]]/WWWW[[#This Row],[Total PoP ]]&gt;1,1,WWWW[[#This Row],[HRP3]]/WWWW[[#This Row],[Total PoP ]])</f>
        <v>1</v>
      </c>
      <c r="DR29" s="762">
        <f>1-WWWW[[#This Row],[Hygiene Coverage%]]</f>
        <v>0</v>
      </c>
      <c r="DS29" s="760">
        <f>WWWW[[#This Row],['# people reached by regular dedicated hygiene promotion_5]]/WWWW[[#This Row],[Total PoP ]]</f>
        <v>1</v>
      </c>
      <c r="DT2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0.30303030303030304</v>
      </c>
      <c r="DU2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0.13636363636363635</v>
      </c>
      <c r="DV29" s="761">
        <f>WWWW[[#This Row],['#_Constructed/Existing hand washing stations]]-WWWW[[#This Row],['#_Non-Functional_hand_washing_stations]]</f>
        <v>3</v>
      </c>
      <c r="DW29" s="758">
        <f>IF(WWWW[[#This Row],['# Functional hand washing stations during reporting period]]*20&gt;WWWW[[#This Row],[Total HH]],WWWW[[#This Row],[Total HH]],WWWW[[#This Row],['# Functional hand washing stations during reporting period]]*20)</f>
        <v>60</v>
      </c>
      <c r="DX29" s="758">
        <f>IF(WWWW[[#This Row],[Is sufficient soap available for TLS? (Yes/No)]]="yes",WWWW[[#This Row],['#_Constructed/Existing hand washing stations at TLS/CFS/THF]],0)</f>
        <v>0</v>
      </c>
      <c r="DY29" s="429">
        <f>IF(WWWW[[#This Row],['# Functional hand washing stations during reporting period]]*100&gt;WWWW[[#This Row],[Total PoP ]],WWWW[[#This Row],[Total PoP ]],WWWW[[#This Row],['# Functional hand washing stations during reporting period]]*100)</f>
        <v>300</v>
      </c>
      <c r="DZ29" s="429" t="str">
        <f>IF(OR(WWWW[[#This Row],['#_students at TLS_CFS]]="",WWWW[[#This Row],['#_students at TLS_CFS]]=0),"No","Yes")</f>
        <v>No</v>
      </c>
      <c r="EA2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 s="754" t="str">
        <f>VLOOKUP(WWWW[[#This Row],[Site Name]],SiteDB6[[Site Name]:[CCCM Management]],6,FALSE)</f>
        <v>Yes</v>
      </c>
      <c r="EF29" s="754" t="str">
        <f>VLOOKUP(WWWW[[#This Row],[Site Name]],SiteDB6[[Site Name]:[CCCM Focal Agency]],7,FALSE)</f>
        <v>KBC-MYT</v>
      </c>
      <c r="EG29" s="754" t="str">
        <f>VLOOKUP(WWWW[[#This Row],[Site Name]],SiteDB6[[Site Name]:[Location Type 1]],9,FALSE)</f>
        <v>Camp</v>
      </c>
      <c r="EH29" s="754" t="str">
        <f>VLOOKUP(WWWW[[#This Row],[Site Name]],SiteDB6[[Site Name]:[Type of Accommodation]],10,FALSE)</f>
        <v>Camp</v>
      </c>
      <c r="EI29" s="754" t="str">
        <f>VLOOKUP(WWWW[[#This Row],[Site Name]],SiteDB6[[Site Name]:[Ethnic or GCA/NGCA]],11,FALSE)</f>
        <v>GCA</v>
      </c>
      <c r="EJ29" s="754">
        <f>VLOOKUP(WWWW[[#This Row],[Site Name]],SiteDB6[[Site Name]:[Lat]],12,FALSE)</f>
        <v>25.3510167948718</v>
      </c>
      <c r="EK29" s="754">
        <f>VLOOKUP(WWWW[[#This Row],[Site Name]],SiteDB6[[Site Name]:[Long]],13,FALSE)</f>
        <v>97.403402307692303</v>
      </c>
      <c r="EL29" s="754" t="str">
        <f>VLOOKUP(WWWW[[#This Row],[Site Name]],SiteDB6[[Site Name]:[Pcode]],3,FALSE)</f>
        <v>MMR001CMP014</v>
      </c>
      <c r="EM29" s="759" t="str">
        <f t="shared" si="0"/>
        <v>Covered</v>
      </c>
      <c r="EN29" s="759"/>
      <c r="EO29" s="754">
        <f>VLOOKUP(WWWW[[#This Row],[Site Name]],SiteDB6[[Site Name]:[Pop
(Kachin/Shan-CCCM as of July 2021)]],16,FALSE)</f>
        <v>136</v>
      </c>
      <c r="EP29" s="754">
        <f>VLOOKUP(WWWW[[#This Row],[Site Name]],SiteDB6[[Site Name]:[Pop
(Kachin/Shan-CCCM as of July 2021)]],17,FALSE)</f>
        <v>697</v>
      </c>
    </row>
    <row r="30" spans="1:146" hidden="1">
      <c r="A30" s="752" t="s">
        <v>2785</v>
      </c>
      <c r="B30" s="752" t="s">
        <v>141</v>
      </c>
      <c r="C30" s="753" t="s">
        <v>141</v>
      </c>
      <c r="D30" s="753" t="s">
        <v>241</v>
      </c>
      <c r="E30" s="753" t="s">
        <v>37</v>
      </c>
      <c r="F30" s="753" t="s">
        <v>159</v>
      </c>
      <c r="G30" s="594" t="str">
        <f>VLOOKUP(WWWW[[#This Row],[Site Name]],SiteDB6[[Site Name]:[Location Type]],8,FALSE)</f>
        <v>Camp</v>
      </c>
      <c r="H30" s="753" t="s">
        <v>165</v>
      </c>
      <c r="I30" s="755">
        <v>61</v>
      </c>
      <c r="J30" s="755">
        <v>290</v>
      </c>
      <c r="K30" s="756">
        <v>44105</v>
      </c>
      <c r="L30" s="592">
        <v>44681</v>
      </c>
      <c r="M30" s="755"/>
      <c r="N30" s="755">
        <v>2</v>
      </c>
      <c r="O30" s="755"/>
      <c r="P30" s="755"/>
      <c r="Q30" s="758" t="s">
        <v>41</v>
      </c>
      <c r="R30" s="755"/>
      <c r="S30" s="755">
        <v>4</v>
      </c>
      <c r="T30" s="449">
        <v>1</v>
      </c>
      <c r="U30" s="755"/>
      <c r="V30" s="755"/>
      <c r="W30" s="755">
        <v>7</v>
      </c>
      <c r="X30" s="755"/>
      <c r="Y30" s="755"/>
      <c r="Z30" s="755"/>
      <c r="AA30" s="755"/>
      <c r="AB30" s="755"/>
      <c r="AC30" s="755"/>
      <c r="AD30" s="755"/>
      <c r="AE30" s="755"/>
      <c r="AF30" s="755"/>
      <c r="AG30" s="755"/>
      <c r="AH30" s="755">
        <v>2</v>
      </c>
      <c r="AI30" s="755"/>
      <c r="AJ30" s="755"/>
      <c r="AK30" s="755"/>
      <c r="AL30" s="755"/>
      <c r="AM30" s="755"/>
      <c r="AN30" s="755"/>
      <c r="AO30" s="755"/>
      <c r="AP30" s="759"/>
      <c r="AQ30" s="755">
        <v>7</v>
      </c>
      <c r="AR30" s="755"/>
      <c r="AS30" s="760"/>
      <c r="AT30" s="755"/>
      <c r="AU30" s="449">
        <v>9</v>
      </c>
      <c r="AV30" s="449">
        <v>74</v>
      </c>
      <c r="AW30" s="755"/>
      <c r="AX30" s="755">
        <v>7</v>
      </c>
      <c r="AY30" s="754" t="s">
        <v>41</v>
      </c>
      <c r="AZ30" s="759" t="s">
        <v>904</v>
      </c>
      <c r="BA30" s="755"/>
      <c r="BB30" s="755"/>
      <c r="BC30" s="755"/>
      <c r="BD30" s="449"/>
      <c r="BE30" s="449"/>
      <c r="BF30" s="754"/>
      <c r="BG30" s="755">
        <v>3</v>
      </c>
      <c r="BH30" s="755"/>
      <c r="BI30" s="755"/>
      <c r="BJ30" s="755">
        <v>2</v>
      </c>
      <c r="BK30" s="755"/>
      <c r="BL30" s="755"/>
      <c r="BM30" s="755">
        <v>2</v>
      </c>
      <c r="BN30" s="755">
        <v>88</v>
      </c>
      <c r="BO30" s="755">
        <v>100</v>
      </c>
      <c r="BP30" s="754"/>
      <c r="BQ30" s="761"/>
      <c r="BR30" s="760"/>
      <c r="BS30" s="754"/>
      <c r="BT30" s="424"/>
      <c r="BU30" s="424"/>
      <c r="BV30" s="426"/>
      <c r="BW30" s="424"/>
      <c r="BX30" s="449"/>
      <c r="BY30" s="449"/>
      <c r="BZ30" s="449"/>
      <c r="CA30" s="449"/>
      <c r="CB30" s="449"/>
      <c r="CC30" s="807"/>
      <c r="CD30" s="449"/>
      <c r="CE30" s="762" t="str">
        <f>IFERROR(WWWW[[#This Row],['#_Water sources passed]]/WWWW[[#This Row],['#_Water sources tested for fecal coliform ]],"no test")</f>
        <v>no test</v>
      </c>
      <c r="CF30" s="760" t="str">
        <f>IFERROR(WWWW[[#This Row],['#_Household passed]]/WWWW[[#This Row],['#_Household water samples tested for fecal coliform]],"no test")</f>
        <v>no test</v>
      </c>
      <c r="CG30" s="761" t="str">
        <f>IF(AND(WWWW[[#This Row],[% of water sources passed]]="no test",WWWW[[#This Row],[% Household passed]]="no test"),"No Test","Tested")</f>
        <v>No Test</v>
      </c>
      <c r="CH30" s="761">
        <f>WWWW[[#This Row],['#_Constructed/existing protected hand dug well]]-WWWW[[#This Row],['#_Non-functional protected hand dug well]]</f>
        <v>1</v>
      </c>
      <c r="CI30" s="761">
        <f>(WWWW[[#This Row],['#_Constructed/Existing tube wells/boreholes/handpumps_WASH_agency]]+WWWW[[#This Row],['#_Non-Cluster partner water tube-wells/boreholes/handpumps]])-WWWW[[#This Row],['#_Non-functional tube wells/boreholes/handpumps]]</f>
        <v>7</v>
      </c>
      <c r="CJ30" s="761">
        <f>WWWW[[#This Row],['#_Constructed/Existingwater storage tank with gravity fed reticulation system]]-WWWW[[#This Row],['#_Non-functional storage tank gravity fed reticulation system]]</f>
        <v>0</v>
      </c>
      <c r="CK30" s="761">
        <f>(WWWW[[#This Row],['#_Water_Liters_supplied_by_Water boating or water trucking]]/90)/15</f>
        <v>0</v>
      </c>
      <c r="CL30" s="761">
        <f>WWWW[[#This Row],['#_Water_Liters_from_Constructed/Existing water distribution system from river or natural spring]]/90/15</f>
        <v>0</v>
      </c>
      <c r="CM30" s="425">
        <f>IF(WWWW[[#This Row],['#_of water points in TLS/CFS]]*500&gt;WWWW[[#This Row],[Total PoP ]],WWWW[[#This Row],[Total PoP ]],WWWW[[#This Row],['#_of water points in TLS/CFS]]*500)</f>
        <v>0</v>
      </c>
      <c r="CN30" s="425">
        <f>IF(WWWW[[#This Row],['#_of water points in THF]]*500&gt;WWWW[[#This Row],[Total PoP ]],WWWW[[#This Row],[Total PoP ]],WWWW[[#This Row],['#_of water points in THF]]*500)</f>
        <v>0</v>
      </c>
      <c r="CO3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 s="760">
        <f>IF(WWWW[[#This Row],[Location Type 1]]="Village",WWWW[[#This Row],[Access to safe drinking water for Village]],WWWW[[#This Row],[Access to safe drinking water for Camp]])</f>
        <v>1</v>
      </c>
      <c r="CR30" s="758">
        <f>WWWW[[#This Row],[%Equitable and continuous access to sufficient quantity of safe drinking water]]*WWWW[[#This Row],[Total PoP ]]</f>
        <v>290</v>
      </c>
      <c r="CS30" s="760">
        <f>IF((WWWW[[#This Row],['#_Constructed/Existing protected/fenced ponds]]*250)/WWWW[[#This Row],[Total PoP ]]&gt;1,1,(WWWW[[#This Row],['#_Constructed/Existing protected/fenced ponds]]*250)/WWWW[[#This Row],[Total PoP ]])</f>
        <v>0</v>
      </c>
      <c r="CT30" s="758">
        <f>WWWW[[#This Row],[% Access to unimproved water points]]*WWWW[[#This Row],[Total PoP ]]</f>
        <v>0</v>
      </c>
      <c r="CU3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290</v>
      </c>
      <c r="CW30" s="758">
        <f>WWWW[[#This Row],[HRP1]]/500</f>
        <v>0.57999999999999996</v>
      </c>
      <c r="CX30" s="763">
        <f>1-WWWW[[#This Row],[% Equitable and continuous access to sufficient quantity of domestic water]]</f>
        <v>0</v>
      </c>
      <c r="CY30" s="758">
        <f>WWWW[[#This Row],[%equitable and continuous access to sufficient quantity of safe drinking and domestic water''s GAP]]*WWWW[[#This Row],[Total PoP ]]</f>
        <v>0</v>
      </c>
      <c r="CZ30" s="761">
        <f>IF(WWWW[[#This Row],[Total required water points]]-WWWW[[#This Row],['#Water points coverage]]&lt;0,0,WWWW[[#This Row],[Total required water points]]-WWWW[[#This Row],['#Water points coverage]])</f>
        <v>0.42000000000000004</v>
      </c>
      <c r="DA30" s="761">
        <f>ROUND(IF(WWWW[[#This Row],[Total PoP ]]&lt;500,1,WWWW[[#This Row],[Total PoP ]]/500),0)</f>
        <v>1</v>
      </c>
      <c r="DB30" s="761">
        <f>(WWWW[[#This Row],['#_Constructed latrines_by_WASHAgencies]]+WWWW[[#This Row],['#_Non Cluster partner latrines]])-WWWW[[#This Row],['#_Non-functional latrines]]</f>
        <v>7</v>
      </c>
      <c r="DC30" s="634">
        <f>WWWW[[#This Row],[HRP2]]/WWWW[[#This Row],[Total PoP ]]</f>
        <v>0.48275862068965519</v>
      </c>
      <c r="DD3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3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290</v>
      </c>
      <c r="DF3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 s="425">
        <f>IF(WWWW[[#This Row],['# of functional latrines in THF supported by WASH partners during the reporting period2]]="",0,WWWW[[#This Row],['# of functional latrines in THF supported by WASH partners during the reporting period2]]*50)</f>
        <v>0</v>
      </c>
      <c r="DH30" s="761">
        <f>ROUND(IF(WWWW[[#This Row],[Location Type 1]]="camp",WWWW[[#This Row],[Total PoP ]]/20,IF(WWWW[[#This Row],[Location Type 1]]="Temporary Location",WWWW[[#This Row],[Total PoP ]]/50,(WWWW[[#This Row],[Total PoP ]]/6))),0)</f>
        <v>15</v>
      </c>
      <c r="DI30" s="761">
        <f>IF(WWWW[[#This Row],[Total required Latrines]]-(WWWW[[#This Row],['#_Constructed latrines_by_WASHAgencies]]+WWWW[[#This Row],['#_Non Cluster partner latrines]])&lt;0,0,WWWW[[#This Row],[Total required Latrines]]-(WWWW[[#This Row],['#_Constructed latrines_by_WASHAgencies]]+WWWW[[#This Row],['#_Non Cluster partner latrines]]))</f>
        <v>8</v>
      </c>
      <c r="DJ30" s="763">
        <f>1-WWWW[[#This Row],[% people access to functioning Latrine]]</f>
        <v>0.51724137931034475</v>
      </c>
      <c r="DK30" s="762">
        <f>IF(OR(WWWW[[#This Row],['#_Non-functional latrines]]="",WWWW[[#This Row],['#_Non-functional latrines]]=0),0,WWWW[[#This Row],['#_Non-functional latrines]]/(WWWW[[#This Row],['#_Constructed latrines_by_WASHAgencies]]+WWWW[[#This Row],['#_Non Cluster partner latrines]]))</f>
        <v>0</v>
      </c>
      <c r="DL30" s="758">
        <f>IF(500*(WWWW[[#This Row],['#_male hygiene promoters]]+WWWW[[#This Row],['#_female hygiene promoters]])&gt;WWWW[[#This Row],[Total PoP ]],WWWW[[#This Row],[Total PoP ]],500*(WWWW[[#This Row],['#_male hygiene promoters]]+WWWW[[#This Row],['#_female hygiene promoters]]))</f>
        <v>290</v>
      </c>
      <c r="DM3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N3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30" s="761">
        <f>IF(WWWW[[#This Row],['# People with access to soap]]&gt;WWWW[[#This Row],['# People with access to Sanity Pads]],WWWW[[#This Row],['# People with access to soap]],WWWW[[#This Row],['# People with access to Sanity Pads]])</f>
        <v>290</v>
      </c>
      <c r="DP30" s="761">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Q30" s="763">
        <f>IF(WWWW[[#This Row],[HRP3]]/WWWW[[#This Row],[Total PoP ]]&gt;1,1,WWWW[[#This Row],[HRP3]]/WWWW[[#This Row],[Total PoP ]])</f>
        <v>1</v>
      </c>
      <c r="DR30" s="762">
        <f>1-WWWW[[#This Row],[Hygiene Coverage%]]</f>
        <v>0</v>
      </c>
      <c r="DS30" s="760">
        <f>WWWW[[#This Row],['# people reached by regular dedicated hygiene promotion_5]]/WWWW[[#This Row],[Total PoP ]]</f>
        <v>1</v>
      </c>
      <c r="DT3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0" s="761">
        <f>WWWW[[#This Row],['#_Constructed/Existing hand washing stations]]-WWWW[[#This Row],['#_Non-Functional_hand_washing_stations]]</f>
        <v>3</v>
      </c>
      <c r="DW30" s="758">
        <f>IF(WWWW[[#This Row],['# Functional hand washing stations during reporting period]]*20&gt;WWWW[[#This Row],[Total HH]],WWWW[[#This Row],[Total HH]],WWWW[[#This Row],['# Functional hand washing stations during reporting period]]*20)</f>
        <v>60</v>
      </c>
      <c r="DX30" s="758">
        <f>IF(WWWW[[#This Row],[Is sufficient soap available for TLS? (Yes/No)]]="yes",WWWW[[#This Row],['#_Constructed/Existing hand washing stations at TLS/CFS/THF]],0)</f>
        <v>0</v>
      </c>
      <c r="DY30" s="429">
        <f>IF(WWWW[[#This Row],['# Functional hand washing stations during reporting period]]*100&gt;WWWW[[#This Row],[Total PoP ]],WWWW[[#This Row],[Total PoP ]],WWWW[[#This Row],['# Functional hand washing stations during reporting period]]*100)</f>
        <v>290</v>
      </c>
      <c r="DZ30" s="429" t="str">
        <f>IF(OR(WWWW[[#This Row],['#_students at TLS_CFS]]="",WWWW[[#This Row],['#_students at TLS_CFS]]=0),"No","Yes")</f>
        <v>No</v>
      </c>
      <c r="EA3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 s="754" t="str">
        <f>VLOOKUP(WWWW[[#This Row],[Site Name]],SiteDB6[[Site Name]:[CCCM Management]],6,FALSE)</f>
        <v>Yes</v>
      </c>
      <c r="EF30" s="754" t="str">
        <f>VLOOKUP(WWWW[[#This Row],[Site Name]],SiteDB6[[Site Name]:[CCCM Focal Agency]],7,FALSE)</f>
        <v>KBC-MYT</v>
      </c>
      <c r="EG30" s="754" t="str">
        <f>VLOOKUP(WWWW[[#This Row],[Site Name]],SiteDB6[[Site Name]:[Location Type 1]],9,FALSE)</f>
        <v>Camp</v>
      </c>
      <c r="EH30" s="754" t="str">
        <f>VLOOKUP(WWWW[[#This Row],[Site Name]],SiteDB6[[Site Name]:[Type of Accommodation]],10,FALSE)</f>
        <v>Camp</v>
      </c>
      <c r="EI30" s="754" t="str">
        <f>VLOOKUP(WWWW[[#This Row],[Site Name]],SiteDB6[[Site Name]:[Ethnic or GCA/NGCA]],11,FALSE)</f>
        <v>GCA</v>
      </c>
      <c r="EJ30" s="754">
        <f>VLOOKUP(WWWW[[#This Row],[Site Name]],SiteDB6[[Site Name]:[Lat]],12,FALSE)</f>
        <v>25.360463124999999</v>
      </c>
      <c r="EK30" s="754">
        <f>VLOOKUP(WWWW[[#This Row],[Site Name]],SiteDB6[[Site Name]:[Long]],13,FALSE)</f>
        <v>97.4113064583333</v>
      </c>
      <c r="EL30" s="754" t="str">
        <f>VLOOKUP(WWWW[[#This Row],[Site Name]],SiteDB6[[Site Name]:[Pcode]],3,FALSE)</f>
        <v>MMR001CMP016</v>
      </c>
      <c r="EM30" s="759" t="str">
        <f t="shared" si="0"/>
        <v>Covered</v>
      </c>
      <c r="EN30" s="759"/>
      <c r="EO30" s="754">
        <f>VLOOKUP(WWWW[[#This Row],[Site Name]],SiteDB6[[Site Name]:[Pop
(Kachin/Shan-CCCM as of July 2021)]],16,FALSE)</f>
        <v>59</v>
      </c>
      <c r="EP30" s="754">
        <f>VLOOKUP(WWWW[[#This Row],[Site Name]],SiteDB6[[Site Name]:[Pop
(Kachin/Shan-CCCM as of July 2021)]],17,FALSE)</f>
        <v>327</v>
      </c>
    </row>
    <row r="31" spans="1:146" hidden="1">
      <c r="A31" s="752" t="s">
        <v>2785</v>
      </c>
      <c r="B31" s="752" t="s">
        <v>141</v>
      </c>
      <c r="C31" s="753" t="s">
        <v>141</v>
      </c>
      <c r="D31" s="753" t="s">
        <v>241</v>
      </c>
      <c r="E31" s="753" t="s">
        <v>37</v>
      </c>
      <c r="F31" s="753" t="s">
        <v>159</v>
      </c>
      <c r="G31" s="594" t="str">
        <f>VLOOKUP(WWWW[[#This Row],[Site Name]],SiteDB6[[Site Name]:[Location Type]],8,FALSE)</f>
        <v>Camp</v>
      </c>
      <c r="H31" s="753" t="s">
        <v>166</v>
      </c>
      <c r="I31" s="755">
        <v>101</v>
      </c>
      <c r="J31" s="755">
        <v>547</v>
      </c>
      <c r="K31" s="756">
        <v>44105</v>
      </c>
      <c r="L31" s="592">
        <v>44681</v>
      </c>
      <c r="M31" s="755"/>
      <c r="N31" s="755">
        <v>2</v>
      </c>
      <c r="O31" s="755"/>
      <c r="P31" s="755"/>
      <c r="Q31" s="758" t="s">
        <v>41</v>
      </c>
      <c r="R31" s="755"/>
      <c r="S31" s="755">
        <v>5</v>
      </c>
      <c r="T31" s="449"/>
      <c r="U31" s="755"/>
      <c r="V31" s="755"/>
      <c r="W31" s="755">
        <v>3</v>
      </c>
      <c r="X31" s="755"/>
      <c r="Y31" s="755"/>
      <c r="Z31" s="755"/>
      <c r="AA31" s="755"/>
      <c r="AB31" s="755"/>
      <c r="AC31" s="755"/>
      <c r="AD31" s="755"/>
      <c r="AE31" s="755"/>
      <c r="AF31" s="755"/>
      <c r="AG31" s="755"/>
      <c r="AH31" s="755">
        <v>3</v>
      </c>
      <c r="AI31" s="755"/>
      <c r="AJ31" s="755"/>
      <c r="AK31" s="755"/>
      <c r="AL31" s="755"/>
      <c r="AM31" s="755"/>
      <c r="AN31" s="755"/>
      <c r="AO31" s="755"/>
      <c r="AP31" s="759"/>
      <c r="AQ31" s="755">
        <v>34</v>
      </c>
      <c r="AR31" s="755"/>
      <c r="AS31" s="760"/>
      <c r="AT31" s="755"/>
      <c r="AU31" s="449">
        <v>5</v>
      </c>
      <c r="AV31" s="449">
        <v>14</v>
      </c>
      <c r="AW31" s="755"/>
      <c r="AX31" s="755">
        <v>34</v>
      </c>
      <c r="AY31" s="754" t="s">
        <v>41</v>
      </c>
      <c r="AZ31" s="759" t="s">
        <v>904</v>
      </c>
      <c r="BA31" s="755"/>
      <c r="BB31" s="755"/>
      <c r="BC31" s="755"/>
      <c r="BD31" s="449"/>
      <c r="BE31" s="449"/>
      <c r="BF31" s="754"/>
      <c r="BG31" s="755">
        <v>3</v>
      </c>
      <c r="BH31" s="755"/>
      <c r="BI31" s="755"/>
      <c r="BJ31" s="755">
        <v>2</v>
      </c>
      <c r="BK31" s="755"/>
      <c r="BL31" s="755"/>
      <c r="BM31" s="755">
        <v>2</v>
      </c>
      <c r="BN31" s="755">
        <v>10</v>
      </c>
      <c r="BO31" s="755">
        <v>18</v>
      </c>
      <c r="BP31" s="754"/>
      <c r="BQ31" s="761"/>
      <c r="BR31" s="760"/>
      <c r="BS31" s="754"/>
      <c r="BT31" s="424"/>
      <c r="BU31" s="424"/>
      <c r="BV31" s="426"/>
      <c r="BW31" s="424"/>
      <c r="BX31" s="449"/>
      <c r="BY31" s="449"/>
      <c r="BZ31" s="449"/>
      <c r="CA31" s="449"/>
      <c r="CB31" s="449"/>
      <c r="CC31" s="807"/>
      <c r="CD31" s="449"/>
      <c r="CE31" s="762" t="str">
        <f>IFERROR(WWWW[[#This Row],['#_Water sources passed]]/WWWW[[#This Row],['#_Water sources tested for fecal coliform ]],"no test")</f>
        <v>no test</v>
      </c>
      <c r="CF31" s="760" t="str">
        <f>IFERROR(WWWW[[#This Row],['#_Household passed]]/WWWW[[#This Row],['#_Household water samples tested for fecal coliform]],"no test")</f>
        <v>no test</v>
      </c>
      <c r="CG31" s="761" t="str">
        <f>IF(AND(WWWW[[#This Row],[% of water sources passed]]="no test",WWWW[[#This Row],[% Household passed]]="no test"),"No Test","Tested")</f>
        <v>No Test</v>
      </c>
      <c r="CH31" s="761">
        <f>WWWW[[#This Row],['#_Constructed/existing protected hand dug well]]-WWWW[[#This Row],['#_Non-functional protected hand dug well]]</f>
        <v>0</v>
      </c>
      <c r="CI31" s="761">
        <f>(WWWW[[#This Row],['#_Constructed/Existing tube wells/boreholes/handpumps_WASH_agency]]+WWWW[[#This Row],['#_Non-Cluster partner water tube-wells/boreholes/handpumps]])-WWWW[[#This Row],['#_Non-functional tube wells/boreholes/handpumps]]</f>
        <v>3</v>
      </c>
      <c r="CJ31" s="761">
        <f>WWWW[[#This Row],['#_Constructed/Existingwater storage tank with gravity fed reticulation system]]-WWWW[[#This Row],['#_Non-functional storage tank gravity fed reticulation system]]</f>
        <v>0</v>
      </c>
      <c r="CK31" s="761">
        <f>(WWWW[[#This Row],['#_Water_Liters_supplied_by_Water boating or water trucking]]/90)/15</f>
        <v>0</v>
      </c>
      <c r="CL31" s="761">
        <f>WWWW[[#This Row],['#_Water_Liters_from_Constructed/Existing water distribution system from river or natural spring]]/90/15</f>
        <v>0</v>
      </c>
      <c r="CM31" s="425">
        <f>IF(WWWW[[#This Row],['#_of water points in TLS/CFS]]*500&gt;WWWW[[#This Row],[Total PoP ]],WWWW[[#This Row],[Total PoP ]],WWWW[[#This Row],['#_of water points in TLS/CFS]]*500)</f>
        <v>0</v>
      </c>
      <c r="CN31" s="425">
        <f>IF(WWWW[[#This Row],['#_of water points in THF]]*500&gt;WWWW[[#This Row],[Total PoP ]],WWWW[[#This Row],[Total PoP ]],WWWW[[#This Row],['#_of water points in THF]]*500)</f>
        <v>0</v>
      </c>
      <c r="CO3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 s="760">
        <f>IF(WWWW[[#This Row],[Location Type 1]]="Village",WWWW[[#This Row],[Access to safe drinking water for Village]],WWWW[[#This Row],[Access to safe drinking water for Camp]])</f>
        <v>1</v>
      </c>
      <c r="CR31" s="758">
        <f>WWWW[[#This Row],[%Equitable and continuous access to sufficient quantity of safe drinking water]]*WWWW[[#This Row],[Total PoP ]]</f>
        <v>547</v>
      </c>
      <c r="CS31" s="760">
        <f>IF((WWWW[[#This Row],['#_Constructed/Existing protected/fenced ponds]]*250)/WWWW[[#This Row],[Total PoP ]]&gt;1,1,(WWWW[[#This Row],['#_Constructed/Existing protected/fenced ponds]]*250)/WWWW[[#This Row],[Total PoP ]])</f>
        <v>0</v>
      </c>
      <c r="CT31" s="758">
        <f>WWWW[[#This Row],[% Access to unimproved water points]]*WWWW[[#This Row],[Total PoP ]]</f>
        <v>0</v>
      </c>
      <c r="CU3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547</v>
      </c>
      <c r="CW31" s="758">
        <f>WWWW[[#This Row],[HRP1]]/500</f>
        <v>1.0940000000000001</v>
      </c>
      <c r="CX31" s="763">
        <f>1-WWWW[[#This Row],[% Equitable and continuous access to sufficient quantity of domestic water]]</f>
        <v>0</v>
      </c>
      <c r="CY31" s="758">
        <f>WWWW[[#This Row],[%equitable and continuous access to sufficient quantity of safe drinking and domestic water''s GAP]]*WWWW[[#This Row],[Total PoP ]]</f>
        <v>0</v>
      </c>
      <c r="CZ31" s="761">
        <f>IF(WWWW[[#This Row],[Total required water points]]-WWWW[[#This Row],['#Water points coverage]]&lt;0,0,WWWW[[#This Row],[Total required water points]]-WWWW[[#This Row],['#Water points coverage]])</f>
        <v>0</v>
      </c>
      <c r="DA31" s="761">
        <f>ROUND(IF(WWWW[[#This Row],[Total PoP ]]&lt;500,1,WWWW[[#This Row],[Total PoP ]]/500),0)</f>
        <v>1</v>
      </c>
      <c r="DB31" s="761">
        <f>(WWWW[[#This Row],['#_Constructed latrines_by_WASHAgencies]]+WWWW[[#This Row],['#_Non Cluster partner latrines]])-WWWW[[#This Row],['#_Non-functional latrines]]</f>
        <v>34</v>
      </c>
      <c r="DC31" s="634">
        <f>WWWW[[#This Row],[HRP2]]/WWWW[[#This Row],[Total PoP ]]</f>
        <v>1</v>
      </c>
      <c r="DD3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3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DF3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 s="425">
        <f>IF(WWWW[[#This Row],['# of functional latrines in THF supported by WASH partners during the reporting period2]]="",0,WWWW[[#This Row],['# of functional latrines in THF supported by WASH partners during the reporting period2]]*50)</f>
        <v>0</v>
      </c>
      <c r="DH31" s="761">
        <f>ROUND(IF(WWWW[[#This Row],[Location Type 1]]="camp",WWWW[[#This Row],[Total PoP ]]/20,IF(WWWW[[#This Row],[Location Type 1]]="Temporary Location",WWWW[[#This Row],[Total PoP ]]/50,(WWWW[[#This Row],[Total PoP ]]/6))),0)</f>
        <v>27</v>
      </c>
      <c r="DI31" s="761">
        <f>IF(WWWW[[#This Row],[Total required Latrines]]-(WWWW[[#This Row],['#_Constructed latrines_by_WASHAgencies]]+WWWW[[#This Row],['#_Non Cluster partner latrines]])&lt;0,0,WWWW[[#This Row],[Total required Latrines]]-(WWWW[[#This Row],['#_Constructed latrines_by_WASHAgencies]]+WWWW[[#This Row],['#_Non Cluster partner latrines]]))</f>
        <v>0</v>
      </c>
      <c r="DJ31" s="763">
        <f>1-WWWW[[#This Row],[% people access to functioning Latrine]]</f>
        <v>0</v>
      </c>
      <c r="DK31" s="762">
        <f>IF(OR(WWWW[[#This Row],['#_Non-functional latrines]]="",WWWW[[#This Row],['#_Non-functional latrines]]=0),0,WWWW[[#This Row],['#_Non-functional latrines]]/(WWWW[[#This Row],['#_Constructed latrines_by_WASHAgencies]]+WWWW[[#This Row],['#_Non Cluster partner latrines]]))</f>
        <v>0</v>
      </c>
      <c r="DL31" s="758">
        <f>IF(500*(WWWW[[#This Row],['#_male hygiene promoters]]+WWWW[[#This Row],['#_female hygiene promoters]])&gt;WWWW[[#This Row],[Total PoP ]],WWWW[[#This Row],[Total PoP ]],500*(WWWW[[#This Row],['#_male hygiene promoters]]+WWWW[[#This Row],['#_female hygiene promoters]]))</f>
        <v>547</v>
      </c>
      <c r="DM3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3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31" s="761">
        <f>IF(WWWW[[#This Row],['# People with access to soap]]&gt;WWWW[[#This Row],['# People with access to Sanity Pads]],WWWW[[#This Row],['# People with access to soap]],WWWW[[#This Row],['# People with access to Sanity Pads]])</f>
        <v>50</v>
      </c>
      <c r="DP31" s="76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31" s="763">
        <f>IF(WWWW[[#This Row],[HRP3]]/WWWW[[#This Row],[Total PoP ]]&gt;1,1,WWWW[[#This Row],[HRP3]]/WWWW[[#This Row],[Total PoP ]])</f>
        <v>1</v>
      </c>
      <c r="DR31" s="762">
        <f>1-WWWW[[#This Row],[Hygiene Coverage%]]</f>
        <v>0</v>
      </c>
      <c r="DS31" s="760">
        <f>WWWW[[#This Row],['# people reached by regular dedicated hygiene promotion_5]]/WWWW[[#This Row],[Total PoP ]]</f>
        <v>1</v>
      </c>
      <c r="DT3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0.39603960396039606</v>
      </c>
      <c r="DU3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0.17821782178217821</v>
      </c>
      <c r="DV31" s="761">
        <f>WWWW[[#This Row],['#_Constructed/Existing hand washing stations]]-WWWW[[#This Row],['#_Non-Functional_hand_washing_stations]]</f>
        <v>3</v>
      </c>
      <c r="DW31" s="758">
        <f>IF(WWWW[[#This Row],['# Functional hand washing stations during reporting period]]*20&gt;WWWW[[#This Row],[Total HH]],WWWW[[#This Row],[Total HH]],WWWW[[#This Row],['# Functional hand washing stations during reporting period]]*20)</f>
        <v>60</v>
      </c>
      <c r="DX31" s="758">
        <f>IF(WWWW[[#This Row],[Is sufficient soap available for TLS? (Yes/No)]]="yes",WWWW[[#This Row],['#_Constructed/Existing hand washing stations at TLS/CFS/THF]],0)</f>
        <v>0</v>
      </c>
      <c r="DY31" s="429">
        <f>IF(WWWW[[#This Row],['# Functional hand washing stations during reporting period]]*100&gt;WWWW[[#This Row],[Total PoP ]],WWWW[[#This Row],[Total PoP ]],WWWW[[#This Row],['# Functional hand washing stations during reporting period]]*100)</f>
        <v>300</v>
      </c>
      <c r="DZ31" s="429" t="str">
        <f>IF(OR(WWWW[[#This Row],['#_students at TLS_CFS]]="",WWWW[[#This Row],['#_students at TLS_CFS]]=0),"No","Yes")</f>
        <v>No</v>
      </c>
      <c r="EA3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 s="754" t="str">
        <f>VLOOKUP(WWWW[[#This Row],[Site Name]],SiteDB6[[Site Name]:[CCCM Management]],6,FALSE)</f>
        <v>Yes</v>
      </c>
      <c r="EF31" s="754" t="str">
        <f>VLOOKUP(WWWW[[#This Row],[Site Name]],SiteDB6[[Site Name]:[CCCM Focal Agency]],7,FALSE)</f>
        <v>KBC-MYT</v>
      </c>
      <c r="EG31" s="754" t="str">
        <f>VLOOKUP(WWWW[[#This Row],[Site Name]],SiteDB6[[Site Name]:[Location Type 1]],9,FALSE)</f>
        <v>Camp</v>
      </c>
      <c r="EH31" s="754" t="str">
        <f>VLOOKUP(WWWW[[#This Row],[Site Name]],SiteDB6[[Site Name]:[Type of Accommodation]],10,FALSE)</f>
        <v>Camp</v>
      </c>
      <c r="EI31" s="754" t="str">
        <f>VLOOKUP(WWWW[[#This Row],[Site Name]],SiteDB6[[Site Name]:[Ethnic or GCA/NGCA]],11,FALSE)</f>
        <v>GCA</v>
      </c>
      <c r="EJ31" s="754">
        <f>VLOOKUP(WWWW[[#This Row],[Site Name]],SiteDB6[[Site Name]:[Lat]],12,FALSE)</f>
        <v>25.428910999999999</v>
      </c>
      <c r="EK31" s="754">
        <f>VLOOKUP(WWWW[[#This Row],[Site Name]],SiteDB6[[Site Name]:[Long]],13,FALSE)</f>
        <v>97.418694000000002</v>
      </c>
      <c r="EL31" s="754" t="str">
        <f>VLOOKUP(WWWW[[#This Row],[Site Name]],SiteDB6[[Site Name]:[Pcode]],3,FALSE)</f>
        <v>MMR001CMP008</v>
      </c>
      <c r="EM31" s="759" t="str">
        <f t="shared" si="0"/>
        <v>Covered</v>
      </c>
      <c r="EN31" s="759"/>
      <c r="EO31" s="754">
        <f>VLOOKUP(WWWW[[#This Row],[Site Name]],SiteDB6[[Site Name]:[Pop
(Kachin/Shan-CCCM as of July 2021)]],16,FALSE)</f>
        <v>108</v>
      </c>
      <c r="EP31" s="754">
        <f>VLOOKUP(WWWW[[#This Row],[Site Name]],SiteDB6[[Site Name]:[Pop
(Kachin/Shan-CCCM as of July 2021)]],17,FALSE)</f>
        <v>622</v>
      </c>
    </row>
    <row r="32" spans="1:146" hidden="1">
      <c r="A32" s="752" t="s">
        <v>2785</v>
      </c>
      <c r="B32" s="729" t="s">
        <v>2828</v>
      </c>
      <c r="C32" s="816" t="s">
        <v>141</v>
      </c>
      <c r="D32" s="370" t="s">
        <v>2835</v>
      </c>
      <c r="E32" s="816" t="s">
        <v>37</v>
      </c>
      <c r="F32" s="816" t="s">
        <v>159</v>
      </c>
      <c r="G32" s="817" t="str">
        <f>VLOOKUP(WWWW[[#This Row],[Site Name]],SiteDB6[[Site Name]:[Location Type]],8,FALSE)</f>
        <v>Camp</v>
      </c>
      <c r="H32" s="912" t="s">
        <v>167</v>
      </c>
      <c r="I32" s="449">
        <v>68</v>
      </c>
      <c r="J32" s="449">
        <v>299</v>
      </c>
      <c r="K32" s="830" t="s">
        <v>2836</v>
      </c>
      <c r="L32" s="592" t="s">
        <v>2837</v>
      </c>
      <c r="M32" s="818"/>
      <c r="N32" s="818">
        <v>2</v>
      </c>
      <c r="O32" s="818"/>
      <c r="P32" s="818"/>
      <c r="Q32" s="821" t="s">
        <v>136</v>
      </c>
      <c r="R32" s="818"/>
      <c r="S32" s="818">
        <v>4</v>
      </c>
      <c r="T32" s="449">
        <v>1</v>
      </c>
      <c r="U32" s="818"/>
      <c r="V32" s="818"/>
      <c r="W32" s="818">
        <v>2</v>
      </c>
      <c r="X32" s="818"/>
      <c r="Y32" s="818"/>
      <c r="Z32" s="818"/>
      <c r="AA32" s="818"/>
      <c r="AB32" s="818"/>
      <c r="AC32" s="818"/>
      <c r="AD32" s="818"/>
      <c r="AE32" s="818"/>
      <c r="AF32" s="818"/>
      <c r="AG32" s="818"/>
      <c r="AH32" s="818">
        <v>3</v>
      </c>
      <c r="AI32" s="818"/>
      <c r="AJ32" s="818"/>
      <c r="AK32" s="818"/>
      <c r="AL32" s="818"/>
      <c r="AM32" s="818"/>
      <c r="AN32" s="818"/>
      <c r="AO32" s="818"/>
      <c r="AP32" s="822"/>
      <c r="AQ32" s="818">
        <v>15</v>
      </c>
      <c r="AR32" s="818"/>
      <c r="AS32" s="823"/>
      <c r="AT32" s="818"/>
      <c r="AU32" s="818"/>
      <c r="AV32" s="818"/>
      <c r="AW32" s="818"/>
      <c r="AX32" s="818">
        <v>15</v>
      </c>
      <c r="AY32" s="754" t="s">
        <v>41</v>
      </c>
      <c r="AZ32" s="759" t="s">
        <v>137</v>
      </c>
      <c r="BA32" s="818"/>
      <c r="BB32" s="818"/>
      <c r="BC32" s="818"/>
      <c r="BD32" s="449"/>
      <c r="BE32" s="449"/>
      <c r="BF32" s="817"/>
      <c r="BG32" s="818">
        <v>1</v>
      </c>
      <c r="BH32" s="818"/>
      <c r="BI32" s="818"/>
      <c r="BJ32" s="818">
        <v>1</v>
      </c>
      <c r="BK32" s="818"/>
      <c r="BL32" s="818"/>
      <c r="BM32" s="818">
        <v>2</v>
      </c>
      <c r="BN32" s="818">
        <v>6</v>
      </c>
      <c r="BO32" s="818">
        <v>5</v>
      </c>
      <c r="BP32" s="817"/>
      <c r="BQ32" s="824"/>
      <c r="BR32" s="823"/>
      <c r="BS32" s="817"/>
      <c r="BT32" s="424"/>
      <c r="BU32" s="424"/>
      <c r="BV32" s="449">
        <f>1*WWWW[[#This Row],[Total PoP ]]</f>
        <v>299</v>
      </c>
      <c r="BW32" s="424">
        <v>0.75</v>
      </c>
      <c r="BX32" s="449"/>
      <c r="BY32" s="449"/>
      <c r="BZ32" s="449"/>
      <c r="CA32" s="449">
        <v>0</v>
      </c>
      <c r="CB32" s="449">
        <v>0</v>
      </c>
      <c r="CC32" s="807"/>
      <c r="CD32" s="449"/>
      <c r="CE32" s="825" t="str">
        <f>IFERROR(WWWW[[#This Row],['#_Water sources passed]]/WWWW[[#This Row],['#_Water sources tested for fecal coliform ]],"no test")</f>
        <v>no test</v>
      </c>
      <c r="CF32" s="823" t="str">
        <f>IFERROR(WWWW[[#This Row],['#_Household passed]]/WWWW[[#This Row],['#_Household water samples tested for fecal coliform]],"no test")</f>
        <v>no test</v>
      </c>
      <c r="CG32" s="824" t="str">
        <f>IF(AND(WWWW[[#This Row],[% of water sources passed]]="no test",WWWW[[#This Row],[% Household passed]]="no test"),"No Test","Tested")</f>
        <v>No Test</v>
      </c>
      <c r="CH32" s="824">
        <f>WWWW[[#This Row],['#_Constructed/existing protected hand dug well]]-WWWW[[#This Row],['#_Non-functional protected hand dug well]]</f>
        <v>1</v>
      </c>
      <c r="CI32" s="824">
        <f>(WWWW[[#This Row],['#_Constructed/Existing tube wells/boreholes/handpumps_WASH_agency]]+WWWW[[#This Row],['#_Non-Cluster partner water tube-wells/boreholes/handpumps]])-WWWW[[#This Row],['#_Non-functional tube wells/boreholes/handpumps]]</f>
        <v>2</v>
      </c>
      <c r="CJ32" s="824">
        <f>WWWW[[#This Row],['#_Constructed/Existingwater storage tank with gravity fed reticulation system]]-WWWW[[#This Row],['#_Non-functional storage tank gravity fed reticulation system]]</f>
        <v>0</v>
      </c>
      <c r="CK32" s="824">
        <f>(WWWW[[#This Row],['#_Water_Liters_supplied_by_Water boating or water trucking]]/90)/15</f>
        <v>0</v>
      </c>
      <c r="CL32" s="824">
        <f>WWWW[[#This Row],['#_Water_Liters_from_Constructed/Existing water distribution system from river or natural spring]]/90/15</f>
        <v>0</v>
      </c>
      <c r="CM32" s="425">
        <f>IF(WWWW[[#This Row],['#_of water points in TLS/CFS]]*500&gt;WWWW[[#This Row],[Total PoP ]],WWWW[[#This Row],[Total PoP ]],WWWW[[#This Row],['#_of water points in TLS/CFS]]*500)</f>
        <v>0</v>
      </c>
      <c r="CN32" s="425">
        <f>IF(WWWW[[#This Row],['#_of water points in THF]]*500&gt;WWWW[[#This Row],[Total PoP ]],WWWW[[#This Row],[Total PoP ]],WWWW[[#This Row],['#_of water points in THF]]*500)</f>
        <v>0</v>
      </c>
      <c r="CO32"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2"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2" s="823">
        <f>IF(WWWW[[#This Row],[Location Type 1]]="Village",WWWW[[#This Row],[Access to safe drinking water for Village]],WWWW[[#This Row],[Access to safe drinking water for Camp]])</f>
        <v>1</v>
      </c>
      <c r="CR32" s="821">
        <f>WWWW[[#This Row],[%Equitable and continuous access to sufficient quantity of safe drinking water]]*WWWW[[#This Row],[Total PoP ]]</f>
        <v>299</v>
      </c>
      <c r="CS32" s="823">
        <f>IF((WWWW[[#This Row],['#_Constructed/Existing protected/fenced ponds]]*250)/WWWW[[#This Row],[Total PoP ]]&gt;1,1,(WWWW[[#This Row],['#_Constructed/Existing protected/fenced ponds]]*250)/WWWW[[#This Row],[Total PoP ]])</f>
        <v>0</v>
      </c>
      <c r="CT32" s="821">
        <f>WWWW[[#This Row],[% Access to unimproved water points]]*WWWW[[#This Row],[Total PoP ]]</f>
        <v>0</v>
      </c>
      <c r="CU32"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2"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32" s="821">
        <f>WWWW[[#This Row],[HRP1]]/500</f>
        <v>0.59799999999999998</v>
      </c>
      <c r="CX32" s="826">
        <f>1-WWWW[[#This Row],[% Equitable and continuous access to sufficient quantity of domestic water]]</f>
        <v>0</v>
      </c>
      <c r="CY32" s="821">
        <f>WWWW[[#This Row],[%equitable and continuous access to sufficient quantity of safe drinking and domestic water''s GAP]]*WWWW[[#This Row],[Total PoP ]]</f>
        <v>0</v>
      </c>
      <c r="CZ32" s="824">
        <f>IF(WWWW[[#This Row],[Total required water points]]-WWWW[[#This Row],['#Water points coverage]]&lt;0,0,WWWW[[#This Row],[Total required water points]]-WWWW[[#This Row],['#Water points coverage]])</f>
        <v>0.40200000000000002</v>
      </c>
      <c r="DA32" s="824">
        <f>ROUND(IF(WWWW[[#This Row],[Total PoP ]]&lt;500,1,WWWW[[#This Row],[Total PoP ]]/500),0)</f>
        <v>1</v>
      </c>
      <c r="DB32" s="824">
        <f>(WWWW[[#This Row],['#_Constructed latrines_by_WASHAgencies]]+WWWW[[#This Row],['#_Non Cluster partner latrines]])-WWWW[[#This Row],['#_Non-functional latrines]]</f>
        <v>15</v>
      </c>
      <c r="DC32" s="634">
        <f>WWWW[[#This Row],[HRP2]]/WWWW[[#This Row],[Total PoP ]]</f>
        <v>1</v>
      </c>
      <c r="DD32"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299</v>
      </c>
      <c r="DE32"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 s="425">
        <f>IF(WWWW[[#This Row],['# of functional latrines in THF supported by WASH partners during the reporting period2]]="",0,WWWW[[#This Row],['# of functional latrines in THF supported by WASH partners during the reporting period2]]*50)</f>
        <v>0</v>
      </c>
      <c r="DH32" s="824">
        <f>ROUND(IF(WWWW[[#This Row],[Location Type 1]]="camp",WWWW[[#This Row],[Total PoP ]]/20,IF(WWWW[[#This Row],[Location Type 1]]="Temporary Location",WWWW[[#This Row],[Total PoP ]]/50,(WWWW[[#This Row],[Total PoP ]]/6))),0)</f>
        <v>15</v>
      </c>
      <c r="DI32" s="824">
        <f>IF(WWWW[[#This Row],[Total required Latrines]]-(WWWW[[#This Row],['#_Constructed latrines_by_WASHAgencies]]+WWWW[[#This Row],['#_Non Cluster partner latrines]])&lt;0,0,WWWW[[#This Row],[Total required Latrines]]-(WWWW[[#This Row],['#_Constructed latrines_by_WASHAgencies]]+WWWW[[#This Row],['#_Non Cluster partner latrines]]))</f>
        <v>0</v>
      </c>
      <c r="DJ32" s="826">
        <f>1-WWWW[[#This Row],[% people access to functioning Latrine]]</f>
        <v>0</v>
      </c>
      <c r="DK32" s="825">
        <f>IF(OR(WWWW[[#This Row],['#_Non-functional latrines]]="",WWWW[[#This Row],['#_Non-functional latrines]]=0),0,WWWW[[#This Row],['#_Non-functional latrines]]/(WWWW[[#This Row],['#_Constructed latrines_by_WASHAgencies]]+WWWW[[#This Row],['#_Non Cluster partner latrines]]))</f>
        <v>0</v>
      </c>
      <c r="DL32" s="821">
        <f>IF(500*(WWWW[[#This Row],['#_male hygiene promoters]]+WWWW[[#This Row],['#_female hygiene promoters]])&gt;WWWW[[#This Row],[Total PoP ]],WWWW[[#This Row],[Total PoP ]],500*(WWWW[[#This Row],['#_male hygiene promoters]]+WWWW[[#This Row],['#_female hygiene promoters]]))</f>
        <v>299</v>
      </c>
      <c r="DM32"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2"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2" s="824">
        <f>IF(WWWW[[#This Row],['# People with access to soap]]&gt;WWWW[[#This Row],['# People with access to Sanity Pads]],WWWW[[#This Row],['# People with access to soap]],WWWW[[#This Row],['# People with access to Sanity Pads]])</f>
        <v>30</v>
      </c>
      <c r="DP32" s="824">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32" s="826">
        <f>IF(WWWW[[#This Row],[HRP3]]/WWWW[[#This Row],[Total PoP ]]&gt;1,1,WWWW[[#This Row],[HRP3]]/WWWW[[#This Row],[Total PoP ]])</f>
        <v>1</v>
      </c>
      <c r="DR32" s="825">
        <f>1-WWWW[[#This Row],[Hygiene Coverage%]]</f>
        <v>0</v>
      </c>
      <c r="DS32" s="823">
        <f>WWWW[[#This Row],['# people reached by regular dedicated hygiene promotion_5]]/WWWW[[#This Row],[Total PoP ]]</f>
        <v>1</v>
      </c>
      <c r="DT32"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0.35294117647058826</v>
      </c>
      <c r="DU32"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7.3529411764705885E-2</v>
      </c>
      <c r="DV32" s="824">
        <f>WWWW[[#This Row],['#_Constructed/Existing hand washing stations]]-WWWW[[#This Row],['#_Non-Functional_hand_washing_stations]]</f>
        <v>1</v>
      </c>
      <c r="DW32" s="821">
        <f>IF(WWWW[[#This Row],['# Functional hand washing stations during reporting period]]*20&gt;WWWW[[#This Row],[Total HH]],WWWW[[#This Row],[Total HH]],WWWW[[#This Row],['# Functional hand washing stations during reporting period]]*20)</f>
        <v>20</v>
      </c>
      <c r="DX32" s="821">
        <f>IF(WWWW[[#This Row],[Is sufficient soap available for TLS? (Yes/No)]]="yes",WWWW[[#This Row],['#_Constructed/Existing hand washing stations at TLS/CFS/THF]],0)</f>
        <v>0</v>
      </c>
      <c r="DY32" s="429">
        <f>IF(WWWW[[#This Row],['# Functional hand washing stations during reporting period]]*100&gt;WWWW[[#This Row],[Total PoP ]],WWWW[[#This Row],[Total PoP ]],WWWW[[#This Row],['# Functional hand washing stations during reporting period]]*100)</f>
        <v>100</v>
      </c>
      <c r="DZ32" s="429" t="str">
        <f>IF(OR(WWWW[[#This Row],['#_students at TLS_CFS]]="",WWWW[[#This Row],['#_students at TLS_CFS]]=0),"No","Yes")</f>
        <v>No</v>
      </c>
      <c r="EA32" s="634">
        <f>IF(WWWW[[#This Row],['#_of_affected_people_surveyed_who_report_feeling_informed_about_the_different_WASH_services_available_to_them]]="","",WWWW[[#This Row],['#_of_affected_people_surveyed_who_report_feeling_informed_about_the_different_WASH_services_available_to_them]]/WWWW[[#This Row],[Total PoP ]])</f>
        <v>1</v>
      </c>
      <c r="EB3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 s="817" t="str">
        <f>VLOOKUP(WWWW[[#This Row],[Site Name]],SiteDB6[[Site Name]:[CCCM Management]],6,FALSE)</f>
        <v>Yes</v>
      </c>
      <c r="EF32" s="817" t="str">
        <f>VLOOKUP(WWWW[[#This Row],[Site Name]],SiteDB6[[Site Name]:[CCCM Focal Agency]],7,FALSE)</f>
        <v>KBC-MYT</v>
      </c>
      <c r="EG32" s="817" t="str">
        <f>VLOOKUP(WWWW[[#This Row],[Site Name]],SiteDB6[[Site Name]:[Location Type 1]],9,FALSE)</f>
        <v>Camp</v>
      </c>
      <c r="EH32" s="817" t="str">
        <f>VLOOKUP(WWWW[[#This Row],[Site Name]],SiteDB6[[Site Name]:[Type of Accommodation]],10,FALSE)</f>
        <v>Camp</v>
      </c>
      <c r="EI32" s="817" t="str">
        <f>VLOOKUP(WWWW[[#This Row],[Site Name]],SiteDB6[[Site Name]:[Ethnic or GCA/NGCA]],11,FALSE)</f>
        <v>GCA</v>
      </c>
      <c r="EJ32" s="817">
        <f>VLOOKUP(WWWW[[#This Row],[Site Name]],SiteDB6[[Site Name]:[Lat]],12,FALSE)</f>
        <v>25.422194000000001</v>
      </c>
      <c r="EK32" s="817">
        <f>VLOOKUP(WWWW[[#This Row],[Site Name]],SiteDB6[[Site Name]:[Long]],13,FALSE)</f>
        <v>97.394547000000003</v>
      </c>
      <c r="EL32" s="817" t="str">
        <f>VLOOKUP(WWWW[[#This Row],[Site Name]],SiteDB6[[Site Name]:[Pcode]],3,FALSE)</f>
        <v>MMR001CMP002</v>
      </c>
      <c r="EM32" s="822" t="str">
        <f t="shared" si="0"/>
        <v>Covered</v>
      </c>
      <c r="EN32" s="822"/>
      <c r="EO32" s="817">
        <f>VLOOKUP(WWWW[[#This Row],[Site Name]],SiteDB6[[Site Name]:[Pop
(Kachin/Shan-CCCM as of July 2021)]],16,FALSE)</f>
        <v>72</v>
      </c>
      <c r="EP32" s="817">
        <f>VLOOKUP(WWWW[[#This Row],[Site Name]],SiteDB6[[Site Name]:[Pop
(Kachin/Shan-CCCM as of July 2021)]],17,FALSE)</f>
        <v>323</v>
      </c>
    </row>
    <row r="33" spans="1:146" hidden="1">
      <c r="A33" s="752" t="s">
        <v>2785</v>
      </c>
      <c r="B33" s="729" t="s">
        <v>2828</v>
      </c>
      <c r="C33" s="816" t="s">
        <v>141</v>
      </c>
      <c r="D33" s="370" t="s">
        <v>2835</v>
      </c>
      <c r="E33" s="816" t="s">
        <v>37</v>
      </c>
      <c r="F33" s="816" t="s">
        <v>159</v>
      </c>
      <c r="G33" s="817" t="str">
        <f>VLOOKUP(WWWW[[#This Row],[Site Name]],SiteDB6[[Site Name]:[Location Type]],8,FALSE)</f>
        <v>Camp</v>
      </c>
      <c r="H33" s="912" t="s">
        <v>168</v>
      </c>
      <c r="I33" s="449">
        <v>117</v>
      </c>
      <c r="J33" s="449">
        <v>583</v>
      </c>
      <c r="K33" s="830" t="s">
        <v>2836</v>
      </c>
      <c r="L33" s="592" t="s">
        <v>2837</v>
      </c>
      <c r="M33" s="818"/>
      <c r="N33" s="818">
        <v>2</v>
      </c>
      <c r="O33" s="818"/>
      <c r="P33" s="818"/>
      <c r="Q33" s="821" t="s">
        <v>136</v>
      </c>
      <c r="R33" s="818"/>
      <c r="S33" s="818">
        <v>4</v>
      </c>
      <c r="T33" s="449">
        <v>1</v>
      </c>
      <c r="U33" s="818"/>
      <c r="V33" s="818"/>
      <c r="W33" s="818">
        <v>1</v>
      </c>
      <c r="X33" s="818"/>
      <c r="Y33" s="818"/>
      <c r="Z33" s="818"/>
      <c r="AA33" s="818"/>
      <c r="AB33" s="818"/>
      <c r="AC33" s="818"/>
      <c r="AD33" s="818"/>
      <c r="AE33" s="818"/>
      <c r="AF33" s="818"/>
      <c r="AG33" s="818"/>
      <c r="AH33" s="818">
        <v>2</v>
      </c>
      <c r="AI33" s="818"/>
      <c r="AJ33" s="818"/>
      <c r="AK33" s="818"/>
      <c r="AL33" s="818"/>
      <c r="AM33" s="818"/>
      <c r="AN33" s="818"/>
      <c r="AO33" s="818"/>
      <c r="AP33" s="822"/>
      <c r="AQ33" s="818">
        <v>13</v>
      </c>
      <c r="AR33" s="818"/>
      <c r="AS33" s="823"/>
      <c r="AT33" s="818"/>
      <c r="AU33" s="818"/>
      <c r="AV33" s="818"/>
      <c r="AW33" s="818"/>
      <c r="AX33" s="818">
        <v>13</v>
      </c>
      <c r="AY33" s="754" t="s">
        <v>41</v>
      </c>
      <c r="AZ33" s="759" t="s">
        <v>137</v>
      </c>
      <c r="BA33" s="818"/>
      <c r="BB33" s="818"/>
      <c r="BC33" s="818"/>
      <c r="BD33" s="449"/>
      <c r="BE33" s="449"/>
      <c r="BF33" s="817"/>
      <c r="BG33" s="818">
        <v>7</v>
      </c>
      <c r="BH33" s="818"/>
      <c r="BI33" s="818"/>
      <c r="BJ33" s="818">
        <v>4</v>
      </c>
      <c r="BK33" s="818"/>
      <c r="BL33" s="818">
        <v>1</v>
      </c>
      <c r="BM33" s="818">
        <v>2</v>
      </c>
      <c r="BN33" s="818">
        <v>124</v>
      </c>
      <c r="BO33" s="818">
        <v>198</v>
      </c>
      <c r="BP33" s="817"/>
      <c r="BQ33" s="824"/>
      <c r="BR33" s="823"/>
      <c r="BS33" s="817"/>
      <c r="BT33" s="424"/>
      <c r="BU33" s="424"/>
      <c r="BV33" s="449">
        <f>0.98*WWWW[[#This Row],[Total PoP ]]</f>
        <v>571.34</v>
      </c>
      <c r="BW33" s="424">
        <v>0.48</v>
      </c>
      <c r="BX33" s="449"/>
      <c r="BY33" s="449"/>
      <c r="BZ33" s="449"/>
      <c r="CA33" s="449">
        <v>0</v>
      </c>
      <c r="CB33" s="449">
        <v>0</v>
      </c>
      <c r="CC33" s="807"/>
      <c r="CD33" s="449"/>
      <c r="CE33" s="825" t="str">
        <f>IFERROR(WWWW[[#This Row],['#_Water sources passed]]/WWWW[[#This Row],['#_Water sources tested for fecal coliform ]],"no test")</f>
        <v>no test</v>
      </c>
      <c r="CF33" s="823" t="str">
        <f>IFERROR(WWWW[[#This Row],['#_Household passed]]/WWWW[[#This Row],['#_Household water samples tested for fecal coliform]],"no test")</f>
        <v>no test</v>
      </c>
      <c r="CG33" s="824" t="str">
        <f>IF(AND(WWWW[[#This Row],[% of water sources passed]]="no test",WWWW[[#This Row],[% Household passed]]="no test"),"No Test","Tested")</f>
        <v>No Test</v>
      </c>
      <c r="CH33" s="824">
        <f>WWWW[[#This Row],['#_Constructed/existing protected hand dug well]]-WWWW[[#This Row],['#_Non-functional protected hand dug well]]</f>
        <v>1</v>
      </c>
      <c r="CI33" s="824">
        <f>(WWWW[[#This Row],['#_Constructed/Existing tube wells/boreholes/handpumps_WASH_agency]]+WWWW[[#This Row],['#_Non-Cluster partner water tube-wells/boreholes/handpumps]])-WWWW[[#This Row],['#_Non-functional tube wells/boreholes/handpumps]]</f>
        <v>1</v>
      </c>
      <c r="CJ33" s="824">
        <f>WWWW[[#This Row],['#_Constructed/Existingwater storage tank with gravity fed reticulation system]]-WWWW[[#This Row],['#_Non-functional storage tank gravity fed reticulation system]]</f>
        <v>0</v>
      </c>
      <c r="CK33" s="824">
        <f>(WWWW[[#This Row],['#_Water_Liters_supplied_by_Water boating or water trucking]]/90)/15</f>
        <v>0</v>
      </c>
      <c r="CL33" s="824">
        <f>WWWW[[#This Row],['#_Water_Liters_from_Constructed/Existing water distribution system from river or natural spring]]/90/15</f>
        <v>0</v>
      </c>
      <c r="CM33" s="425">
        <f>IF(WWWW[[#This Row],['#_of water points in TLS/CFS]]*500&gt;WWWW[[#This Row],[Total PoP ]],WWWW[[#This Row],[Total PoP ]],WWWW[[#This Row],['#_of water points in TLS/CFS]]*500)</f>
        <v>0</v>
      </c>
      <c r="CN33" s="425">
        <f>IF(WWWW[[#This Row],['#_of water points in THF]]*500&gt;WWWW[[#This Row],[Total PoP ]],WWWW[[#This Row],[Total PoP ]],WWWW[[#This Row],['#_of water points in THF]]*500)</f>
        <v>0</v>
      </c>
      <c r="CO33"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3"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0.85763293310463118</v>
      </c>
      <c r="CQ33" s="823">
        <f>IF(WWWW[[#This Row],[Location Type 1]]="Village",WWWW[[#This Row],[Access to safe drinking water for Village]],WWWW[[#This Row],[Access to safe drinking water for Camp]])</f>
        <v>1</v>
      </c>
      <c r="CR33" s="821">
        <f>WWWW[[#This Row],[%Equitable and continuous access to sufficient quantity of safe drinking water]]*WWWW[[#This Row],[Total PoP ]]</f>
        <v>583</v>
      </c>
      <c r="CS33" s="823">
        <f>IF((WWWW[[#This Row],['#_Constructed/Existing protected/fenced ponds]]*250)/WWWW[[#This Row],[Total PoP ]]&gt;1,1,(WWWW[[#This Row],['#_Constructed/Existing protected/fenced ponds]]*250)/WWWW[[#This Row],[Total PoP ]])</f>
        <v>0</v>
      </c>
      <c r="CT33" s="821">
        <f>WWWW[[#This Row],[% Access to unimproved water points]]*WWWW[[#This Row],[Total PoP ]]</f>
        <v>0</v>
      </c>
      <c r="CU33"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3"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583</v>
      </c>
      <c r="CW33" s="821">
        <f>WWWW[[#This Row],[HRP1]]/500</f>
        <v>1.1659999999999999</v>
      </c>
      <c r="CX33" s="826">
        <f>1-WWWW[[#This Row],[% Equitable and continuous access to sufficient quantity of domestic water]]</f>
        <v>0</v>
      </c>
      <c r="CY33" s="821">
        <f>WWWW[[#This Row],[%equitable and continuous access to sufficient quantity of safe drinking and domestic water''s GAP]]*WWWW[[#This Row],[Total PoP ]]</f>
        <v>0</v>
      </c>
      <c r="CZ33" s="824">
        <f>IF(WWWW[[#This Row],[Total required water points]]-WWWW[[#This Row],['#Water points coverage]]&lt;0,0,WWWW[[#This Row],[Total required water points]]-WWWW[[#This Row],['#Water points coverage]])</f>
        <v>0</v>
      </c>
      <c r="DA33" s="824">
        <f>ROUND(IF(WWWW[[#This Row],[Total PoP ]]&lt;500,1,WWWW[[#This Row],[Total PoP ]]/500),0)</f>
        <v>1</v>
      </c>
      <c r="DB33" s="824">
        <f>(WWWW[[#This Row],['#_Constructed latrines_by_WASHAgencies]]+WWWW[[#This Row],['#_Non Cluster partner latrines]])-WWWW[[#This Row],['#_Non-functional latrines]]</f>
        <v>13</v>
      </c>
      <c r="DC33" s="634">
        <f>WWWW[[#This Row],[HRP2]]/WWWW[[#This Row],[Total PoP ]]</f>
        <v>0.44596912521440824</v>
      </c>
      <c r="DD33"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33"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 s="425">
        <f>IF(WWWW[[#This Row],['# of functional latrines in THF supported by WASH partners during the reporting period2]]="",0,WWWW[[#This Row],['# of functional latrines in THF supported by WASH partners during the reporting period2]]*50)</f>
        <v>0</v>
      </c>
      <c r="DH33" s="824">
        <f>ROUND(IF(WWWW[[#This Row],[Location Type 1]]="camp",WWWW[[#This Row],[Total PoP ]]/20,IF(WWWW[[#This Row],[Location Type 1]]="Temporary Location",WWWW[[#This Row],[Total PoP ]]/50,(WWWW[[#This Row],[Total PoP ]]/6))),0)</f>
        <v>29</v>
      </c>
      <c r="DI33" s="824">
        <f>IF(WWWW[[#This Row],[Total required Latrines]]-(WWWW[[#This Row],['#_Constructed latrines_by_WASHAgencies]]+WWWW[[#This Row],['#_Non Cluster partner latrines]])&lt;0,0,WWWW[[#This Row],[Total required Latrines]]-(WWWW[[#This Row],['#_Constructed latrines_by_WASHAgencies]]+WWWW[[#This Row],['#_Non Cluster partner latrines]]))</f>
        <v>16</v>
      </c>
      <c r="DJ33" s="826">
        <f>1-WWWW[[#This Row],[% people access to functioning Latrine]]</f>
        <v>0.55403087478559176</v>
      </c>
      <c r="DK33" s="825">
        <f>IF(OR(WWWW[[#This Row],['#_Non-functional latrines]]="",WWWW[[#This Row],['#_Non-functional latrines]]=0),0,WWWW[[#This Row],['#_Non-functional latrines]]/(WWWW[[#This Row],['#_Constructed latrines_by_WASHAgencies]]+WWWW[[#This Row],['#_Non Cluster partner latrines]]))</f>
        <v>0</v>
      </c>
      <c r="DL33" s="821">
        <f>IF(500*(WWWW[[#This Row],['#_male hygiene promoters]]+WWWW[[#This Row],['#_female hygiene promoters]])&gt;WWWW[[#This Row],[Total PoP ]],WWWW[[#This Row],[Total PoP ]],500*(WWWW[[#This Row],['#_male hygiene promoters]]+WWWW[[#This Row],['#_female hygiene promoters]]))</f>
        <v>583</v>
      </c>
      <c r="DM33"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583</v>
      </c>
      <c r="DN33"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33" s="824">
        <f>IF(WWWW[[#This Row],['# People with access to soap]]&gt;WWWW[[#This Row],['# People with access to Sanity Pads]],WWWW[[#This Row],['# People with access to soap]],WWWW[[#This Row],['# People with access to Sanity Pads]])</f>
        <v>583</v>
      </c>
      <c r="DP33" s="824">
        <f>IF(WWWW[[#This Row],['# people reached by regular dedicated hygiene promotion_5]]&gt;WWWW[[#This Row],['# People received regular supply of hygiene items_6]],WWWW[[#This Row],['# people reached by regular dedicated hygiene promotion_5]],WWWW[[#This Row],['# People received regular supply of hygiene items_6]])</f>
        <v>583</v>
      </c>
      <c r="DQ33" s="826">
        <f>IF(WWWW[[#This Row],[HRP3]]/WWWW[[#This Row],[Total PoP ]]&gt;1,1,WWWW[[#This Row],[HRP3]]/WWWW[[#This Row],[Total PoP ]])</f>
        <v>1</v>
      </c>
      <c r="DR33" s="825">
        <f>1-WWWW[[#This Row],[Hygiene Coverage%]]</f>
        <v>0</v>
      </c>
      <c r="DS33" s="823">
        <f>WWWW[[#This Row],['# people reached by regular dedicated hygiene promotion_5]]/WWWW[[#This Row],[Total PoP ]]</f>
        <v>1</v>
      </c>
      <c r="DT33"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3"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3" s="824">
        <f>WWWW[[#This Row],['#_Constructed/Existing hand washing stations]]-WWWW[[#This Row],['#_Non-Functional_hand_washing_stations]]</f>
        <v>7</v>
      </c>
      <c r="DW33" s="821">
        <f>IF(WWWW[[#This Row],['# Functional hand washing stations during reporting period]]*20&gt;WWWW[[#This Row],[Total HH]],WWWW[[#This Row],[Total HH]],WWWW[[#This Row],['# Functional hand washing stations during reporting period]]*20)</f>
        <v>117</v>
      </c>
      <c r="DX33" s="821">
        <f>IF(WWWW[[#This Row],[Is sufficient soap available for TLS? (Yes/No)]]="yes",WWWW[[#This Row],['#_Constructed/Existing hand washing stations at TLS/CFS/THF]],0)</f>
        <v>0</v>
      </c>
      <c r="DY33" s="429">
        <f>IF(WWWW[[#This Row],['# Functional hand washing stations during reporting period]]*100&gt;WWWW[[#This Row],[Total PoP ]],WWWW[[#This Row],[Total PoP ]],WWWW[[#This Row],['# Functional hand washing stations during reporting period]]*100)</f>
        <v>583</v>
      </c>
      <c r="DZ33" s="429" t="str">
        <f>IF(OR(WWWW[[#This Row],['#_students at TLS_CFS]]="",WWWW[[#This Row],['#_students at TLS_CFS]]=0),"No","Yes")</f>
        <v>No</v>
      </c>
      <c r="EA33" s="634">
        <f>IF(WWWW[[#This Row],['#_of_affected_people_surveyed_who_report_feeling_informed_about_the_different_WASH_services_available_to_them]]="","",WWWW[[#This Row],['#_of_affected_people_surveyed_who_report_feeling_informed_about_the_different_WASH_services_available_to_them]]/WWWW[[#This Row],[Total PoP ]])</f>
        <v>0.98000000000000009</v>
      </c>
      <c r="EB3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 s="817" t="str">
        <f>VLOOKUP(WWWW[[#This Row],[Site Name]],SiteDB6[[Site Name]:[CCCM Management]],6,FALSE)</f>
        <v>Yes</v>
      </c>
      <c r="EF33" s="817" t="str">
        <f>VLOOKUP(WWWW[[#This Row],[Site Name]],SiteDB6[[Site Name]:[CCCM Focal Agency]],7,FALSE)</f>
        <v>KBC-MYT</v>
      </c>
      <c r="EG33" s="817" t="str">
        <f>VLOOKUP(WWWW[[#This Row],[Site Name]],SiteDB6[[Site Name]:[Location Type 1]],9,FALSE)</f>
        <v>Camp</v>
      </c>
      <c r="EH33" s="817" t="str">
        <f>VLOOKUP(WWWW[[#This Row],[Site Name]],SiteDB6[[Site Name]:[Type of Accommodation]],10,FALSE)</f>
        <v>Camp</v>
      </c>
      <c r="EI33" s="817" t="str">
        <f>VLOOKUP(WWWW[[#This Row],[Site Name]],SiteDB6[[Site Name]:[Ethnic or GCA/NGCA]],11,FALSE)</f>
        <v>GCA</v>
      </c>
      <c r="EJ33" s="817">
        <f>VLOOKUP(WWWW[[#This Row],[Site Name]],SiteDB6[[Site Name]:[Lat]],12,FALSE)</f>
        <v>25.412313000000001</v>
      </c>
      <c r="EK33" s="817">
        <f>VLOOKUP(WWWW[[#This Row],[Site Name]],SiteDB6[[Site Name]:[Long]],13,FALSE)</f>
        <v>97.399628000000007</v>
      </c>
      <c r="EL33" s="817" t="str">
        <f>VLOOKUP(WWWW[[#This Row],[Site Name]],SiteDB6[[Site Name]:[Pcode]],3,FALSE)</f>
        <v>MMR001CMP006</v>
      </c>
      <c r="EM33" s="822" t="str">
        <f t="shared" si="0"/>
        <v>Covered</v>
      </c>
      <c r="EN33" s="822"/>
      <c r="EO33" s="817">
        <f>VLOOKUP(WWWW[[#This Row],[Site Name]],SiteDB6[[Site Name]:[Pop
(Kachin/Shan-CCCM as of July 2021)]],16,FALSE)</f>
        <v>110</v>
      </c>
      <c r="EP33" s="817">
        <f>VLOOKUP(WWWW[[#This Row],[Site Name]],SiteDB6[[Site Name]:[Pop
(Kachin/Shan-CCCM as of July 2021)]],17,FALSE)</f>
        <v>562</v>
      </c>
    </row>
    <row r="34" spans="1:146" hidden="1">
      <c r="A34" s="752" t="s">
        <v>2785</v>
      </c>
      <c r="B34" s="752" t="s">
        <v>141</v>
      </c>
      <c r="C34" s="753" t="s">
        <v>141</v>
      </c>
      <c r="D34" s="753" t="s">
        <v>241</v>
      </c>
      <c r="E34" s="753" t="s">
        <v>37</v>
      </c>
      <c r="F34" s="753" t="s">
        <v>159</v>
      </c>
      <c r="G34" s="594" t="str">
        <f>VLOOKUP(WWWW[[#This Row],[Site Name]],SiteDB6[[Site Name]:[Location Type]],8,FALSE)</f>
        <v>Camp</v>
      </c>
      <c r="H34" s="753" t="s">
        <v>169</v>
      </c>
      <c r="I34" s="449">
        <v>93</v>
      </c>
      <c r="J34" s="449">
        <v>499</v>
      </c>
      <c r="K34" s="591">
        <v>44105</v>
      </c>
      <c r="L34" s="592">
        <v>44681</v>
      </c>
      <c r="M34" s="755"/>
      <c r="N34" s="755">
        <v>2</v>
      </c>
      <c r="O34" s="755"/>
      <c r="P34" s="755"/>
      <c r="Q34" s="758" t="s">
        <v>41</v>
      </c>
      <c r="R34" s="755"/>
      <c r="S34" s="755">
        <v>5</v>
      </c>
      <c r="T34" s="449">
        <v>2</v>
      </c>
      <c r="U34" s="755"/>
      <c r="V34" s="755"/>
      <c r="W34" s="755">
        <v>2</v>
      </c>
      <c r="X34" s="755"/>
      <c r="Y34" s="755"/>
      <c r="Z34" s="755"/>
      <c r="AA34" s="755"/>
      <c r="AB34" s="755"/>
      <c r="AC34" s="755"/>
      <c r="AD34" s="755"/>
      <c r="AE34" s="755"/>
      <c r="AF34" s="755"/>
      <c r="AG34" s="755"/>
      <c r="AH34" s="755">
        <v>2</v>
      </c>
      <c r="AI34" s="755"/>
      <c r="AJ34" s="755"/>
      <c r="AK34" s="755"/>
      <c r="AL34" s="755"/>
      <c r="AM34" s="755"/>
      <c r="AN34" s="755"/>
      <c r="AO34" s="755"/>
      <c r="AP34" s="759"/>
      <c r="AQ34" s="755">
        <v>17</v>
      </c>
      <c r="AR34" s="755"/>
      <c r="AS34" s="760"/>
      <c r="AT34" s="755"/>
      <c r="AU34" s="755"/>
      <c r="AV34" s="755"/>
      <c r="AW34" s="755"/>
      <c r="AX34" s="755">
        <v>17</v>
      </c>
      <c r="AY34" s="754" t="s">
        <v>41</v>
      </c>
      <c r="AZ34" s="759" t="s">
        <v>137</v>
      </c>
      <c r="BA34" s="755"/>
      <c r="BB34" s="755"/>
      <c r="BC34" s="755"/>
      <c r="BD34" s="449"/>
      <c r="BE34" s="449"/>
      <c r="BF34" s="754"/>
      <c r="BG34" s="755">
        <v>3</v>
      </c>
      <c r="BH34" s="755"/>
      <c r="BI34" s="755"/>
      <c r="BJ34" s="755">
        <v>2</v>
      </c>
      <c r="BK34" s="755"/>
      <c r="BL34" s="755"/>
      <c r="BM34" s="755">
        <v>2</v>
      </c>
      <c r="BN34" s="755">
        <v>88</v>
      </c>
      <c r="BO34" s="755">
        <v>100</v>
      </c>
      <c r="BP34" s="754"/>
      <c r="BQ34" s="761"/>
      <c r="BR34" s="760"/>
      <c r="BS34" s="754"/>
      <c r="BT34" s="424"/>
      <c r="BU34" s="424"/>
      <c r="BV34" s="426"/>
      <c r="BW34" s="424"/>
      <c r="BX34" s="449"/>
      <c r="BY34" s="449"/>
      <c r="BZ34" s="449"/>
      <c r="CA34" s="449"/>
      <c r="CB34" s="449"/>
      <c r="CC34" s="807"/>
      <c r="CD34" s="449"/>
      <c r="CE34" s="762" t="str">
        <f>IFERROR(WWWW[[#This Row],['#_Water sources passed]]/WWWW[[#This Row],['#_Water sources tested for fecal coliform ]],"no test")</f>
        <v>no test</v>
      </c>
      <c r="CF34" s="760" t="str">
        <f>IFERROR(WWWW[[#This Row],['#_Household passed]]/WWWW[[#This Row],['#_Household water samples tested for fecal coliform]],"no test")</f>
        <v>no test</v>
      </c>
      <c r="CG34" s="761" t="str">
        <f>IF(AND(WWWW[[#This Row],[% of water sources passed]]="no test",WWWW[[#This Row],[% Household passed]]="no test"),"No Test","Tested")</f>
        <v>No Test</v>
      </c>
      <c r="CH34" s="761">
        <f>WWWW[[#This Row],['#_Constructed/existing protected hand dug well]]-WWWW[[#This Row],['#_Non-functional protected hand dug well]]</f>
        <v>2</v>
      </c>
      <c r="CI34" s="761">
        <f>(WWWW[[#This Row],['#_Constructed/Existing tube wells/boreholes/handpumps_WASH_agency]]+WWWW[[#This Row],['#_Non-Cluster partner water tube-wells/boreholes/handpumps]])-WWWW[[#This Row],['#_Non-functional tube wells/boreholes/handpumps]]</f>
        <v>2</v>
      </c>
      <c r="CJ34" s="761">
        <f>WWWW[[#This Row],['#_Constructed/Existingwater storage tank with gravity fed reticulation system]]-WWWW[[#This Row],['#_Non-functional storage tank gravity fed reticulation system]]</f>
        <v>0</v>
      </c>
      <c r="CK34" s="761">
        <f>(WWWW[[#This Row],['#_Water_Liters_supplied_by_Water boating or water trucking]]/90)/15</f>
        <v>0</v>
      </c>
      <c r="CL34" s="761">
        <f>WWWW[[#This Row],['#_Water_Liters_from_Constructed/Existing water distribution system from river or natural spring]]/90/15</f>
        <v>0</v>
      </c>
      <c r="CM34" s="425">
        <f>IF(WWWW[[#This Row],['#_of water points in TLS/CFS]]*500&gt;WWWW[[#This Row],[Total PoP ]],WWWW[[#This Row],[Total PoP ]],WWWW[[#This Row],['#_of water points in TLS/CFS]]*500)</f>
        <v>0</v>
      </c>
      <c r="CN34" s="425">
        <f>IF(WWWW[[#This Row],['#_of water points in THF]]*500&gt;WWWW[[#This Row],[Total PoP ]],WWWW[[#This Row],[Total PoP ]],WWWW[[#This Row],['#_of water points in THF]]*500)</f>
        <v>0</v>
      </c>
      <c r="CO3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 s="760">
        <f>IF(WWWW[[#This Row],[Location Type 1]]="Village",WWWW[[#This Row],[Access to safe drinking water for Village]],WWWW[[#This Row],[Access to safe drinking water for Camp]])</f>
        <v>1</v>
      </c>
      <c r="CR34" s="758">
        <f>WWWW[[#This Row],[%Equitable and continuous access to sufficient quantity of safe drinking water]]*WWWW[[#This Row],[Total PoP ]]</f>
        <v>499</v>
      </c>
      <c r="CS34" s="760">
        <f>IF((WWWW[[#This Row],['#_Constructed/Existing protected/fenced ponds]]*250)/WWWW[[#This Row],[Total PoP ]]&gt;1,1,(WWWW[[#This Row],['#_Constructed/Existing protected/fenced ponds]]*250)/WWWW[[#This Row],[Total PoP ]])</f>
        <v>0</v>
      </c>
      <c r="CT34" s="758">
        <f>WWWW[[#This Row],[% Access to unimproved water points]]*WWWW[[#This Row],[Total PoP ]]</f>
        <v>0</v>
      </c>
      <c r="CU3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499</v>
      </c>
      <c r="CW34" s="758">
        <f>WWWW[[#This Row],[HRP1]]/500</f>
        <v>0.998</v>
      </c>
      <c r="CX34" s="763">
        <f>1-WWWW[[#This Row],[% Equitable and continuous access to sufficient quantity of domestic water]]</f>
        <v>0</v>
      </c>
      <c r="CY34" s="758">
        <f>WWWW[[#This Row],[%equitable and continuous access to sufficient quantity of safe drinking and domestic water''s GAP]]*WWWW[[#This Row],[Total PoP ]]</f>
        <v>0</v>
      </c>
      <c r="CZ34" s="761">
        <f>IF(WWWW[[#This Row],[Total required water points]]-WWWW[[#This Row],['#Water points coverage]]&lt;0,0,WWWW[[#This Row],[Total required water points]]-WWWW[[#This Row],['#Water points coverage]])</f>
        <v>2.0000000000000018E-3</v>
      </c>
      <c r="DA34" s="761">
        <f>ROUND(IF(WWWW[[#This Row],[Total PoP ]]&lt;500,1,WWWW[[#This Row],[Total PoP ]]/500),0)</f>
        <v>1</v>
      </c>
      <c r="DB34" s="761">
        <f>(WWWW[[#This Row],['#_Constructed latrines_by_WASHAgencies]]+WWWW[[#This Row],['#_Non Cluster partner latrines]])-WWWW[[#This Row],['#_Non-functional latrines]]</f>
        <v>17</v>
      </c>
      <c r="DC34" s="634">
        <f>WWWW[[#This Row],[HRP2]]/WWWW[[#This Row],[Total PoP ]]</f>
        <v>0.68136272545090182</v>
      </c>
      <c r="DD3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3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 s="425">
        <f>IF(WWWW[[#This Row],['# of functional latrines in THF supported by WASH partners during the reporting period2]]="",0,WWWW[[#This Row],['# of functional latrines in THF supported by WASH partners during the reporting period2]]*50)</f>
        <v>0</v>
      </c>
      <c r="DH34" s="761">
        <f>ROUND(IF(WWWW[[#This Row],[Location Type 1]]="camp",WWWW[[#This Row],[Total PoP ]]/20,IF(WWWW[[#This Row],[Location Type 1]]="Temporary Location",WWWW[[#This Row],[Total PoP ]]/50,(WWWW[[#This Row],[Total PoP ]]/6))),0)</f>
        <v>25</v>
      </c>
      <c r="DI34" s="761">
        <f>IF(WWWW[[#This Row],[Total required Latrines]]-(WWWW[[#This Row],['#_Constructed latrines_by_WASHAgencies]]+WWWW[[#This Row],['#_Non Cluster partner latrines]])&lt;0,0,WWWW[[#This Row],[Total required Latrines]]-(WWWW[[#This Row],['#_Constructed latrines_by_WASHAgencies]]+WWWW[[#This Row],['#_Non Cluster partner latrines]]))</f>
        <v>8</v>
      </c>
      <c r="DJ34" s="763">
        <f>1-WWWW[[#This Row],[% people access to functioning Latrine]]</f>
        <v>0.31863727454909818</v>
      </c>
      <c r="DK34" s="762">
        <f>IF(OR(WWWW[[#This Row],['#_Non-functional latrines]]="",WWWW[[#This Row],['#_Non-functional latrines]]=0),0,WWWW[[#This Row],['#_Non-functional latrines]]/(WWWW[[#This Row],['#_Constructed latrines_by_WASHAgencies]]+WWWW[[#This Row],['#_Non Cluster partner latrines]]))</f>
        <v>0</v>
      </c>
      <c r="DL34" s="758">
        <f>IF(500*(WWWW[[#This Row],['#_male hygiene promoters]]+WWWW[[#This Row],['#_female hygiene promoters]])&gt;WWWW[[#This Row],[Total PoP ]],WWWW[[#This Row],[Total PoP ]],500*(WWWW[[#This Row],['#_male hygiene promoters]]+WWWW[[#This Row],['#_female hygiene promoters]]))</f>
        <v>499</v>
      </c>
      <c r="DM3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3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34" s="761">
        <f>IF(WWWW[[#This Row],['# People with access to soap]]&gt;WWWW[[#This Row],['# People with access to Sanity Pads]],WWWW[[#This Row],['# People with access to soap]],WWWW[[#This Row],['# People with access to Sanity Pads]])</f>
        <v>440</v>
      </c>
      <c r="DP34" s="761">
        <f>IF(WWWW[[#This Row],['# people reached by regular dedicated hygiene promotion_5]]&gt;WWWW[[#This Row],['# People received regular supply of hygiene items_6]],WWWW[[#This Row],['# people reached by regular dedicated hygiene promotion_5]],WWWW[[#This Row],['# People received regular supply of hygiene items_6]])</f>
        <v>499</v>
      </c>
      <c r="DQ34" s="763">
        <f>IF(WWWW[[#This Row],[HRP3]]/WWWW[[#This Row],[Total PoP ]]&gt;1,1,WWWW[[#This Row],[HRP3]]/WWWW[[#This Row],[Total PoP ]])</f>
        <v>1</v>
      </c>
      <c r="DR34" s="762">
        <f>1-WWWW[[#This Row],[Hygiene Coverage%]]</f>
        <v>0</v>
      </c>
      <c r="DS34" s="760">
        <f>WWWW[[#This Row],['# people reached by regular dedicated hygiene promotion_5]]/WWWW[[#This Row],[Total PoP ]]</f>
        <v>1</v>
      </c>
      <c r="DT3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4" s="761">
        <f>WWWW[[#This Row],['#_Constructed/Existing hand washing stations]]-WWWW[[#This Row],['#_Non-Functional_hand_washing_stations]]</f>
        <v>3</v>
      </c>
      <c r="DW34" s="758">
        <f>IF(WWWW[[#This Row],['# Functional hand washing stations during reporting period]]*20&gt;WWWW[[#This Row],[Total HH]],WWWW[[#This Row],[Total HH]],WWWW[[#This Row],['# Functional hand washing stations during reporting period]]*20)</f>
        <v>60</v>
      </c>
      <c r="DX34" s="758">
        <f>IF(WWWW[[#This Row],[Is sufficient soap available for TLS? (Yes/No)]]="yes",WWWW[[#This Row],['#_Constructed/Existing hand washing stations at TLS/CFS/THF]],0)</f>
        <v>0</v>
      </c>
      <c r="DY34" s="429">
        <f>IF(WWWW[[#This Row],['# Functional hand washing stations during reporting period]]*100&gt;WWWW[[#This Row],[Total PoP ]],WWWW[[#This Row],[Total PoP ]],WWWW[[#This Row],['# Functional hand washing stations during reporting period]]*100)</f>
        <v>300</v>
      </c>
      <c r="DZ34" s="429" t="str">
        <f>IF(OR(WWWW[[#This Row],['#_students at TLS_CFS]]="",WWWW[[#This Row],['#_students at TLS_CFS]]=0),"No","Yes")</f>
        <v>No</v>
      </c>
      <c r="EA3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 s="754" t="str">
        <f>VLOOKUP(WWWW[[#This Row],[Site Name]],SiteDB6[[Site Name]:[CCCM Management]],6,FALSE)</f>
        <v>Yes</v>
      </c>
      <c r="EF34" s="754" t="str">
        <f>VLOOKUP(WWWW[[#This Row],[Site Name]],SiteDB6[[Site Name]:[CCCM Focal Agency]],7,FALSE)</f>
        <v>KBC-MYT</v>
      </c>
      <c r="EG34" s="754" t="str">
        <f>VLOOKUP(WWWW[[#This Row],[Site Name]],SiteDB6[[Site Name]:[Location Type 1]],9,FALSE)</f>
        <v>Camp</v>
      </c>
      <c r="EH34" s="754" t="str">
        <f>VLOOKUP(WWWW[[#This Row],[Site Name]],SiteDB6[[Site Name]:[Type of Accommodation]],10,FALSE)</f>
        <v>Camp</v>
      </c>
      <c r="EI34" s="754" t="str">
        <f>VLOOKUP(WWWW[[#This Row],[Site Name]],SiteDB6[[Site Name]:[Ethnic or GCA/NGCA]],11,FALSE)</f>
        <v>GCA</v>
      </c>
      <c r="EJ34" s="754">
        <f>VLOOKUP(WWWW[[#This Row],[Site Name]],SiteDB6[[Site Name]:[Lat]],12,FALSE)</f>
        <v>25.440928</v>
      </c>
      <c r="EK34" s="754">
        <f>VLOOKUP(WWWW[[#This Row],[Site Name]],SiteDB6[[Site Name]:[Long]],13,FALSE)</f>
        <v>97.419403000000003</v>
      </c>
      <c r="EL34" s="754" t="str">
        <f>VLOOKUP(WWWW[[#This Row],[Site Name]],SiteDB6[[Site Name]:[Pcode]],3,FALSE)</f>
        <v>MMR001CMP009</v>
      </c>
      <c r="EM34" s="759" t="str">
        <f t="shared" si="0"/>
        <v>Covered</v>
      </c>
      <c r="EN34" s="759"/>
      <c r="EO34" s="754">
        <f>VLOOKUP(WWWW[[#This Row],[Site Name]],SiteDB6[[Site Name]:[Pop
(Kachin/Shan-CCCM as of July 2021)]],16,FALSE)</f>
        <v>104</v>
      </c>
      <c r="EP34" s="754">
        <f>VLOOKUP(WWWW[[#This Row],[Site Name]],SiteDB6[[Site Name]:[Pop
(Kachin/Shan-CCCM as of July 2021)]],17,FALSE)</f>
        <v>633</v>
      </c>
    </row>
    <row r="35" spans="1:146" hidden="1">
      <c r="A35" s="752" t="s">
        <v>2785</v>
      </c>
      <c r="B35" s="752" t="s">
        <v>141</v>
      </c>
      <c r="C35" s="753" t="s">
        <v>141</v>
      </c>
      <c r="D35" s="753" t="s">
        <v>241</v>
      </c>
      <c r="E35" s="753" t="s">
        <v>37</v>
      </c>
      <c r="F35" s="753" t="s">
        <v>159</v>
      </c>
      <c r="G35" s="594" t="str">
        <f>VLOOKUP(WWWW[[#This Row],[Site Name]],SiteDB6[[Site Name]:[Location Type]],8,FALSE)</f>
        <v>Camp</v>
      </c>
      <c r="H35" s="753" t="s">
        <v>170</v>
      </c>
      <c r="I35" s="755">
        <v>69</v>
      </c>
      <c r="J35" s="755">
        <v>351</v>
      </c>
      <c r="K35" s="591">
        <v>44105</v>
      </c>
      <c r="L35" s="592">
        <v>44681</v>
      </c>
      <c r="M35" s="755"/>
      <c r="N35" s="755">
        <v>2</v>
      </c>
      <c r="O35" s="755"/>
      <c r="P35" s="755"/>
      <c r="Q35" s="758" t="s">
        <v>41</v>
      </c>
      <c r="R35" s="755"/>
      <c r="S35" s="755">
        <v>4</v>
      </c>
      <c r="T35" s="449"/>
      <c r="U35" s="755"/>
      <c r="V35" s="755"/>
      <c r="W35" s="755">
        <v>2</v>
      </c>
      <c r="X35" s="755"/>
      <c r="Y35" s="755"/>
      <c r="Z35" s="755"/>
      <c r="AA35" s="755"/>
      <c r="AB35" s="755"/>
      <c r="AC35" s="755"/>
      <c r="AD35" s="755"/>
      <c r="AE35" s="755"/>
      <c r="AF35" s="755"/>
      <c r="AG35" s="755"/>
      <c r="AH35" s="755">
        <v>2</v>
      </c>
      <c r="AI35" s="755"/>
      <c r="AJ35" s="755"/>
      <c r="AK35" s="755"/>
      <c r="AL35" s="755"/>
      <c r="AM35" s="755"/>
      <c r="AN35" s="755"/>
      <c r="AO35" s="755"/>
      <c r="AP35" s="759"/>
      <c r="AQ35" s="755">
        <v>11</v>
      </c>
      <c r="AR35" s="755"/>
      <c r="AS35" s="760"/>
      <c r="AT35" s="755"/>
      <c r="AU35" s="755"/>
      <c r="AV35" s="755"/>
      <c r="AW35" s="755"/>
      <c r="AX35" s="755">
        <v>11</v>
      </c>
      <c r="AY35" s="754" t="s">
        <v>41</v>
      </c>
      <c r="AZ35" s="759" t="s">
        <v>137</v>
      </c>
      <c r="BA35" s="755"/>
      <c r="BB35" s="755"/>
      <c r="BC35" s="755"/>
      <c r="BD35" s="449"/>
      <c r="BE35" s="449"/>
      <c r="BF35" s="754"/>
      <c r="BG35" s="755">
        <v>3</v>
      </c>
      <c r="BH35" s="755"/>
      <c r="BI35" s="755"/>
      <c r="BJ35" s="755">
        <v>2</v>
      </c>
      <c r="BK35" s="755"/>
      <c r="BL35" s="755">
        <v>1</v>
      </c>
      <c r="BM35" s="755">
        <v>1</v>
      </c>
      <c r="BN35" s="755">
        <v>10</v>
      </c>
      <c r="BO35" s="755">
        <v>18</v>
      </c>
      <c r="BP35" s="754"/>
      <c r="BQ35" s="761"/>
      <c r="BR35" s="760"/>
      <c r="BS35" s="754"/>
      <c r="BT35" s="424"/>
      <c r="BU35" s="424"/>
      <c r="BV35" s="426"/>
      <c r="BW35" s="424"/>
      <c r="BX35" s="449"/>
      <c r="BY35" s="449"/>
      <c r="BZ35" s="449"/>
      <c r="CA35" s="449"/>
      <c r="CB35" s="449"/>
      <c r="CC35" s="807"/>
      <c r="CD35" s="449"/>
      <c r="CE35" s="762" t="str">
        <f>IFERROR(WWWW[[#This Row],['#_Water sources passed]]/WWWW[[#This Row],['#_Water sources tested for fecal coliform ]],"no test")</f>
        <v>no test</v>
      </c>
      <c r="CF35" s="760" t="str">
        <f>IFERROR(WWWW[[#This Row],['#_Household passed]]/WWWW[[#This Row],['#_Household water samples tested for fecal coliform]],"no test")</f>
        <v>no test</v>
      </c>
      <c r="CG35" s="761" t="str">
        <f>IF(AND(WWWW[[#This Row],[% of water sources passed]]="no test",WWWW[[#This Row],[% Household passed]]="no test"),"No Test","Tested")</f>
        <v>No Test</v>
      </c>
      <c r="CH35" s="761">
        <f>WWWW[[#This Row],['#_Constructed/existing protected hand dug well]]-WWWW[[#This Row],['#_Non-functional protected hand dug well]]</f>
        <v>0</v>
      </c>
      <c r="CI35" s="761">
        <f>(WWWW[[#This Row],['#_Constructed/Existing tube wells/boreholes/handpumps_WASH_agency]]+WWWW[[#This Row],['#_Non-Cluster partner water tube-wells/boreholes/handpumps]])-WWWW[[#This Row],['#_Non-functional tube wells/boreholes/handpumps]]</f>
        <v>2</v>
      </c>
      <c r="CJ35" s="761">
        <f>WWWW[[#This Row],['#_Constructed/Existingwater storage tank with gravity fed reticulation system]]-WWWW[[#This Row],['#_Non-functional storage tank gravity fed reticulation system]]</f>
        <v>0</v>
      </c>
      <c r="CK35" s="761">
        <f>(WWWW[[#This Row],['#_Water_Liters_supplied_by_Water boating or water trucking]]/90)/15</f>
        <v>0</v>
      </c>
      <c r="CL35" s="761">
        <f>WWWW[[#This Row],['#_Water_Liters_from_Constructed/Existing water distribution system from river or natural spring]]/90/15</f>
        <v>0</v>
      </c>
      <c r="CM35" s="425">
        <f>IF(WWWW[[#This Row],['#_of water points in TLS/CFS]]*500&gt;WWWW[[#This Row],[Total PoP ]],WWWW[[#This Row],[Total PoP ]],WWWW[[#This Row],['#_of water points in TLS/CFS]]*500)</f>
        <v>0</v>
      </c>
      <c r="CN35" s="425">
        <f>IF(WWWW[[#This Row],['#_of water points in THF]]*500&gt;WWWW[[#This Row],[Total PoP ]],WWWW[[#This Row],[Total PoP ]],WWWW[[#This Row],['#_of water points in THF]]*500)</f>
        <v>0</v>
      </c>
      <c r="CO3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 s="760">
        <f>IF(WWWW[[#This Row],[Location Type 1]]="Village",WWWW[[#This Row],[Access to safe drinking water for Village]],WWWW[[#This Row],[Access to safe drinking water for Camp]])</f>
        <v>1</v>
      </c>
      <c r="CR35" s="758">
        <f>WWWW[[#This Row],[%Equitable and continuous access to sufficient quantity of safe drinking water]]*WWWW[[#This Row],[Total PoP ]]</f>
        <v>351</v>
      </c>
      <c r="CS35" s="760">
        <f>IF((WWWW[[#This Row],['#_Constructed/Existing protected/fenced ponds]]*250)/WWWW[[#This Row],[Total PoP ]]&gt;1,1,(WWWW[[#This Row],['#_Constructed/Existing protected/fenced ponds]]*250)/WWWW[[#This Row],[Total PoP ]])</f>
        <v>0</v>
      </c>
      <c r="CT35" s="758">
        <f>WWWW[[#This Row],[% Access to unimproved water points]]*WWWW[[#This Row],[Total PoP ]]</f>
        <v>0</v>
      </c>
      <c r="CU3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35" s="758">
        <f>WWWW[[#This Row],[HRP1]]/500</f>
        <v>0.70199999999999996</v>
      </c>
      <c r="CX35" s="763">
        <f>1-WWWW[[#This Row],[% Equitable and continuous access to sufficient quantity of domestic water]]</f>
        <v>0</v>
      </c>
      <c r="CY35" s="758">
        <f>WWWW[[#This Row],[%equitable and continuous access to sufficient quantity of safe drinking and domestic water''s GAP]]*WWWW[[#This Row],[Total PoP ]]</f>
        <v>0</v>
      </c>
      <c r="CZ35" s="761">
        <f>IF(WWWW[[#This Row],[Total required water points]]-WWWW[[#This Row],['#Water points coverage]]&lt;0,0,WWWW[[#This Row],[Total required water points]]-WWWW[[#This Row],['#Water points coverage]])</f>
        <v>0.29800000000000004</v>
      </c>
      <c r="DA35" s="761">
        <f>ROUND(IF(WWWW[[#This Row],[Total PoP ]]&lt;500,1,WWWW[[#This Row],[Total PoP ]]/500),0)</f>
        <v>1</v>
      </c>
      <c r="DB35" s="761">
        <f>(WWWW[[#This Row],['#_Constructed latrines_by_WASHAgencies]]+WWWW[[#This Row],['#_Non Cluster partner latrines]])-WWWW[[#This Row],['#_Non-functional latrines]]</f>
        <v>11</v>
      </c>
      <c r="DC35" s="634">
        <f>WWWW[[#This Row],[HRP2]]/WWWW[[#This Row],[Total PoP ]]</f>
        <v>0.62678062678062674</v>
      </c>
      <c r="DD3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3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 s="425">
        <f>IF(WWWW[[#This Row],['# of functional latrines in THF supported by WASH partners during the reporting period2]]="",0,WWWW[[#This Row],['# of functional latrines in THF supported by WASH partners during the reporting period2]]*50)</f>
        <v>0</v>
      </c>
      <c r="DH35" s="761">
        <f>ROUND(IF(WWWW[[#This Row],[Location Type 1]]="camp",WWWW[[#This Row],[Total PoP ]]/20,IF(WWWW[[#This Row],[Location Type 1]]="Temporary Location",WWWW[[#This Row],[Total PoP ]]/50,(WWWW[[#This Row],[Total PoP ]]/6))),0)</f>
        <v>18</v>
      </c>
      <c r="DI35" s="761">
        <f>IF(WWWW[[#This Row],[Total required Latrines]]-(WWWW[[#This Row],['#_Constructed latrines_by_WASHAgencies]]+WWWW[[#This Row],['#_Non Cluster partner latrines]])&lt;0,0,WWWW[[#This Row],[Total required Latrines]]-(WWWW[[#This Row],['#_Constructed latrines_by_WASHAgencies]]+WWWW[[#This Row],['#_Non Cluster partner latrines]]))</f>
        <v>7</v>
      </c>
      <c r="DJ35" s="763">
        <f>1-WWWW[[#This Row],[% people access to functioning Latrine]]</f>
        <v>0.37321937321937326</v>
      </c>
      <c r="DK35" s="762">
        <f>IF(OR(WWWW[[#This Row],['#_Non-functional latrines]]="",WWWW[[#This Row],['#_Non-functional latrines]]=0),0,WWWW[[#This Row],['#_Non-functional latrines]]/(WWWW[[#This Row],['#_Constructed latrines_by_WASHAgencies]]+WWWW[[#This Row],['#_Non Cluster partner latrines]]))</f>
        <v>0</v>
      </c>
      <c r="DL35" s="758">
        <f>IF(500*(WWWW[[#This Row],['#_male hygiene promoters]]+WWWW[[#This Row],['#_female hygiene promoters]])&gt;WWWW[[#This Row],[Total PoP ]],WWWW[[#This Row],[Total PoP ]],500*(WWWW[[#This Row],['#_male hygiene promoters]]+WWWW[[#This Row],['#_female hygiene promoters]]))</f>
        <v>351</v>
      </c>
      <c r="DM3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3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35" s="761">
        <f>IF(WWWW[[#This Row],['# People with access to soap]]&gt;WWWW[[#This Row],['# People with access to Sanity Pads]],WWWW[[#This Row],['# People with access to soap]],WWWW[[#This Row],['# People with access to Sanity Pads]])</f>
        <v>50</v>
      </c>
      <c r="DP35" s="761">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35" s="763">
        <f>IF(WWWW[[#This Row],[HRP3]]/WWWW[[#This Row],[Total PoP ]]&gt;1,1,WWWW[[#This Row],[HRP3]]/WWWW[[#This Row],[Total PoP ]])</f>
        <v>1</v>
      </c>
      <c r="DR35" s="762">
        <f>1-WWWW[[#This Row],[Hygiene Coverage%]]</f>
        <v>0</v>
      </c>
      <c r="DS35" s="760">
        <f>WWWW[[#This Row],['# people reached by regular dedicated hygiene promotion_5]]/WWWW[[#This Row],[Total PoP ]]</f>
        <v>1</v>
      </c>
      <c r="DT3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0.57971014492753625</v>
      </c>
      <c r="DU3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0.2608695652173913</v>
      </c>
      <c r="DV35" s="761">
        <f>WWWW[[#This Row],['#_Constructed/Existing hand washing stations]]-WWWW[[#This Row],['#_Non-Functional_hand_washing_stations]]</f>
        <v>3</v>
      </c>
      <c r="DW35" s="758">
        <f>IF(WWWW[[#This Row],['# Functional hand washing stations during reporting period]]*20&gt;WWWW[[#This Row],[Total HH]],WWWW[[#This Row],[Total HH]],WWWW[[#This Row],['# Functional hand washing stations during reporting period]]*20)</f>
        <v>60</v>
      </c>
      <c r="DX35" s="758">
        <f>IF(WWWW[[#This Row],[Is sufficient soap available for TLS? (Yes/No)]]="yes",WWWW[[#This Row],['#_Constructed/Existing hand washing stations at TLS/CFS/THF]],0)</f>
        <v>0</v>
      </c>
      <c r="DY35" s="429">
        <f>IF(WWWW[[#This Row],['# Functional hand washing stations during reporting period]]*100&gt;WWWW[[#This Row],[Total PoP ]],WWWW[[#This Row],[Total PoP ]],WWWW[[#This Row],['# Functional hand washing stations during reporting period]]*100)</f>
        <v>300</v>
      </c>
      <c r="DZ35" s="429" t="str">
        <f>IF(OR(WWWW[[#This Row],['#_students at TLS_CFS]]="",WWWW[[#This Row],['#_students at TLS_CFS]]=0),"No","Yes")</f>
        <v>No</v>
      </c>
      <c r="EA3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 s="754" t="str">
        <f>VLOOKUP(WWWW[[#This Row],[Site Name]],SiteDB6[[Site Name]:[CCCM Management]],6,FALSE)</f>
        <v>Yes</v>
      </c>
      <c r="EF35" s="754" t="str">
        <f>VLOOKUP(WWWW[[#This Row],[Site Name]],SiteDB6[[Site Name]:[CCCM Focal Agency]],7,FALSE)</f>
        <v>KBC-MYT</v>
      </c>
      <c r="EG35" s="754" t="str">
        <f>VLOOKUP(WWWW[[#This Row],[Site Name]],SiteDB6[[Site Name]:[Location Type 1]],9,FALSE)</f>
        <v>Camp</v>
      </c>
      <c r="EH35" s="754" t="str">
        <f>VLOOKUP(WWWW[[#This Row],[Site Name]],SiteDB6[[Site Name]:[Type of Accommodation]],10,FALSE)</f>
        <v>Camp</v>
      </c>
      <c r="EI35" s="754" t="str">
        <f>VLOOKUP(WWWW[[#This Row],[Site Name]],SiteDB6[[Site Name]:[Ethnic or GCA/NGCA]],11,FALSE)</f>
        <v>GCA</v>
      </c>
      <c r="EJ35" s="754">
        <f>VLOOKUP(WWWW[[#This Row],[Site Name]],SiteDB6[[Site Name]:[Lat]],12,FALSE)</f>
        <v>25.415482000000001</v>
      </c>
      <c r="EK35" s="754">
        <f>VLOOKUP(WWWW[[#This Row],[Site Name]],SiteDB6[[Site Name]:[Long]],13,FALSE)</f>
        <v>97.386718999999999</v>
      </c>
      <c r="EL35" s="754" t="str">
        <f>VLOOKUP(WWWW[[#This Row],[Site Name]],SiteDB6[[Site Name]:[Pcode]],3,FALSE)</f>
        <v>MMR001CMP001</v>
      </c>
      <c r="EM35" s="759" t="str">
        <f t="shared" si="0"/>
        <v>Covered</v>
      </c>
      <c r="EN35" s="759"/>
      <c r="EO35" s="754">
        <f>VLOOKUP(WWWW[[#This Row],[Site Name]],SiteDB6[[Site Name]:[Pop
(Kachin/Shan-CCCM as of July 2021)]],16,FALSE)</f>
        <v>98</v>
      </c>
      <c r="EP35" s="754">
        <f>VLOOKUP(WWWW[[#This Row],[Site Name]],SiteDB6[[Site Name]:[Pop
(Kachin/Shan-CCCM as of July 2021)]],17,FALSE)</f>
        <v>540</v>
      </c>
    </row>
    <row r="36" spans="1:146" hidden="1">
      <c r="A36" s="752" t="s">
        <v>2785</v>
      </c>
      <c r="B36" s="752" t="s">
        <v>141</v>
      </c>
      <c r="C36" s="753" t="s">
        <v>141</v>
      </c>
      <c r="D36" s="753" t="s">
        <v>241</v>
      </c>
      <c r="E36" s="753" t="s">
        <v>37</v>
      </c>
      <c r="F36" s="753" t="s">
        <v>159</v>
      </c>
      <c r="G36" s="594" t="str">
        <f>VLOOKUP(WWWW[[#This Row],[Site Name]],SiteDB6[[Site Name]:[Location Type]],8,FALSE)</f>
        <v>Camp</v>
      </c>
      <c r="H36" s="753" t="s">
        <v>171</v>
      </c>
      <c r="I36" s="755">
        <v>30</v>
      </c>
      <c r="J36" s="755">
        <v>165</v>
      </c>
      <c r="K36" s="591">
        <v>44105</v>
      </c>
      <c r="L36" s="592">
        <v>44681</v>
      </c>
      <c r="M36" s="755"/>
      <c r="N36" s="755">
        <v>1</v>
      </c>
      <c r="O36" s="755"/>
      <c r="P36" s="755"/>
      <c r="Q36" s="758" t="s">
        <v>41</v>
      </c>
      <c r="R36" s="755"/>
      <c r="S36" s="755">
        <v>5</v>
      </c>
      <c r="T36" s="449"/>
      <c r="U36" s="755"/>
      <c r="V36" s="755"/>
      <c r="W36" s="755">
        <v>2</v>
      </c>
      <c r="X36" s="755"/>
      <c r="Y36" s="755"/>
      <c r="Z36" s="755"/>
      <c r="AA36" s="755"/>
      <c r="AB36" s="755"/>
      <c r="AC36" s="755"/>
      <c r="AD36" s="755"/>
      <c r="AE36" s="755"/>
      <c r="AF36" s="755"/>
      <c r="AG36" s="755"/>
      <c r="AH36" s="755">
        <v>3</v>
      </c>
      <c r="AI36" s="755"/>
      <c r="AJ36" s="755"/>
      <c r="AK36" s="755"/>
      <c r="AL36" s="755"/>
      <c r="AM36" s="755"/>
      <c r="AN36" s="755"/>
      <c r="AO36" s="755"/>
      <c r="AP36" s="759"/>
      <c r="AQ36" s="755">
        <v>5</v>
      </c>
      <c r="AR36" s="755"/>
      <c r="AS36" s="760"/>
      <c r="AT36" s="755"/>
      <c r="AU36" s="755"/>
      <c r="AV36" s="755"/>
      <c r="AW36" s="755"/>
      <c r="AX36" s="755">
        <v>5</v>
      </c>
      <c r="AY36" s="754" t="s">
        <v>41</v>
      </c>
      <c r="AZ36" s="759" t="s">
        <v>137</v>
      </c>
      <c r="BA36" s="755"/>
      <c r="BB36" s="755"/>
      <c r="BC36" s="755"/>
      <c r="BD36" s="449"/>
      <c r="BE36" s="449"/>
      <c r="BF36" s="754"/>
      <c r="BG36" s="755">
        <v>1</v>
      </c>
      <c r="BH36" s="755"/>
      <c r="BI36" s="755"/>
      <c r="BJ36" s="755">
        <v>3</v>
      </c>
      <c r="BK36" s="755"/>
      <c r="BL36" s="755"/>
      <c r="BM36" s="755">
        <v>1</v>
      </c>
      <c r="BN36" s="755">
        <v>41</v>
      </c>
      <c r="BO36" s="755">
        <v>85</v>
      </c>
      <c r="BP36" s="754"/>
      <c r="BQ36" s="761"/>
      <c r="BR36" s="760"/>
      <c r="BS36" s="754"/>
      <c r="BT36" s="424"/>
      <c r="BU36" s="424"/>
      <c r="BV36" s="426"/>
      <c r="BW36" s="424"/>
      <c r="BX36" s="449"/>
      <c r="BY36" s="449"/>
      <c r="BZ36" s="449"/>
      <c r="CA36" s="449"/>
      <c r="CB36" s="449"/>
      <c r="CC36" s="807"/>
      <c r="CD36" s="449"/>
      <c r="CE36" s="762" t="str">
        <f>IFERROR(WWWW[[#This Row],['#_Water sources passed]]/WWWW[[#This Row],['#_Water sources tested for fecal coliform ]],"no test")</f>
        <v>no test</v>
      </c>
      <c r="CF36" s="760" t="str">
        <f>IFERROR(WWWW[[#This Row],['#_Household passed]]/WWWW[[#This Row],['#_Household water samples tested for fecal coliform]],"no test")</f>
        <v>no test</v>
      </c>
      <c r="CG36" s="761" t="str">
        <f>IF(AND(WWWW[[#This Row],[% of water sources passed]]="no test",WWWW[[#This Row],[% Household passed]]="no test"),"No Test","Tested")</f>
        <v>No Test</v>
      </c>
      <c r="CH36" s="761">
        <f>WWWW[[#This Row],['#_Constructed/existing protected hand dug well]]-WWWW[[#This Row],['#_Non-functional protected hand dug well]]</f>
        <v>0</v>
      </c>
      <c r="CI36" s="761">
        <f>(WWWW[[#This Row],['#_Constructed/Existing tube wells/boreholes/handpumps_WASH_agency]]+WWWW[[#This Row],['#_Non-Cluster partner water tube-wells/boreholes/handpumps]])-WWWW[[#This Row],['#_Non-functional tube wells/boreholes/handpumps]]</f>
        <v>2</v>
      </c>
      <c r="CJ36" s="761">
        <f>WWWW[[#This Row],['#_Constructed/Existingwater storage tank with gravity fed reticulation system]]-WWWW[[#This Row],['#_Non-functional storage tank gravity fed reticulation system]]</f>
        <v>0</v>
      </c>
      <c r="CK36" s="761">
        <f>(WWWW[[#This Row],['#_Water_Liters_supplied_by_Water boating or water trucking]]/90)/15</f>
        <v>0</v>
      </c>
      <c r="CL36" s="761">
        <f>WWWW[[#This Row],['#_Water_Liters_from_Constructed/Existing water distribution system from river or natural spring]]/90/15</f>
        <v>0</v>
      </c>
      <c r="CM36" s="425">
        <f>IF(WWWW[[#This Row],['#_of water points in TLS/CFS]]*500&gt;WWWW[[#This Row],[Total PoP ]],WWWW[[#This Row],[Total PoP ]],WWWW[[#This Row],['#_of water points in TLS/CFS]]*500)</f>
        <v>0</v>
      </c>
      <c r="CN36" s="425">
        <f>IF(WWWW[[#This Row],['#_of water points in THF]]*500&gt;WWWW[[#This Row],[Total PoP ]],WWWW[[#This Row],[Total PoP ]],WWWW[[#This Row],['#_of water points in THF]]*500)</f>
        <v>0</v>
      </c>
      <c r="CO3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 s="760">
        <f>IF(WWWW[[#This Row],[Location Type 1]]="Village",WWWW[[#This Row],[Access to safe drinking water for Village]],WWWW[[#This Row],[Access to safe drinking water for Camp]])</f>
        <v>1</v>
      </c>
      <c r="CR36" s="758">
        <f>WWWW[[#This Row],[%Equitable and continuous access to sufficient quantity of safe drinking water]]*WWWW[[#This Row],[Total PoP ]]</f>
        <v>165</v>
      </c>
      <c r="CS36" s="760">
        <f>IF((WWWW[[#This Row],['#_Constructed/Existing protected/fenced ponds]]*250)/WWWW[[#This Row],[Total PoP ]]&gt;1,1,(WWWW[[#This Row],['#_Constructed/Existing protected/fenced ponds]]*250)/WWWW[[#This Row],[Total PoP ]])</f>
        <v>0</v>
      </c>
      <c r="CT36" s="758">
        <f>WWWW[[#This Row],[% Access to unimproved water points]]*WWWW[[#This Row],[Total PoP ]]</f>
        <v>0</v>
      </c>
      <c r="CU3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165</v>
      </c>
      <c r="CW36" s="758">
        <f>WWWW[[#This Row],[HRP1]]/500</f>
        <v>0.33</v>
      </c>
      <c r="CX36" s="763">
        <f>1-WWWW[[#This Row],[% Equitable and continuous access to sufficient quantity of domestic water]]</f>
        <v>0</v>
      </c>
      <c r="CY36" s="758">
        <f>WWWW[[#This Row],[%equitable and continuous access to sufficient quantity of safe drinking and domestic water''s GAP]]*WWWW[[#This Row],[Total PoP ]]</f>
        <v>0</v>
      </c>
      <c r="CZ36" s="761">
        <f>IF(WWWW[[#This Row],[Total required water points]]-WWWW[[#This Row],['#Water points coverage]]&lt;0,0,WWWW[[#This Row],[Total required water points]]-WWWW[[#This Row],['#Water points coverage]])</f>
        <v>0.66999999999999993</v>
      </c>
      <c r="DA36" s="761">
        <f>ROUND(IF(WWWW[[#This Row],[Total PoP ]]&lt;500,1,WWWW[[#This Row],[Total PoP ]]/500),0)</f>
        <v>1</v>
      </c>
      <c r="DB36" s="761">
        <f>(WWWW[[#This Row],['#_Constructed latrines_by_WASHAgencies]]+WWWW[[#This Row],['#_Non Cluster partner latrines]])-WWWW[[#This Row],['#_Non-functional latrines]]</f>
        <v>5</v>
      </c>
      <c r="DC36" s="634">
        <f>WWWW[[#This Row],[HRP2]]/WWWW[[#This Row],[Total PoP ]]</f>
        <v>0.60606060606060608</v>
      </c>
      <c r="DD3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 s="425">
        <f>IF(WWWW[[#This Row],['# of functional latrines in THF supported by WASH partners during the reporting period2]]="",0,WWWW[[#This Row],['# of functional latrines in THF supported by WASH partners during the reporting period2]]*50)</f>
        <v>0</v>
      </c>
      <c r="DH36" s="761">
        <f>ROUND(IF(WWWW[[#This Row],[Location Type 1]]="camp",WWWW[[#This Row],[Total PoP ]]/20,IF(WWWW[[#This Row],[Location Type 1]]="Temporary Location",WWWW[[#This Row],[Total PoP ]]/50,(WWWW[[#This Row],[Total PoP ]]/6))),0)</f>
        <v>8</v>
      </c>
      <c r="DI36" s="761">
        <f>IF(WWWW[[#This Row],[Total required Latrines]]-(WWWW[[#This Row],['#_Constructed latrines_by_WASHAgencies]]+WWWW[[#This Row],['#_Non Cluster partner latrines]])&lt;0,0,WWWW[[#This Row],[Total required Latrines]]-(WWWW[[#This Row],['#_Constructed latrines_by_WASHAgencies]]+WWWW[[#This Row],['#_Non Cluster partner latrines]]))</f>
        <v>3</v>
      </c>
      <c r="DJ36" s="763">
        <f>1-WWWW[[#This Row],[% people access to functioning Latrine]]</f>
        <v>0.39393939393939392</v>
      </c>
      <c r="DK36" s="762">
        <f>IF(OR(WWWW[[#This Row],['#_Non-functional latrines]]="",WWWW[[#This Row],['#_Non-functional latrines]]=0),0,WWWW[[#This Row],['#_Non-functional latrines]]/(WWWW[[#This Row],['#_Constructed latrines_by_WASHAgencies]]+WWWW[[#This Row],['#_Non Cluster partner latrines]]))</f>
        <v>0</v>
      </c>
      <c r="DL36" s="758">
        <f>IF(500*(WWWW[[#This Row],['#_male hygiene promoters]]+WWWW[[#This Row],['#_female hygiene promoters]])&gt;WWWW[[#This Row],[Total PoP ]],WWWW[[#This Row],[Total PoP ]],500*(WWWW[[#This Row],['#_male hygiene promoters]]+WWWW[[#This Row],['#_female hygiene promoters]]))</f>
        <v>165</v>
      </c>
      <c r="DM3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N3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6" s="761">
        <f>IF(WWWW[[#This Row],['# People with access to soap]]&gt;WWWW[[#This Row],['# People with access to Sanity Pads]],WWWW[[#This Row],['# People with access to soap]],WWWW[[#This Row],['# People with access to Sanity Pads]])</f>
        <v>165</v>
      </c>
      <c r="DP36" s="761">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Q36" s="763">
        <f>IF(WWWW[[#This Row],[HRP3]]/WWWW[[#This Row],[Total PoP ]]&gt;1,1,WWWW[[#This Row],[HRP3]]/WWWW[[#This Row],[Total PoP ]])</f>
        <v>1</v>
      </c>
      <c r="DR36" s="762">
        <f>1-WWWW[[#This Row],[Hygiene Coverage%]]</f>
        <v>0</v>
      </c>
      <c r="DS36" s="760">
        <f>WWWW[[#This Row],['# people reached by regular dedicated hygiene promotion_5]]/WWWW[[#This Row],[Total PoP ]]</f>
        <v>1</v>
      </c>
      <c r="DT3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6" s="761">
        <f>WWWW[[#This Row],['#_Constructed/Existing hand washing stations]]-WWWW[[#This Row],['#_Non-Functional_hand_washing_stations]]</f>
        <v>1</v>
      </c>
      <c r="DW36" s="758">
        <f>IF(WWWW[[#This Row],['# Functional hand washing stations during reporting period]]*20&gt;WWWW[[#This Row],[Total HH]],WWWW[[#This Row],[Total HH]],WWWW[[#This Row],['# Functional hand washing stations during reporting period]]*20)</f>
        <v>20</v>
      </c>
      <c r="DX36" s="758">
        <f>IF(WWWW[[#This Row],[Is sufficient soap available for TLS? (Yes/No)]]="yes",WWWW[[#This Row],['#_Constructed/Existing hand washing stations at TLS/CFS/THF]],0)</f>
        <v>0</v>
      </c>
      <c r="DY36" s="429">
        <f>IF(WWWW[[#This Row],['# Functional hand washing stations during reporting period]]*100&gt;WWWW[[#This Row],[Total PoP ]],WWWW[[#This Row],[Total PoP ]],WWWW[[#This Row],['# Functional hand washing stations during reporting period]]*100)</f>
        <v>100</v>
      </c>
      <c r="DZ36" s="429" t="str">
        <f>IF(OR(WWWW[[#This Row],['#_students at TLS_CFS]]="",WWWW[[#This Row],['#_students at TLS_CFS]]=0),"No","Yes")</f>
        <v>No</v>
      </c>
      <c r="EA3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 s="754" t="str">
        <f>VLOOKUP(WWWW[[#This Row],[Site Name]],SiteDB6[[Site Name]:[CCCM Management]],6,FALSE)</f>
        <v>Yes</v>
      </c>
      <c r="EF36" s="754" t="str">
        <f>VLOOKUP(WWWW[[#This Row],[Site Name]],SiteDB6[[Site Name]:[CCCM Focal Agency]],7,FALSE)</f>
        <v>KBC-MYT</v>
      </c>
      <c r="EG36" s="754" t="str">
        <f>VLOOKUP(WWWW[[#This Row],[Site Name]],SiteDB6[[Site Name]:[Location Type 1]],9,FALSE)</f>
        <v>Camp</v>
      </c>
      <c r="EH36" s="754" t="str">
        <f>VLOOKUP(WWWW[[#This Row],[Site Name]],SiteDB6[[Site Name]:[Type of Accommodation]],10,FALSE)</f>
        <v>Camp</v>
      </c>
      <c r="EI36" s="754" t="str">
        <f>VLOOKUP(WWWW[[#This Row],[Site Name]],SiteDB6[[Site Name]:[Ethnic or GCA/NGCA]],11,FALSE)</f>
        <v>GCA</v>
      </c>
      <c r="EJ36" s="754">
        <f>VLOOKUP(WWWW[[#This Row],[Site Name]],SiteDB6[[Site Name]:[Lat]],12,FALSE)</f>
        <v>25.404752999999999</v>
      </c>
      <c r="EK36" s="754">
        <f>VLOOKUP(WWWW[[#This Row],[Site Name]],SiteDB6[[Site Name]:[Long]],13,FALSE)</f>
        <v>97.377662999999998</v>
      </c>
      <c r="EL36" s="754" t="str">
        <f>VLOOKUP(WWWW[[#This Row],[Site Name]],SiteDB6[[Site Name]:[Pcode]],3,FALSE)</f>
        <v>MMR001CMP003</v>
      </c>
      <c r="EM36" s="759" t="str">
        <f t="shared" si="0"/>
        <v>Covered</v>
      </c>
      <c r="EN36" s="759"/>
      <c r="EO36" s="754">
        <f>VLOOKUP(WWWW[[#This Row],[Site Name]],SiteDB6[[Site Name]:[Pop
(Kachin/Shan-CCCM as of July 2021)]],16,FALSE)</f>
        <v>35</v>
      </c>
      <c r="EP36" s="754">
        <f>VLOOKUP(WWWW[[#This Row],[Site Name]],SiteDB6[[Site Name]:[Pop
(Kachin/Shan-CCCM as of July 2021)]],17,FALSE)</f>
        <v>189</v>
      </c>
    </row>
    <row r="37" spans="1:146" hidden="1">
      <c r="A37" s="752" t="s">
        <v>2785</v>
      </c>
      <c r="B37" s="752" t="s">
        <v>141</v>
      </c>
      <c r="C37" s="753" t="s">
        <v>141</v>
      </c>
      <c r="D37" s="753" t="s">
        <v>241</v>
      </c>
      <c r="E37" s="753" t="s">
        <v>37</v>
      </c>
      <c r="F37" s="753" t="s">
        <v>159</v>
      </c>
      <c r="G37" s="594" t="str">
        <f>VLOOKUP(WWWW[[#This Row],[Site Name]],SiteDB6[[Site Name]:[Location Type]],8,FALSE)</f>
        <v>Camp</v>
      </c>
      <c r="H37" s="753" t="s">
        <v>172</v>
      </c>
      <c r="I37" s="755">
        <v>43</v>
      </c>
      <c r="J37" s="755">
        <v>219</v>
      </c>
      <c r="K37" s="591">
        <v>44105</v>
      </c>
      <c r="L37" s="592">
        <v>44681</v>
      </c>
      <c r="M37" s="755"/>
      <c r="N37" s="755">
        <v>1</v>
      </c>
      <c r="O37" s="755"/>
      <c r="P37" s="755"/>
      <c r="Q37" s="758" t="s">
        <v>41</v>
      </c>
      <c r="R37" s="755"/>
      <c r="S37" s="755">
        <v>4</v>
      </c>
      <c r="T37" s="449"/>
      <c r="U37" s="755"/>
      <c r="V37" s="755"/>
      <c r="W37" s="755">
        <v>2</v>
      </c>
      <c r="X37" s="755"/>
      <c r="Y37" s="755"/>
      <c r="Z37" s="755"/>
      <c r="AA37" s="755"/>
      <c r="AB37" s="755"/>
      <c r="AC37" s="755"/>
      <c r="AD37" s="755"/>
      <c r="AE37" s="755"/>
      <c r="AF37" s="755"/>
      <c r="AG37" s="755"/>
      <c r="AH37" s="755">
        <v>3</v>
      </c>
      <c r="AI37" s="755"/>
      <c r="AJ37" s="755"/>
      <c r="AK37" s="755"/>
      <c r="AL37" s="755"/>
      <c r="AM37" s="755"/>
      <c r="AN37" s="755"/>
      <c r="AO37" s="755"/>
      <c r="AP37" s="759"/>
      <c r="AQ37" s="755">
        <v>13</v>
      </c>
      <c r="AR37" s="755"/>
      <c r="AS37" s="760"/>
      <c r="AT37" s="755"/>
      <c r="AU37" s="755"/>
      <c r="AV37" s="755"/>
      <c r="AW37" s="755"/>
      <c r="AX37" s="755">
        <v>13</v>
      </c>
      <c r="AY37" s="754" t="s">
        <v>41</v>
      </c>
      <c r="AZ37" s="759" t="s">
        <v>137</v>
      </c>
      <c r="BA37" s="755"/>
      <c r="BB37" s="755"/>
      <c r="BC37" s="755"/>
      <c r="BD37" s="449"/>
      <c r="BE37" s="449"/>
      <c r="BF37" s="754"/>
      <c r="BG37" s="755">
        <v>1</v>
      </c>
      <c r="BH37" s="755"/>
      <c r="BI37" s="755"/>
      <c r="BJ37" s="755">
        <v>1</v>
      </c>
      <c r="BK37" s="755"/>
      <c r="BL37" s="755"/>
      <c r="BM37" s="755">
        <v>1</v>
      </c>
      <c r="BN37" s="755">
        <v>6</v>
      </c>
      <c r="BO37" s="755">
        <v>5</v>
      </c>
      <c r="BP37" s="754"/>
      <c r="BQ37" s="761"/>
      <c r="BR37" s="760"/>
      <c r="BS37" s="754"/>
      <c r="BT37" s="424"/>
      <c r="BU37" s="424"/>
      <c r="BV37" s="426"/>
      <c r="BW37" s="424"/>
      <c r="BX37" s="449"/>
      <c r="BY37" s="449"/>
      <c r="BZ37" s="449"/>
      <c r="CA37" s="449"/>
      <c r="CB37" s="449"/>
      <c r="CC37" s="807"/>
      <c r="CD37" s="449"/>
      <c r="CE37" s="762" t="str">
        <f>IFERROR(WWWW[[#This Row],['#_Water sources passed]]/WWWW[[#This Row],['#_Water sources tested for fecal coliform ]],"no test")</f>
        <v>no test</v>
      </c>
      <c r="CF37" s="760" t="str">
        <f>IFERROR(WWWW[[#This Row],['#_Household passed]]/WWWW[[#This Row],['#_Household water samples tested for fecal coliform]],"no test")</f>
        <v>no test</v>
      </c>
      <c r="CG37" s="761" t="str">
        <f>IF(AND(WWWW[[#This Row],[% of water sources passed]]="no test",WWWW[[#This Row],[% Household passed]]="no test"),"No Test","Tested")</f>
        <v>No Test</v>
      </c>
      <c r="CH37" s="761">
        <f>WWWW[[#This Row],['#_Constructed/existing protected hand dug well]]-WWWW[[#This Row],['#_Non-functional protected hand dug well]]</f>
        <v>0</v>
      </c>
      <c r="CI37" s="761">
        <f>(WWWW[[#This Row],['#_Constructed/Existing tube wells/boreholes/handpumps_WASH_agency]]+WWWW[[#This Row],['#_Non-Cluster partner water tube-wells/boreholes/handpumps]])-WWWW[[#This Row],['#_Non-functional tube wells/boreholes/handpumps]]</f>
        <v>2</v>
      </c>
      <c r="CJ37" s="761">
        <f>WWWW[[#This Row],['#_Constructed/Existingwater storage tank with gravity fed reticulation system]]-WWWW[[#This Row],['#_Non-functional storage tank gravity fed reticulation system]]</f>
        <v>0</v>
      </c>
      <c r="CK37" s="761">
        <f>(WWWW[[#This Row],['#_Water_Liters_supplied_by_Water boating or water trucking]]/90)/15</f>
        <v>0</v>
      </c>
      <c r="CL37" s="761">
        <f>WWWW[[#This Row],['#_Water_Liters_from_Constructed/Existing water distribution system from river or natural spring]]/90/15</f>
        <v>0</v>
      </c>
      <c r="CM37" s="425">
        <f>IF(WWWW[[#This Row],['#_of water points in TLS/CFS]]*500&gt;WWWW[[#This Row],[Total PoP ]],WWWW[[#This Row],[Total PoP ]],WWWW[[#This Row],['#_of water points in TLS/CFS]]*500)</f>
        <v>0</v>
      </c>
      <c r="CN37" s="425">
        <f>IF(WWWW[[#This Row],['#_of water points in THF]]*500&gt;WWWW[[#This Row],[Total PoP ]],WWWW[[#This Row],[Total PoP ]],WWWW[[#This Row],['#_of water points in THF]]*500)</f>
        <v>0</v>
      </c>
      <c r="CO3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 s="760">
        <f>IF(WWWW[[#This Row],[Location Type 1]]="Village",WWWW[[#This Row],[Access to safe drinking water for Village]],WWWW[[#This Row],[Access to safe drinking water for Camp]])</f>
        <v>1</v>
      </c>
      <c r="CR37" s="758">
        <f>WWWW[[#This Row],[%Equitable and continuous access to sufficient quantity of safe drinking water]]*WWWW[[#This Row],[Total PoP ]]</f>
        <v>219</v>
      </c>
      <c r="CS37" s="760">
        <f>IF((WWWW[[#This Row],['#_Constructed/Existing protected/fenced ponds]]*250)/WWWW[[#This Row],[Total PoP ]]&gt;1,1,(WWWW[[#This Row],['#_Constructed/Existing protected/fenced ponds]]*250)/WWWW[[#This Row],[Total PoP ]])</f>
        <v>0</v>
      </c>
      <c r="CT37" s="758">
        <f>WWWW[[#This Row],[% Access to unimproved water points]]*WWWW[[#This Row],[Total PoP ]]</f>
        <v>0</v>
      </c>
      <c r="CU3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219</v>
      </c>
      <c r="CW37" s="758">
        <f>WWWW[[#This Row],[HRP1]]/500</f>
        <v>0.438</v>
      </c>
      <c r="CX37" s="763">
        <f>1-WWWW[[#This Row],[% Equitable and continuous access to sufficient quantity of domestic water]]</f>
        <v>0</v>
      </c>
      <c r="CY37" s="758">
        <f>WWWW[[#This Row],[%equitable and continuous access to sufficient quantity of safe drinking and domestic water''s GAP]]*WWWW[[#This Row],[Total PoP ]]</f>
        <v>0</v>
      </c>
      <c r="CZ37" s="761">
        <f>IF(WWWW[[#This Row],[Total required water points]]-WWWW[[#This Row],['#Water points coverage]]&lt;0,0,WWWW[[#This Row],[Total required water points]]-WWWW[[#This Row],['#Water points coverage]])</f>
        <v>0.56200000000000006</v>
      </c>
      <c r="DA37" s="761">
        <f>ROUND(IF(WWWW[[#This Row],[Total PoP ]]&lt;500,1,WWWW[[#This Row],[Total PoP ]]/500),0)</f>
        <v>1</v>
      </c>
      <c r="DB37" s="761">
        <f>(WWWW[[#This Row],['#_Constructed latrines_by_WASHAgencies]]+WWWW[[#This Row],['#_Non Cluster partner latrines]])-WWWW[[#This Row],['#_Non-functional latrines]]</f>
        <v>13</v>
      </c>
      <c r="DC37" s="634">
        <f>WWWW[[#This Row],[HRP2]]/WWWW[[#This Row],[Total PoP ]]</f>
        <v>1</v>
      </c>
      <c r="DD3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219</v>
      </c>
      <c r="DE3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 s="425">
        <f>IF(WWWW[[#This Row],['# of functional latrines in THF supported by WASH partners during the reporting period2]]="",0,WWWW[[#This Row],['# of functional latrines in THF supported by WASH partners during the reporting period2]]*50)</f>
        <v>0</v>
      </c>
      <c r="DH37" s="761">
        <f>ROUND(IF(WWWW[[#This Row],[Location Type 1]]="camp",WWWW[[#This Row],[Total PoP ]]/20,IF(WWWW[[#This Row],[Location Type 1]]="Temporary Location",WWWW[[#This Row],[Total PoP ]]/50,(WWWW[[#This Row],[Total PoP ]]/6))),0)</f>
        <v>11</v>
      </c>
      <c r="DI37" s="761">
        <f>IF(WWWW[[#This Row],[Total required Latrines]]-(WWWW[[#This Row],['#_Constructed latrines_by_WASHAgencies]]+WWWW[[#This Row],['#_Non Cluster partner latrines]])&lt;0,0,WWWW[[#This Row],[Total required Latrines]]-(WWWW[[#This Row],['#_Constructed latrines_by_WASHAgencies]]+WWWW[[#This Row],['#_Non Cluster partner latrines]]))</f>
        <v>0</v>
      </c>
      <c r="DJ37" s="763">
        <f>1-WWWW[[#This Row],[% people access to functioning Latrine]]</f>
        <v>0</v>
      </c>
      <c r="DK37" s="762">
        <f>IF(OR(WWWW[[#This Row],['#_Non-functional latrines]]="",WWWW[[#This Row],['#_Non-functional latrines]]=0),0,WWWW[[#This Row],['#_Non-functional latrines]]/(WWWW[[#This Row],['#_Constructed latrines_by_WASHAgencies]]+WWWW[[#This Row],['#_Non Cluster partner latrines]]))</f>
        <v>0</v>
      </c>
      <c r="DL37" s="758">
        <f>IF(500*(WWWW[[#This Row],['#_male hygiene promoters]]+WWWW[[#This Row],['#_female hygiene promoters]])&gt;WWWW[[#This Row],[Total PoP ]],WWWW[[#This Row],[Total PoP ]],500*(WWWW[[#This Row],['#_male hygiene promoters]]+WWWW[[#This Row],['#_female hygiene promoters]]))</f>
        <v>219</v>
      </c>
      <c r="DM3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3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37" s="761">
        <f>IF(WWWW[[#This Row],['# People with access to soap]]&gt;WWWW[[#This Row],['# People with access to Sanity Pads]],WWWW[[#This Row],['# People with access to soap]],WWWW[[#This Row],['# People with access to Sanity Pads]])</f>
        <v>30</v>
      </c>
      <c r="DP37" s="761">
        <f>IF(WWWW[[#This Row],['# people reached by regular dedicated hygiene promotion_5]]&gt;WWWW[[#This Row],['# People received regular supply of hygiene items_6]],WWWW[[#This Row],['# people reached by regular dedicated hygiene promotion_5]],WWWW[[#This Row],['# People received regular supply of hygiene items_6]])</f>
        <v>219</v>
      </c>
      <c r="DQ37" s="763">
        <f>IF(WWWW[[#This Row],[HRP3]]/WWWW[[#This Row],[Total PoP ]]&gt;1,1,WWWW[[#This Row],[HRP3]]/WWWW[[#This Row],[Total PoP ]])</f>
        <v>1</v>
      </c>
      <c r="DR37" s="762">
        <f>1-WWWW[[#This Row],[Hygiene Coverage%]]</f>
        <v>0</v>
      </c>
      <c r="DS37" s="760">
        <f>WWWW[[#This Row],['# people reached by regular dedicated hygiene promotion_5]]/WWWW[[#This Row],[Total PoP ]]</f>
        <v>1</v>
      </c>
      <c r="DT3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0.55813953488372092</v>
      </c>
      <c r="DU3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0.11627906976744186</v>
      </c>
      <c r="DV37" s="761">
        <f>WWWW[[#This Row],['#_Constructed/Existing hand washing stations]]-WWWW[[#This Row],['#_Non-Functional_hand_washing_stations]]</f>
        <v>1</v>
      </c>
      <c r="DW37" s="758">
        <f>IF(WWWW[[#This Row],['# Functional hand washing stations during reporting period]]*20&gt;WWWW[[#This Row],[Total HH]],WWWW[[#This Row],[Total HH]],WWWW[[#This Row],['# Functional hand washing stations during reporting period]]*20)</f>
        <v>20</v>
      </c>
      <c r="DX37" s="758">
        <f>IF(WWWW[[#This Row],[Is sufficient soap available for TLS? (Yes/No)]]="yes",WWWW[[#This Row],['#_Constructed/Existing hand washing stations at TLS/CFS/THF]],0)</f>
        <v>0</v>
      </c>
      <c r="DY37" s="429">
        <f>IF(WWWW[[#This Row],['# Functional hand washing stations during reporting period]]*100&gt;WWWW[[#This Row],[Total PoP ]],WWWW[[#This Row],[Total PoP ]],WWWW[[#This Row],['# Functional hand washing stations during reporting period]]*100)</f>
        <v>100</v>
      </c>
      <c r="DZ37" s="429" t="str">
        <f>IF(OR(WWWW[[#This Row],['#_students at TLS_CFS]]="",WWWW[[#This Row],['#_students at TLS_CFS]]=0),"No","Yes")</f>
        <v>No</v>
      </c>
      <c r="EA3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 s="754" t="str">
        <f>VLOOKUP(WWWW[[#This Row],[Site Name]],SiteDB6[[Site Name]:[CCCM Management]],6,FALSE)</f>
        <v>Yes</v>
      </c>
      <c r="EF37" s="754" t="str">
        <f>VLOOKUP(WWWW[[#This Row],[Site Name]],SiteDB6[[Site Name]:[CCCM Focal Agency]],7,FALSE)</f>
        <v>KBC-MYT</v>
      </c>
      <c r="EG37" s="754" t="str">
        <f>VLOOKUP(WWWW[[#This Row],[Site Name]],SiteDB6[[Site Name]:[Location Type 1]],9,FALSE)</f>
        <v>Camp</v>
      </c>
      <c r="EH37" s="754" t="str">
        <f>VLOOKUP(WWWW[[#This Row],[Site Name]],SiteDB6[[Site Name]:[Type of Accommodation]],10,FALSE)</f>
        <v>Camp</v>
      </c>
      <c r="EI37" s="754" t="str">
        <f>VLOOKUP(WWWW[[#This Row],[Site Name]],SiteDB6[[Site Name]:[Ethnic or GCA/NGCA]],11,FALSE)</f>
        <v>GCA</v>
      </c>
      <c r="EJ37" s="754">
        <f>VLOOKUP(WWWW[[#This Row],[Site Name]],SiteDB6[[Site Name]:[Lat]],12,FALSE)</f>
        <v>25.437125999999999</v>
      </c>
      <c r="EK37" s="754">
        <f>VLOOKUP(WWWW[[#This Row],[Site Name]],SiteDB6[[Site Name]:[Long]],13,FALSE)</f>
        <v>97.387276</v>
      </c>
      <c r="EL37" s="754" t="str">
        <f>VLOOKUP(WWWW[[#This Row],[Site Name]],SiteDB6[[Site Name]:[Pcode]],3,FALSE)</f>
        <v>MMR001CMP005</v>
      </c>
      <c r="EM37" s="759" t="str">
        <f t="shared" si="0"/>
        <v>Covered</v>
      </c>
      <c r="EN37" s="759"/>
      <c r="EO37" s="754">
        <f>VLOOKUP(WWWW[[#This Row],[Site Name]],SiteDB6[[Site Name]:[Pop
(Kachin/Shan-CCCM as of July 2021)]],16,FALSE)</f>
        <v>47</v>
      </c>
      <c r="EP37" s="754">
        <f>VLOOKUP(WWWW[[#This Row],[Site Name]],SiteDB6[[Site Name]:[Pop
(Kachin/Shan-CCCM as of July 2021)]],17,FALSE)</f>
        <v>239</v>
      </c>
    </row>
    <row r="38" spans="1:146" hidden="1">
      <c r="A38" s="752" t="s">
        <v>2785</v>
      </c>
      <c r="B38" s="729" t="s">
        <v>2828</v>
      </c>
      <c r="C38" s="816" t="s">
        <v>141</v>
      </c>
      <c r="D38" s="370" t="s">
        <v>2835</v>
      </c>
      <c r="E38" s="816" t="s">
        <v>37</v>
      </c>
      <c r="F38" s="816" t="s">
        <v>159</v>
      </c>
      <c r="G38" s="817" t="str">
        <f>VLOOKUP(WWWW[[#This Row],[Site Name]],SiteDB6[[Site Name]:[Location Type]],8,FALSE)</f>
        <v>Camp</v>
      </c>
      <c r="H38" s="912" t="s">
        <v>1615</v>
      </c>
      <c r="I38" s="449">
        <v>168</v>
      </c>
      <c r="J38" s="449">
        <v>866</v>
      </c>
      <c r="K38" s="830" t="s">
        <v>2836</v>
      </c>
      <c r="L38" s="592" t="s">
        <v>2837</v>
      </c>
      <c r="M38" s="818"/>
      <c r="N38" s="818">
        <v>3</v>
      </c>
      <c r="O38" s="818"/>
      <c r="P38" s="818"/>
      <c r="Q38" s="821" t="s">
        <v>136</v>
      </c>
      <c r="R38" s="818"/>
      <c r="S38" s="818">
        <v>3</v>
      </c>
      <c r="T38" s="449">
        <v>1</v>
      </c>
      <c r="U38" s="818"/>
      <c r="V38" s="818"/>
      <c r="W38" s="818">
        <v>1</v>
      </c>
      <c r="X38" s="818"/>
      <c r="Y38" s="818"/>
      <c r="Z38" s="818"/>
      <c r="AA38" s="818"/>
      <c r="AB38" s="818"/>
      <c r="AC38" s="818"/>
      <c r="AD38" s="818"/>
      <c r="AE38" s="818"/>
      <c r="AF38" s="818"/>
      <c r="AG38" s="818"/>
      <c r="AH38" s="818">
        <v>4</v>
      </c>
      <c r="AI38" s="818"/>
      <c r="AJ38" s="818"/>
      <c r="AK38" s="818"/>
      <c r="AL38" s="818"/>
      <c r="AM38" s="818"/>
      <c r="AN38" s="818"/>
      <c r="AO38" s="818"/>
      <c r="AP38" s="822"/>
      <c r="AQ38" s="818">
        <v>28</v>
      </c>
      <c r="AR38" s="818"/>
      <c r="AS38" s="823"/>
      <c r="AT38" s="818"/>
      <c r="AU38" s="818"/>
      <c r="AV38" s="818"/>
      <c r="AW38" s="818"/>
      <c r="AX38" s="818">
        <v>10</v>
      </c>
      <c r="AY38" s="754" t="s">
        <v>41</v>
      </c>
      <c r="AZ38" s="759" t="s">
        <v>137</v>
      </c>
      <c r="BA38" s="818"/>
      <c r="BB38" s="818"/>
      <c r="BC38" s="818"/>
      <c r="BD38" s="449"/>
      <c r="BE38" s="449"/>
      <c r="BF38" s="817"/>
      <c r="BG38" s="818">
        <v>3</v>
      </c>
      <c r="BH38" s="818"/>
      <c r="BI38" s="818"/>
      <c r="BJ38" s="818">
        <v>2</v>
      </c>
      <c r="BK38" s="818"/>
      <c r="BL38" s="818">
        <v>1</v>
      </c>
      <c r="BM38" s="818">
        <v>2</v>
      </c>
      <c r="BN38" s="818">
        <v>88</v>
      </c>
      <c r="BO38" s="818">
        <v>100</v>
      </c>
      <c r="BP38" s="817"/>
      <c r="BQ38" s="824"/>
      <c r="BR38" s="823"/>
      <c r="BS38" s="817"/>
      <c r="BT38" s="424"/>
      <c r="BU38" s="424"/>
      <c r="BV38" s="449">
        <f>0.78*WWWW[[#This Row],[Total PoP ]]</f>
        <v>675.48</v>
      </c>
      <c r="BW38" s="424">
        <v>0.52</v>
      </c>
      <c r="BX38" s="449"/>
      <c r="BY38" s="449"/>
      <c r="BZ38" s="449"/>
      <c r="CA38" s="449">
        <v>0</v>
      </c>
      <c r="CB38" s="449">
        <v>0</v>
      </c>
      <c r="CC38" s="807"/>
      <c r="CD38" s="449"/>
      <c r="CE38" s="825" t="str">
        <f>IFERROR(WWWW[[#This Row],['#_Water sources passed]]/WWWW[[#This Row],['#_Water sources tested for fecal coliform ]],"no test")</f>
        <v>no test</v>
      </c>
      <c r="CF38" s="823" t="str">
        <f>IFERROR(WWWW[[#This Row],['#_Household passed]]/WWWW[[#This Row],['#_Household water samples tested for fecal coliform]],"no test")</f>
        <v>no test</v>
      </c>
      <c r="CG38" s="824" t="str">
        <f>IF(AND(WWWW[[#This Row],[% of water sources passed]]="no test",WWWW[[#This Row],[% Household passed]]="no test"),"No Test","Tested")</f>
        <v>No Test</v>
      </c>
      <c r="CH38" s="824">
        <f>WWWW[[#This Row],['#_Constructed/existing protected hand dug well]]-WWWW[[#This Row],['#_Non-functional protected hand dug well]]</f>
        <v>1</v>
      </c>
      <c r="CI38" s="824">
        <f>(WWWW[[#This Row],['#_Constructed/Existing tube wells/boreholes/handpumps_WASH_agency]]+WWWW[[#This Row],['#_Non-Cluster partner water tube-wells/boreholes/handpumps]])-WWWW[[#This Row],['#_Non-functional tube wells/boreholes/handpumps]]</f>
        <v>1</v>
      </c>
      <c r="CJ38" s="824">
        <f>WWWW[[#This Row],['#_Constructed/Existingwater storage tank with gravity fed reticulation system]]-WWWW[[#This Row],['#_Non-functional storage tank gravity fed reticulation system]]</f>
        <v>0</v>
      </c>
      <c r="CK38" s="824">
        <f>(WWWW[[#This Row],['#_Water_Liters_supplied_by_Water boating or water trucking]]/90)/15</f>
        <v>0</v>
      </c>
      <c r="CL38" s="824">
        <f>WWWW[[#This Row],['#_Water_Liters_from_Constructed/Existing water distribution system from river or natural spring]]/90/15</f>
        <v>0</v>
      </c>
      <c r="CM38" s="425">
        <f>IF(WWWW[[#This Row],['#_of water points in TLS/CFS]]*500&gt;WWWW[[#This Row],[Total PoP ]],WWWW[[#This Row],[Total PoP ]],WWWW[[#This Row],['#_of water points in TLS/CFS]]*500)</f>
        <v>0</v>
      </c>
      <c r="CN38" s="425">
        <f>IF(WWWW[[#This Row],['#_of water points in THF]]*500&gt;WWWW[[#This Row],[Total PoP ]],WWWW[[#This Row],[Total PoP ]],WWWW[[#This Row],['#_of water points in THF]]*500)</f>
        <v>0</v>
      </c>
      <c r="CO38"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0.57736720554272514</v>
      </c>
      <c r="CQ38" s="823">
        <f>IF(WWWW[[#This Row],[Location Type 1]]="Village",WWWW[[#This Row],[Access to safe drinking water for Village]],WWWW[[#This Row],[Access to safe drinking water for Camp]])</f>
        <v>1</v>
      </c>
      <c r="CR38" s="821">
        <f>WWWW[[#This Row],[%Equitable and continuous access to sufficient quantity of safe drinking water]]*WWWW[[#This Row],[Total PoP ]]</f>
        <v>866</v>
      </c>
      <c r="CS38" s="823">
        <f>IF((WWWW[[#This Row],['#_Constructed/Existing protected/fenced ponds]]*250)/WWWW[[#This Row],[Total PoP ]]&gt;1,1,(WWWW[[#This Row],['#_Constructed/Existing protected/fenced ponds]]*250)/WWWW[[#This Row],[Total PoP ]])</f>
        <v>0</v>
      </c>
      <c r="CT38" s="821">
        <f>WWWW[[#This Row],[% Access to unimproved water points]]*WWWW[[#This Row],[Total PoP ]]</f>
        <v>0</v>
      </c>
      <c r="CU38"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866</v>
      </c>
      <c r="CW38" s="821">
        <f>WWWW[[#This Row],[HRP1]]/500</f>
        <v>1.732</v>
      </c>
      <c r="CX38" s="826">
        <f>1-WWWW[[#This Row],[% Equitable and continuous access to sufficient quantity of domestic water]]</f>
        <v>0</v>
      </c>
      <c r="CY38" s="821">
        <f>WWWW[[#This Row],[%equitable and continuous access to sufficient quantity of safe drinking and domestic water''s GAP]]*WWWW[[#This Row],[Total PoP ]]</f>
        <v>0</v>
      </c>
      <c r="CZ38" s="824">
        <f>IF(WWWW[[#This Row],[Total required water points]]-WWWW[[#This Row],['#Water points coverage]]&lt;0,0,WWWW[[#This Row],[Total required water points]]-WWWW[[#This Row],['#Water points coverage]])</f>
        <v>0.26800000000000002</v>
      </c>
      <c r="DA38" s="824">
        <f>ROUND(IF(WWWW[[#This Row],[Total PoP ]]&lt;500,1,WWWW[[#This Row],[Total PoP ]]/500),0)</f>
        <v>2</v>
      </c>
      <c r="DB38" s="824">
        <f>(WWWW[[#This Row],['#_Constructed latrines_by_WASHAgencies]]+WWWW[[#This Row],['#_Non Cluster partner latrines]])-WWWW[[#This Row],['#_Non-functional latrines]]</f>
        <v>28</v>
      </c>
      <c r="DC38" s="634">
        <f>WWWW[[#This Row],[HRP2]]/WWWW[[#This Row],[Total PoP ]]</f>
        <v>0.64665127020785218</v>
      </c>
      <c r="DD38"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38"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 s="425">
        <f>IF(WWWW[[#This Row],['# of functional latrines in THF supported by WASH partners during the reporting period2]]="",0,WWWW[[#This Row],['# of functional latrines in THF supported by WASH partners during the reporting period2]]*50)</f>
        <v>0</v>
      </c>
      <c r="DH38" s="824">
        <f>ROUND(IF(WWWW[[#This Row],[Location Type 1]]="camp",WWWW[[#This Row],[Total PoP ]]/20,IF(WWWW[[#This Row],[Location Type 1]]="Temporary Location",WWWW[[#This Row],[Total PoP ]]/50,(WWWW[[#This Row],[Total PoP ]]/6))),0)</f>
        <v>43</v>
      </c>
      <c r="DI38" s="824">
        <f>IF(WWWW[[#This Row],[Total required Latrines]]-(WWWW[[#This Row],['#_Constructed latrines_by_WASHAgencies]]+WWWW[[#This Row],['#_Non Cluster partner latrines]])&lt;0,0,WWWW[[#This Row],[Total required Latrines]]-(WWWW[[#This Row],['#_Constructed latrines_by_WASHAgencies]]+WWWW[[#This Row],['#_Non Cluster partner latrines]]))</f>
        <v>15</v>
      </c>
      <c r="DJ38" s="826">
        <f>1-WWWW[[#This Row],[% people access to functioning Latrine]]</f>
        <v>0.35334872979214782</v>
      </c>
      <c r="DK38" s="825">
        <f>IF(OR(WWWW[[#This Row],['#_Non-functional latrines]]="",WWWW[[#This Row],['#_Non-functional latrines]]=0),0,WWWW[[#This Row],['#_Non-functional latrines]]/(WWWW[[#This Row],['#_Constructed latrines_by_WASHAgencies]]+WWWW[[#This Row],['#_Non Cluster partner latrines]]))</f>
        <v>0</v>
      </c>
      <c r="DL38" s="821">
        <f>IF(500*(WWWW[[#This Row],['#_male hygiene promoters]]+WWWW[[#This Row],['#_female hygiene promoters]])&gt;WWWW[[#This Row],[Total PoP ]],WWWW[[#This Row],[Total PoP ]],500*(WWWW[[#This Row],['#_male hygiene promoters]]+WWWW[[#This Row],['#_female hygiene promoters]]))</f>
        <v>866</v>
      </c>
      <c r="DM38"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38"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38" s="824">
        <f>IF(WWWW[[#This Row],['# People with access to soap]]&gt;WWWW[[#This Row],['# People with access to Sanity Pads]],WWWW[[#This Row],['# People with access to soap]],WWWW[[#This Row],['# People with access to Sanity Pads]])</f>
        <v>440</v>
      </c>
      <c r="DP38" s="824">
        <f>IF(WWWW[[#This Row],['# people reached by regular dedicated hygiene promotion_5]]&gt;WWWW[[#This Row],['# People received regular supply of hygiene items_6]],WWWW[[#This Row],['# people reached by regular dedicated hygiene promotion_5]],WWWW[[#This Row],['# People received regular supply of hygiene items_6]])</f>
        <v>866</v>
      </c>
      <c r="DQ38" s="826">
        <f>IF(WWWW[[#This Row],[HRP3]]/WWWW[[#This Row],[Total PoP ]]&gt;1,1,WWWW[[#This Row],[HRP3]]/WWWW[[#This Row],[Total PoP ]])</f>
        <v>1</v>
      </c>
      <c r="DR38" s="825">
        <f>1-WWWW[[#This Row],[Hygiene Coverage%]]</f>
        <v>0</v>
      </c>
      <c r="DS38" s="823">
        <f>WWWW[[#This Row],['# people reached by regular dedicated hygiene promotion_5]]/WWWW[[#This Row],[Total PoP ]]</f>
        <v>1</v>
      </c>
      <c r="DT38"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0.59523809523809523</v>
      </c>
      <c r="DV38" s="824">
        <f>WWWW[[#This Row],['#_Constructed/Existing hand washing stations]]-WWWW[[#This Row],['#_Non-Functional_hand_washing_stations]]</f>
        <v>3</v>
      </c>
      <c r="DW38" s="821">
        <f>IF(WWWW[[#This Row],['# Functional hand washing stations during reporting period]]*20&gt;WWWW[[#This Row],[Total HH]],WWWW[[#This Row],[Total HH]],WWWW[[#This Row],['# Functional hand washing stations during reporting period]]*20)</f>
        <v>60</v>
      </c>
      <c r="DX38" s="821">
        <f>IF(WWWW[[#This Row],[Is sufficient soap available for TLS? (Yes/No)]]="yes",WWWW[[#This Row],['#_Constructed/Existing hand washing stations at TLS/CFS/THF]],0)</f>
        <v>0</v>
      </c>
      <c r="DY38" s="429">
        <f>IF(WWWW[[#This Row],['# Functional hand washing stations during reporting period]]*100&gt;WWWW[[#This Row],[Total PoP ]],WWWW[[#This Row],[Total PoP ]],WWWW[[#This Row],['# Functional hand washing stations during reporting period]]*100)</f>
        <v>300</v>
      </c>
      <c r="DZ38" s="429" t="str">
        <f>IF(OR(WWWW[[#This Row],['#_students at TLS_CFS]]="",WWWW[[#This Row],['#_students at TLS_CFS]]=0),"No","Yes")</f>
        <v>No</v>
      </c>
      <c r="EA38" s="634">
        <f>IF(WWWW[[#This Row],['#_of_affected_people_surveyed_who_report_feeling_informed_about_the_different_WASH_services_available_to_them]]="","",WWWW[[#This Row],['#_of_affected_people_surveyed_who_report_feeling_informed_about_the_different_WASH_services_available_to_them]]/WWWW[[#This Row],[Total PoP ]])</f>
        <v>0.78</v>
      </c>
      <c r="EB3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 s="817" t="str">
        <f>VLOOKUP(WWWW[[#This Row],[Site Name]],SiteDB6[[Site Name]:[CCCM Management]],6,FALSE)</f>
        <v>Yes</v>
      </c>
      <c r="EF38" s="817" t="str">
        <f>VLOOKUP(WWWW[[#This Row],[Site Name]],SiteDB6[[Site Name]:[CCCM Focal Agency]],7,FALSE)</f>
        <v>KBC-MYT</v>
      </c>
      <c r="EG38" s="817" t="str">
        <f>VLOOKUP(WWWW[[#This Row],[Site Name]],SiteDB6[[Site Name]:[Location Type 1]],9,FALSE)</f>
        <v>Camp</v>
      </c>
      <c r="EH38" s="817" t="str">
        <f>VLOOKUP(WWWW[[#This Row],[Site Name]],SiteDB6[[Site Name]:[Type of Accommodation]],10,FALSE)</f>
        <v>Camp</v>
      </c>
      <c r="EI38" s="817" t="str">
        <f>VLOOKUP(WWWW[[#This Row],[Site Name]],SiteDB6[[Site Name]:[Ethnic or GCA/NGCA]],11,FALSE)</f>
        <v>GCA</v>
      </c>
      <c r="EJ38" s="817">
        <f>VLOOKUP(WWWW[[#This Row],[Site Name]],SiteDB6[[Site Name]:[Lat]],12,FALSE)</f>
        <v>25.480989999999998</v>
      </c>
      <c r="EK38" s="817">
        <f>VLOOKUP(WWWW[[#This Row],[Site Name]],SiteDB6[[Site Name]:[Long]],13,FALSE)</f>
        <v>97.431079999999994</v>
      </c>
      <c r="EL38" s="817" t="str">
        <f>VLOOKUP(WWWW[[#This Row],[Site Name]],SiteDB6[[Site Name]:[Pcode]],3,FALSE)</f>
        <v>MMR001CMP263</v>
      </c>
      <c r="EM38" s="822" t="str">
        <f t="shared" si="0"/>
        <v>Covered</v>
      </c>
      <c r="EN38" s="822"/>
      <c r="EO38" s="817">
        <f>VLOOKUP(WWWW[[#This Row],[Site Name]],SiteDB6[[Site Name]:[Pop
(Kachin/Shan-CCCM as of July 2021)]],16,FALSE)</f>
        <v>197</v>
      </c>
      <c r="EP38" s="817">
        <f>VLOOKUP(WWWW[[#This Row],[Site Name]],SiteDB6[[Site Name]:[Pop
(Kachin/Shan-CCCM as of July 2021)]],17,FALSE)</f>
        <v>981</v>
      </c>
    </row>
    <row r="39" spans="1:146" hidden="1">
      <c r="A39" s="752" t="s">
        <v>2785</v>
      </c>
      <c r="B39" s="752" t="s">
        <v>141</v>
      </c>
      <c r="C39" s="753" t="s">
        <v>141</v>
      </c>
      <c r="D39" s="753" t="s">
        <v>241</v>
      </c>
      <c r="E39" s="753" t="s">
        <v>37</v>
      </c>
      <c r="F39" s="753" t="s">
        <v>173</v>
      </c>
      <c r="G39" s="594" t="str">
        <f>VLOOKUP(WWWW[[#This Row],[Site Name]],SiteDB6[[Site Name]:[Location Type]],8,FALSE)</f>
        <v>Camp</v>
      </c>
      <c r="H39" s="753" t="s">
        <v>174</v>
      </c>
      <c r="I39" s="755">
        <v>60</v>
      </c>
      <c r="J39" s="755">
        <v>289</v>
      </c>
      <c r="K39" s="591">
        <v>44105</v>
      </c>
      <c r="L39" s="592">
        <v>44681</v>
      </c>
      <c r="M39" s="755"/>
      <c r="N39" s="755">
        <v>2</v>
      </c>
      <c r="O39" s="755"/>
      <c r="P39" s="755"/>
      <c r="Q39" s="758" t="s">
        <v>41</v>
      </c>
      <c r="R39" s="755"/>
      <c r="S39" s="755"/>
      <c r="T39" s="449">
        <v>1</v>
      </c>
      <c r="U39" s="755"/>
      <c r="V39" s="755"/>
      <c r="W39" s="755"/>
      <c r="X39" s="755"/>
      <c r="Y39" s="755"/>
      <c r="Z39" s="755"/>
      <c r="AA39" s="755"/>
      <c r="AB39" s="755"/>
      <c r="AC39" s="755"/>
      <c r="AD39" s="755"/>
      <c r="AE39" s="755">
        <v>1</v>
      </c>
      <c r="AF39" s="755"/>
      <c r="AG39" s="755"/>
      <c r="AH39" s="755">
        <v>1</v>
      </c>
      <c r="AI39" s="755"/>
      <c r="AJ39" s="755"/>
      <c r="AK39" s="755"/>
      <c r="AL39" s="755"/>
      <c r="AM39" s="755"/>
      <c r="AN39" s="755"/>
      <c r="AO39" s="755"/>
      <c r="AP39" s="759"/>
      <c r="AQ39" s="755">
        <v>12</v>
      </c>
      <c r="AR39" s="755"/>
      <c r="AS39" s="760"/>
      <c r="AT39" s="755"/>
      <c r="AU39" s="755"/>
      <c r="AV39" s="755"/>
      <c r="AW39" s="755"/>
      <c r="AX39" s="755">
        <v>12</v>
      </c>
      <c r="AY39" s="754" t="s">
        <v>41</v>
      </c>
      <c r="AZ39" s="759" t="s">
        <v>137</v>
      </c>
      <c r="BA39" s="755"/>
      <c r="BB39" s="755"/>
      <c r="BC39" s="755"/>
      <c r="BD39" s="449"/>
      <c r="BE39" s="449"/>
      <c r="BF39" s="754"/>
      <c r="BG39" s="755">
        <v>1</v>
      </c>
      <c r="BH39" s="755"/>
      <c r="BI39" s="755"/>
      <c r="BJ39" s="755">
        <v>3</v>
      </c>
      <c r="BK39" s="755"/>
      <c r="BL39" s="755">
        <v>1</v>
      </c>
      <c r="BM39" s="755">
        <v>1</v>
      </c>
      <c r="BN39" s="755">
        <v>41</v>
      </c>
      <c r="BO39" s="755">
        <v>85</v>
      </c>
      <c r="BP39" s="754"/>
      <c r="BQ39" s="761"/>
      <c r="BR39" s="760"/>
      <c r="BS39" s="754"/>
      <c r="BT39" s="424"/>
      <c r="BU39" s="424"/>
      <c r="BV39" s="426"/>
      <c r="BW39" s="424"/>
      <c r="BX39" s="449"/>
      <c r="BY39" s="449"/>
      <c r="BZ39" s="449"/>
      <c r="CA39" s="449"/>
      <c r="CB39" s="449"/>
      <c r="CC39" s="807"/>
      <c r="CD39" s="449"/>
      <c r="CE39" s="762" t="str">
        <f>IFERROR(WWWW[[#This Row],['#_Water sources passed]]/WWWW[[#This Row],['#_Water sources tested for fecal coliform ]],"no test")</f>
        <v>no test</v>
      </c>
      <c r="CF39" s="760" t="str">
        <f>IFERROR(WWWW[[#This Row],['#_Household passed]]/WWWW[[#This Row],['#_Household water samples tested for fecal coliform]],"no test")</f>
        <v>no test</v>
      </c>
      <c r="CG39" s="761" t="str">
        <f>IF(AND(WWWW[[#This Row],[% of water sources passed]]="no test",WWWW[[#This Row],[% Household passed]]="no test"),"No Test","Tested")</f>
        <v>No Test</v>
      </c>
      <c r="CH39" s="761">
        <f>WWWW[[#This Row],['#_Constructed/existing protected hand dug well]]-WWWW[[#This Row],['#_Non-functional protected hand dug well]]</f>
        <v>1</v>
      </c>
      <c r="CI39" s="761">
        <f>(WWWW[[#This Row],['#_Constructed/Existing tube wells/boreholes/handpumps_WASH_agency]]+WWWW[[#This Row],['#_Non-Cluster partner water tube-wells/boreholes/handpumps]])-WWWW[[#This Row],['#_Non-functional tube wells/boreholes/handpumps]]</f>
        <v>0</v>
      </c>
      <c r="CJ39" s="761">
        <f>WWWW[[#This Row],['#_Constructed/Existingwater storage tank with gravity fed reticulation system]]-WWWW[[#This Row],['#_Non-functional storage tank gravity fed reticulation system]]</f>
        <v>0</v>
      </c>
      <c r="CK39" s="761">
        <f>(WWWW[[#This Row],['#_Water_Liters_supplied_by_Water boating or water trucking]]/90)/15</f>
        <v>0</v>
      </c>
      <c r="CL39" s="761">
        <f>WWWW[[#This Row],['#_Water_Liters_from_Constructed/Existing water distribution system from river or natural spring]]/90/15</f>
        <v>0</v>
      </c>
      <c r="CM39" s="425">
        <f>IF(WWWW[[#This Row],['#_of water points in TLS/CFS]]*500&gt;WWWW[[#This Row],[Total PoP ]],WWWW[[#This Row],[Total PoP ]],WWWW[[#This Row],['#_of water points in TLS/CFS]]*500)</f>
        <v>0</v>
      </c>
      <c r="CN39" s="425">
        <f>IF(WWWW[[#This Row],['#_of water points in THF]]*500&gt;WWWW[[#This Row],[Total PoP ]],WWWW[[#This Row],[Total PoP ]],WWWW[[#This Row],['#_of water points in THF]]*500)</f>
        <v>0</v>
      </c>
      <c r="CO3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0.86505190311418689</v>
      </c>
      <c r="CQ39" s="760">
        <f>IF(WWWW[[#This Row],[Location Type 1]]="Village",WWWW[[#This Row],[Access to safe drinking water for Village]],WWWW[[#This Row],[Access to safe drinking water for Camp]])</f>
        <v>1</v>
      </c>
      <c r="CR39" s="758">
        <f>WWWW[[#This Row],[%Equitable and continuous access to sufficient quantity of safe drinking water]]*WWWW[[#This Row],[Total PoP ]]</f>
        <v>289</v>
      </c>
      <c r="CS39" s="760">
        <f>IF((WWWW[[#This Row],['#_Constructed/Existing protected/fenced ponds]]*250)/WWWW[[#This Row],[Total PoP ]]&gt;1,1,(WWWW[[#This Row],['#_Constructed/Existing protected/fenced ponds]]*250)/WWWW[[#This Row],[Total PoP ]])</f>
        <v>0.86505190311418689</v>
      </c>
      <c r="CT39" s="758">
        <f>WWWW[[#This Row],[% Access to unimproved water points]]*WWWW[[#This Row],[Total PoP ]]</f>
        <v>250</v>
      </c>
      <c r="CU3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289</v>
      </c>
      <c r="CW39" s="758">
        <f>WWWW[[#This Row],[HRP1]]/500</f>
        <v>0.57799999999999996</v>
      </c>
      <c r="CX39" s="763">
        <f>1-WWWW[[#This Row],[% Equitable and continuous access to sufficient quantity of domestic water]]</f>
        <v>0</v>
      </c>
      <c r="CY39" s="758">
        <f>WWWW[[#This Row],[%equitable and continuous access to sufficient quantity of safe drinking and domestic water''s GAP]]*WWWW[[#This Row],[Total PoP ]]</f>
        <v>0</v>
      </c>
      <c r="CZ39" s="761">
        <f>IF(WWWW[[#This Row],[Total required water points]]-WWWW[[#This Row],['#Water points coverage]]&lt;0,0,WWWW[[#This Row],[Total required water points]]-WWWW[[#This Row],['#Water points coverage]])</f>
        <v>0.42200000000000004</v>
      </c>
      <c r="DA39" s="761">
        <f>ROUND(IF(WWWW[[#This Row],[Total PoP ]]&lt;500,1,WWWW[[#This Row],[Total PoP ]]/500),0)</f>
        <v>1</v>
      </c>
      <c r="DB39" s="761">
        <f>(WWWW[[#This Row],['#_Constructed latrines_by_WASHAgencies]]+WWWW[[#This Row],['#_Non Cluster partner latrines]])-WWWW[[#This Row],['#_Non-functional latrines]]</f>
        <v>12</v>
      </c>
      <c r="DC39" s="634">
        <f>WWWW[[#This Row],[HRP2]]/WWWW[[#This Row],[Total PoP ]]</f>
        <v>0.83044982698961933</v>
      </c>
      <c r="DD3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3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 s="425">
        <f>IF(WWWW[[#This Row],['# of functional latrines in THF supported by WASH partners during the reporting period2]]="",0,WWWW[[#This Row],['# of functional latrines in THF supported by WASH partners during the reporting period2]]*50)</f>
        <v>0</v>
      </c>
      <c r="DH39" s="761">
        <f>ROUND(IF(WWWW[[#This Row],[Location Type 1]]="camp",WWWW[[#This Row],[Total PoP ]]/20,IF(WWWW[[#This Row],[Location Type 1]]="Temporary Location",WWWW[[#This Row],[Total PoP ]]/50,(WWWW[[#This Row],[Total PoP ]]/6))),0)</f>
        <v>14</v>
      </c>
      <c r="DI39" s="761">
        <f>IF(WWWW[[#This Row],[Total required Latrines]]-(WWWW[[#This Row],['#_Constructed latrines_by_WASHAgencies]]+WWWW[[#This Row],['#_Non Cluster partner latrines]])&lt;0,0,WWWW[[#This Row],[Total required Latrines]]-(WWWW[[#This Row],['#_Constructed latrines_by_WASHAgencies]]+WWWW[[#This Row],['#_Non Cluster partner latrines]]))</f>
        <v>2</v>
      </c>
      <c r="DJ39" s="763">
        <f>1-WWWW[[#This Row],[% people access to functioning Latrine]]</f>
        <v>0.16955017301038067</v>
      </c>
      <c r="DK39" s="762">
        <f>IF(OR(WWWW[[#This Row],['#_Non-functional latrines]]="",WWWW[[#This Row],['#_Non-functional latrines]]=0),0,WWWW[[#This Row],['#_Non-functional latrines]]/(WWWW[[#This Row],['#_Constructed latrines_by_WASHAgencies]]+WWWW[[#This Row],['#_Non Cluster partner latrines]]))</f>
        <v>0</v>
      </c>
      <c r="DL39" s="758">
        <f>IF(500*(WWWW[[#This Row],['#_male hygiene promoters]]+WWWW[[#This Row],['#_female hygiene promoters]])&gt;WWWW[[#This Row],[Total PoP ]],WWWW[[#This Row],[Total PoP ]],500*(WWWW[[#This Row],['#_male hygiene promoters]]+WWWW[[#This Row],['#_female hygiene promoters]]))</f>
        <v>289</v>
      </c>
      <c r="DM3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39" s="761">
        <f>IF(WWWW[[#This Row],['# People with access to soap]]&gt;WWWW[[#This Row],['# People with access to Sanity Pads]],WWWW[[#This Row],['# People with access to soap]],WWWW[[#This Row],['# People with access to Sanity Pads]])</f>
        <v>205</v>
      </c>
      <c r="DP39" s="761">
        <f>IF(WWWW[[#This Row],['# people reached by regular dedicated hygiene promotion_5]]&gt;WWWW[[#This Row],['# People received regular supply of hygiene items_6]],WWWW[[#This Row],['# people reached by regular dedicated hygiene promotion_5]],WWWW[[#This Row],['# People received regular supply of hygiene items_6]])</f>
        <v>289</v>
      </c>
      <c r="DQ39" s="763">
        <f>IF(WWWW[[#This Row],[HRP3]]/WWWW[[#This Row],[Total PoP ]]&gt;1,1,WWWW[[#This Row],[HRP3]]/WWWW[[#This Row],[Total PoP ]])</f>
        <v>1</v>
      </c>
      <c r="DR39" s="762">
        <f>1-WWWW[[#This Row],[Hygiene Coverage%]]</f>
        <v>0</v>
      </c>
      <c r="DS39" s="760">
        <f>WWWW[[#This Row],['# people reached by regular dedicated hygiene promotion_5]]/WWWW[[#This Row],[Total PoP ]]</f>
        <v>1</v>
      </c>
      <c r="DT3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9" s="761">
        <f>WWWW[[#This Row],['#_Constructed/Existing hand washing stations]]-WWWW[[#This Row],['#_Non-Functional_hand_washing_stations]]</f>
        <v>1</v>
      </c>
      <c r="DW39" s="758">
        <f>IF(WWWW[[#This Row],['# Functional hand washing stations during reporting period]]*20&gt;WWWW[[#This Row],[Total HH]],WWWW[[#This Row],[Total HH]],WWWW[[#This Row],['# Functional hand washing stations during reporting period]]*20)</f>
        <v>20</v>
      </c>
      <c r="DX39" s="758">
        <f>IF(WWWW[[#This Row],[Is sufficient soap available for TLS? (Yes/No)]]="yes",WWWW[[#This Row],['#_Constructed/Existing hand washing stations at TLS/CFS/THF]],0)</f>
        <v>0</v>
      </c>
      <c r="DY39" s="429">
        <f>IF(WWWW[[#This Row],['# Functional hand washing stations during reporting period]]*100&gt;WWWW[[#This Row],[Total PoP ]],WWWW[[#This Row],[Total PoP ]],WWWW[[#This Row],['# Functional hand washing stations during reporting period]]*100)</f>
        <v>100</v>
      </c>
      <c r="DZ39" s="429" t="str">
        <f>IF(OR(WWWW[[#This Row],['#_students at TLS_CFS]]="",WWWW[[#This Row],['#_students at TLS_CFS]]=0),"No","Yes")</f>
        <v>No</v>
      </c>
      <c r="EA3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 s="754" t="str">
        <f>VLOOKUP(WWWW[[#This Row],[Site Name]],SiteDB6[[Site Name]:[CCCM Management]],6,FALSE)</f>
        <v>Yes</v>
      </c>
      <c r="EF39" s="754" t="str">
        <f>VLOOKUP(WWWW[[#This Row],[Site Name]],SiteDB6[[Site Name]:[CCCM Focal Agency]],7,FALSE)</f>
        <v>KBC-MYT</v>
      </c>
      <c r="EG39" s="754" t="str">
        <f>VLOOKUP(WWWW[[#This Row],[Site Name]],SiteDB6[[Site Name]:[Location Type 1]],9,FALSE)</f>
        <v>Camp</v>
      </c>
      <c r="EH39" s="754" t="str">
        <f>VLOOKUP(WWWW[[#This Row],[Site Name]],SiteDB6[[Site Name]:[Type of Accommodation]],10,FALSE)</f>
        <v>Closed Camp</v>
      </c>
      <c r="EI39" s="754" t="str">
        <f>VLOOKUP(WWWW[[#This Row],[Site Name]],SiteDB6[[Site Name]:[Ethnic or GCA/NGCA]],11,FALSE)</f>
        <v>GCA</v>
      </c>
      <c r="EJ39" s="754">
        <f>VLOOKUP(WWWW[[#This Row],[Site Name]],SiteDB6[[Site Name]:[Lat]],12,FALSE)</f>
        <v>27.337499999999999</v>
      </c>
      <c r="EK39" s="754">
        <f>VLOOKUP(WWWW[[#This Row],[Site Name]],SiteDB6[[Site Name]:[Long]],13,FALSE)</f>
        <v>97.416121000000004</v>
      </c>
      <c r="EL39" s="754" t="str">
        <f>VLOOKUP(WWWW[[#This Row],[Site Name]],SiteDB6[[Site Name]:[Pcode]],3,FALSE)</f>
        <v>MMR001CMP234</v>
      </c>
      <c r="EM39" s="759" t="str">
        <f t="shared" si="0"/>
        <v>Covered</v>
      </c>
      <c r="EN39" s="759"/>
      <c r="EO39" s="754">
        <f>VLOOKUP(WWWW[[#This Row],[Site Name]],SiteDB6[[Site Name]:[Pop
(Kachin/Shan-CCCM as of July 2021)]],16,FALSE)</f>
        <v>0</v>
      </c>
      <c r="EP39" s="754">
        <f>VLOOKUP(WWWW[[#This Row],[Site Name]],SiteDB6[[Site Name]:[Pop
(Kachin/Shan-CCCM as of July 2021)]],17,FALSE)</f>
        <v>0</v>
      </c>
    </row>
    <row r="40" spans="1:146" hidden="1">
      <c r="A40" s="752" t="s">
        <v>2785</v>
      </c>
      <c r="B40" s="729" t="s">
        <v>2831</v>
      </c>
      <c r="C40" s="753" t="s">
        <v>141</v>
      </c>
      <c r="D40" s="370" t="s">
        <v>2832</v>
      </c>
      <c r="E40" s="753" t="s">
        <v>37</v>
      </c>
      <c r="F40" s="753" t="s">
        <v>214</v>
      </c>
      <c r="G40" s="594" t="str">
        <f>VLOOKUP(WWWW[[#This Row],[Site Name]],SiteDB6[[Site Name]:[Location Type]],8,FALSE)</f>
        <v>Camp</v>
      </c>
      <c r="H40" s="753" t="s">
        <v>1591</v>
      </c>
      <c r="I40" s="449">
        <v>386</v>
      </c>
      <c r="J40" s="449">
        <v>1397</v>
      </c>
      <c r="K40" s="591" t="s">
        <v>2834</v>
      </c>
      <c r="L40" s="592" t="s">
        <v>2833</v>
      </c>
      <c r="M40" s="755"/>
      <c r="N40" s="755"/>
      <c r="O40" s="755"/>
      <c r="P40" s="755"/>
      <c r="Q40" s="758"/>
      <c r="R40" s="755">
        <v>19</v>
      </c>
      <c r="S40" s="755">
        <v>55</v>
      </c>
      <c r="T40" s="449">
        <v>13</v>
      </c>
      <c r="U40" s="755"/>
      <c r="V40" s="755"/>
      <c r="W40" s="755">
        <v>1</v>
      </c>
      <c r="X40" s="755"/>
      <c r="Y40" s="755"/>
      <c r="Z40" s="755"/>
      <c r="AA40" s="755"/>
      <c r="AB40" s="755"/>
      <c r="AC40" s="755"/>
      <c r="AD40" s="755"/>
      <c r="AE40" s="755"/>
      <c r="AF40" s="755"/>
      <c r="AG40" s="755">
        <v>7</v>
      </c>
      <c r="AH40" s="755"/>
      <c r="AI40" s="755"/>
      <c r="AJ40" s="755"/>
      <c r="AK40" s="755"/>
      <c r="AL40" s="755"/>
      <c r="AM40" s="755"/>
      <c r="AN40" s="755"/>
      <c r="AO40" s="755"/>
      <c r="AP40" s="759"/>
      <c r="AQ40" s="755">
        <v>5</v>
      </c>
      <c r="AR40" s="755"/>
      <c r="AS40" s="760"/>
      <c r="AT40" s="755"/>
      <c r="AU40" s="755"/>
      <c r="AV40" s="755"/>
      <c r="AW40" s="755"/>
      <c r="AX40" s="755"/>
      <c r="AY40" s="754" t="s">
        <v>41</v>
      </c>
      <c r="AZ40" s="759" t="s">
        <v>140</v>
      </c>
      <c r="BA40" s="755"/>
      <c r="BB40" s="755"/>
      <c r="BC40" s="755">
        <v>50</v>
      </c>
      <c r="BD40" s="449"/>
      <c r="BE40" s="449"/>
      <c r="BF40" s="754"/>
      <c r="BG40" s="755">
        <v>1</v>
      </c>
      <c r="BH40" s="755"/>
      <c r="BI40" s="755"/>
      <c r="BJ40" s="755">
        <v>3</v>
      </c>
      <c r="BK40" s="755"/>
      <c r="BL40" s="755"/>
      <c r="BM40" s="755"/>
      <c r="BN40" s="755">
        <v>41</v>
      </c>
      <c r="BO40" s="755">
        <v>85</v>
      </c>
      <c r="BP40" s="754"/>
      <c r="BQ40" s="761"/>
      <c r="BR40" s="760"/>
      <c r="BS40" s="754"/>
      <c r="BT40" s="424"/>
      <c r="BU40" s="424"/>
      <c r="BV40" s="426"/>
      <c r="BW40" s="424"/>
      <c r="BX40" s="449"/>
      <c r="BY40" s="449"/>
      <c r="BZ40" s="449"/>
      <c r="CA40" s="449"/>
      <c r="CB40" s="449"/>
      <c r="CC40" s="807"/>
      <c r="CD40" s="449"/>
      <c r="CE40" s="762" t="str">
        <f>IFERROR(WWWW[[#This Row],['#_Water sources passed]]/WWWW[[#This Row],['#_Water sources tested for fecal coliform ]],"no test")</f>
        <v>no test</v>
      </c>
      <c r="CF40" s="760" t="str">
        <f>IFERROR(WWWW[[#This Row],['#_Household passed]]/WWWW[[#This Row],['#_Household water samples tested for fecal coliform]],"no test")</f>
        <v>no test</v>
      </c>
      <c r="CG40" s="761" t="str">
        <f>IF(AND(WWWW[[#This Row],[% of water sources passed]]="no test",WWWW[[#This Row],[% Household passed]]="no test"),"No Test","Tested")</f>
        <v>No Test</v>
      </c>
      <c r="CH40" s="761">
        <f>WWWW[[#This Row],['#_Constructed/existing protected hand dug well]]-WWWW[[#This Row],['#_Non-functional protected hand dug well]]</f>
        <v>13</v>
      </c>
      <c r="CI40" s="761">
        <f>(WWWW[[#This Row],['#_Constructed/Existing tube wells/boreholes/handpumps_WASH_agency]]+WWWW[[#This Row],['#_Non-Cluster partner water tube-wells/boreholes/handpumps]])-WWWW[[#This Row],['#_Non-functional tube wells/boreholes/handpumps]]</f>
        <v>1</v>
      </c>
      <c r="CJ40" s="761">
        <f>WWWW[[#This Row],['#_Constructed/Existingwater storage tank with gravity fed reticulation system]]-WWWW[[#This Row],['#_Non-functional storage tank gravity fed reticulation system]]</f>
        <v>0</v>
      </c>
      <c r="CK40" s="761">
        <f>(WWWW[[#This Row],['#_Water_Liters_supplied_by_Water boating or water trucking]]/90)/15</f>
        <v>0</v>
      </c>
      <c r="CL40" s="761">
        <f>WWWW[[#This Row],['#_Water_Liters_from_Constructed/Existing water distribution system from river or natural spring]]/90/15</f>
        <v>0</v>
      </c>
      <c r="CM40" s="425">
        <f>IF(WWWW[[#This Row],['#_of water points in TLS/CFS]]*500&gt;WWWW[[#This Row],[Total PoP ]],WWWW[[#This Row],[Total PoP ]],WWWW[[#This Row],['#_of water points in TLS/CFS]]*500)</f>
        <v>0</v>
      </c>
      <c r="CN40" s="425">
        <f>IF(WWWW[[#This Row],['#_of water points in THF]]*500&gt;WWWW[[#This Row],[Total PoP ]],WWWW[[#This Row],[Total PoP ]],WWWW[[#This Row],['#_of water points in THF]]*500)</f>
        <v>0</v>
      </c>
      <c r="CO4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0" s="760">
        <f>IF(WWWW[[#This Row],[Location Type 1]]="Village",WWWW[[#This Row],[Access to safe drinking water for Village]],WWWW[[#This Row],[Access to safe drinking water for Camp]])</f>
        <v>1</v>
      </c>
      <c r="CR40" s="758">
        <f>WWWW[[#This Row],[%Equitable and continuous access to sufficient quantity of safe drinking water]]*WWWW[[#This Row],[Total PoP ]]</f>
        <v>1397</v>
      </c>
      <c r="CS40" s="760">
        <f>IF((WWWW[[#This Row],['#_Constructed/Existing protected/fenced ponds]]*250)/WWWW[[#This Row],[Total PoP ]]&gt;1,1,(WWWW[[#This Row],['#_Constructed/Existing protected/fenced ponds]]*250)/WWWW[[#This Row],[Total PoP ]])</f>
        <v>0</v>
      </c>
      <c r="CT40" s="758">
        <f>WWWW[[#This Row],[% Access to unimproved water points]]*WWWW[[#This Row],[Total PoP ]]</f>
        <v>0</v>
      </c>
      <c r="CU4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40" s="758">
        <f>WWWW[[#This Row],[HRP1]]/500</f>
        <v>2.794</v>
      </c>
      <c r="CX40" s="763">
        <f>1-WWWW[[#This Row],[% Equitable and continuous access to sufficient quantity of domestic water]]</f>
        <v>0</v>
      </c>
      <c r="CY40" s="758">
        <f>WWWW[[#This Row],[%equitable and continuous access to sufficient quantity of safe drinking and domestic water''s GAP]]*WWWW[[#This Row],[Total PoP ]]</f>
        <v>0</v>
      </c>
      <c r="CZ40" s="761">
        <f>IF(WWWW[[#This Row],[Total required water points]]-WWWW[[#This Row],['#Water points coverage]]&lt;0,0,WWWW[[#This Row],[Total required water points]]-WWWW[[#This Row],['#Water points coverage]])</f>
        <v>0.20599999999999996</v>
      </c>
      <c r="DA40" s="761">
        <f>ROUND(IF(WWWW[[#This Row],[Total PoP ]]&lt;500,1,WWWW[[#This Row],[Total PoP ]]/500),0)</f>
        <v>3</v>
      </c>
      <c r="DB40" s="761">
        <f>(WWWW[[#This Row],['#_Constructed latrines_by_WASHAgencies]]+WWWW[[#This Row],['#_Non Cluster partner latrines]])-WWWW[[#This Row],['#_Non-functional latrines]]</f>
        <v>5</v>
      </c>
      <c r="DC40" s="634">
        <f>WWWW[[#This Row],[HRP2]]/WWWW[[#This Row],[Total PoP ]]</f>
        <v>7.158196134574088E-2</v>
      </c>
      <c r="DD4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4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0" s="425">
        <f>IF(WWWW[[#This Row],['# of functional latrines in THF supported by WASH partners during the reporting period2]]="",0,WWWW[[#This Row],['# of functional latrines in THF supported by WASH partners during the reporting period2]]*50)</f>
        <v>0</v>
      </c>
      <c r="DH40" s="761">
        <f>ROUND(IF(WWWW[[#This Row],[Location Type 1]]="camp",WWWW[[#This Row],[Total PoP ]]/20,IF(WWWW[[#This Row],[Location Type 1]]="Temporary Location",WWWW[[#This Row],[Total PoP ]]/50,(WWWW[[#This Row],[Total PoP ]]/6))),0)</f>
        <v>70</v>
      </c>
      <c r="DI40" s="761">
        <f>IF(WWWW[[#This Row],[Total required Latrines]]-(WWWW[[#This Row],['#_Constructed latrines_by_WASHAgencies]]+WWWW[[#This Row],['#_Non Cluster partner latrines]])&lt;0,0,WWWW[[#This Row],[Total required Latrines]]-(WWWW[[#This Row],['#_Constructed latrines_by_WASHAgencies]]+WWWW[[#This Row],['#_Non Cluster partner latrines]]))</f>
        <v>65</v>
      </c>
      <c r="DJ40" s="763">
        <f>1-WWWW[[#This Row],[% people access to functioning Latrine]]</f>
        <v>0.92841803865425909</v>
      </c>
      <c r="DK40" s="762">
        <f>IF(OR(WWWW[[#This Row],['#_Non-functional latrines]]="",WWWW[[#This Row],['#_Non-functional latrines]]=0),0,WWWW[[#This Row],['#_Non-functional latrines]]/(WWWW[[#This Row],['#_Constructed latrines_by_WASHAgencies]]+WWWW[[#This Row],['#_Non Cluster partner latrines]]))</f>
        <v>0</v>
      </c>
      <c r="DL40" s="758">
        <f>IF(500*(WWWW[[#This Row],['#_male hygiene promoters]]+WWWW[[#This Row],['#_female hygiene promoters]])&gt;WWWW[[#This Row],[Total PoP ]],WWWW[[#This Row],[Total PoP ]],500*(WWWW[[#This Row],['#_male hygiene promoters]]+WWWW[[#This Row],['#_female hygiene promoters]]))</f>
        <v>0</v>
      </c>
      <c r="DM4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4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40" s="761">
        <f>IF(WWWW[[#This Row],['# People with access to soap]]&gt;WWWW[[#This Row],['# People with access to Sanity Pads]],WWWW[[#This Row],['# People with access to soap]],WWWW[[#This Row],['# People with access to Sanity Pads]])</f>
        <v>205</v>
      </c>
      <c r="DP40" s="761">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40" s="763">
        <f>IF(WWWW[[#This Row],[HRP3]]/WWWW[[#This Row],[Total PoP ]]&gt;1,1,WWWW[[#This Row],[HRP3]]/WWWW[[#This Row],[Total PoP ]])</f>
        <v>0.1467430207587688</v>
      </c>
      <c r="DR40" s="762">
        <f>1-WWWW[[#This Row],[Hygiene Coverage%]]</f>
        <v>0.85325697924123123</v>
      </c>
      <c r="DS40" s="760">
        <f>WWWW[[#This Row],['# people reached by regular dedicated hygiene promotion_5]]/WWWW[[#This Row],[Total PoP ]]</f>
        <v>0</v>
      </c>
      <c r="DT4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0.10621761658031088</v>
      </c>
      <c r="DU4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0.22020725388601037</v>
      </c>
      <c r="DV40" s="761">
        <f>WWWW[[#This Row],['#_Constructed/Existing hand washing stations]]-WWWW[[#This Row],['#_Non-Functional_hand_washing_stations]]</f>
        <v>1</v>
      </c>
      <c r="DW40" s="758">
        <f>IF(WWWW[[#This Row],['# Functional hand washing stations during reporting period]]*20&gt;WWWW[[#This Row],[Total HH]],WWWW[[#This Row],[Total HH]],WWWW[[#This Row],['# Functional hand washing stations during reporting period]]*20)</f>
        <v>20</v>
      </c>
      <c r="DX40" s="758">
        <f>IF(WWWW[[#This Row],[Is sufficient soap available for TLS? (Yes/No)]]="yes",WWWW[[#This Row],['#_Constructed/Existing hand washing stations at TLS/CFS/THF]],0)</f>
        <v>0</v>
      </c>
      <c r="DY40" s="429">
        <f>IF(WWWW[[#This Row],['# Functional hand washing stations during reporting period]]*100&gt;WWWW[[#This Row],[Total PoP ]],WWWW[[#This Row],[Total PoP ]],WWWW[[#This Row],['# Functional hand washing stations during reporting period]]*100)</f>
        <v>100</v>
      </c>
      <c r="DZ40" s="429" t="str">
        <f>IF(OR(WWWW[[#This Row],['#_students at TLS_CFS]]="",WWWW[[#This Row],['#_students at TLS_CFS]]=0),"No","Yes")</f>
        <v>No</v>
      </c>
      <c r="EA4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0" s="754">
        <f>VLOOKUP(WWWW[[#This Row],[Site Name]],SiteDB6[[Site Name]:[CCCM Management]],6,FALSE)</f>
        <v>0</v>
      </c>
      <c r="EF40" s="754" t="str">
        <f>VLOOKUP(WWWW[[#This Row],[Site Name]],SiteDB6[[Site Name]:[CCCM Focal Agency]],7,FALSE)</f>
        <v>uncovered</v>
      </c>
      <c r="EG40" s="754" t="str">
        <f>VLOOKUP(WWWW[[#This Row],[Site Name]],SiteDB6[[Site Name]:[Location Type 1]],9,FALSE)</f>
        <v>Camp</v>
      </c>
      <c r="EH40" s="754" t="str">
        <f>VLOOKUP(WWWW[[#This Row],[Site Name]],SiteDB6[[Site Name]:[Type of Accommodation]],10,FALSE)</f>
        <v>Camp like setting</v>
      </c>
      <c r="EI40" s="754" t="str">
        <f>VLOOKUP(WWWW[[#This Row],[Site Name]],SiteDB6[[Site Name]:[Ethnic or GCA/NGCA]],11,FALSE)</f>
        <v>NGCA</v>
      </c>
      <c r="EJ40" s="754">
        <f>VLOOKUP(WWWW[[#This Row],[Site Name]],SiteDB6[[Site Name]:[Lat]],12,FALSE)</f>
        <v>24.590350000000001</v>
      </c>
      <c r="EK40" s="754">
        <f>VLOOKUP(WWWW[[#This Row],[Site Name]],SiteDB6[[Site Name]:[Long]],13,FALSE)</f>
        <v>96.95626</v>
      </c>
      <c r="EL40" s="754" t="str">
        <f>VLOOKUP(WWWW[[#This Row],[Site Name]],SiteDB6[[Site Name]:[Pcode]],3,FALSE)</f>
        <v>MMR001CMP273</v>
      </c>
      <c r="EM40" s="759" t="str">
        <f t="shared" si="0"/>
        <v>Covered</v>
      </c>
      <c r="EN40" s="759"/>
      <c r="EO40" s="754">
        <f>VLOOKUP(WWWW[[#This Row],[Site Name]],SiteDB6[[Site Name]:[Pop
(Kachin/Shan-CCCM as of July 2021)]],16,FALSE)</f>
        <v>318</v>
      </c>
      <c r="EP40" s="754">
        <f>VLOOKUP(WWWW[[#This Row],[Site Name]],SiteDB6[[Site Name]:[Pop
(Kachin/Shan-CCCM as of July 2021)]],17,FALSE)</f>
        <v>1329</v>
      </c>
    </row>
    <row r="41" spans="1:146" hidden="1">
      <c r="A41" s="752" t="s">
        <v>2785</v>
      </c>
      <c r="B41" s="752" t="s">
        <v>2082</v>
      </c>
      <c r="C41" s="753" t="s">
        <v>141</v>
      </c>
      <c r="D41" s="753" t="s">
        <v>299</v>
      </c>
      <c r="E41" s="753" t="s">
        <v>37</v>
      </c>
      <c r="F41" s="753" t="s">
        <v>214</v>
      </c>
      <c r="G41" s="594" t="str">
        <f>VLOOKUP(WWWW[[#This Row],[Site Name]],SiteDB6[[Site Name]:[Location Type]],8,FALSE)</f>
        <v>Camp</v>
      </c>
      <c r="H41" s="753" t="s">
        <v>215</v>
      </c>
      <c r="I41" s="755">
        <v>49</v>
      </c>
      <c r="J41" s="755">
        <v>300</v>
      </c>
      <c r="K41" s="756">
        <v>44412</v>
      </c>
      <c r="L41" s="757">
        <v>44776</v>
      </c>
      <c r="M41" s="755"/>
      <c r="N41" s="818">
        <v>4</v>
      </c>
      <c r="O41" s="818"/>
      <c r="P41" s="755"/>
      <c r="Q41" s="758" t="s">
        <v>41</v>
      </c>
      <c r="R41" s="755">
        <v>2</v>
      </c>
      <c r="S41" s="755">
        <v>4</v>
      </c>
      <c r="T41" s="449"/>
      <c r="U41" s="755"/>
      <c r="V41" s="755"/>
      <c r="W41" s="755"/>
      <c r="X41" s="755">
        <v>2</v>
      </c>
      <c r="Y41" s="755"/>
      <c r="Z41" s="755"/>
      <c r="AA41" s="755"/>
      <c r="AB41" s="755"/>
      <c r="AC41" s="755"/>
      <c r="AD41" s="755"/>
      <c r="AE41" s="755"/>
      <c r="AF41" s="755"/>
      <c r="AG41" s="755"/>
      <c r="AH41" s="755"/>
      <c r="AI41" s="818">
        <v>1</v>
      </c>
      <c r="AJ41" s="818">
        <v>1</v>
      </c>
      <c r="AK41" s="818">
        <v>10</v>
      </c>
      <c r="AL41" s="818">
        <v>8</v>
      </c>
      <c r="AM41" s="755">
        <v>5</v>
      </c>
      <c r="AN41" s="755"/>
      <c r="AO41" s="755"/>
      <c r="AP41" s="759"/>
      <c r="AQ41" s="755">
        <v>13</v>
      </c>
      <c r="AR41" s="755"/>
      <c r="AS41" s="760"/>
      <c r="AT41" s="755"/>
      <c r="AU41" s="755"/>
      <c r="AV41" s="755"/>
      <c r="AW41" s="755"/>
      <c r="AX41" s="755"/>
      <c r="AY41" s="754" t="s">
        <v>41</v>
      </c>
      <c r="AZ41" s="759" t="s">
        <v>137</v>
      </c>
      <c r="BA41" s="755"/>
      <c r="BB41" s="755"/>
      <c r="BC41" s="755">
        <v>4</v>
      </c>
      <c r="BD41" s="449"/>
      <c r="BE41" s="449">
        <v>4</v>
      </c>
      <c r="BF41" s="754"/>
      <c r="BG41" s="755">
        <v>3</v>
      </c>
      <c r="BH41" s="755"/>
      <c r="BI41" s="755"/>
      <c r="BJ41" s="755">
        <v>2</v>
      </c>
      <c r="BK41" s="755"/>
      <c r="BL41" s="755"/>
      <c r="BM41" s="818">
        <v>2</v>
      </c>
      <c r="BN41" s="449">
        <v>10</v>
      </c>
      <c r="BO41" s="449">
        <v>18</v>
      </c>
      <c r="BP41" s="754"/>
      <c r="BQ41" s="761"/>
      <c r="BR41" s="760"/>
      <c r="BS41" s="754"/>
      <c r="BT41" s="424"/>
      <c r="BU41" s="424"/>
      <c r="BV41" s="426"/>
      <c r="BW41" s="424"/>
      <c r="BX41" s="449"/>
      <c r="BY41" s="449"/>
      <c r="BZ41" s="449"/>
      <c r="CA41" s="449"/>
      <c r="CB41" s="449"/>
      <c r="CC41" s="807"/>
      <c r="CD41" s="449"/>
      <c r="CE41" s="762">
        <f>IFERROR(WWWW[[#This Row],['#_Water sources passed]]/WWWW[[#This Row],['#_Water sources tested for fecal coliform ]],"no test")</f>
        <v>1</v>
      </c>
      <c r="CF41" s="760">
        <f>IFERROR(WWWW[[#This Row],['#_Household passed]]/WWWW[[#This Row],['#_Household water samples tested for fecal coliform]],"no test")</f>
        <v>0.8</v>
      </c>
      <c r="CG41" s="761" t="str">
        <f>IF(AND(WWWW[[#This Row],[% of water sources passed]]="no test",WWWW[[#This Row],[% Household passed]]="no test"),"No Test","Tested")</f>
        <v>Tested</v>
      </c>
      <c r="CH41" s="761">
        <f>WWWW[[#This Row],['#_Constructed/existing protected hand dug well]]-WWWW[[#This Row],['#_Non-functional protected hand dug well]]</f>
        <v>0</v>
      </c>
      <c r="CI41" s="761">
        <f>(WWWW[[#This Row],['#_Constructed/Existing tube wells/boreholes/handpumps_WASH_agency]]+WWWW[[#This Row],['#_Non-Cluster partner water tube-wells/boreholes/handpumps]])-WWWW[[#This Row],['#_Non-functional tube wells/boreholes/handpumps]]</f>
        <v>2</v>
      </c>
      <c r="CJ41" s="761">
        <f>WWWW[[#This Row],['#_Constructed/Existingwater storage tank with gravity fed reticulation system]]-WWWW[[#This Row],['#_Non-functional storage tank gravity fed reticulation system]]</f>
        <v>0</v>
      </c>
      <c r="CK41" s="761">
        <f>(WWWW[[#This Row],['#_Water_Liters_supplied_by_Water boating or water trucking]]/90)/15</f>
        <v>0</v>
      </c>
      <c r="CL41" s="761">
        <f>WWWW[[#This Row],['#_Water_Liters_from_Constructed/Existing water distribution system from river or natural spring]]/90/15</f>
        <v>0</v>
      </c>
      <c r="CM41" s="425">
        <f>IF(WWWW[[#This Row],['#_of water points in TLS/CFS]]*500&gt;WWWW[[#This Row],[Total PoP ]],WWWW[[#This Row],[Total PoP ]],WWWW[[#This Row],['#_of water points in TLS/CFS]]*500)</f>
        <v>0</v>
      </c>
      <c r="CN41" s="425">
        <f>IF(WWWW[[#This Row],['#_of water points in THF]]*500&gt;WWWW[[#This Row],[Total PoP ]],WWWW[[#This Row],[Total PoP ]],WWWW[[#This Row],['#_of water points in THF]]*500)</f>
        <v>0</v>
      </c>
      <c r="CO4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1" s="760">
        <f>IF(WWWW[[#This Row],[Location Type 1]]="Village",WWWW[[#This Row],[Access to safe drinking water for Village]],WWWW[[#This Row],[Access to safe drinking water for Camp]])</f>
        <v>1</v>
      </c>
      <c r="CR41" s="758">
        <f>WWWW[[#This Row],[%Equitable and continuous access to sufficient quantity of safe drinking water]]*WWWW[[#This Row],[Total PoP ]]</f>
        <v>300</v>
      </c>
      <c r="CS41" s="760">
        <f>IF((WWWW[[#This Row],['#_Constructed/Existing protected/fenced ponds]]*250)/WWWW[[#This Row],[Total PoP ]]&gt;1,1,(WWWW[[#This Row],['#_Constructed/Existing protected/fenced ponds]]*250)/WWWW[[#This Row],[Total PoP ]])</f>
        <v>0</v>
      </c>
      <c r="CT41" s="758">
        <f>WWWW[[#This Row],[% Access to unimproved water points]]*WWWW[[#This Row],[Total PoP ]]</f>
        <v>0</v>
      </c>
      <c r="CU4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41" s="758">
        <f>WWWW[[#This Row],[HRP1]]/500</f>
        <v>0.6</v>
      </c>
      <c r="CX41" s="763">
        <f>1-WWWW[[#This Row],[% Equitable and continuous access to sufficient quantity of domestic water]]</f>
        <v>0</v>
      </c>
      <c r="CY41" s="758">
        <f>WWWW[[#This Row],[%equitable and continuous access to sufficient quantity of safe drinking and domestic water''s GAP]]*WWWW[[#This Row],[Total PoP ]]</f>
        <v>0</v>
      </c>
      <c r="CZ41" s="761">
        <f>IF(WWWW[[#This Row],[Total required water points]]-WWWW[[#This Row],['#Water points coverage]]&lt;0,0,WWWW[[#This Row],[Total required water points]]-WWWW[[#This Row],['#Water points coverage]])</f>
        <v>0.4</v>
      </c>
      <c r="DA41" s="761">
        <f>ROUND(IF(WWWW[[#This Row],[Total PoP ]]&lt;500,1,WWWW[[#This Row],[Total PoP ]]/500),0)</f>
        <v>1</v>
      </c>
      <c r="DB41" s="761">
        <f>(WWWW[[#This Row],['#_Constructed latrines_by_WASHAgencies]]+WWWW[[#This Row],['#_Non Cluster partner latrines]])-WWWW[[#This Row],['#_Non-functional latrines]]</f>
        <v>13</v>
      </c>
      <c r="DC41" s="634">
        <f>WWWW[[#This Row],[HRP2]]/WWWW[[#This Row],[Total PoP ]]</f>
        <v>0.88</v>
      </c>
      <c r="DD4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4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1" s="425">
        <f>IF(WWWW[[#This Row],['# of functional latrines in THF supported by WASH partners during the reporting period2]]="",0,WWWW[[#This Row],['# of functional latrines in THF supported by WASH partners during the reporting period2]]*50)</f>
        <v>0</v>
      </c>
      <c r="DH41" s="761">
        <f>ROUND(IF(WWWW[[#This Row],[Location Type 1]]="camp",WWWW[[#This Row],[Total PoP ]]/20,IF(WWWW[[#This Row],[Location Type 1]]="Temporary Location",WWWW[[#This Row],[Total PoP ]]/50,(WWWW[[#This Row],[Total PoP ]]/6))),0)</f>
        <v>15</v>
      </c>
      <c r="DI41" s="761">
        <f>IF(WWWW[[#This Row],[Total required Latrines]]-(WWWW[[#This Row],['#_Constructed latrines_by_WASHAgencies]]+WWWW[[#This Row],['#_Non Cluster partner latrines]])&lt;0,0,WWWW[[#This Row],[Total required Latrines]]-(WWWW[[#This Row],['#_Constructed latrines_by_WASHAgencies]]+WWWW[[#This Row],['#_Non Cluster partner latrines]]))</f>
        <v>2</v>
      </c>
      <c r="DJ41" s="763">
        <f>1-WWWW[[#This Row],[% people access to functioning Latrine]]</f>
        <v>0.12</v>
      </c>
      <c r="DK41" s="762">
        <f>IF(OR(WWWW[[#This Row],['#_Non-functional latrines]]="",WWWW[[#This Row],['#_Non-functional latrines]]=0),0,WWWW[[#This Row],['#_Non-functional latrines]]/(WWWW[[#This Row],['#_Constructed latrines_by_WASHAgencies]]+WWWW[[#This Row],['#_Non Cluster partner latrines]]))</f>
        <v>0</v>
      </c>
      <c r="DL41" s="758">
        <f>IF(500*(WWWW[[#This Row],['#_male hygiene promoters]]+WWWW[[#This Row],['#_female hygiene promoters]])&gt;WWWW[[#This Row],[Total PoP ]],WWWW[[#This Row],[Total PoP ]],500*(WWWW[[#This Row],['#_male hygiene promoters]]+WWWW[[#This Row],['#_female hygiene promoters]]))</f>
        <v>300</v>
      </c>
      <c r="DM4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4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41" s="761">
        <f>IF(WWWW[[#This Row],['# People with access to soap]]&gt;WWWW[[#This Row],['# People with access to Sanity Pads]],WWWW[[#This Row],['# People with access to soap]],WWWW[[#This Row],['# People with access to Sanity Pads]])</f>
        <v>50</v>
      </c>
      <c r="DP41" s="761">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41" s="763">
        <f>IF(WWWW[[#This Row],[HRP3]]/WWWW[[#This Row],[Total PoP ]]&gt;1,1,WWWW[[#This Row],[HRP3]]/WWWW[[#This Row],[Total PoP ]])</f>
        <v>1</v>
      </c>
      <c r="DR41" s="762">
        <f>1-WWWW[[#This Row],[Hygiene Coverage%]]</f>
        <v>0</v>
      </c>
      <c r="DS41" s="760">
        <f>WWWW[[#This Row],['# people reached by regular dedicated hygiene promotion_5]]/WWWW[[#This Row],[Total PoP ]]</f>
        <v>1</v>
      </c>
      <c r="DT4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0.81632653061224492</v>
      </c>
      <c r="DU4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0.36734693877551022</v>
      </c>
      <c r="DV41" s="761">
        <f>WWWW[[#This Row],['#_Constructed/Existing hand washing stations]]-WWWW[[#This Row],['#_Non-Functional_hand_washing_stations]]</f>
        <v>3</v>
      </c>
      <c r="DW41" s="758">
        <f>IF(WWWW[[#This Row],['# Functional hand washing stations during reporting period]]*20&gt;WWWW[[#This Row],[Total HH]],WWWW[[#This Row],[Total HH]],WWWW[[#This Row],['# Functional hand washing stations during reporting period]]*20)</f>
        <v>49</v>
      </c>
      <c r="DX41" s="758">
        <f>IF(WWWW[[#This Row],[Is sufficient soap available for TLS? (Yes/No)]]="yes",WWWW[[#This Row],['#_Constructed/Existing hand washing stations at TLS/CFS/THF]],0)</f>
        <v>0</v>
      </c>
      <c r="DY41" s="429">
        <f>IF(WWWW[[#This Row],['# Functional hand washing stations during reporting period]]*100&gt;WWWW[[#This Row],[Total PoP ]],WWWW[[#This Row],[Total PoP ]],WWWW[[#This Row],['# Functional hand washing stations during reporting period]]*100)</f>
        <v>300</v>
      </c>
      <c r="DZ41" s="429" t="str">
        <f>IF(OR(WWWW[[#This Row],['#_students at TLS_CFS]]="",WWWW[[#This Row],['#_students at TLS_CFS]]=0),"No","Yes")</f>
        <v>No</v>
      </c>
      <c r="EA4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1" s="754" t="str">
        <f>VLOOKUP(WWWW[[#This Row],[Site Name]],SiteDB6[[Site Name]:[CCCM Management]],6,FALSE)</f>
        <v>Yes</v>
      </c>
      <c r="EF41" s="754" t="str">
        <f>VLOOKUP(WWWW[[#This Row],[Site Name]],SiteDB6[[Site Name]:[CCCM Focal Agency]],7,FALSE)</f>
        <v>KBC-BMO</v>
      </c>
      <c r="EG41" s="754" t="str">
        <f>VLOOKUP(WWWW[[#This Row],[Site Name]],SiteDB6[[Site Name]:[Location Type 1]],9,FALSE)</f>
        <v>Camp</v>
      </c>
      <c r="EH41" s="754" t="str">
        <f>VLOOKUP(WWWW[[#This Row],[Site Name]],SiteDB6[[Site Name]:[Type of Accommodation]],10,FALSE)</f>
        <v>Camp</v>
      </c>
      <c r="EI41" s="754" t="str">
        <f>VLOOKUP(WWWW[[#This Row],[Site Name]],SiteDB6[[Site Name]:[Ethnic or GCA/NGCA]],11,FALSE)</f>
        <v>GCA</v>
      </c>
      <c r="EJ41" s="754">
        <f>VLOOKUP(WWWW[[#This Row],[Site Name]],SiteDB6[[Site Name]:[Lat]],12,FALSE)</f>
        <v>24.200361000000001</v>
      </c>
      <c r="EK41" s="754">
        <f>VLOOKUP(WWWW[[#This Row],[Site Name]],SiteDB6[[Site Name]:[Long]],13,FALSE)</f>
        <v>96.807353000000006</v>
      </c>
      <c r="EL41" s="754" t="str">
        <f>VLOOKUP(WWWW[[#This Row],[Site Name]],SiteDB6[[Site Name]:[Pcode]],3,FALSE)</f>
        <v>MMR001CMP067</v>
      </c>
      <c r="EM41" s="759" t="str">
        <f t="shared" si="0"/>
        <v>Covered</v>
      </c>
      <c r="EN41" s="759"/>
      <c r="EO41" s="754">
        <f>VLOOKUP(WWWW[[#This Row],[Site Name]],SiteDB6[[Site Name]:[Pop
(Kachin/Shan-CCCM as of July 2021)]],16,FALSE)</f>
        <v>46</v>
      </c>
      <c r="EP41" s="754">
        <f>VLOOKUP(WWWW[[#This Row],[Site Name]],SiteDB6[[Site Name]:[Pop
(Kachin/Shan-CCCM as of July 2021)]],17,FALSE)</f>
        <v>263</v>
      </c>
    </row>
    <row r="42" spans="1:146" hidden="1">
      <c r="A42" s="752" t="s">
        <v>2785</v>
      </c>
      <c r="B42" s="752" t="s">
        <v>141</v>
      </c>
      <c r="C42" s="753" t="s">
        <v>141</v>
      </c>
      <c r="D42" s="753" t="s">
        <v>241</v>
      </c>
      <c r="E42" s="753" t="s">
        <v>37</v>
      </c>
      <c r="F42" s="753" t="s">
        <v>184</v>
      </c>
      <c r="G42" s="594" t="str">
        <f>VLOOKUP(WWWW[[#This Row],[Site Name]],SiteDB6[[Site Name]:[Location Type]],8,FALSE)</f>
        <v>Camp</v>
      </c>
      <c r="H42" s="753" t="s">
        <v>185</v>
      </c>
      <c r="I42" s="755">
        <v>127</v>
      </c>
      <c r="J42" s="755">
        <v>547</v>
      </c>
      <c r="K42" s="591">
        <v>44105</v>
      </c>
      <c r="L42" s="592">
        <v>44681</v>
      </c>
      <c r="M42" s="755"/>
      <c r="N42" s="755">
        <v>2</v>
      </c>
      <c r="O42" s="755"/>
      <c r="P42" s="755"/>
      <c r="Q42" s="758" t="s">
        <v>41</v>
      </c>
      <c r="R42" s="755"/>
      <c r="S42" s="755"/>
      <c r="T42" s="449">
        <v>0</v>
      </c>
      <c r="U42" s="755"/>
      <c r="V42" s="755"/>
      <c r="W42" s="755">
        <v>0</v>
      </c>
      <c r="X42" s="755"/>
      <c r="Y42" s="755"/>
      <c r="Z42" s="755"/>
      <c r="AA42" s="755"/>
      <c r="AB42" s="755"/>
      <c r="AC42" s="755"/>
      <c r="AD42" s="755"/>
      <c r="AE42" s="755"/>
      <c r="AF42" s="755"/>
      <c r="AG42" s="755"/>
      <c r="AH42" s="755">
        <v>0</v>
      </c>
      <c r="AI42" s="755"/>
      <c r="AJ42" s="755"/>
      <c r="AK42" s="755"/>
      <c r="AL42" s="755"/>
      <c r="AM42" s="755"/>
      <c r="AN42" s="755"/>
      <c r="AO42" s="755"/>
      <c r="AP42" s="759"/>
      <c r="AQ42" s="755">
        <v>90</v>
      </c>
      <c r="AR42" s="755"/>
      <c r="AS42" s="760"/>
      <c r="AT42" s="755"/>
      <c r="AU42" s="755"/>
      <c r="AV42" s="755"/>
      <c r="AW42" s="755"/>
      <c r="AX42" s="755">
        <v>90</v>
      </c>
      <c r="AY42" s="754" t="s">
        <v>41</v>
      </c>
      <c r="AZ42" s="759" t="s">
        <v>137</v>
      </c>
      <c r="BA42" s="755"/>
      <c r="BB42" s="755"/>
      <c r="BC42" s="755"/>
      <c r="BD42" s="449"/>
      <c r="BE42" s="449"/>
      <c r="BF42" s="754"/>
      <c r="BG42" s="755">
        <v>3</v>
      </c>
      <c r="BH42" s="755"/>
      <c r="BI42" s="755"/>
      <c r="BJ42" s="755">
        <v>2</v>
      </c>
      <c r="BK42" s="755"/>
      <c r="BL42" s="755">
        <v>1</v>
      </c>
      <c r="BM42" s="755">
        <v>1</v>
      </c>
      <c r="BN42" s="755">
        <v>10</v>
      </c>
      <c r="BO42" s="755">
        <v>18</v>
      </c>
      <c r="BP42" s="754"/>
      <c r="BQ42" s="761"/>
      <c r="BR42" s="760"/>
      <c r="BS42" s="754"/>
      <c r="BT42" s="424"/>
      <c r="BU42" s="424"/>
      <c r="BV42" s="426"/>
      <c r="BW42" s="424"/>
      <c r="BX42" s="449"/>
      <c r="BY42" s="449"/>
      <c r="BZ42" s="449"/>
      <c r="CA42" s="449"/>
      <c r="CB42" s="449"/>
      <c r="CC42" s="807"/>
      <c r="CD42" s="449"/>
      <c r="CE42" s="762" t="str">
        <f>IFERROR(WWWW[[#This Row],['#_Water sources passed]]/WWWW[[#This Row],['#_Water sources tested for fecal coliform ]],"no test")</f>
        <v>no test</v>
      </c>
      <c r="CF42" s="760" t="str">
        <f>IFERROR(WWWW[[#This Row],['#_Household passed]]/WWWW[[#This Row],['#_Household water samples tested for fecal coliform]],"no test")</f>
        <v>no test</v>
      </c>
      <c r="CG42" s="761" t="str">
        <f>IF(AND(WWWW[[#This Row],[% of water sources passed]]="no test",WWWW[[#This Row],[% Household passed]]="no test"),"No Test","Tested")</f>
        <v>No Test</v>
      </c>
      <c r="CH42" s="761">
        <f>WWWW[[#This Row],['#_Constructed/existing protected hand dug well]]-WWWW[[#This Row],['#_Non-functional protected hand dug well]]</f>
        <v>0</v>
      </c>
      <c r="CI42" s="761">
        <f>(WWWW[[#This Row],['#_Constructed/Existing tube wells/boreholes/handpumps_WASH_agency]]+WWWW[[#This Row],['#_Non-Cluster partner water tube-wells/boreholes/handpumps]])-WWWW[[#This Row],['#_Non-functional tube wells/boreholes/handpumps]]</f>
        <v>0</v>
      </c>
      <c r="CJ42" s="761">
        <f>WWWW[[#This Row],['#_Constructed/Existingwater storage tank with gravity fed reticulation system]]-WWWW[[#This Row],['#_Non-functional storage tank gravity fed reticulation system]]</f>
        <v>0</v>
      </c>
      <c r="CK42" s="761">
        <f>(WWWW[[#This Row],['#_Water_Liters_supplied_by_Water boating or water trucking]]/90)/15</f>
        <v>0</v>
      </c>
      <c r="CL42" s="761">
        <f>WWWW[[#This Row],['#_Water_Liters_from_Constructed/Existing water distribution system from river or natural spring]]/90/15</f>
        <v>0</v>
      </c>
      <c r="CM42" s="425">
        <f>IF(WWWW[[#This Row],['#_of water points in TLS/CFS]]*500&gt;WWWW[[#This Row],[Total PoP ]],WWWW[[#This Row],[Total PoP ]],WWWW[[#This Row],['#_of water points in TLS/CFS]]*500)</f>
        <v>0</v>
      </c>
      <c r="CN42" s="425">
        <f>IF(WWWW[[#This Row],['#_of water points in THF]]*500&gt;WWWW[[#This Row],[Total PoP ]],WWWW[[#This Row],[Total PoP ]],WWWW[[#This Row],['#_of water points in THF]]*500)</f>
        <v>0</v>
      </c>
      <c r="CO4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2" s="760">
        <f>IF(WWWW[[#This Row],[Location Type 1]]="Village",WWWW[[#This Row],[Access to safe drinking water for Village]],WWWW[[#This Row],[Access to safe drinking water for Camp]])</f>
        <v>0</v>
      </c>
      <c r="CR42" s="758">
        <f>WWWW[[#This Row],[%Equitable and continuous access to sufficient quantity of safe drinking water]]*WWWW[[#This Row],[Total PoP ]]</f>
        <v>0</v>
      </c>
      <c r="CS42" s="760">
        <f>IF((WWWW[[#This Row],['#_Constructed/Existing protected/fenced ponds]]*250)/WWWW[[#This Row],[Total PoP ]]&gt;1,1,(WWWW[[#This Row],['#_Constructed/Existing protected/fenced ponds]]*250)/WWWW[[#This Row],[Total PoP ]])</f>
        <v>0</v>
      </c>
      <c r="CT42" s="758">
        <f>WWWW[[#This Row],[% Access to unimproved water points]]*WWWW[[#This Row],[Total PoP ]]</f>
        <v>0</v>
      </c>
      <c r="CU4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2" s="758">
        <f>WWWW[[#This Row],[HRP1]]/500</f>
        <v>0</v>
      </c>
      <c r="CX42" s="763">
        <f>1-WWWW[[#This Row],[% Equitable and continuous access to sufficient quantity of domestic water]]</f>
        <v>1</v>
      </c>
      <c r="CY42" s="758">
        <f>WWWW[[#This Row],[%equitable and continuous access to sufficient quantity of safe drinking and domestic water''s GAP]]*WWWW[[#This Row],[Total PoP ]]</f>
        <v>547</v>
      </c>
      <c r="CZ42" s="761">
        <f>IF(WWWW[[#This Row],[Total required water points]]-WWWW[[#This Row],['#Water points coverage]]&lt;0,0,WWWW[[#This Row],[Total required water points]]-WWWW[[#This Row],['#Water points coverage]])</f>
        <v>1</v>
      </c>
      <c r="DA42" s="761">
        <f>ROUND(IF(WWWW[[#This Row],[Total PoP ]]&lt;500,1,WWWW[[#This Row],[Total PoP ]]/500),0)</f>
        <v>1</v>
      </c>
      <c r="DB42" s="761">
        <f>(WWWW[[#This Row],['#_Constructed latrines_by_WASHAgencies]]+WWWW[[#This Row],['#_Non Cluster partner latrines]])-WWWW[[#This Row],['#_Non-functional latrines]]</f>
        <v>90</v>
      </c>
      <c r="DC42" s="634">
        <f>WWWW[[#This Row],[HRP2]]/WWWW[[#This Row],[Total PoP ]]</f>
        <v>1</v>
      </c>
      <c r="DD4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547</v>
      </c>
      <c r="DE4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2" s="425">
        <f>IF(WWWW[[#This Row],['# of functional latrines in THF supported by WASH partners during the reporting period2]]="",0,WWWW[[#This Row],['# of functional latrines in THF supported by WASH partners during the reporting period2]]*50)</f>
        <v>0</v>
      </c>
      <c r="DH42" s="761">
        <f>ROUND(IF(WWWW[[#This Row],[Location Type 1]]="camp",WWWW[[#This Row],[Total PoP ]]/20,IF(WWWW[[#This Row],[Location Type 1]]="Temporary Location",WWWW[[#This Row],[Total PoP ]]/50,(WWWW[[#This Row],[Total PoP ]]/6))),0)</f>
        <v>27</v>
      </c>
      <c r="DI42" s="761">
        <f>IF(WWWW[[#This Row],[Total required Latrines]]-(WWWW[[#This Row],['#_Constructed latrines_by_WASHAgencies]]+WWWW[[#This Row],['#_Non Cluster partner latrines]])&lt;0,0,WWWW[[#This Row],[Total required Latrines]]-(WWWW[[#This Row],['#_Constructed latrines_by_WASHAgencies]]+WWWW[[#This Row],['#_Non Cluster partner latrines]]))</f>
        <v>0</v>
      </c>
      <c r="DJ42" s="763">
        <f>1-WWWW[[#This Row],[% people access to functioning Latrine]]</f>
        <v>0</v>
      </c>
      <c r="DK42" s="762">
        <f>IF(OR(WWWW[[#This Row],['#_Non-functional latrines]]="",WWWW[[#This Row],['#_Non-functional latrines]]=0),0,WWWW[[#This Row],['#_Non-functional latrines]]/(WWWW[[#This Row],['#_Constructed latrines_by_WASHAgencies]]+WWWW[[#This Row],['#_Non Cluster partner latrines]]))</f>
        <v>0</v>
      </c>
      <c r="DL42" s="758">
        <f>IF(500*(WWWW[[#This Row],['#_male hygiene promoters]]+WWWW[[#This Row],['#_female hygiene promoters]])&gt;WWWW[[#This Row],[Total PoP ]],WWWW[[#This Row],[Total PoP ]],500*(WWWW[[#This Row],['#_male hygiene promoters]]+WWWW[[#This Row],['#_female hygiene promoters]]))</f>
        <v>547</v>
      </c>
      <c r="DM4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4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42" s="761">
        <f>IF(WWWW[[#This Row],['# People with access to soap]]&gt;WWWW[[#This Row],['# People with access to Sanity Pads]],WWWW[[#This Row],['# People with access to soap]],WWWW[[#This Row],['# People with access to Sanity Pads]])</f>
        <v>50</v>
      </c>
      <c r="DP42" s="761">
        <f>IF(WWWW[[#This Row],['# people reached by regular dedicated hygiene promotion_5]]&gt;WWWW[[#This Row],['# People received regular supply of hygiene items_6]],WWWW[[#This Row],['# people reached by regular dedicated hygiene promotion_5]],WWWW[[#This Row],['# People received regular supply of hygiene items_6]])</f>
        <v>547</v>
      </c>
      <c r="DQ42" s="763">
        <f>IF(WWWW[[#This Row],[HRP3]]/WWWW[[#This Row],[Total PoP ]]&gt;1,1,WWWW[[#This Row],[HRP3]]/WWWW[[#This Row],[Total PoP ]])</f>
        <v>1</v>
      </c>
      <c r="DR42" s="762">
        <f>1-WWWW[[#This Row],[Hygiene Coverage%]]</f>
        <v>0</v>
      </c>
      <c r="DS42" s="760">
        <f>WWWW[[#This Row],['# people reached by regular dedicated hygiene promotion_5]]/WWWW[[#This Row],[Total PoP ]]</f>
        <v>1</v>
      </c>
      <c r="DT4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7.874015748031496E-2</v>
      </c>
      <c r="DU4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0.14173228346456693</v>
      </c>
      <c r="DV42" s="761">
        <f>WWWW[[#This Row],['#_Constructed/Existing hand washing stations]]-WWWW[[#This Row],['#_Non-Functional_hand_washing_stations]]</f>
        <v>3</v>
      </c>
      <c r="DW42" s="758">
        <f>IF(WWWW[[#This Row],['# Functional hand washing stations during reporting period]]*20&gt;WWWW[[#This Row],[Total HH]],WWWW[[#This Row],[Total HH]],WWWW[[#This Row],['# Functional hand washing stations during reporting period]]*20)</f>
        <v>60</v>
      </c>
      <c r="DX42" s="758">
        <f>IF(WWWW[[#This Row],[Is sufficient soap available for TLS? (Yes/No)]]="yes",WWWW[[#This Row],['#_Constructed/Existing hand washing stations at TLS/CFS/THF]],0)</f>
        <v>0</v>
      </c>
      <c r="DY42" s="429">
        <f>IF(WWWW[[#This Row],['# Functional hand washing stations during reporting period]]*100&gt;WWWW[[#This Row],[Total PoP ]],WWWW[[#This Row],[Total PoP ]],WWWW[[#This Row],['# Functional hand washing stations during reporting period]]*100)</f>
        <v>300</v>
      </c>
      <c r="DZ42" s="429" t="str">
        <f>IF(OR(WWWW[[#This Row],['#_students at TLS_CFS]]="",WWWW[[#This Row],['#_students at TLS_CFS]]=0),"No","Yes")</f>
        <v>No</v>
      </c>
      <c r="EA4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2" s="754" t="str">
        <f>VLOOKUP(WWWW[[#This Row],[Site Name]],SiteDB6[[Site Name]:[CCCM Management]],6,FALSE)</f>
        <v>Yes</v>
      </c>
      <c r="EF42" s="754" t="str">
        <f>VLOOKUP(WWWW[[#This Row],[Site Name]],SiteDB6[[Site Name]:[CCCM Focal Agency]],7,FALSE)</f>
        <v>KBC-MYT</v>
      </c>
      <c r="EG42" s="754" t="str">
        <f>VLOOKUP(WWWW[[#This Row],[Site Name]],SiteDB6[[Site Name]:[Location Type 1]],9,FALSE)</f>
        <v>Camp</v>
      </c>
      <c r="EH42" s="754" t="str">
        <f>VLOOKUP(WWWW[[#This Row],[Site Name]],SiteDB6[[Site Name]:[Type of Accommodation]],10,FALSE)</f>
        <v>Camp</v>
      </c>
      <c r="EI42" s="754" t="str">
        <f>VLOOKUP(WWWW[[#This Row],[Site Name]],SiteDB6[[Site Name]:[Ethnic or GCA/NGCA]],11,FALSE)</f>
        <v>NGCA</v>
      </c>
      <c r="EJ42" s="754">
        <f>VLOOKUP(WWWW[[#This Row],[Site Name]],SiteDB6[[Site Name]:[Lat]],12,FALSE)</f>
        <v>26.569633</v>
      </c>
      <c r="EK42" s="754">
        <f>VLOOKUP(WWWW[[#This Row],[Site Name]],SiteDB6[[Site Name]:[Long]],13,FALSE)</f>
        <v>97.745480999999998</v>
      </c>
      <c r="EL42" s="754" t="str">
        <f>VLOOKUP(WWWW[[#This Row],[Site Name]],SiteDB6[[Site Name]:[Pcode]],3,FALSE)</f>
        <v>MMR001CMP238</v>
      </c>
      <c r="EM42" s="759" t="str">
        <f t="shared" si="0"/>
        <v>Covered</v>
      </c>
      <c r="EN42" s="759"/>
      <c r="EO42" s="754">
        <f>VLOOKUP(WWWW[[#This Row],[Site Name]],SiteDB6[[Site Name]:[Pop
(Kachin/Shan-CCCM as of July 2021)]],16,FALSE)</f>
        <v>123</v>
      </c>
      <c r="EP42" s="754">
        <f>VLOOKUP(WWWW[[#This Row],[Site Name]],SiteDB6[[Site Name]:[Pop
(Kachin/Shan-CCCM as of July 2021)]],17,FALSE)</f>
        <v>646</v>
      </c>
    </row>
    <row r="43" spans="1:146" hidden="1">
      <c r="A43" s="752" t="s">
        <v>2785</v>
      </c>
      <c r="B43" s="752" t="s">
        <v>141</v>
      </c>
      <c r="C43" s="753" t="s">
        <v>141</v>
      </c>
      <c r="D43" s="753" t="s">
        <v>241</v>
      </c>
      <c r="E43" s="753" t="s">
        <v>37</v>
      </c>
      <c r="F43" s="753" t="s">
        <v>184</v>
      </c>
      <c r="G43" s="594" t="str">
        <f>VLOOKUP(WWWW[[#This Row],[Site Name]],SiteDB6[[Site Name]:[Location Type]],8,FALSE)</f>
        <v>Camp</v>
      </c>
      <c r="H43" s="753" t="s">
        <v>187</v>
      </c>
      <c r="I43" s="755">
        <v>63</v>
      </c>
      <c r="J43" s="755">
        <v>325</v>
      </c>
      <c r="K43" s="591">
        <v>44105</v>
      </c>
      <c r="L43" s="592">
        <v>44681</v>
      </c>
      <c r="M43" s="755"/>
      <c r="N43" s="755">
        <v>2</v>
      </c>
      <c r="O43" s="755"/>
      <c r="P43" s="755"/>
      <c r="Q43" s="758" t="s">
        <v>41</v>
      </c>
      <c r="R43" s="755"/>
      <c r="S43" s="755"/>
      <c r="T43" s="449">
        <v>0</v>
      </c>
      <c r="U43" s="755"/>
      <c r="V43" s="755"/>
      <c r="W43" s="755">
        <v>0</v>
      </c>
      <c r="X43" s="755"/>
      <c r="Y43" s="755"/>
      <c r="Z43" s="755"/>
      <c r="AA43" s="755"/>
      <c r="AB43" s="755"/>
      <c r="AC43" s="755"/>
      <c r="AD43" s="755"/>
      <c r="AE43" s="755"/>
      <c r="AF43" s="755"/>
      <c r="AG43" s="755"/>
      <c r="AH43" s="755">
        <v>0</v>
      </c>
      <c r="AI43" s="755"/>
      <c r="AJ43" s="755"/>
      <c r="AK43" s="755"/>
      <c r="AL43" s="755"/>
      <c r="AM43" s="755"/>
      <c r="AN43" s="755"/>
      <c r="AO43" s="755"/>
      <c r="AP43" s="759"/>
      <c r="AQ43" s="755">
        <v>65</v>
      </c>
      <c r="AR43" s="755"/>
      <c r="AS43" s="760"/>
      <c r="AT43" s="755"/>
      <c r="AU43" s="755"/>
      <c r="AV43" s="755"/>
      <c r="AW43" s="755"/>
      <c r="AX43" s="755">
        <v>65</v>
      </c>
      <c r="AY43" s="754" t="s">
        <v>41</v>
      </c>
      <c r="AZ43" s="759" t="s">
        <v>137</v>
      </c>
      <c r="BA43" s="755"/>
      <c r="BB43" s="755"/>
      <c r="BC43" s="755"/>
      <c r="BD43" s="449"/>
      <c r="BE43" s="449"/>
      <c r="BF43" s="754"/>
      <c r="BG43" s="755">
        <v>1</v>
      </c>
      <c r="BH43" s="755"/>
      <c r="BI43" s="755"/>
      <c r="BJ43" s="755">
        <v>1</v>
      </c>
      <c r="BK43" s="755"/>
      <c r="BL43" s="755">
        <v>1</v>
      </c>
      <c r="BM43" s="755">
        <v>1</v>
      </c>
      <c r="BN43" s="755">
        <v>6</v>
      </c>
      <c r="BO43" s="755">
        <v>5</v>
      </c>
      <c r="BP43" s="754"/>
      <c r="BQ43" s="761"/>
      <c r="BR43" s="760"/>
      <c r="BS43" s="754"/>
      <c r="BT43" s="424"/>
      <c r="BU43" s="424"/>
      <c r="BV43" s="426"/>
      <c r="BW43" s="424"/>
      <c r="BX43" s="449"/>
      <c r="BY43" s="449"/>
      <c r="BZ43" s="449"/>
      <c r="CA43" s="449"/>
      <c r="CB43" s="449"/>
      <c r="CC43" s="807"/>
      <c r="CD43" s="449"/>
      <c r="CE43" s="762" t="str">
        <f>IFERROR(WWWW[[#This Row],['#_Water sources passed]]/WWWW[[#This Row],['#_Water sources tested for fecal coliform ]],"no test")</f>
        <v>no test</v>
      </c>
      <c r="CF43" s="760" t="str">
        <f>IFERROR(WWWW[[#This Row],['#_Household passed]]/WWWW[[#This Row],['#_Household water samples tested for fecal coliform]],"no test")</f>
        <v>no test</v>
      </c>
      <c r="CG43" s="761" t="str">
        <f>IF(AND(WWWW[[#This Row],[% of water sources passed]]="no test",WWWW[[#This Row],[% Household passed]]="no test"),"No Test","Tested")</f>
        <v>No Test</v>
      </c>
      <c r="CH43" s="761">
        <f>WWWW[[#This Row],['#_Constructed/existing protected hand dug well]]-WWWW[[#This Row],['#_Non-functional protected hand dug well]]</f>
        <v>0</v>
      </c>
      <c r="CI43" s="761">
        <f>(WWWW[[#This Row],['#_Constructed/Existing tube wells/boreholes/handpumps_WASH_agency]]+WWWW[[#This Row],['#_Non-Cluster partner water tube-wells/boreholes/handpumps]])-WWWW[[#This Row],['#_Non-functional tube wells/boreholes/handpumps]]</f>
        <v>0</v>
      </c>
      <c r="CJ43" s="761">
        <f>WWWW[[#This Row],['#_Constructed/Existingwater storage tank with gravity fed reticulation system]]-WWWW[[#This Row],['#_Non-functional storage tank gravity fed reticulation system]]</f>
        <v>0</v>
      </c>
      <c r="CK43" s="761">
        <f>(WWWW[[#This Row],['#_Water_Liters_supplied_by_Water boating or water trucking]]/90)/15</f>
        <v>0</v>
      </c>
      <c r="CL43" s="761">
        <f>WWWW[[#This Row],['#_Water_Liters_from_Constructed/Existing water distribution system from river or natural spring]]/90/15</f>
        <v>0</v>
      </c>
      <c r="CM43" s="425">
        <f>IF(WWWW[[#This Row],['#_of water points in TLS/CFS]]*500&gt;WWWW[[#This Row],[Total PoP ]],WWWW[[#This Row],[Total PoP ]],WWWW[[#This Row],['#_of water points in TLS/CFS]]*500)</f>
        <v>0</v>
      </c>
      <c r="CN43" s="425">
        <f>IF(WWWW[[#This Row],['#_of water points in THF]]*500&gt;WWWW[[#This Row],[Total PoP ]],WWWW[[#This Row],[Total PoP ]],WWWW[[#This Row],['#_of water points in THF]]*500)</f>
        <v>0</v>
      </c>
      <c r="CO4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3" s="760">
        <f>IF(WWWW[[#This Row],[Location Type 1]]="Village",WWWW[[#This Row],[Access to safe drinking water for Village]],WWWW[[#This Row],[Access to safe drinking water for Camp]])</f>
        <v>0</v>
      </c>
      <c r="CR43" s="758">
        <f>WWWW[[#This Row],[%Equitable and continuous access to sufficient quantity of safe drinking water]]*WWWW[[#This Row],[Total PoP ]]</f>
        <v>0</v>
      </c>
      <c r="CS43" s="760">
        <f>IF((WWWW[[#This Row],['#_Constructed/Existing protected/fenced ponds]]*250)/WWWW[[#This Row],[Total PoP ]]&gt;1,1,(WWWW[[#This Row],['#_Constructed/Existing protected/fenced ponds]]*250)/WWWW[[#This Row],[Total PoP ]])</f>
        <v>0</v>
      </c>
      <c r="CT43" s="758">
        <f>WWWW[[#This Row],[% Access to unimproved water points]]*WWWW[[#This Row],[Total PoP ]]</f>
        <v>0</v>
      </c>
      <c r="CU4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3" s="758">
        <f>WWWW[[#This Row],[HRP1]]/500</f>
        <v>0</v>
      </c>
      <c r="CX43" s="763">
        <f>1-WWWW[[#This Row],[% Equitable and continuous access to sufficient quantity of domestic water]]</f>
        <v>1</v>
      </c>
      <c r="CY43" s="758">
        <f>WWWW[[#This Row],[%equitable and continuous access to sufficient quantity of safe drinking and domestic water''s GAP]]*WWWW[[#This Row],[Total PoP ]]</f>
        <v>325</v>
      </c>
      <c r="CZ43" s="761">
        <f>IF(WWWW[[#This Row],[Total required water points]]-WWWW[[#This Row],['#Water points coverage]]&lt;0,0,WWWW[[#This Row],[Total required water points]]-WWWW[[#This Row],['#Water points coverage]])</f>
        <v>1</v>
      </c>
      <c r="DA43" s="761">
        <f>ROUND(IF(WWWW[[#This Row],[Total PoP ]]&lt;500,1,WWWW[[#This Row],[Total PoP ]]/500),0)</f>
        <v>1</v>
      </c>
      <c r="DB43" s="761">
        <f>(WWWW[[#This Row],['#_Constructed latrines_by_WASHAgencies]]+WWWW[[#This Row],['#_Non Cluster partner latrines]])-WWWW[[#This Row],['#_Non-functional latrines]]</f>
        <v>65</v>
      </c>
      <c r="DC43" s="634">
        <f>WWWW[[#This Row],[HRP2]]/WWWW[[#This Row],[Total PoP ]]</f>
        <v>1</v>
      </c>
      <c r="DD4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325</v>
      </c>
      <c r="DE4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3" s="425">
        <f>IF(WWWW[[#This Row],['# of functional latrines in THF supported by WASH partners during the reporting period2]]="",0,WWWW[[#This Row],['# of functional latrines in THF supported by WASH partners during the reporting period2]]*50)</f>
        <v>0</v>
      </c>
      <c r="DH43" s="761">
        <f>ROUND(IF(WWWW[[#This Row],[Location Type 1]]="camp",WWWW[[#This Row],[Total PoP ]]/20,IF(WWWW[[#This Row],[Location Type 1]]="Temporary Location",WWWW[[#This Row],[Total PoP ]]/50,(WWWW[[#This Row],[Total PoP ]]/6))),0)</f>
        <v>16</v>
      </c>
      <c r="DI43" s="761">
        <f>IF(WWWW[[#This Row],[Total required Latrines]]-(WWWW[[#This Row],['#_Constructed latrines_by_WASHAgencies]]+WWWW[[#This Row],['#_Non Cluster partner latrines]])&lt;0,0,WWWW[[#This Row],[Total required Latrines]]-(WWWW[[#This Row],['#_Constructed latrines_by_WASHAgencies]]+WWWW[[#This Row],['#_Non Cluster partner latrines]]))</f>
        <v>0</v>
      </c>
      <c r="DJ43" s="763">
        <f>1-WWWW[[#This Row],[% people access to functioning Latrine]]</f>
        <v>0</v>
      </c>
      <c r="DK43" s="762">
        <f>IF(OR(WWWW[[#This Row],['#_Non-functional latrines]]="",WWWW[[#This Row],['#_Non-functional latrines]]=0),0,WWWW[[#This Row],['#_Non-functional latrines]]/(WWWW[[#This Row],['#_Constructed latrines_by_WASHAgencies]]+WWWW[[#This Row],['#_Non Cluster partner latrines]]))</f>
        <v>0</v>
      </c>
      <c r="DL43" s="758">
        <f>IF(500*(WWWW[[#This Row],['#_male hygiene promoters]]+WWWW[[#This Row],['#_female hygiene promoters]])&gt;WWWW[[#This Row],[Total PoP ]],WWWW[[#This Row],[Total PoP ]],500*(WWWW[[#This Row],['#_male hygiene promoters]]+WWWW[[#This Row],['#_female hygiene promoters]]))</f>
        <v>325</v>
      </c>
      <c r="DM4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4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43" s="761">
        <f>IF(WWWW[[#This Row],['# People with access to soap]]&gt;WWWW[[#This Row],['# People with access to Sanity Pads]],WWWW[[#This Row],['# People with access to soap]],WWWW[[#This Row],['# People with access to Sanity Pads]])</f>
        <v>30</v>
      </c>
      <c r="DP43" s="761">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Q43" s="763">
        <f>IF(WWWW[[#This Row],[HRP3]]/WWWW[[#This Row],[Total PoP ]]&gt;1,1,WWWW[[#This Row],[HRP3]]/WWWW[[#This Row],[Total PoP ]])</f>
        <v>1</v>
      </c>
      <c r="DR43" s="762">
        <f>1-WWWW[[#This Row],[Hygiene Coverage%]]</f>
        <v>0</v>
      </c>
      <c r="DS43" s="760">
        <f>WWWW[[#This Row],['# people reached by regular dedicated hygiene promotion_5]]/WWWW[[#This Row],[Total PoP ]]</f>
        <v>1</v>
      </c>
      <c r="DT4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9.5238095238095233E-2</v>
      </c>
      <c r="DU4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7.9365079365079361E-2</v>
      </c>
      <c r="DV43" s="761">
        <f>WWWW[[#This Row],['#_Constructed/Existing hand washing stations]]-WWWW[[#This Row],['#_Non-Functional_hand_washing_stations]]</f>
        <v>1</v>
      </c>
      <c r="DW43" s="758">
        <f>IF(WWWW[[#This Row],['# Functional hand washing stations during reporting period]]*20&gt;WWWW[[#This Row],[Total HH]],WWWW[[#This Row],[Total HH]],WWWW[[#This Row],['# Functional hand washing stations during reporting period]]*20)</f>
        <v>20</v>
      </c>
      <c r="DX43" s="758">
        <f>IF(WWWW[[#This Row],[Is sufficient soap available for TLS? (Yes/No)]]="yes",WWWW[[#This Row],['#_Constructed/Existing hand washing stations at TLS/CFS/THF]],0)</f>
        <v>0</v>
      </c>
      <c r="DY43" s="429">
        <f>IF(WWWW[[#This Row],['# Functional hand washing stations during reporting period]]*100&gt;WWWW[[#This Row],[Total PoP ]],WWWW[[#This Row],[Total PoP ]],WWWW[[#This Row],['# Functional hand washing stations during reporting period]]*100)</f>
        <v>100</v>
      </c>
      <c r="DZ43" s="429" t="str">
        <f>IF(OR(WWWW[[#This Row],['#_students at TLS_CFS]]="",WWWW[[#This Row],['#_students at TLS_CFS]]=0),"No","Yes")</f>
        <v>No</v>
      </c>
      <c r="EA4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3" s="754" t="str">
        <f>VLOOKUP(WWWW[[#This Row],[Site Name]],SiteDB6[[Site Name]:[CCCM Management]],6,FALSE)</f>
        <v>Yes</v>
      </c>
      <c r="EF43" s="754" t="str">
        <f>VLOOKUP(WWWW[[#This Row],[Site Name]],SiteDB6[[Site Name]:[CCCM Focal Agency]],7,FALSE)</f>
        <v>KBC-MYT</v>
      </c>
      <c r="EG43" s="754" t="str">
        <f>VLOOKUP(WWWW[[#This Row],[Site Name]],SiteDB6[[Site Name]:[Location Type 1]],9,FALSE)</f>
        <v>Camp</v>
      </c>
      <c r="EH43" s="754" t="str">
        <f>VLOOKUP(WWWW[[#This Row],[Site Name]],SiteDB6[[Site Name]:[Type of Accommodation]],10,FALSE)</f>
        <v>Camp</v>
      </c>
      <c r="EI43" s="754" t="str">
        <f>VLOOKUP(WWWW[[#This Row],[Site Name]],SiteDB6[[Site Name]:[Ethnic or GCA/NGCA]],11,FALSE)</f>
        <v>NGCA</v>
      </c>
      <c r="EJ43" s="754">
        <f>VLOOKUP(WWWW[[#This Row],[Site Name]],SiteDB6[[Site Name]:[Lat]],12,FALSE)</f>
        <v>26.548506</v>
      </c>
      <c r="EK43" s="754">
        <f>VLOOKUP(WWWW[[#This Row],[Site Name]],SiteDB6[[Site Name]:[Long]],13,FALSE)</f>
        <v>97.75609</v>
      </c>
      <c r="EL43" s="754" t="str">
        <f>VLOOKUP(WWWW[[#This Row],[Site Name]],SiteDB6[[Site Name]:[Pcode]],3,FALSE)</f>
        <v>MMR001CMP239</v>
      </c>
      <c r="EM43" s="759" t="str">
        <f t="shared" si="0"/>
        <v>Covered</v>
      </c>
      <c r="EN43" s="759"/>
      <c r="EO43" s="754">
        <f>VLOOKUP(WWWW[[#This Row],[Site Name]],SiteDB6[[Site Name]:[Pop
(Kachin/Shan-CCCM as of July 2021)]],16,FALSE)</f>
        <v>68</v>
      </c>
      <c r="EP43" s="754">
        <f>VLOOKUP(WWWW[[#This Row],[Site Name]],SiteDB6[[Site Name]:[Pop
(Kachin/Shan-CCCM as of July 2021)]],17,FALSE)</f>
        <v>353</v>
      </c>
    </row>
    <row r="44" spans="1:146" hidden="1">
      <c r="A44" s="752" t="s">
        <v>2785</v>
      </c>
      <c r="B44" s="752" t="s">
        <v>2082</v>
      </c>
      <c r="C44" s="753" t="s">
        <v>141</v>
      </c>
      <c r="D44" s="753" t="s">
        <v>299</v>
      </c>
      <c r="E44" s="753" t="s">
        <v>37</v>
      </c>
      <c r="F44" s="753" t="s">
        <v>863</v>
      </c>
      <c r="G44" s="594" t="str">
        <f>VLOOKUP(WWWW[[#This Row],[Site Name]],SiteDB6[[Site Name]:[Location Type]],8,FALSE)</f>
        <v>Camp</v>
      </c>
      <c r="H44" s="753" t="s">
        <v>1616</v>
      </c>
      <c r="I44" s="755">
        <v>108</v>
      </c>
      <c r="J44" s="755">
        <v>468</v>
      </c>
      <c r="K44" s="756">
        <v>44412</v>
      </c>
      <c r="L44" s="757">
        <v>44776</v>
      </c>
      <c r="M44" s="755"/>
      <c r="N44" s="755"/>
      <c r="O44" s="755"/>
      <c r="P44" s="755"/>
      <c r="Q44" s="743" t="s">
        <v>136</v>
      </c>
      <c r="R44" s="449">
        <v>1</v>
      </c>
      <c r="S44" s="449">
        <v>1</v>
      </c>
      <c r="T44" s="449"/>
      <c r="U44" s="755"/>
      <c r="V44" s="755"/>
      <c r="W44" s="755"/>
      <c r="X44" s="755"/>
      <c r="Y44" s="755"/>
      <c r="Z44" s="755"/>
      <c r="AA44" s="755"/>
      <c r="AB44" s="755"/>
      <c r="AC44" s="755"/>
      <c r="AD44" s="755"/>
      <c r="AE44" s="755"/>
      <c r="AF44" s="755"/>
      <c r="AG44" s="755"/>
      <c r="AH44" s="755"/>
      <c r="AI44" s="755"/>
      <c r="AJ44" s="755"/>
      <c r="AK44" s="755"/>
      <c r="AL44" s="755"/>
      <c r="AM44" s="755"/>
      <c r="AN44" s="755"/>
      <c r="AO44" s="755"/>
      <c r="AP44" s="759"/>
      <c r="AQ44" s="755"/>
      <c r="AR44" s="755"/>
      <c r="AS44" s="760"/>
      <c r="AT44" s="755"/>
      <c r="AU44" s="755"/>
      <c r="AV44" s="755"/>
      <c r="AW44" s="755"/>
      <c r="AX44" s="755"/>
      <c r="AY44" s="426" t="s">
        <v>140</v>
      </c>
      <c r="AZ44" s="891" t="s">
        <v>140</v>
      </c>
      <c r="BA44" s="755"/>
      <c r="BB44" s="755"/>
      <c r="BC44" s="755"/>
      <c r="BD44" s="449"/>
      <c r="BE44" s="449"/>
      <c r="BF44" s="754"/>
      <c r="BG44" s="755">
        <v>1</v>
      </c>
      <c r="BH44" s="755"/>
      <c r="BI44" s="755"/>
      <c r="BJ44" s="755">
        <v>3</v>
      </c>
      <c r="BK44" s="755"/>
      <c r="BL44" s="755"/>
      <c r="BM44" s="449">
        <v>1</v>
      </c>
      <c r="BN44" s="755">
        <v>41</v>
      </c>
      <c r="BO44" s="755">
        <v>85</v>
      </c>
      <c r="BP44" s="754"/>
      <c r="BQ44" s="761"/>
      <c r="BR44" s="760"/>
      <c r="BS44" s="754"/>
      <c r="BT44" s="424"/>
      <c r="BU44" s="424"/>
      <c r="BV44" s="426"/>
      <c r="BW44" s="424"/>
      <c r="BX44" s="449"/>
      <c r="BY44" s="449"/>
      <c r="BZ44" s="449"/>
      <c r="CA44" s="449"/>
      <c r="CB44" s="449"/>
      <c r="CC44" s="807"/>
      <c r="CD44" s="449"/>
      <c r="CE44" s="762" t="str">
        <f>IFERROR(WWWW[[#This Row],['#_Water sources passed]]/WWWW[[#This Row],['#_Water sources tested for fecal coliform ]],"no test")</f>
        <v>no test</v>
      </c>
      <c r="CF44" s="760" t="str">
        <f>IFERROR(WWWW[[#This Row],['#_Household passed]]/WWWW[[#This Row],['#_Household water samples tested for fecal coliform]],"no test")</f>
        <v>no test</v>
      </c>
      <c r="CG44" s="761" t="str">
        <f>IF(AND(WWWW[[#This Row],[% of water sources passed]]="no test",WWWW[[#This Row],[% Household passed]]="no test"),"No Test","Tested")</f>
        <v>No Test</v>
      </c>
      <c r="CH44" s="761">
        <f>WWWW[[#This Row],['#_Constructed/existing protected hand dug well]]-WWWW[[#This Row],['#_Non-functional protected hand dug well]]</f>
        <v>0</v>
      </c>
      <c r="CI44" s="761">
        <f>(WWWW[[#This Row],['#_Constructed/Existing tube wells/boreholes/handpumps_WASH_agency]]+WWWW[[#This Row],['#_Non-Cluster partner water tube-wells/boreholes/handpumps]])-WWWW[[#This Row],['#_Non-functional tube wells/boreholes/handpumps]]</f>
        <v>0</v>
      </c>
      <c r="CJ44" s="761">
        <f>WWWW[[#This Row],['#_Constructed/Existingwater storage tank with gravity fed reticulation system]]-WWWW[[#This Row],['#_Non-functional storage tank gravity fed reticulation system]]</f>
        <v>0</v>
      </c>
      <c r="CK44" s="761">
        <f>(WWWW[[#This Row],['#_Water_Liters_supplied_by_Water boating or water trucking]]/90)/15</f>
        <v>0</v>
      </c>
      <c r="CL44" s="761">
        <f>WWWW[[#This Row],['#_Water_Liters_from_Constructed/Existing water distribution system from river or natural spring]]/90/15</f>
        <v>0</v>
      </c>
      <c r="CM44" s="425">
        <f>IF(WWWW[[#This Row],['#_of water points in TLS/CFS]]*500&gt;WWWW[[#This Row],[Total PoP ]],WWWW[[#This Row],[Total PoP ]],WWWW[[#This Row],['#_of water points in TLS/CFS]]*500)</f>
        <v>0</v>
      </c>
      <c r="CN44" s="425">
        <f>IF(WWWW[[#This Row],['#_of water points in THF]]*500&gt;WWWW[[#This Row],[Total PoP ]],WWWW[[#This Row],[Total PoP ]],WWWW[[#This Row],['#_of water points in THF]]*500)</f>
        <v>0</v>
      </c>
      <c r="CO4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4" s="760">
        <f>IF(WWWW[[#This Row],[Location Type 1]]="Village",WWWW[[#This Row],[Access to safe drinking water for Village]],WWWW[[#This Row],[Access to safe drinking water for Camp]])</f>
        <v>0</v>
      </c>
      <c r="CR44" s="758">
        <f>WWWW[[#This Row],[%Equitable and continuous access to sufficient quantity of safe drinking water]]*WWWW[[#This Row],[Total PoP ]]</f>
        <v>0</v>
      </c>
      <c r="CS44" s="760">
        <f>IF((WWWW[[#This Row],['#_Constructed/Existing protected/fenced ponds]]*250)/WWWW[[#This Row],[Total PoP ]]&gt;1,1,(WWWW[[#This Row],['#_Constructed/Existing protected/fenced ponds]]*250)/WWWW[[#This Row],[Total PoP ]])</f>
        <v>0</v>
      </c>
      <c r="CT44" s="758">
        <f>WWWW[[#This Row],[% Access to unimproved water points]]*WWWW[[#This Row],[Total PoP ]]</f>
        <v>0</v>
      </c>
      <c r="CU4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4" s="758">
        <f>WWWW[[#This Row],[HRP1]]/500</f>
        <v>0</v>
      </c>
      <c r="CX44" s="763">
        <f>1-WWWW[[#This Row],[% Equitable and continuous access to sufficient quantity of domestic water]]</f>
        <v>1</v>
      </c>
      <c r="CY44" s="758">
        <f>WWWW[[#This Row],[%equitable and continuous access to sufficient quantity of safe drinking and domestic water''s GAP]]*WWWW[[#This Row],[Total PoP ]]</f>
        <v>468</v>
      </c>
      <c r="CZ44" s="761">
        <f>IF(WWWW[[#This Row],[Total required water points]]-WWWW[[#This Row],['#Water points coverage]]&lt;0,0,WWWW[[#This Row],[Total required water points]]-WWWW[[#This Row],['#Water points coverage]])</f>
        <v>1</v>
      </c>
      <c r="DA44" s="761">
        <f>ROUND(IF(WWWW[[#This Row],[Total PoP ]]&lt;500,1,WWWW[[#This Row],[Total PoP ]]/500),0)</f>
        <v>1</v>
      </c>
      <c r="DB44" s="761">
        <f>(WWWW[[#This Row],['#_Constructed latrines_by_WASHAgencies]]+WWWW[[#This Row],['#_Non Cluster partner latrines]])-WWWW[[#This Row],['#_Non-functional latrines]]</f>
        <v>0</v>
      </c>
      <c r="DC44" s="634">
        <f>WWWW[[#This Row],[HRP2]]/WWWW[[#This Row],[Total PoP ]]</f>
        <v>0</v>
      </c>
      <c r="DD4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4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4" s="425">
        <f>IF(WWWW[[#This Row],['# of functional latrines in THF supported by WASH partners during the reporting period2]]="",0,WWWW[[#This Row],['# of functional latrines in THF supported by WASH partners during the reporting period2]]*50)</f>
        <v>0</v>
      </c>
      <c r="DH44" s="761">
        <f>ROUND(IF(WWWW[[#This Row],[Location Type 1]]="camp",WWWW[[#This Row],[Total PoP ]]/20,IF(WWWW[[#This Row],[Location Type 1]]="Temporary Location",WWWW[[#This Row],[Total PoP ]]/50,(WWWW[[#This Row],[Total PoP ]]/6))),0)</f>
        <v>23</v>
      </c>
      <c r="DI44" s="761">
        <f>IF(WWWW[[#This Row],[Total required Latrines]]-(WWWW[[#This Row],['#_Constructed latrines_by_WASHAgencies]]+WWWW[[#This Row],['#_Non Cluster partner latrines]])&lt;0,0,WWWW[[#This Row],[Total required Latrines]]-(WWWW[[#This Row],['#_Constructed latrines_by_WASHAgencies]]+WWWW[[#This Row],['#_Non Cluster partner latrines]]))</f>
        <v>23</v>
      </c>
      <c r="DJ44" s="763">
        <f>1-WWWW[[#This Row],[% people access to functioning Latrine]]</f>
        <v>1</v>
      </c>
      <c r="DK44" s="762">
        <f>IF(OR(WWWW[[#This Row],['#_Non-functional latrines]]="",WWWW[[#This Row],['#_Non-functional latrines]]=0),0,WWWW[[#This Row],['#_Non-functional latrines]]/(WWWW[[#This Row],['#_Constructed latrines_by_WASHAgencies]]+WWWW[[#This Row],['#_Non Cluster partner latrines]]))</f>
        <v>0</v>
      </c>
      <c r="DL44" s="758">
        <f>IF(500*(WWWW[[#This Row],['#_male hygiene promoters]]+WWWW[[#This Row],['#_female hygiene promoters]])&gt;WWWW[[#This Row],[Total PoP ]],WWWW[[#This Row],[Total PoP ]],500*(WWWW[[#This Row],['#_male hygiene promoters]]+WWWW[[#This Row],['#_female hygiene promoters]]))</f>
        <v>468</v>
      </c>
      <c r="DM4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4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44" s="761">
        <f>IF(WWWW[[#This Row],['# People with access to soap]]&gt;WWWW[[#This Row],['# People with access to Sanity Pads]],WWWW[[#This Row],['# People with access to soap]],WWWW[[#This Row],['# People with access to Sanity Pads]])</f>
        <v>205</v>
      </c>
      <c r="DP44" s="761">
        <f>IF(WWWW[[#This Row],['# people reached by regular dedicated hygiene promotion_5]]&gt;WWWW[[#This Row],['# People received regular supply of hygiene items_6]],WWWW[[#This Row],['# people reached by regular dedicated hygiene promotion_5]],WWWW[[#This Row],['# People received regular supply of hygiene items_6]])</f>
        <v>468</v>
      </c>
      <c r="DQ44" s="763">
        <f>IF(WWWW[[#This Row],[HRP3]]/WWWW[[#This Row],[Total PoP ]]&gt;1,1,WWWW[[#This Row],[HRP3]]/WWWW[[#This Row],[Total PoP ]])</f>
        <v>1</v>
      </c>
      <c r="DR44" s="762">
        <f>1-WWWW[[#This Row],[Hygiene Coverage%]]</f>
        <v>0</v>
      </c>
      <c r="DS44" s="760">
        <f>WWWW[[#This Row],['# people reached by regular dedicated hygiene promotion_5]]/WWWW[[#This Row],[Total PoP ]]</f>
        <v>1</v>
      </c>
      <c r="DT4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0.78703703703703709</v>
      </c>
      <c r="DV44" s="761">
        <f>WWWW[[#This Row],['#_Constructed/Existing hand washing stations]]-WWWW[[#This Row],['#_Non-Functional_hand_washing_stations]]</f>
        <v>1</v>
      </c>
      <c r="DW44" s="758">
        <f>IF(WWWW[[#This Row],['# Functional hand washing stations during reporting period]]*20&gt;WWWW[[#This Row],[Total HH]],WWWW[[#This Row],[Total HH]],WWWW[[#This Row],['# Functional hand washing stations during reporting period]]*20)</f>
        <v>20</v>
      </c>
      <c r="DX44" s="758">
        <f>IF(WWWW[[#This Row],[Is sufficient soap available for TLS? (Yes/No)]]="yes",WWWW[[#This Row],['#_Constructed/Existing hand washing stations at TLS/CFS/THF]],0)</f>
        <v>0</v>
      </c>
      <c r="DY44" s="429">
        <f>IF(WWWW[[#This Row],['# Functional hand washing stations during reporting period]]*100&gt;WWWW[[#This Row],[Total PoP ]],WWWW[[#This Row],[Total PoP ]],WWWW[[#This Row],['# Functional hand washing stations during reporting period]]*100)</f>
        <v>100</v>
      </c>
      <c r="DZ44" s="429" t="str">
        <f>IF(OR(WWWW[[#This Row],['#_students at TLS_CFS]]="",WWWW[[#This Row],['#_students at TLS_CFS]]=0),"No","Yes")</f>
        <v>No</v>
      </c>
      <c r="EA4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4" s="754" t="str">
        <f>VLOOKUP(WWWW[[#This Row],[Site Name]],SiteDB6[[Site Name]:[CCCM Management]],6,FALSE)</f>
        <v>Yes</v>
      </c>
      <c r="EF44" s="754" t="str">
        <f>VLOOKUP(WWWW[[#This Row],[Site Name]],SiteDB6[[Site Name]:[CCCM Focal Agency]],7,FALSE)</f>
        <v>KBC-MYT</v>
      </c>
      <c r="EG44" s="754" t="str">
        <f>VLOOKUP(WWWW[[#This Row],[Site Name]],SiteDB6[[Site Name]:[Location Type 1]],9,FALSE)</f>
        <v>Camp</v>
      </c>
      <c r="EH44" s="754" t="str">
        <f>VLOOKUP(WWWW[[#This Row],[Site Name]],SiteDB6[[Site Name]:[Type of Accommodation]],10,FALSE)</f>
        <v>Camp</v>
      </c>
      <c r="EI44" s="754" t="str">
        <f>VLOOKUP(WWWW[[#This Row],[Site Name]],SiteDB6[[Site Name]:[Ethnic or GCA/NGCA]],11,FALSE)</f>
        <v>GCA</v>
      </c>
      <c r="EJ44" s="754">
        <f>VLOOKUP(WWWW[[#This Row],[Site Name]],SiteDB6[[Site Name]:[Lat]],12,FALSE)</f>
        <v>26.356223</v>
      </c>
      <c r="EK44" s="754">
        <f>VLOOKUP(WWWW[[#This Row],[Site Name]],SiteDB6[[Site Name]:[Long]],13,FALSE)</f>
        <v>96.721439000000004</v>
      </c>
      <c r="EL44" s="754" t="str">
        <f>VLOOKUP(WWWW[[#This Row],[Site Name]],SiteDB6[[Site Name]:[Pcode]],3,FALSE)</f>
        <v>MMR001CMP253</v>
      </c>
      <c r="EM44" s="759" t="str">
        <f t="shared" si="0"/>
        <v>Covered</v>
      </c>
      <c r="EN44" s="759"/>
      <c r="EO44" s="754">
        <f>VLOOKUP(WWWW[[#This Row],[Site Name]],SiteDB6[[Site Name]:[Pop
(Kachin/Shan-CCCM as of July 2021)]],16,FALSE)</f>
        <v>110</v>
      </c>
      <c r="EP44" s="754">
        <f>VLOOKUP(WWWW[[#This Row],[Site Name]],SiteDB6[[Site Name]:[Pop
(Kachin/Shan-CCCM as of July 2021)]],17,FALSE)</f>
        <v>486</v>
      </c>
    </row>
    <row r="45" spans="1:146" hidden="1">
      <c r="A45" s="752" t="s">
        <v>2785</v>
      </c>
      <c r="B45" s="729" t="s">
        <v>2828</v>
      </c>
      <c r="C45" s="753" t="s">
        <v>141</v>
      </c>
      <c r="D45" s="370" t="s">
        <v>2609</v>
      </c>
      <c r="E45" s="753" t="s">
        <v>37</v>
      </c>
      <c r="F45" s="753" t="s">
        <v>142</v>
      </c>
      <c r="G45" s="594" t="str">
        <f>VLOOKUP(WWWW[[#This Row],[Site Name]],SiteDB6[[Site Name]:[Location Type]],8,FALSE)</f>
        <v>Camp</v>
      </c>
      <c r="H45" s="753" t="s">
        <v>175</v>
      </c>
      <c r="I45" s="449">
        <v>140</v>
      </c>
      <c r="J45" s="449">
        <v>895</v>
      </c>
      <c r="K45" s="830" t="s">
        <v>2836</v>
      </c>
      <c r="L45" s="56" t="s">
        <v>2837</v>
      </c>
      <c r="M45" s="755"/>
      <c r="N45" s="755">
        <v>3</v>
      </c>
      <c r="O45" s="755"/>
      <c r="P45" s="755"/>
      <c r="Q45" s="758" t="s">
        <v>41</v>
      </c>
      <c r="R45" s="755"/>
      <c r="S45" s="755">
        <v>3</v>
      </c>
      <c r="T45" s="449"/>
      <c r="U45" s="755"/>
      <c r="V45" s="755"/>
      <c r="W45" s="755"/>
      <c r="X45" s="755"/>
      <c r="Y45" s="755"/>
      <c r="Z45" s="755"/>
      <c r="AA45" s="755"/>
      <c r="AB45" s="755"/>
      <c r="AC45" s="755"/>
      <c r="AD45" s="755"/>
      <c r="AE45" s="755"/>
      <c r="AF45" s="755"/>
      <c r="AG45" s="755"/>
      <c r="AH45" s="755"/>
      <c r="AI45" s="755"/>
      <c r="AJ45" s="755"/>
      <c r="AK45" s="755"/>
      <c r="AL45" s="755"/>
      <c r="AM45" s="755"/>
      <c r="AN45" s="755"/>
      <c r="AO45" s="755"/>
      <c r="AP45" s="759"/>
      <c r="AQ45" s="755">
        <v>50</v>
      </c>
      <c r="AR45" s="755"/>
      <c r="AS45" s="760"/>
      <c r="AT45" s="755"/>
      <c r="AU45" s="755"/>
      <c r="AV45" s="755"/>
      <c r="AW45" s="755"/>
      <c r="AX45" s="755">
        <v>50</v>
      </c>
      <c r="AY45" s="754" t="s">
        <v>41</v>
      </c>
      <c r="AZ45" s="759" t="s">
        <v>137</v>
      </c>
      <c r="BA45" s="755"/>
      <c r="BB45" s="755"/>
      <c r="BC45" s="755"/>
      <c r="BD45" s="449"/>
      <c r="BE45" s="449"/>
      <c r="BF45" s="754"/>
      <c r="BG45" s="755">
        <v>8</v>
      </c>
      <c r="BH45" s="755"/>
      <c r="BI45" s="755"/>
      <c r="BJ45" s="755">
        <v>3</v>
      </c>
      <c r="BK45" s="755"/>
      <c r="BL45" s="755">
        <v>1</v>
      </c>
      <c r="BM45" s="755">
        <v>2</v>
      </c>
      <c r="BN45" s="755">
        <v>91</v>
      </c>
      <c r="BO45" s="755">
        <v>124</v>
      </c>
      <c r="BP45" s="754"/>
      <c r="BQ45" s="761"/>
      <c r="BR45" s="760"/>
      <c r="BS45" s="754"/>
      <c r="BT45" s="424"/>
      <c r="BU45" s="424"/>
      <c r="BV45" s="426"/>
      <c r="BW45" s="424"/>
      <c r="BX45" s="449"/>
      <c r="BY45" s="449"/>
      <c r="BZ45" s="449"/>
      <c r="CA45" s="449"/>
      <c r="CB45" s="449"/>
      <c r="CC45" s="807"/>
      <c r="CD45" s="449"/>
      <c r="CE45" s="762" t="str">
        <f>IFERROR(WWWW[[#This Row],['#_Water sources passed]]/WWWW[[#This Row],['#_Water sources tested for fecal coliform ]],"no test")</f>
        <v>no test</v>
      </c>
      <c r="CF45" s="760" t="str">
        <f>IFERROR(WWWW[[#This Row],['#_Household passed]]/WWWW[[#This Row],['#_Household water samples tested for fecal coliform]],"no test")</f>
        <v>no test</v>
      </c>
      <c r="CG45" s="761" t="str">
        <f>IF(AND(WWWW[[#This Row],[% of water sources passed]]="no test",WWWW[[#This Row],[% Household passed]]="no test"),"No Test","Tested")</f>
        <v>No Test</v>
      </c>
      <c r="CH45" s="761">
        <f>WWWW[[#This Row],['#_Constructed/existing protected hand dug well]]-WWWW[[#This Row],['#_Non-functional protected hand dug well]]</f>
        <v>0</v>
      </c>
      <c r="CI45" s="761">
        <f>(WWWW[[#This Row],['#_Constructed/Existing tube wells/boreholes/handpumps_WASH_agency]]+WWWW[[#This Row],['#_Non-Cluster partner water tube-wells/boreholes/handpumps]])-WWWW[[#This Row],['#_Non-functional tube wells/boreholes/handpumps]]</f>
        <v>0</v>
      </c>
      <c r="CJ45" s="761">
        <f>WWWW[[#This Row],['#_Constructed/Existingwater storage tank with gravity fed reticulation system]]-WWWW[[#This Row],['#_Non-functional storage tank gravity fed reticulation system]]</f>
        <v>0</v>
      </c>
      <c r="CK45" s="761">
        <f>(WWWW[[#This Row],['#_Water_Liters_supplied_by_Water boating or water trucking]]/90)/15</f>
        <v>0</v>
      </c>
      <c r="CL45" s="761">
        <f>WWWW[[#This Row],['#_Water_Liters_from_Constructed/Existing water distribution system from river or natural spring]]/90/15</f>
        <v>0</v>
      </c>
      <c r="CM45" s="425">
        <f>IF(WWWW[[#This Row],['#_of water points in TLS/CFS]]*500&gt;WWWW[[#This Row],[Total PoP ]],WWWW[[#This Row],[Total PoP ]],WWWW[[#This Row],['#_of water points in TLS/CFS]]*500)</f>
        <v>0</v>
      </c>
      <c r="CN45" s="425">
        <f>IF(WWWW[[#This Row],['#_of water points in THF]]*500&gt;WWWW[[#This Row],[Total PoP ]],WWWW[[#This Row],[Total PoP ]],WWWW[[#This Row],['#_of water points in THF]]*500)</f>
        <v>0</v>
      </c>
      <c r="CO4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5" s="760">
        <f>IF(WWWW[[#This Row],[Location Type 1]]="Village",WWWW[[#This Row],[Access to safe drinking water for Village]],WWWW[[#This Row],[Access to safe drinking water for Camp]])</f>
        <v>0</v>
      </c>
      <c r="CR45" s="758">
        <f>WWWW[[#This Row],[%Equitable and continuous access to sufficient quantity of safe drinking water]]*WWWW[[#This Row],[Total PoP ]]</f>
        <v>0</v>
      </c>
      <c r="CS45" s="760">
        <f>IF((WWWW[[#This Row],['#_Constructed/Existing protected/fenced ponds]]*250)/WWWW[[#This Row],[Total PoP ]]&gt;1,1,(WWWW[[#This Row],['#_Constructed/Existing protected/fenced ponds]]*250)/WWWW[[#This Row],[Total PoP ]])</f>
        <v>0</v>
      </c>
      <c r="CT45" s="758">
        <f>WWWW[[#This Row],[% Access to unimproved water points]]*WWWW[[#This Row],[Total PoP ]]</f>
        <v>0</v>
      </c>
      <c r="CU4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5" s="758">
        <f>WWWW[[#This Row],[HRP1]]/500</f>
        <v>0</v>
      </c>
      <c r="CX45" s="763">
        <f>1-WWWW[[#This Row],[% Equitable and continuous access to sufficient quantity of domestic water]]</f>
        <v>1</v>
      </c>
      <c r="CY45" s="758">
        <f>WWWW[[#This Row],[%equitable and continuous access to sufficient quantity of safe drinking and domestic water''s GAP]]*WWWW[[#This Row],[Total PoP ]]</f>
        <v>895</v>
      </c>
      <c r="CZ45" s="761">
        <f>IF(WWWW[[#This Row],[Total required water points]]-WWWW[[#This Row],['#Water points coverage]]&lt;0,0,WWWW[[#This Row],[Total required water points]]-WWWW[[#This Row],['#Water points coverage]])</f>
        <v>2</v>
      </c>
      <c r="DA45" s="761">
        <f>ROUND(IF(WWWW[[#This Row],[Total PoP ]]&lt;500,1,WWWW[[#This Row],[Total PoP ]]/500),0)</f>
        <v>2</v>
      </c>
      <c r="DB45" s="761">
        <f>(WWWW[[#This Row],['#_Constructed latrines_by_WASHAgencies]]+WWWW[[#This Row],['#_Non Cluster partner latrines]])-WWWW[[#This Row],['#_Non-functional latrines]]</f>
        <v>50</v>
      </c>
      <c r="DC45" s="634">
        <f>WWWW[[#This Row],[HRP2]]/WWWW[[#This Row],[Total PoP ]]</f>
        <v>1</v>
      </c>
      <c r="DD4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895</v>
      </c>
      <c r="DE4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5" s="425">
        <f>IF(WWWW[[#This Row],['# of functional latrines in THF supported by WASH partners during the reporting period2]]="",0,WWWW[[#This Row],['# of functional latrines in THF supported by WASH partners during the reporting period2]]*50)</f>
        <v>0</v>
      </c>
      <c r="DH45" s="761">
        <f>ROUND(IF(WWWW[[#This Row],[Location Type 1]]="camp",WWWW[[#This Row],[Total PoP ]]/20,IF(WWWW[[#This Row],[Location Type 1]]="Temporary Location",WWWW[[#This Row],[Total PoP ]]/50,(WWWW[[#This Row],[Total PoP ]]/6))),0)</f>
        <v>45</v>
      </c>
      <c r="DI45" s="761">
        <f>IF(WWWW[[#This Row],[Total required Latrines]]-(WWWW[[#This Row],['#_Constructed latrines_by_WASHAgencies]]+WWWW[[#This Row],['#_Non Cluster partner latrines]])&lt;0,0,WWWW[[#This Row],[Total required Latrines]]-(WWWW[[#This Row],['#_Constructed latrines_by_WASHAgencies]]+WWWW[[#This Row],['#_Non Cluster partner latrines]]))</f>
        <v>0</v>
      </c>
      <c r="DJ45" s="763">
        <f>1-WWWW[[#This Row],[% people access to functioning Latrine]]</f>
        <v>0</v>
      </c>
      <c r="DK45" s="762">
        <f>IF(OR(WWWW[[#This Row],['#_Non-functional latrines]]="",WWWW[[#This Row],['#_Non-functional latrines]]=0),0,WWWW[[#This Row],['#_Non-functional latrines]]/(WWWW[[#This Row],['#_Constructed latrines_by_WASHAgencies]]+WWWW[[#This Row],['#_Non Cluster partner latrines]]))</f>
        <v>0</v>
      </c>
      <c r="DL45" s="758">
        <f>IF(500*(WWWW[[#This Row],['#_male hygiene promoters]]+WWWW[[#This Row],['#_female hygiene promoters]])&gt;WWWW[[#This Row],[Total PoP ]],WWWW[[#This Row],[Total PoP ]],500*(WWWW[[#This Row],['#_male hygiene promoters]]+WWWW[[#This Row],['#_female hygiene promoters]]))</f>
        <v>895</v>
      </c>
      <c r="DM4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4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45" s="761">
        <f>IF(WWWW[[#This Row],['# People with access to soap]]&gt;WWWW[[#This Row],['# People with access to Sanity Pads]],WWWW[[#This Row],['# People with access to soap]],WWWW[[#This Row],['# People with access to Sanity Pads]])</f>
        <v>455</v>
      </c>
      <c r="DP45" s="761">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45" s="763">
        <f>IF(WWWW[[#This Row],[HRP3]]/WWWW[[#This Row],[Total PoP ]]&gt;1,1,WWWW[[#This Row],[HRP3]]/WWWW[[#This Row],[Total PoP ]])</f>
        <v>1</v>
      </c>
      <c r="DR45" s="762">
        <f>1-WWWW[[#This Row],[Hygiene Coverage%]]</f>
        <v>0</v>
      </c>
      <c r="DS45" s="760">
        <f>WWWW[[#This Row],['# people reached by regular dedicated hygiene promotion_5]]/WWWW[[#This Row],[Total PoP ]]</f>
        <v>1</v>
      </c>
      <c r="DT4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0.65</v>
      </c>
      <c r="DU4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0.88571428571428568</v>
      </c>
      <c r="DV45" s="761">
        <f>WWWW[[#This Row],['#_Constructed/Existing hand washing stations]]-WWWW[[#This Row],['#_Non-Functional_hand_washing_stations]]</f>
        <v>8</v>
      </c>
      <c r="DW45" s="758">
        <f>IF(WWWW[[#This Row],['# Functional hand washing stations during reporting period]]*20&gt;WWWW[[#This Row],[Total HH]],WWWW[[#This Row],[Total HH]],WWWW[[#This Row],['# Functional hand washing stations during reporting period]]*20)</f>
        <v>140</v>
      </c>
      <c r="DX45" s="758">
        <f>IF(WWWW[[#This Row],[Is sufficient soap available for TLS? (Yes/No)]]="yes",WWWW[[#This Row],['#_Constructed/Existing hand washing stations at TLS/CFS/THF]],0)</f>
        <v>0</v>
      </c>
      <c r="DY45" s="429">
        <f>IF(WWWW[[#This Row],['# Functional hand washing stations during reporting period]]*100&gt;WWWW[[#This Row],[Total PoP ]],WWWW[[#This Row],[Total PoP ]],WWWW[[#This Row],['# Functional hand washing stations during reporting period]]*100)</f>
        <v>800</v>
      </c>
      <c r="DZ45" s="429" t="str">
        <f>IF(OR(WWWW[[#This Row],['#_students at TLS_CFS]]="",WWWW[[#This Row],['#_students at TLS_CFS]]=0),"No","Yes")</f>
        <v>No</v>
      </c>
      <c r="EA4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5" s="754" t="str">
        <f>VLOOKUP(WWWW[[#This Row],[Site Name]],SiteDB6[[Site Name]:[CCCM Management]],6,FALSE)</f>
        <v>Yes</v>
      </c>
      <c r="EF45" s="754" t="str">
        <f>VLOOKUP(WWWW[[#This Row],[Site Name]],SiteDB6[[Site Name]:[CCCM Focal Agency]],7,FALSE)</f>
        <v>KBC-MYT</v>
      </c>
      <c r="EG45" s="754" t="str">
        <f>VLOOKUP(WWWW[[#This Row],[Site Name]],SiteDB6[[Site Name]:[Location Type 1]],9,FALSE)</f>
        <v>Camp</v>
      </c>
      <c r="EH45" s="754" t="str">
        <f>VLOOKUP(WWWW[[#This Row],[Site Name]],SiteDB6[[Site Name]:[Type of Accommodation]],10,FALSE)</f>
        <v>Camp</v>
      </c>
      <c r="EI45" s="754" t="str">
        <f>VLOOKUP(WWWW[[#This Row],[Site Name]],SiteDB6[[Site Name]:[Ethnic or GCA/NGCA]],11,FALSE)</f>
        <v>NGCA</v>
      </c>
      <c r="EJ45" s="754">
        <f>VLOOKUP(WWWW[[#This Row],[Site Name]],SiteDB6[[Site Name]:[Lat]],12,FALSE)</f>
        <v>25.200333000000001</v>
      </c>
      <c r="EK45" s="754">
        <f>VLOOKUP(WWWW[[#This Row],[Site Name]],SiteDB6[[Site Name]:[Long]],13,FALSE)</f>
        <v>97.807182999999995</v>
      </c>
      <c r="EL45" s="754" t="str">
        <f>VLOOKUP(WWWW[[#This Row],[Site Name]],SiteDB6[[Site Name]:[Pcode]],3,FALSE)</f>
        <v>MMR001CMP115</v>
      </c>
      <c r="EM45" s="759" t="str">
        <f t="shared" si="0"/>
        <v>Covered</v>
      </c>
      <c r="EN45" s="759"/>
      <c r="EO45" s="754">
        <f>VLOOKUP(WWWW[[#This Row],[Site Name]],SiteDB6[[Site Name]:[Pop
(Kachin/Shan-CCCM as of July 2021)]],16,FALSE)</f>
        <v>138</v>
      </c>
      <c r="EP45" s="754">
        <f>VLOOKUP(WWWW[[#This Row],[Site Name]],SiteDB6[[Site Name]:[Pop
(Kachin/Shan-CCCM as of July 2021)]],17,FALSE)</f>
        <v>966</v>
      </c>
    </row>
    <row r="46" spans="1:146" hidden="1">
      <c r="A46" s="752" t="s">
        <v>2785</v>
      </c>
      <c r="B46" s="752" t="s">
        <v>141</v>
      </c>
      <c r="C46" s="753" t="s">
        <v>141</v>
      </c>
      <c r="D46" s="753" t="s">
        <v>241</v>
      </c>
      <c r="E46" s="753" t="s">
        <v>37</v>
      </c>
      <c r="F46" s="753" t="s">
        <v>142</v>
      </c>
      <c r="G46" s="594" t="str">
        <f>VLOOKUP(WWWW[[#This Row],[Site Name]],SiteDB6[[Site Name]:[Location Type]],8,FALSE)</f>
        <v>Camp</v>
      </c>
      <c r="H46" s="753" t="s">
        <v>176</v>
      </c>
      <c r="I46" s="755">
        <v>28</v>
      </c>
      <c r="J46" s="755">
        <v>159</v>
      </c>
      <c r="K46" s="756">
        <v>44105</v>
      </c>
      <c r="L46" s="757">
        <v>44681</v>
      </c>
      <c r="M46" s="755"/>
      <c r="N46" s="755">
        <v>1</v>
      </c>
      <c r="O46" s="755"/>
      <c r="P46" s="755"/>
      <c r="Q46" s="758" t="s">
        <v>41</v>
      </c>
      <c r="R46" s="755"/>
      <c r="S46" s="755">
        <v>1</v>
      </c>
      <c r="T46" s="449">
        <v>2</v>
      </c>
      <c r="U46" s="755"/>
      <c r="V46" s="755"/>
      <c r="W46" s="755">
        <v>1</v>
      </c>
      <c r="X46" s="755"/>
      <c r="Y46" s="755"/>
      <c r="Z46" s="755"/>
      <c r="AA46" s="755"/>
      <c r="AB46" s="755"/>
      <c r="AC46" s="755"/>
      <c r="AD46" s="755"/>
      <c r="AE46" s="755"/>
      <c r="AF46" s="755"/>
      <c r="AG46" s="755"/>
      <c r="AH46" s="755">
        <v>3</v>
      </c>
      <c r="AI46" s="755"/>
      <c r="AJ46" s="755"/>
      <c r="AK46" s="755"/>
      <c r="AL46" s="755"/>
      <c r="AM46" s="755"/>
      <c r="AN46" s="755"/>
      <c r="AO46" s="755"/>
      <c r="AP46" s="759"/>
      <c r="AQ46" s="755">
        <v>6</v>
      </c>
      <c r="AR46" s="755"/>
      <c r="AS46" s="760"/>
      <c r="AT46" s="755"/>
      <c r="AU46" s="755"/>
      <c r="AV46" s="755">
        <v>12</v>
      </c>
      <c r="AW46" s="755"/>
      <c r="AX46" s="755">
        <v>6</v>
      </c>
      <c r="AY46" s="754" t="s">
        <v>41</v>
      </c>
      <c r="AZ46" s="759" t="s">
        <v>137</v>
      </c>
      <c r="BA46" s="755"/>
      <c r="BB46" s="755"/>
      <c r="BC46" s="755"/>
      <c r="BD46" s="449"/>
      <c r="BE46" s="449"/>
      <c r="BF46" s="754"/>
      <c r="BG46" s="755">
        <v>8</v>
      </c>
      <c r="BH46" s="755"/>
      <c r="BI46" s="755"/>
      <c r="BJ46" s="755">
        <v>3</v>
      </c>
      <c r="BK46" s="755"/>
      <c r="BL46" s="755"/>
      <c r="BM46" s="755">
        <v>1</v>
      </c>
      <c r="BN46" s="755">
        <v>91</v>
      </c>
      <c r="BO46" s="755">
        <v>124</v>
      </c>
      <c r="BP46" s="754"/>
      <c r="BQ46" s="761"/>
      <c r="BR46" s="760"/>
      <c r="BS46" s="754"/>
      <c r="BT46" s="424"/>
      <c r="BU46" s="424"/>
      <c r="BV46" s="426"/>
      <c r="BW46" s="424"/>
      <c r="BX46" s="449"/>
      <c r="BY46" s="449"/>
      <c r="BZ46" s="449"/>
      <c r="CA46" s="449"/>
      <c r="CB46" s="449"/>
      <c r="CC46" s="807"/>
      <c r="CD46" s="449"/>
      <c r="CE46" s="762" t="str">
        <f>IFERROR(WWWW[[#This Row],['#_Water sources passed]]/WWWW[[#This Row],['#_Water sources tested for fecal coliform ]],"no test")</f>
        <v>no test</v>
      </c>
      <c r="CF46" s="760" t="str">
        <f>IFERROR(WWWW[[#This Row],['#_Household passed]]/WWWW[[#This Row],['#_Household water samples tested for fecal coliform]],"no test")</f>
        <v>no test</v>
      </c>
      <c r="CG46" s="761" t="str">
        <f>IF(AND(WWWW[[#This Row],[% of water sources passed]]="no test",WWWW[[#This Row],[% Household passed]]="no test"),"No Test","Tested")</f>
        <v>No Test</v>
      </c>
      <c r="CH46" s="761">
        <f>WWWW[[#This Row],['#_Constructed/existing protected hand dug well]]-WWWW[[#This Row],['#_Non-functional protected hand dug well]]</f>
        <v>2</v>
      </c>
      <c r="CI46" s="761">
        <f>(WWWW[[#This Row],['#_Constructed/Existing tube wells/boreholes/handpumps_WASH_agency]]+WWWW[[#This Row],['#_Non-Cluster partner water tube-wells/boreholes/handpumps]])-WWWW[[#This Row],['#_Non-functional tube wells/boreholes/handpumps]]</f>
        <v>1</v>
      </c>
      <c r="CJ46" s="761">
        <f>WWWW[[#This Row],['#_Constructed/Existingwater storage tank with gravity fed reticulation system]]-WWWW[[#This Row],['#_Non-functional storage tank gravity fed reticulation system]]</f>
        <v>0</v>
      </c>
      <c r="CK46" s="761">
        <f>(WWWW[[#This Row],['#_Water_Liters_supplied_by_Water boating or water trucking]]/90)/15</f>
        <v>0</v>
      </c>
      <c r="CL46" s="761">
        <f>WWWW[[#This Row],['#_Water_Liters_from_Constructed/Existing water distribution system from river or natural spring]]/90/15</f>
        <v>0</v>
      </c>
      <c r="CM46" s="425">
        <f>IF(WWWW[[#This Row],['#_of water points in TLS/CFS]]*500&gt;WWWW[[#This Row],[Total PoP ]],WWWW[[#This Row],[Total PoP ]],WWWW[[#This Row],['#_of water points in TLS/CFS]]*500)</f>
        <v>0</v>
      </c>
      <c r="CN46" s="425">
        <f>IF(WWWW[[#This Row],['#_of water points in THF]]*500&gt;WWWW[[#This Row],[Total PoP ]],WWWW[[#This Row],[Total PoP ]],WWWW[[#This Row],['#_of water points in THF]]*500)</f>
        <v>0</v>
      </c>
      <c r="CO4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6" s="760">
        <f>IF(WWWW[[#This Row],[Location Type 1]]="Village",WWWW[[#This Row],[Access to safe drinking water for Village]],WWWW[[#This Row],[Access to safe drinking water for Camp]])</f>
        <v>1</v>
      </c>
      <c r="CR46" s="758">
        <f>WWWW[[#This Row],[%Equitable and continuous access to sufficient quantity of safe drinking water]]*WWWW[[#This Row],[Total PoP ]]</f>
        <v>159</v>
      </c>
      <c r="CS46" s="760">
        <f>IF((WWWW[[#This Row],['#_Constructed/Existing protected/fenced ponds]]*250)/WWWW[[#This Row],[Total PoP ]]&gt;1,1,(WWWW[[#This Row],['#_Constructed/Existing protected/fenced ponds]]*250)/WWWW[[#This Row],[Total PoP ]])</f>
        <v>0</v>
      </c>
      <c r="CT46" s="758">
        <f>WWWW[[#This Row],[% Access to unimproved water points]]*WWWW[[#This Row],[Total PoP ]]</f>
        <v>0</v>
      </c>
      <c r="CU4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159</v>
      </c>
      <c r="CW46" s="758">
        <f>WWWW[[#This Row],[HRP1]]/500</f>
        <v>0.318</v>
      </c>
      <c r="CX46" s="763">
        <f>1-WWWW[[#This Row],[% Equitable and continuous access to sufficient quantity of domestic water]]</f>
        <v>0</v>
      </c>
      <c r="CY46" s="758">
        <f>WWWW[[#This Row],[%equitable and continuous access to sufficient quantity of safe drinking and domestic water''s GAP]]*WWWW[[#This Row],[Total PoP ]]</f>
        <v>0</v>
      </c>
      <c r="CZ46" s="761">
        <f>IF(WWWW[[#This Row],[Total required water points]]-WWWW[[#This Row],['#Water points coverage]]&lt;0,0,WWWW[[#This Row],[Total required water points]]-WWWW[[#This Row],['#Water points coverage]])</f>
        <v>0.68199999999999994</v>
      </c>
      <c r="DA46" s="761">
        <f>ROUND(IF(WWWW[[#This Row],[Total PoP ]]&lt;500,1,WWWW[[#This Row],[Total PoP ]]/500),0)</f>
        <v>1</v>
      </c>
      <c r="DB46" s="761">
        <f>(WWWW[[#This Row],['#_Constructed latrines_by_WASHAgencies]]+WWWW[[#This Row],['#_Non Cluster partner latrines]])-WWWW[[#This Row],['#_Non-functional latrines]]</f>
        <v>6</v>
      </c>
      <c r="DC46" s="634">
        <f>WWWW[[#This Row],[HRP2]]/WWWW[[#This Row],[Total PoP ]]</f>
        <v>0.75471698113207553</v>
      </c>
      <c r="DD4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4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159</v>
      </c>
      <c r="DF4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6" s="425">
        <f>IF(WWWW[[#This Row],['# of functional latrines in THF supported by WASH partners during the reporting period2]]="",0,WWWW[[#This Row],['# of functional latrines in THF supported by WASH partners during the reporting period2]]*50)</f>
        <v>0</v>
      </c>
      <c r="DH46" s="761">
        <f>ROUND(IF(WWWW[[#This Row],[Location Type 1]]="camp",WWWW[[#This Row],[Total PoP ]]/20,IF(WWWW[[#This Row],[Location Type 1]]="Temporary Location",WWWW[[#This Row],[Total PoP ]]/50,(WWWW[[#This Row],[Total PoP ]]/6))),0)</f>
        <v>8</v>
      </c>
      <c r="DI46" s="761">
        <f>IF(WWWW[[#This Row],[Total required Latrines]]-(WWWW[[#This Row],['#_Constructed latrines_by_WASHAgencies]]+WWWW[[#This Row],['#_Non Cluster partner latrines]])&lt;0,0,WWWW[[#This Row],[Total required Latrines]]-(WWWW[[#This Row],['#_Constructed latrines_by_WASHAgencies]]+WWWW[[#This Row],['#_Non Cluster partner latrines]]))</f>
        <v>2</v>
      </c>
      <c r="DJ46" s="763">
        <f>1-WWWW[[#This Row],[% people access to functioning Latrine]]</f>
        <v>0.24528301886792447</v>
      </c>
      <c r="DK46" s="762">
        <f>IF(OR(WWWW[[#This Row],['#_Non-functional latrines]]="",WWWW[[#This Row],['#_Non-functional latrines]]=0),0,WWWW[[#This Row],['#_Non-functional latrines]]/(WWWW[[#This Row],['#_Constructed latrines_by_WASHAgencies]]+WWWW[[#This Row],['#_Non Cluster partner latrines]]))</f>
        <v>0</v>
      </c>
      <c r="DL46" s="758">
        <f>IF(500*(WWWW[[#This Row],['#_male hygiene promoters]]+WWWW[[#This Row],['#_female hygiene promoters]])&gt;WWWW[[#This Row],[Total PoP ]],WWWW[[#This Row],[Total PoP ]],500*(WWWW[[#This Row],['#_male hygiene promoters]]+WWWW[[#This Row],['#_female hygiene promoters]]))</f>
        <v>159</v>
      </c>
      <c r="DM4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159</v>
      </c>
      <c r="DN4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46" s="761">
        <f>IF(WWWW[[#This Row],['# People with access to soap]]&gt;WWWW[[#This Row],['# People with access to Sanity Pads]],WWWW[[#This Row],['# People with access to soap]],WWWW[[#This Row],['# People with access to Sanity Pads]])</f>
        <v>159</v>
      </c>
      <c r="DP46" s="761">
        <f>IF(WWWW[[#This Row],['# people reached by regular dedicated hygiene promotion_5]]&gt;WWWW[[#This Row],['# People received regular supply of hygiene items_6]],WWWW[[#This Row],['# people reached by regular dedicated hygiene promotion_5]],WWWW[[#This Row],['# People received regular supply of hygiene items_6]])</f>
        <v>159</v>
      </c>
      <c r="DQ46" s="763">
        <f>IF(WWWW[[#This Row],[HRP3]]/WWWW[[#This Row],[Total PoP ]]&gt;1,1,WWWW[[#This Row],[HRP3]]/WWWW[[#This Row],[Total PoP ]])</f>
        <v>1</v>
      </c>
      <c r="DR46" s="762">
        <f>1-WWWW[[#This Row],[Hygiene Coverage%]]</f>
        <v>0</v>
      </c>
      <c r="DS46" s="760">
        <f>WWWW[[#This Row],['# people reached by regular dedicated hygiene promotion_5]]/WWWW[[#This Row],[Total PoP ]]</f>
        <v>1</v>
      </c>
      <c r="DT4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6" s="761">
        <f>WWWW[[#This Row],['#_Constructed/Existing hand washing stations]]-WWWW[[#This Row],['#_Non-Functional_hand_washing_stations]]</f>
        <v>8</v>
      </c>
      <c r="DW46" s="758">
        <f>IF(WWWW[[#This Row],['# Functional hand washing stations during reporting period]]*20&gt;WWWW[[#This Row],[Total HH]],WWWW[[#This Row],[Total HH]],WWWW[[#This Row],['# Functional hand washing stations during reporting period]]*20)</f>
        <v>28</v>
      </c>
      <c r="DX46" s="758">
        <f>IF(WWWW[[#This Row],[Is sufficient soap available for TLS? (Yes/No)]]="yes",WWWW[[#This Row],['#_Constructed/Existing hand washing stations at TLS/CFS/THF]],0)</f>
        <v>0</v>
      </c>
      <c r="DY46" s="429">
        <f>IF(WWWW[[#This Row],['# Functional hand washing stations during reporting period]]*100&gt;WWWW[[#This Row],[Total PoP ]],WWWW[[#This Row],[Total PoP ]],WWWW[[#This Row],['# Functional hand washing stations during reporting period]]*100)</f>
        <v>159</v>
      </c>
      <c r="DZ46" s="429" t="str">
        <f>IF(OR(WWWW[[#This Row],['#_students at TLS_CFS]]="",WWWW[[#This Row],['#_students at TLS_CFS]]=0),"No","Yes")</f>
        <v>No</v>
      </c>
      <c r="EA4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6" s="754" t="str">
        <f>VLOOKUP(WWWW[[#This Row],[Site Name]],SiteDB6[[Site Name]:[CCCM Management]],6,FALSE)</f>
        <v>Yes</v>
      </c>
      <c r="EF46" s="754" t="str">
        <f>VLOOKUP(WWWW[[#This Row],[Site Name]],SiteDB6[[Site Name]:[CCCM Focal Agency]],7,FALSE)</f>
        <v>KBC-MYT</v>
      </c>
      <c r="EG46" s="754" t="str">
        <f>VLOOKUP(WWWW[[#This Row],[Site Name]],SiteDB6[[Site Name]:[Location Type 1]],9,FALSE)</f>
        <v>Camp</v>
      </c>
      <c r="EH46" s="754" t="str">
        <f>VLOOKUP(WWWW[[#This Row],[Site Name]],SiteDB6[[Site Name]:[Type of Accommodation]],10,FALSE)</f>
        <v>Camp</v>
      </c>
      <c r="EI46" s="754" t="str">
        <f>VLOOKUP(WWWW[[#This Row],[Site Name]],SiteDB6[[Site Name]:[Ethnic or GCA/NGCA]],11,FALSE)</f>
        <v>GCA</v>
      </c>
      <c r="EJ46" s="754">
        <f>VLOOKUP(WWWW[[#This Row],[Site Name]],SiteDB6[[Site Name]:[Lat]],12,FALSE)</f>
        <v>25.356632000000001</v>
      </c>
      <c r="EK46" s="754">
        <f>VLOOKUP(WWWW[[#This Row],[Site Name]],SiteDB6[[Site Name]:[Long]],13,FALSE)</f>
        <v>97.451965000000001</v>
      </c>
      <c r="EL46" s="754" t="str">
        <f>VLOOKUP(WWWW[[#This Row],[Site Name]],SiteDB6[[Site Name]:[Pcode]],3,FALSE)</f>
        <v>MMR001CMP027</v>
      </c>
      <c r="EM46" s="759" t="str">
        <f t="shared" si="0"/>
        <v>Covered</v>
      </c>
      <c r="EN46" s="759"/>
      <c r="EO46" s="754">
        <f>VLOOKUP(WWWW[[#This Row],[Site Name]],SiteDB6[[Site Name]:[Pop
(Kachin/Shan-CCCM as of July 2021)]],16,FALSE)</f>
        <v>39</v>
      </c>
      <c r="EP46" s="754">
        <f>VLOOKUP(WWWW[[#This Row],[Site Name]],SiteDB6[[Site Name]:[Pop
(Kachin/Shan-CCCM as of July 2021)]],17,FALSE)</f>
        <v>238</v>
      </c>
    </row>
    <row r="47" spans="1:146" hidden="1">
      <c r="A47" s="752" t="s">
        <v>2785</v>
      </c>
      <c r="B47" s="729" t="s">
        <v>2828</v>
      </c>
      <c r="C47" s="753" t="s">
        <v>141</v>
      </c>
      <c r="D47" s="370" t="s">
        <v>2609</v>
      </c>
      <c r="E47" s="753" t="s">
        <v>37</v>
      </c>
      <c r="F47" s="753" t="s">
        <v>142</v>
      </c>
      <c r="G47" s="594" t="str">
        <f>VLOOKUP(WWWW[[#This Row],[Site Name]],SiteDB6[[Site Name]:[Location Type]],8,FALSE)</f>
        <v>Camp</v>
      </c>
      <c r="H47" s="753" t="s">
        <v>177</v>
      </c>
      <c r="I47" s="449">
        <v>405</v>
      </c>
      <c r="J47" s="449">
        <v>1736</v>
      </c>
      <c r="K47" s="830" t="s">
        <v>2836</v>
      </c>
      <c r="L47" s="56" t="s">
        <v>2837</v>
      </c>
      <c r="M47" s="755"/>
      <c r="N47" s="755">
        <v>6</v>
      </c>
      <c r="O47" s="755"/>
      <c r="P47" s="755"/>
      <c r="Q47" s="758" t="s">
        <v>41</v>
      </c>
      <c r="R47" s="755"/>
      <c r="S47" s="755">
        <v>5</v>
      </c>
      <c r="T47" s="449"/>
      <c r="U47" s="755"/>
      <c r="V47" s="755"/>
      <c r="W47" s="755"/>
      <c r="X47" s="755"/>
      <c r="Y47" s="755"/>
      <c r="Z47" s="755"/>
      <c r="AA47" s="755"/>
      <c r="AB47" s="755"/>
      <c r="AC47" s="755"/>
      <c r="AD47" s="755"/>
      <c r="AE47" s="755"/>
      <c r="AF47" s="755"/>
      <c r="AG47" s="755"/>
      <c r="AH47" s="755"/>
      <c r="AI47" s="755"/>
      <c r="AJ47" s="755"/>
      <c r="AK47" s="755"/>
      <c r="AL47" s="755"/>
      <c r="AM47" s="755"/>
      <c r="AN47" s="755"/>
      <c r="AO47" s="755"/>
      <c r="AP47" s="759"/>
      <c r="AQ47" s="755">
        <v>407</v>
      </c>
      <c r="AR47" s="755"/>
      <c r="AS47" s="760"/>
      <c r="AT47" s="755"/>
      <c r="AU47" s="755"/>
      <c r="AV47" s="755"/>
      <c r="AW47" s="755"/>
      <c r="AX47" s="755"/>
      <c r="AY47" s="754" t="s">
        <v>41</v>
      </c>
      <c r="AZ47" s="759" t="s">
        <v>137</v>
      </c>
      <c r="BA47" s="755">
        <v>3</v>
      </c>
      <c r="BB47" s="755"/>
      <c r="BC47" s="755"/>
      <c r="BD47" s="449"/>
      <c r="BE47" s="449"/>
      <c r="BF47" s="754"/>
      <c r="BG47" s="755">
        <v>3</v>
      </c>
      <c r="BH47" s="755"/>
      <c r="BI47" s="755"/>
      <c r="BJ47" s="755">
        <v>2</v>
      </c>
      <c r="BK47" s="755"/>
      <c r="BL47" s="755">
        <v>1</v>
      </c>
      <c r="BM47" s="755">
        <v>5</v>
      </c>
      <c r="BN47" s="755">
        <v>10</v>
      </c>
      <c r="BO47" s="755">
        <v>18</v>
      </c>
      <c r="BP47" s="754"/>
      <c r="BQ47" s="761"/>
      <c r="BR47" s="760"/>
      <c r="BS47" s="754"/>
      <c r="BT47" s="424"/>
      <c r="BU47" s="424"/>
      <c r="BV47" s="426"/>
      <c r="BW47" s="424"/>
      <c r="BX47" s="449"/>
      <c r="BY47" s="449"/>
      <c r="BZ47" s="449"/>
      <c r="CA47" s="449"/>
      <c r="CB47" s="449"/>
      <c r="CC47" s="807"/>
      <c r="CD47" s="449"/>
      <c r="CE47" s="762" t="str">
        <f>IFERROR(WWWW[[#This Row],['#_Water sources passed]]/WWWW[[#This Row],['#_Water sources tested for fecal coliform ]],"no test")</f>
        <v>no test</v>
      </c>
      <c r="CF47" s="760" t="str">
        <f>IFERROR(WWWW[[#This Row],['#_Household passed]]/WWWW[[#This Row],['#_Household water samples tested for fecal coliform]],"no test")</f>
        <v>no test</v>
      </c>
      <c r="CG47" s="761" t="str">
        <f>IF(AND(WWWW[[#This Row],[% of water sources passed]]="no test",WWWW[[#This Row],[% Household passed]]="no test"),"No Test","Tested")</f>
        <v>No Test</v>
      </c>
      <c r="CH47" s="761">
        <f>WWWW[[#This Row],['#_Constructed/existing protected hand dug well]]-WWWW[[#This Row],['#_Non-functional protected hand dug well]]</f>
        <v>0</v>
      </c>
      <c r="CI47" s="761">
        <f>(WWWW[[#This Row],['#_Constructed/Existing tube wells/boreholes/handpumps_WASH_agency]]+WWWW[[#This Row],['#_Non-Cluster partner water tube-wells/boreholes/handpumps]])-WWWW[[#This Row],['#_Non-functional tube wells/boreholes/handpumps]]</f>
        <v>0</v>
      </c>
      <c r="CJ47" s="761">
        <f>WWWW[[#This Row],['#_Constructed/Existingwater storage tank with gravity fed reticulation system]]-WWWW[[#This Row],['#_Non-functional storage tank gravity fed reticulation system]]</f>
        <v>0</v>
      </c>
      <c r="CK47" s="761">
        <f>(WWWW[[#This Row],['#_Water_Liters_supplied_by_Water boating or water trucking]]/90)/15</f>
        <v>0</v>
      </c>
      <c r="CL47" s="761">
        <f>WWWW[[#This Row],['#_Water_Liters_from_Constructed/Existing water distribution system from river or natural spring]]/90/15</f>
        <v>0</v>
      </c>
      <c r="CM47" s="425">
        <f>IF(WWWW[[#This Row],['#_of water points in TLS/CFS]]*500&gt;WWWW[[#This Row],[Total PoP ]],WWWW[[#This Row],[Total PoP ]],WWWW[[#This Row],['#_of water points in TLS/CFS]]*500)</f>
        <v>0</v>
      </c>
      <c r="CN47" s="425">
        <f>IF(WWWW[[#This Row],['#_of water points in THF]]*500&gt;WWWW[[#This Row],[Total PoP ]],WWWW[[#This Row],[Total PoP ]],WWWW[[#This Row],['#_of water points in THF]]*500)</f>
        <v>0</v>
      </c>
      <c r="CO4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4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47" s="760">
        <f>IF(WWWW[[#This Row],[Location Type 1]]="Village",WWWW[[#This Row],[Access to safe drinking water for Village]],WWWW[[#This Row],[Access to safe drinking water for Camp]])</f>
        <v>0</v>
      </c>
      <c r="CR47" s="758">
        <f>WWWW[[#This Row],[%Equitable and continuous access to sufficient quantity of safe drinking water]]*WWWW[[#This Row],[Total PoP ]]</f>
        <v>0</v>
      </c>
      <c r="CS47" s="760">
        <f>IF((WWWW[[#This Row],['#_Constructed/Existing protected/fenced ponds]]*250)/WWWW[[#This Row],[Total PoP ]]&gt;1,1,(WWWW[[#This Row],['#_Constructed/Existing protected/fenced ponds]]*250)/WWWW[[#This Row],[Total PoP ]])</f>
        <v>0</v>
      </c>
      <c r="CT47" s="758">
        <f>WWWW[[#This Row],[% Access to unimproved water points]]*WWWW[[#This Row],[Total PoP ]]</f>
        <v>0</v>
      </c>
      <c r="CU4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4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47" s="758">
        <f>WWWW[[#This Row],[HRP1]]/500</f>
        <v>0</v>
      </c>
      <c r="CX47" s="763">
        <f>1-WWWW[[#This Row],[% Equitable and continuous access to sufficient quantity of domestic water]]</f>
        <v>1</v>
      </c>
      <c r="CY47" s="758">
        <f>WWWW[[#This Row],[%equitable and continuous access to sufficient quantity of safe drinking and domestic water''s GAP]]*WWWW[[#This Row],[Total PoP ]]</f>
        <v>1736</v>
      </c>
      <c r="CZ47" s="761">
        <f>IF(WWWW[[#This Row],[Total required water points]]-WWWW[[#This Row],['#Water points coverage]]&lt;0,0,WWWW[[#This Row],[Total required water points]]-WWWW[[#This Row],['#Water points coverage]])</f>
        <v>3</v>
      </c>
      <c r="DA47" s="761">
        <f>ROUND(IF(WWWW[[#This Row],[Total PoP ]]&lt;500,1,WWWW[[#This Row],[Total PoP ]]/500),0)</f>
        <v>3</v>
      </c>
      <c r="DB47" s="761">
        <f>(WWWW[[#This Row],['#_Constructed latrines_by_WASHAgencies]]+WWWW[[#This Row],['#_Non Cluster partner latrines]])-WWWW[[#This Row],['#_Non-functional latrines]]</f>
        <v>407</v>
      </c>
      <c r="DC47" s="634">
        <f>WWWW[[#This Row],[HRP2]]/WWWW[[#This Row],[Total PoP ]]</f>
        <v>1</v>
      </c>
      <c r="DD4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1736</v>
      </c>
      <c r="DE4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4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7" s="425">
        <f>IF(WWWW[[#This Row],['# of functional latrines in THF supported by WASH partners during the reporting period2]]="",0,WWWW[[#This Row],['# of functional latrines in THF supported by WASH partners during the reporting period2]]*50)</f>
        <v>0</v>
      </c>
      <c r="DH47" s="761">
        <f>ROUND(IF(WWWW[[#This Row],[Location Type 1]]="camp",WWWW[[#This Row],[Total PoP ]]/20,IF(WWWW[[#This Row],[Location Type 1]]="Temporary Location",WWWW[[#This Row],[Total PoP ]]/50,(WWWW[[#This Row],[Total PoP ]]/6))),0)</f>
        <v>289</v>
      </c>
      <c r="DI47" s="761">
        <f>IF(WWWW[[#This Row],[Total required Latrines]]-(WWWW[[#This Row],['#_Constructed latrines_by_WASHAgencies]]+WWWW[[#This Row],['#_Non Cluster partner latrines]])&lt;0,0,WWWW[[#This Row],[Total required Latrines]]-(WWWW[[#This Row],['#_Constructed latrines_by_WASHAgencies]]+WWWW[[#This Row],['#_Non Cluster partner latrines]]))</f>
        <v>0</v>
      </c>
      <c r="DJ47" s="763">
        <f>1-WWWW[[#This Row],[% people access to functioning Latrine]]</f>
        <v>0</v>
      </c>
      <c r="DK47" s="762">
        <f>IF(OR(WWWW[[#This Row],['#_Non-functional latrines]]="",WWWW[[#This Row],['#_Non-functional latrines]]=0),0,WWWW[[#This Row],['#_Non-functional latrines]]/(WWWW[[#This Row],['#_Constructed latrines_by_WASHAgencies]]+WWWW[[#This Row],['#_Non Cluster partner latrines]]))</f>
        <v>0</v>
      </c>
      <c r="DL47" s="758">
        <f>IF(500*(WWWW[[#This Row],['#_male hygiene promoters]]+WWWW[[#This Row],['#_female hygiene promoters]])&gt;WWWW[[#This Row],[Total PoP ]],WWWW[[#This Row],[Total PoP ]],500*(WWWW[[#This Row],['#_male hygiene promoters]]+WWWW[[#This Row],['#_female hygiene promoters]]))</f>
        <v>1736</v>
      </c>
      <c r="DM4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4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47" s="761">
        <f>IF(WWWW[[#This Row],['# People with access to soap]]&gt;WWWW[[#This Row],['# People with access to Sanity Pads]],WWWW[[#This Row],['# People with access to soap]],WWWW[[#This Row],['# People with access to Sanity Pads]])</f>
        <v>50</v>
      </c>
      <c r="DP47" s="761">
        <f>IF(WWWW[[#This Row],['# people reached by regular dedicated hygiene promotion_5]]&gt;WWWW[[#This Row],['# People received regular supply of hygiene items_6]],WWWW[[#This Row],['# people reached by regular dedicated hygiene promotion_5]],WWWW[[#This Row],['# People received regular supply of hygiene items_6]])</f>
        <v>1736</v>
      </c>
      <c r="DQ47" s="763">
        <f>IF(WWWW[[#This Row],[HRP3]]/WWWW[[#This Row],[Total PoP ]]&gt;1,1,WWWW[[#This Row],[HRP3]]/WWWW[[#This Row],[Total PoP ]])</f>
        <v>1</v>
      </c>
      <c r="DR47" s="762">
        <f>1-WWWW[[#This Row],[Hygiene Coverage%]]</f>
        <v>0</v>
      </c>
      <c r="DS47" s="760">
        <f>WWWW[[#This Row],['# people reached by regular dedicated hygiene promotion_5]]/WWWW[[#This Row],[Total PoP ]]</f>
        <v>1</v>
      </c>
      <c r="DT4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2.4691358024691357E-2</v>
      </c>
      <c r="DU4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4.4444444444444446E-2</v>
      </c>
      <c r="DV47" s="761">
        <f>WWWW[[#This Row],['#_Constructed/Existing hand washing stations]]-WWWW[[#This Row],['#_Non-Functional_hand_washing_stations]]</f>
        <v>3</v>
      </c>
      <c r="DW47" s="758">
        <f>IF(WWWW[[#This Row],['# Functional hand washing stations during reporting period]]*20&gt;WWWW[[#This Row],[Total HH]],WWWW[[#This Row],[Total HH]],WWWW[[#This Row],['# Functional hand washing stations during reporting period]]*20)</f>
        <v>60</v>
      </c>
      <c r="DX47" s="758">
        <f>IF(WWWW[[#This Row],[Is sufficient soap available for TLS? (Yes/No)]]="yes",WWWW[[#This Row],['#_Constructed/Existing hand washing stations at TLS/CFS/THF]],0)</f>
        <v>0</v>
      </c>
      <c r="DY47" s="429">
        <f>IF(WWWW[[#This Row],['# Functional hand washing stations during reporting period]]*100&gt;WWWW[[#This Row],[Total PoP ]],WWWW[[#This Row],[Total PoP ]],WWWW[[#This Row],['# Functional hand washing stations during reporting period]]*100)</f>
        <v>300</v>
      </c>
      <c r="DZ47" s="429" t="str">
        <f>IF(OR(WWWW[[#This Row],['#_students at TLS_CFS]]="",WWWW[[#This Row],['#_students at TLS_CFS]]=0),"No","Yes")</f>
        <v>No</v>
      </c>
      <c r="EA4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7" s="754" t="str">
        <f>VLOOKUP(WWWW[[#This Row],[Site Name]],SiteDB6[[Site Name]:[CCCM Management]],6,FALSE)</f>
        <v>Yes</v>
      </c>
      <c r="EF47" s="754" t="str">
        <f>VLOOKUP(WWWW[[#This Row],[Site Name]],SiteDB6[[Site Name]:[CCCM Focal Agency]],7,FALSE)</f>
        <v>KMSS-MYT</v>
      </c>
      <c r="EG47" s="754" t="str">
        <f>VLOOKUP(WWWW[[#This Row],[Site Name]],SiteDB6[[Site Name]:[Location Type 1]],9,FALSE)</f>
        <v>Village Type Camp</v>
      </c>
      <c r="EH47" s="754" t="str">
        <f>VLOOKUP(WWWW[[#This Row],[Site Name]],SiteDB6[[Site Name]:[Type of Accommodation]],10,FALSE)</f>
        <v>Camp</v>
      </c>
      <c r="EI47" s="754" t="str">
        <f>VLOOKUP(WWWW[[#This Row],[Site Name]],SiteDB6[[Site Name]:[Ethnic or GCA/NGCA]],11,FALSE)</f>
        <v>NGCA</v>
      </c>
      <c r="EJ47" s="754">
        <f>VLOOKUP(WWWW[[#This Row],[Site Name]],SiteDB6[[Site Name]:[Lat]],12,FALSE)</f>
        <v>24.980250000000002</v>
      </c>
      <c r="EK47" s="754">
        <f>VLOOKUP(WWWW[[#This Row],[Site Name]],SiteDB6[[Site Name]:[Long]],13,FALSE)</f>
        <v>97.715230000000005</v>
      </c>
      <c r="EL47" s="754" t="str">
        <f>VLOOKUP(WWWW[[#This Row],[Site Name]],SiteDB6[[Site Name]:[Pcode]],3,FALSE)</f>
        <v>MMR001CMP119</v>
      </c>
      <c r="EM47" s="759" t="str">
        <f t="shared" si="0"/>
        <v>Covered</v>
      </c>
      <c r="EN47" s="759"/>
      <c r="EO47" s="754">
        <f>VLOOKUP(WWWW[[#This Row],[Site Name]],SiteDB6[[Site Name]:[Pop
(Kachin/Shan-CCCM as of July 2021)]],16,FALSE)</f>
        <v>417</v>
      </c>
      <c r="EP47" s="754">
        <f>VLOOKUP(WWWW[[#This Row],[Site Name]],SiteDB6[[Site Name]:[Pop
(Kachin/Shan-CCCM as of July 2021)]],17,FALSE)</f>
        <v>1608</v>
      </c>
    </row>
    <row r="48" spans="1:146" hidden="1">
      <c r="A48" s="752" t="s">
        <v>2785</v>
      </c>
      <c r="B48" s="752" t="s">
        <v>141</v>
      </c>
      <c r="C48" s="753" t="s">
        <v>141</v>
      </c>
      <c r="D48" s="753" t="s">
        <v>241</v>
      </c>
      <c r="E48" s="753" t="s">
        <v>37</v>
      </c>
      <c r="F48" s="753" t="s">
        <v>142</v>
      </c>
      <c r="G48" s="594" t="str">
        <f>VLOOKUP(WWWW[[#This Row],[Site Name]],SiteDB6[[Site Name]:[Location Type]],8,FALSE)</f>
        <v>Camp</v>
      </c>
      <c r="H48" s="753" t="s">
        <v>178</v>
      </c>
      <c r="I48" s="755">
        <v>494</v>
      </c>
      <c r="J48" s="755">
        <v>2500</v>
      </c>
      <c r="K48" s="756">
        <v>44105</v>
      </c>
      <c r="L48" s="757">
        <v>44681</v>
      </c>
      <c r="M48" s="755"/>
      <c r="N48" s="755">
        <v>6</v>
      </c>
      <c r="O48" s="755"/>
      <c r="P48" s="755"/>
      <c r="Q48" s="758" t="s">
        <v>41</v>
      </c>
      <c r="R48" s="755"/>
      <c r="S48" s="755"/>
      <c r="T48" s="449">
        <v>9</v>
      </c>
      <c r="U48" s="755"/>
      <c r="V48" s="755"/>
      <c r="W48" s="755">
        <v>2</v>
      </c>
      <c r="X48" s="755"/>
      <c r="Y48" s="755"/>
      <c r="Z48" s="755"/>
      <c r="AA48" s="755"/>
      <c r="AB48" s="755"/>
      <c r="AC48" s="755"/>
      <c r="AD48" s="755"/>
      <c r="AE48" s="755"/>
      <c r="AF48" s="755"/>
      <c r="AG48" s="755"/>
      <c r="AH48" s="755">
        <v>9</v>
      </c>
      <c r="AI48" s="755"/>
      <c r="AJ48" s="755"/>
      <c r="AK48" s="755"/>
      <c r="AL48" s="755"/>
      <c r="AM48" s="755"/>
      <c r="AN48" s="755"/>
      <c r="AO48" s="755"/>
      <c r="AP48" s="759"/>
      <c r="AQ48" s="755">
        <v>130</v>
      </c>
      <c r="AR48" s="755"/>
      <c r="AS48" s="760"/>
      <c r="AT48" s="755"/>
      <c r="AU48" s="755">
        <v>30</v>
      </c>
      <c r="AV48" s="755">
        <v>122</v>
      </c>
      <c r="AW48" s="755"/>
      <c r="AX48" s="755">
        <v>130</v>
      </c>
      <c r="AY48" s="754" t="s">
        <v>41</v>
      </c>
      <c r="AZ48" s="759" t="s">
        <v>137</v>
      </c>
      <c r="BA48" s="755"/>
      <c r="BB48" s="755"/>
      <c r="BC48" s="755"/>
      <c r="BD48" s="449"/>
      <c r="BE48" s="449"/>
      <c r="BF48" s="754"/>
      <c r="BG48" s="755">
        <v>7</v>
      </c>
      <c r="BH48" s="755"/>
      <c r="BI48" s="755"/>
      <c r="BJ48" s="755">
        <v>7</v>
      </c>
      <c r="BK48" s="755"/>
      <c r="BL48" s="755">
        <v>2</v>
      </c>
      <c r="BM48" s="755">
        <v>4</v>
      </c>
      <c r="BN48" s="755">
        <v>104</v>
      </c>
      <c r="BO48" s="755">
        <v>148</v>
      </c>
      <c r="BP48" s="754"/>
      <c r="BQ48" s="761"/>
      <c r="BR48" s="760"/>
      <c r="BS48" s="754"/>
      <c r="BT48" s="424"/>
      <c r="BU48" s="424"/>
      <c r="BV48" s="426"/>
      <c r="BW48" s="424"/>
      <c r="BX48" s="449"/>
      <c r="BY48" s="449"/>
      <c r="BZ48" s="449"/>
      <c r="CA48" s="449"/>
      <c r="CB48" s="449"/>
      <c r="CC48" s="807"/>
      <c r="CD48" s="449"/>
      <c r="CE48" s="762" t="str">
        <f>IFERROR(WWWW[[#This Row],['#_Water sources passed]]/WWWW[[#This Row],['#_Water sources tested for fecal coliform ]],"no test")</f>
        <v>no test</v>
      </c>
      <c r="CF48" s="760" t="str">
        <f>IFERROR(WWWW[[#This Row],['#_Household passed]]/WWWW[[#This Row],['#_Household water samples tested for fecal coliform]],"no test")</f>
        <v>no test</v>
      </c>
      <c r="CG48" s="761" t="str">
        <f>IF(AND(WWWW[[#This Row],[% of water sources passed]]="no test",WWWW[[#This Row],[% Household passed]]="no test"),"No Test","Tested")</f>
        <v>No Test</v>
      </c>
      <c r="CH48" s="761">
        <f>WWWW[[#This Row],['#_Constructed/existing protected hand dug well]]-WWWW[[#This Row],['#_Non-functional protected hand dug well]]</f>
        <v>9</v>
      </c>
      <c r="CI48" s="761">
        <f>(WWWW[[#This Row],['#_Constructed/Existing tube wells/boreholes/handpumps_WASH_agency]]+WWWW[[#This Row],['#_Non-Cluster partner water tube-wells/boreholes/handpumps]])-WWWW[[#This Row],['#_Non-functional tube wells/boreholes/handpumps]]</f>
        <v>2</v>
      </c>
      <c r="CJ48" s="761">
        <f>WWWW[[#This Row],['#_Constructed/Existingwater storage tank with gravity fed reticulation system]]-WWWW[[#This Row],['#_Non-functional storage tank gravity fed reticulation system]]</f>
        <v>0</v>
      </c>
      <c r="CK48" s="761">
        <f>(WWWW[[#This Row],['#_Water_Liters_supplied_by_Water boating or water trucking]]/90)/15</f>
        <v>0</v>
      </c>
      <c r="CL48" s="761">
        <f>WWWW[[#This Row],['#_Water_Liters_from_Constructed/Existing water distribution system from river or natural spring]]/90/15</f>
        <v>0</v>
      </c>
      <c r="CM48" s="425">
        <f>IF(WWWW[[#This Row],['#_of water points in TLS/CFS]]*500&gt;WWWW[[#This Row],[Total PoP ]],WWWW[[#This Row],[Total PoP ]],WWWW[[#This Row],['#_of water points in TLS/CFS]]*500)</f>
        <v>0</v>
      </c>
      <c r="CN48" s="425">
        <f>IF(WWWW[[#This Row],['#_of water points in THF]]*500&gt;WWWW[[#This Row],[Total PoP ]],WWWW[[#This Row],[Total PoP ]],WWWW[[#This Row],['#_of water points in THF]]*500)</f>
        <v>0</v>
      </c>
      <c r="CO4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8" s="760">
        <f>IF(WWWW[[#This Row],[Location Type 1]]="Village",WWWW[[#This Row],[Access to safe drinking water for Village]],WWWW[[#This Row],[Access to safe drinking water for Camp]])</f>
        <v>1</v>
      </c>
      <c r="CR48" s="758">
        <f>WWWW[[#This Row],[%Equitable and continuous access to sufficient quantity of safe drinking water]]*WWWW[[#This Row],[Total PoP ]]</f>
        <v>2500</v>
      </c>
      <c r="CS48" s="760">
        <f>IF((WWWW[[#This Row],['#_Constructed/Existing protected/fenced ponds]]*250)/WWWW[[#This Row],[Total PoP ]]&gt;1,1,(WWWW[[#This Row],['#_Constructed/Existing protected/fenced ponds]]*250)/WWWW[[#This Row],[Total PoP ]])</f>
        <v>0</v>
      </c>
      <c r="CT48" s="758">
        <f>WWWW[[#This Row],[% Access to unimproved water points]]*WWWW[[#This Row],[Total PoP ]]</f>
        <v>0</v>
      </c>
      <c r="CU4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v>
      </c>
      <c r="CW48" s="758">
        <f>WWWW[[#This Row],[HRP1]]/500</f>
        <v>5</v>
      </c>
      <c r="CX48" s="763">
        <f>1-WWWW[[#This Row],[% Equitable and continuous access to sufficient quantity of domestic water]]</f>
        <v>0</v>
      </c>
      <c r="CY48" s="758">
        <f>WWWW[[#This Row],[%equitable and continuous access to sufficient quantity of safe drinking and domestic water''s GAP]]*WWWW[[#This Row],[Total PoP ]]</f>
        <v>0</v>
      </c>
      <c r="CZ48" s="761">
        <f>IF(WWWW[[#This Row],[Total required water points]]-WWWW[[#This Row],['#Water points coverage]]&lt;0,0,WWWW[[#This Row],[Total required water points]]-WWWW[[#This Row],['#Water points coverage]])</f>
        <v>0</v>
      </c>
      <c r="DA48" s="761">
        <f>ROUND(IF(WWWW[[#This Row],[Total PoP ]]&lt;500,1,WWWW[[#This Row],[Total PoP ]]/500),0)</f>
        <v>5</v>
      </c>
      <c r="DB48" s="761">
        <f>(WWWW[[#This Row],['#_Constructed latrines_by_WASHAgencies]]+WWWW[[#This Row],['#_Non Cluster partner latrines]])-WWWW[[#This Row],['#_Non-functional latrines]]</f>
        <v>130</v>
      </c>
      <c r="DC48" s="634">
        <f>WWWW[[#This Row],[HRP2]]/WWWW[[#This Row],[Total PoP ]]</f>
        <v>1</v>
      </c>
      <c r="DD4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2500</v>
      </c>
      <c r="DE4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2440</v>
      </c>
      <c r="DF4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8" s="425">
        <f>IF(WWWW[[#This Row],['# of functional latrines in THF supported by WASH partners during the reporting period2]]="",0,WWWW[[#This Row],['# of functional latrines in THF supported by WASH partners during the reporting period2]]*50)</f>
        <v>0</v>
      </c>
      <c r="DH48" s="761">
        <f>ROUND(IF(WWWW[[#This Row],[Location Type 1]]="camp",WWWW[[#This Row],[Total PoP ]]/20,IF(WWWW[[#This Row],[Location Type 1]]="Temporary Location",WWWW[[#This Row],[Total PoP ]]/50,(WWWW[[#This Row],[Total PoP ]]/6))),0)</f>
        <v>125</v>
      </c>
      <c r="DI48" s="761">
        <f>IF(WWWW[[#This Row],[Total required Latrines]]-(WWWW[[#This Row],['#_Constructed latrines_by_WASHAgencies]]+WWWW[[#This Row],['#_Non Cluster partner latrines]])&lt;0,0,WWWW[[#This Row],[Total required Latrines]]-(WWWW[[#This Row],['#_Constructed latrines_by_WASHAgencies]]+WWWW[[#This Row],['#_Non Cluster partner latrines]]))</f>
        <v>0</v>
      </c>
      <c r="DJ48" s="763">
        <f>1-WWWW[[#This Row],[% people access to functioning Latrine]]</f>
        <v>0</v>
      </c>
      <c r="DK48" s="762">
        <f>IF(OR(WWWW[[#This Row],['#_Non-functional latrines]]="",WWWW[[#This Row],['#_Non-functional latrines]]=0),0,WWWW[[#This Row],['#_Non-functional latrines]]/(WWWW[[#This Row],['#_Constructed latrines_by_WASHAgencies]]+WWWW[[#This Row],['#_Non Cluster partner latrines]]))</f>
        <v>0</v>
      </c>
      <c r="DL48" s="758">
        <f>IF(500*(WWWW[[#This Row],['#_male hygiene promoters]]+WWWW[[#This Row],['#_female hygiene promoters]])&gt;WWWW[[#This Row],[Total PoP ]],WWWW[[#This Row],[Total PoP ]],500*(WWWW[[#This Row],['#_male hygiene promoters]]+WWWW[[#This Row],['#_female hygiene promoters]]))</f>
        <v>2500</v>
      </c>
      <c r="DM4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4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48" s="761">
        <f>IF(WWWW[[#This Row],['# People with access to soap]]&gt;WWWW[[#This Row],['# People with access to Sanity Pads]],WWWW[[#This Row],['# People with access to soap]],WWWW[[#This Row],['# People with access to Sanity Pads]])</f>
        <v>520</v>
      </c>
      <c r="DP48" s="761">
        <f>IF(WWWW[[#This Row],['# people reached by regular dedicated hygiene promotion_5]]&gt;WWWW[[#This Row],['# People received regular supply of hygiene items_6]],WWWW[[#This Row],['# people reached by regular dedicated hygiene promotion_5]],WWWW[[#This Row],['# People received regular supply of hygiene items_6]])</f>
        <v>2500</v>
      </c>
      <c r="DQ48" s="763">
        <f>IF(WWWW[[#This Row],[HRP3]]/WWWW[[#This Row],[Total PoP ]]&gt;1,1,WWWW[[#This Row],[HRP3]]/WWWW[[#This Row],[Total PoP ]])</f>
        <v>1</v>
      </c>
      <c r="DR48" s="762">
        <f>1-WWWW[[#This Row],[Hygiene Coverage%]]</f>
        <v>0</v>
      </c>
      <c r="DS48" s="760">
        <f>WWWW[[#This Row],['# people reached by regular dedicated hygiene promotion_5]]/WWWW[[#This Row],[Total PoP ]]</f>
        <v>1</v>
      </c>
      <c r="DT4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0.84210526315789469</v>
      </c>
      <c r="DU4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0.29959514170040485</v>
      </c>
      <c r="DV48" s="761">
        <f>WWWW[[#This Row],['#_Constructed/Existing hand washing stations]]-WWWW[[#This Row],['#_Non-Functional_hand_washing_stations]]</f>
        <v>7</v>
      </c>
      <c r="DW48" s="758">
        <f>IF(WWWW[[#This Row],['# Functional hand washing stations during reporting period]]*20&gt;WWWW[[#This Row],[Total HH]],WWWW[[#This Row],[Total HH]],WWWW[[#This Row],['# Functional hand washing stations during reporting period]]*20)</f>
        <v>140</v>
      </c>
      <c r="DX48" s="758">
        <f>IF(WWWW[[#This Row],[Is sufficient soap available for TLS? (Yes/No)]]="yes",WWWW[[#This Row],['#_Constructed/Existing hand washing stations at TLS/CFS/THF]],0)</f>
        <v>0</v>
      </c>
      <c r="DY48" s="429">
        <f>IF(WWWW[[#This Row],['# Functional hand washing stations during reporting period]]*100&gt;WWWW[[#This Row],[Total PoP ]],WWWW[[#This Row],[Total PoP ]],WWWW[[#This Row],['# Functional hand washing stations during reporting period]]*100)</f>
        <v>700</v>
      </c>
      <c r="DZ48" s="429" t="str">
        <f>IF(OR(WWWW[[#This Row],['#_students at TLS_CFS]]="",WWWW[[#This Row],['#_students at TLS_CFS]]=0),"No","Yes")</f>
        <v>No</v>
      </c>
      <c r="EA4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8" s="754" t="str">
        <f>VLOOKUP(WWWW[[#This Row],[Site Name]],SiteDB6[[Site Name]:[CCCM Management]],6,FALSE)</f>
        <v>Yes</v>
      </c>
      <c r="EF48" s="754" t="str">
        <f>VLOOKUP(WWWW[[#This Row],[Site Name]],SiteDB6[[Site Name]:[CCCM Focal Agency]],7,FALSE)</f>
        <v>KBC-MYT</v>
      </c>
      <c r="EG48" s="754" t="str">
        <f>VLOOKUP(WWWW[[#This Row],[Site Name]],SiteDB6[[Site Name]:[Location Type 1]],9,FALSE)</f>
        <v>Camp</v>
      </c>
      <c r="EH48" s="754" t="str">
        <f>VLOOKUP(WWWW[[#This Row],[Site Name]],SiteDB6[[Site Name]:[Type of Accommodation]],10,FALSE)</f>
        <v>Camp</v>
      </c>
      <c r="EI48" s="754" t="str">
        <f>VLOOKUP(WWWW[[#This Row],[Site Name]],SiteDB6[[Site Name]:[Ethnic or GCA/NGCA]],11,FALSE)</f>
        <v>GCA</v>
      </c>
      <c r="EJ48" s="754">
        <f>VLOOKUP(WWWW[[#This Row],[Site Name]],SiteDB6[[Site Name]:[Lat]],12,FALSE)</f>
        <v>25.4118005797101</v>
      </c>
      <c r="EK48" s="754">
        <f>VLOOKUP(WWWW[[#This Row],[Site Name]],SiteDB6[[Site Name]:[Long]],13,FALSE)</f>
        <v>97.434855869565197</v>
      </c>
      <c r="EL48" s="754" t="str">
        <f>VLOOKUP(WWWW[[#This Row],[Site Name]],SiteDB6[[Site Name]:[Pcode]],3,FALSE)</f>
        <v>MMR001CMP040</v>
      </c>
      <c r="EM48" s="759" t="str">
        <f t="shared" si="0"/>
        <v>Covered</v>
      </c>
      <c r="EN48" s="759"/>
      <c r="EO48" s="754">
        <f>VLOOKUP(WWWW[[#This Row],[Site Name]],SiteDB6[[Site Name]:[Pop
(Kachin/Shan-CCCM as of July 2021)]],16,FALSE)</f>
        <v>531</v>
      </c>
      <c r="EP48" s="754">
        <f>VLOOKUP(WWWW[[#This Row],[Site Name]],SiteDB6[[Site Name]:[Pop
(Kachin/Shan-CCCM as of July 2021)]],17,FALSE)</f>
        <v>2920</v>
      </c>
    </row>
    <row r="49" spans="1:146" hidden="1">
      <c r="A49" s="752" t="s">
        <v>2785</v>
      </c>
      <c r="B49" s="752" t="s">
        <v>141</v>
      </c>
      <c r="C49" s="753" t="s">
        <v>141</v>
      </c>
      <c r="D49" s="753" t="s">
        <v>241</v>
      </c>
      <c r="E49" s="753" t="s">
        <v>37</v>
      </c>
      <c r="F49" s="753" t="s">
        <v>142</v>
      </c>
      <c r="G49" s="594" t="str">
        <f>VLOOKUP(WWWW[[#This Row],[Site Name]],SiteDB6[[Site Name]:[Location Type]],8,FALSE)</f>
        <v>Camp</v>
      </c>
      <c r="H49" s="753" t="s">
        <v>179</v>
      </c>
      <c r="I49" s="755">
        <v>43</v>
      </c>
      <c r="J49" s="755">
        <v>191</v>
      </c>
      <c r="K49" s="756">
        <v>44105</v>
      </c>
      <c r="L49" s="757">
        <v>44681</v>
      </c>
      <c r="M49" s="755"/>
      <c r="N49" s="755">
        <v>1</v>
      </c>
      <c r="O49" s="755"/>
      <c r="P49" s="755"/>
      <c r="Q49" s="758" t="s">
        <v>41</v>
      </c>
      <c r="R49" s="755"/>
      <c r="S49" s="755">
        <v>4</v>
      </c>
      <c r="T49" s="449">
        <v>1</v>
      </c>
      <c r="U49" s="755"/>
      <c r="V49" s="755"/>
      <c r="W49" s="755"/>
      <c r="X49" s="755"/>
      <c r="Y49" s="755"/>
      <c r="Z49" s="755"/>
      <c r="AA49" s="755"/>
      <c r="AB49" s="755"/>
      <c r="AC49" s="755"/>
      <c r="AD49" s="755"/>
      <c r="AE49" s="755"/>
      <c r="AF49" s="755"/>
      <c r="AG49" s="755"/>
      <c r="AH49" s="755">
        <v>2</v>
      </c>
      <c r="AI49" s="755"/>
      <c r="AJ49" s="755"/>
      <c r="AK49" s="755"/>
      <c r="AL49" s="755"/>
      <c r="AM49" s="755"/>
      <c r="AN49" s="755"/>
      <c r="AO49" s="755"/>
      <c r="AP49" s="759"/>
      <c r="AQ49" s="755">
        <v>10</v>
      </c>
      <c r="AR49" s="755"/>
      <c r="AS49" s="760"/>
      <c r="AT49" s="755"/>
      <c r="AU49" s="755"/>
      <c r="AV49" s="755">
        <v>60</v>
      </c>
      <c r="AW49" s="755"/>
      <c r="AX49" s="755">
        <v>10</v>
      </c>
      <c r="AY49" s="754" t="s">
        <v>41</v>
      </c>
      <c r="AZ49" s="759" t="s">
        <v>137</v>
      </c>
      <c r="BA49" s="755"/>
      <c r="BB49" s="755"/>
      <c r="BC49" s="755"/>
      <c r="BD49" s="449"/>
      <c r="BE49" s="449"/>
      <c r="BF49" s="754"/>
      <c r="BG49" s="755">
        <v>7</v>
      </c>
      <c r="BH49" s="755"/>
      <c r="BI49" s="755"/>
      <c r="BJ49" s="755">
        <v>4</v>
      </c>
      <c r="BK49" s="755"/>
      <c r="BL49" s="755">
        <v>1</v>
      </c>
      <c r="BM49" s="755"/>
      <c r="BN49" s="755">
        <v>124</v>
      </c>
      <c r="BO49" s="755">
        <v>198</v>
      </c>
      <c r="BP49" s="754"/>
      <c r="BQ49" s="761"/>
      <c r="BR49" s="760"/>
      <c r="BS49" s="754"/>
      <c r="BT49" s="424"/>
      <c r="BU49" s="424"/>
      <c r="BV49" s="426"/>
      <c r="BW49" s="424"/>
      <c r="BX49" s="449"/>
      <c r="BY49" s="449"/>
      <c r="BZ49" s="449"/>
      <c r="CA49" s="449"/>
      <c r="CB49" s="449"/>
      <c r="CC49" s="807"/>
      <c r="CD49" s="449"/>
      <c r="CE49" s="762" t="str">
        <f>IFERROR(WWWW[[#This Row],['#_Water sources passed]]/WWWW[[#This Row],['#_Water sources tested for fecal coliform ]],"no test")</f>
        <v>no test</v>
      </c>
      <c r="CF49" s="760" t="str">
        <f>IFERROR(WWWW[[#This Row],['#_Household passed]]/WWWW[[#This Row],['#_Household water samples tested for fecal coliform]],"no test")</f>
        <v>no test</v>
      </c>
      <c r="CG49" s="761" t="str">
        <f>IF(AND(WWWW[[#This Row],[% of water sources passed]]="no test",WWWW[[#This Row],[% Household passed]]="no test"),"No Test","Tested")</f>
        <v>No Test</v>
      </c>
      <c r="CH49" s="761">
        <f>WWWW[[#This Row],['#_Constructed/existing protected hand dug well]]-WWWW[[#This Row],['#_Non-functional protected hand dug well]]</f>
        <v>1</v>
      </c>
      <c r="CI49" s="761">
        <f>(WWWW[[#This Row],['#_Constructed/Existing tube wells/boreholes/handpumps_WASH_agency]]+WWWW[[#This Row],['#_Non-Cluster partner water tube-wells/boreholes/handpumps]])-WWWW[[#This Row],['#_Non-functional tube wells/boreholes/handpumps]]</f>
        <v>0</v>
      </c>
      <c r="CJ49" s="761">
        <f>WWWW[[#This Row],['#_Constructed/Existingwater storage tank with gravity fed reticulation system]]-WWWW[[#This Row],['#_Non-functional storage tank gravity fed reticulation system]]</f>
        <v>0</v>
      </c>
      <c r="CK49" s="761">
        <f>(WWWW[[#This Row],['#_Water_Liters_supplied_by_Water boating or water trucking]]/90)/15</f>
        <v>0</v>
      </c>
      <c r="CL49" s="761">
        <f>WWWW[[#This Row],['#_Water_Liters_from_Constructed/Existing water distribution system from river or natural spring]]/90/15</f>
        <v>0</v>
      </c>
      <c r="CM49" s="425">
        <f>IF(WWWW[[#This Row],['#_of water points in TLS/CFS]]*500&gt;WWWW[[#This Row],[Total PoP ]],WWWW[[#This Row],[Total PoP ]],WWWW[[#This Row],['#_of water points in TLS/CFS]]*500)</f>
        <v>0</v>
      </c>
      <c r="CN49" s="425">
        <f>IF(WWWW[[#This Row],['#_of water points in THF]]*500&gt;WWWW[[#This Row],[Total PoP ]],WWWW[[#This Row],[Total PoP ]],WWWW[[#This Row],['#_of water points in THF]]*500)</f>
        <v>0</v>
      </c>
      <c r="CO4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4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49" s="760">
        <f>IF(WWWW[[#This Row],[Location Type 1]]="Village",WWWW[[#This Row],[Access to safe drinking water for Village]],WWWW[[#This Row],[Access to safe drinking water for Camp]])</f>
        <v>1</v>
      </c>
      <c r="CR49" s="758">
        <f>WWWW[[#This Row],[%Equitable and continuous access to sufficient quantity of safe drinking water]]*WWWW[[#This Row],[Total PoP ]]</f>
        <v>191</v>
      </c>
      <c r="CS49" s="760">
        <f>IF((WWWW[[#This Row],['#_Constructed/Existing protected/fenced ponds]]*250)/WWWW[[#This Row],[Total PoP ]]&gt;1,1,(WWWW[[#This Row],['#_Constructed/Existing protected/fenced ponds]]*250)/WWWW[[#This Row],[Total PoP ]])</f>
        <v>0</v>
      </c>
      <c r="CT49" s="758">
        <f>WWWW[[#This Row],[% Access to unimproved water points]]*WWWW[[#This Row],[Total PoP ]]</f>
        <v>0</v>
      </c>
      <c r="CU4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4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191</v>
      </c>
      <c r="CW49" s="758">
        <f>WWWW[[#This Row],[HRP1]]/500</f>
        <v>0.38200000000000001</v>
      </c>
      <c r="CX49" s="763">
        <f>1-WWWW[[#This Row],[% Equitable and continuous access to sufficient quantity of domestic water]]</f>
        <v>0</v>
      </c>
      <c r="CY49" s="758">
        <f>WWWW[[#This Row],[%equitable and continuous access to sufficient quantity of safe drinking and domestic water''s GAP]]*WWWW[[#This Row],[Total PoP ]]</f>
        <v>0</v>
      </c>
      <c r="CZ49" s="761">
        <f>IF(WWWW[[#This Row],[Total required water points]]-WWWW[[#This Row],['#Water points coverage]]&lt;0,0,WWWW[[#This Row],[Total required water points]]-WWWW[[#This Row],['#Water points coverage]])</f>
        <v>0.61799999999999999</v>
      </c>
      <c r="DA49" s="761">
        <f>ROUND(IF(WWWW[[#This Row],[Total PoP ]]&lt;500,1,WWWW[[#This Row],[Total PoP ]]/500),0)</f>
        <v>1</v>
      </c>
      <c r="DB49" s="761">
        <f>(WWWW[[#This Row],['#_Constructed latrines_by_WASHAgencies]]+WWWW[[#This Row],['#_Non Cluster partner latrines]])-WWWW[[#This Row],['#_Non-functional latrines]]</f>
        <v>10</v>
      </c>
      <c r="DC49" s="634">
        <f>WWWW[[#This Row],[HRP2]]/WWWW[[#This Row],[Total PoP ]]</f>
        <v>1</v>
      </c>
      <c r="DD4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191</v>
      </c>
      <c r="DE4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191</v>
      </c>
      <c r="DF4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49" s="425">
        <f>IF(WWWW[[#This Row],['# of functional latrines in THF supported by WASH partners during the reporting period2]]="",0,WWWW[[#This Row],['# of functional latrines in THF supported by WASH partners during the reporting period2]]*50)</f>
        <v>0</v>
      </c>
      <c r="DH49" s="761">
        <f>ROUND(IF(WWWW[[#This Row],[Location Type 1]]="camp",WWWW[[#This Row],[Total PoP ]]/20,IF(WWWW[[#This Row],[Location Type 1]]="Temporary Location",WWWW[[#This Row],[Total PoP ]]/50,(WWWW[[#This Row],[Total PoP ]]/6))),0)</f>
        <v>10</v>
      </c>
      <c r="DI49" s="761">
        <f>IF(WWWW[[#This Row],[Total required Latrines]]-(WWWW[[#This Row],['#_Constructed latrines_by_WASHAgencies]]+WWWW[[#This Row],['#_Non Cluster partner latrines]])&lt;0,0,WWWW[[#This Row],[Total required Latrines]]-(WWWW[[#This Row],['#_Constructed latrines_by_WASHAgencies]]+WWWW[[#This Row],['#_Non Cluster partner latrines]]))</f>
        <v>0</v>
      </c>
      <c r="DJ49" s="763">
        <f>1-WWWW[[#This Row],[% people access to functioning Latrine]]</f>
        <v>0</v>
      </c>
      <c r="DK49" s="762">
        <f>IF(OR(WWWW[[#This Row],['#_Non-functional latrines]]="",WWWW[[#This Row],['#_Non-functional latrines]]=0),0,WWWW[[#This Row],['#_Non-functional latrines]]/(WWWW[[#This Row],['#_Constructed latrines_by_WASHAgencies]]+WWWW[[#This Row],['#_Non Cluster partner latrines]]))</f>
        <v>0</v>
      </c>
      <c r="DL49" s="758">
        <f>IF(500*(WWWW[[#This Row],['#_male hygiene promoters]]+WWWW[[#This Row],['#_female hygiene promoters]])&gt;WWWW[[#This Row],[Total PoP ]],WWWW[[#This Row],[Total PoP ]],500*(WWWW[[#This Row],['#_male hygiene promoters]]+WWWW[[#This Row],['#_female hygiene promoters]]))</f>
        <v>191</v>
      </c>
      <c r="DM4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191</v>
      </c>
      <c r="DN4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191</v>
      </c>
      <c r="DO49" s="761">
        <f>IF(WWWW[[#This Row],['# People with access to soap]]&gt;WWWW[[#This Row],['# People with access to Sanity Pads]],WWWW[[#This Row],['# People with access to soap]],WWWW[[#This Row],['# People with access to Sanity Pads]])</f>
        <v>191</v>
      </c>
      <c r="DP49" s="761">
        <f>IF(WWWW[[#This Row],['# people reached by regular dedicated hygiene promotion_5]]&gt;WWWW[[#This Row],['# People received regular supply of hygiene items_6]],WWWW[[#This Row],['# people reached by regular dedicated hygiene promotion_5]],WWWW[[#This Row],['# People received regular supply of hygiene items_6]])</f>
        <v>191</v>
      </c>
      <c r="DQ49" s="763">
        <f>IF(WWWW[[#This Row],[HRP3]]/WWWW[[#This Row],[Total PoP ]]&gt;1,1,WWWW[[#This Row],[HRP3]]/WWWW[[#This Row],[Total PoP ]])</f>
        <v>1</v>
      </c>
      <c r="DR49" s="762">
        <f>1-WWWW[[#This Row],[Hygiene Coverage%]]</f>
        <v>0</v>
      </c>
      <c r="DS49" s="760">
        <f>WWWW[[#This Row],['# people reached by regular dedicated hygiene promotion_5]]/WWWW[[#This Row],[Total PoP ]]</f>
        <v>1</v>
      </c>
      <c r="DT4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4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49" s="761">
        <f>WWWW[[#This Row],['#_Constructed/Existing hand washing stations]]-WWWW[[#This Row],['#_Non-Functional_hand_washing_stations]]</f>
        <v>7</v>
      </c>
      <c r="DW49" s="758">
        <f>IF(WWWW[[#This Row],['# Functional hand washing stations during reporting period]]*20&gt;WWWW[[#This Row],[Total HH]],WWWW[[#This Row],[Total HH]],WWWW[[#This Row],['# Functional hand washing stations during reporting period]]*20)</f>
        <v>43</v>
      </c>
      <c r="DX49" s="758">
        <f>IF(WWWW[[#This Row],[Is sufficient soap available for TLS? (Yes/No)]]="yes",WWWW[[#This Row],['#_Constructed/Existing hand washing stations at TLS/CFS/THF]],0)</f>
        <v>0</v>
      </c>
      <c r="DY49" s="429">
        <f>IF(WWWW[[#This Row],['# Functional hand washing stations during reporting period]]*100&gt;WWWW[[#This Row],[Total PoP ]],WWWW[[#This Row],[Total PoP ]],WWWW[[#This Row],['# Functional hand washing stations during reporting period]]*100)</f>
        <v>191</v>
      </c>
      <c r="DZ49" s="429" t="str">
        <f>IF(OR(WWWW[[#This Row],['#_students at TLS_CFS]]="",WWWW[[#This Row],['#_students at TLS_CFS]]=0),"No","Yes")</f>
        <v>No</v>
      </c>
      <c r="EA4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4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4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4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49" s="754" t="str">
        <f>VLOOKUP(WWWW[[#This Row],[Site Name]],SiteDB6[[Site Name]:[CCCM Management]],6,FALSE)</f>
        <v>Yes</v>
      </c>
      <c r="EF49" s="754" t="str">
        <f>VLOOKUP(WWWW[[#This Row],[Site Name]],SiteDB6[[Site Name]:[CCCM Focal Agency]],7,FALSE)</f>
        <v>KBC-MYT</v>
      </c>
      <c r="EG49" s="754" t="str">
        <f>VLOOKUP(WWWW[[#This Row],[Site Name]],SiteDB6[[Site Name]:[Location Type 1]],9,FALSE)</f>
        <v>Camp</v>
      </c>
      <c r="EH49" s="754" t="str">
        <f>VLOOKUP(WWWW[[#This Row],[Site Name]],SiteDB6[[Site Name]:[Type of Accommodation]],10,FALSE)</f>
        <v>Camp</v>
      </c>
      <c r="EI49" s="754" t="str">
        <f>VLOOKUP(WWWW[[#This Row],[Site Name]],SiteDB6[[Site Name]:[Ethnic or GCA/NGCA]],11,FALSE)</f>
        <v>GCA</v>
      </c>
      <c r="EJ49" s="754">
        <f>VLOOKUP(WWWW[[#This Row],[Site Name]],SiteDB6[[Site Name]:[Lat]],12,FALSE)</f>
        <v>25.409612685185198</v>
      </c>
      <c r="EK49" s="754">
        <f>VLOOKUP(WWWW[[#This Row],[Site Name]],SiteDB6[[Site Name]:[Long]],13,FALSE)</f>
        <v>97.426536944444507</v>
      </c>
      <c r="EL49" s="754" t="str">
        <f>VLOOKUP(WWWW[[#This Row],[Site Name]],SiteDB6[[Site Name]:[Pcode]],3,FALSE)</f>
        <v>MMR001CMP039</v>
      </c>
      <c r="EM49" s="759" t="str">
        <f t="shared" si="0"/>
        <v>Covered</v>
      </c>
      <c r="EN49" s="759"/>
      <c r="EO49" s="754">
        <f>VLOOKUP(WWWW[[#This Row],[Site Name]],SiteDB6[[Site Name]:[Pop
(Kachin/Shan-CCCM as of July 2021)]],16,FALSE)</f>
        <v>55</v>
      </c>
      <c r="EP49" s="754">
        <f>VLOOKUP(WWWW[[#This Row],[Site Name]],SiteDB6[[Site Name]:[Pop
(Kachin/Shan-CCCM as of July 2021)]],17,FALSE)</f>
        <v>283</v>
      </c>
    </row>
    <row r="50" spans="1:146" hidden="1">
      <c r="A50" s="752" t="s">
        <v>2785</v>
      </c>
      <c r="B50" s="729" t="s">
        <v>2828</v>
      </c>
      <c r="C50" s="753" t="s">
        <v>141</v>
      </c>
      <c r="D50" s="370" t="s">
        <v>2609</v>
      </c>
      <c r="E50" s="753" t="s">
        <v>37</v>
      </c>
      <c r="F50" s="753" t="s">
        <v>142</v>
      </c>
      <c r="G50" s="594" t="str">
        <f>VLOOKUP(WWWW[[#This Row],[Site Name]],SiteDB6[[Site Name]:[Location Type]],8,FALSE)</f>
        <v>Camp</v>
      </c>
      <c r="H50" s="753" t="s">
        <v>180</v>
      </c>
      <c r="I50" s="449">
        <v>177</v>
      </c>
      <c r="J50" s="449">
        <v>852</v>
      </c>
      <c r="K50" s="830" t="s">
        <v>2836</v>
      </c>
      <c r="L50" s="56" t="s">
        <v>2837</v>
      </c>
      <c r="M50" s="755"/>
      <c r="N50" s="755">
        <v>3</v>
      </c>
      <c r="O50" s="755"/>
      <c r="P50" s="755"/>
      <c r="Q50" s="758" t="s">
        <v>41</v>
      </c>
      <c r="R50" s="755"/>
      <c r="S50" s="755">
        <v>4</v>
      </c>
      <c r="T50" s="449"/>
      <c r="U50" s="755"/>
      <c r="V50" s="755"/>
      <c r="W50" s="755"/>
      <c r="X50" s="755"/>
      <c r="Y50" s="755"/>
      <c r="Z50" s="755"/>
      <c r="AA50" s="755"/>
      <c r="AB50" s="755"/>
      <c r="AC50" s="755"/>
      <c r="AD50" s="755"/>
      <c r="AE50" s="755"/>
      <c r="AF50" s="755"/>
      <c r="AG50" s="755"/>
      <c r="AH50" s="755"/>
      <c r="AI50" s="755"/>
      <c r="AJ50" s="755"/>
      <c r="AK50" s="755"/>
      <c r="AL50" s="755"/>
      <c r="AM50" s="755"/>
      <c r="AN50" s="755"/>
      <c r="AO50" s="755"/>
      <c r="AP50" s="759"/>
      <c r="AQ50" s="755">
        <v>150</v>
      </c>
      <c r="AR50" s="755"/>
      <c r="AS50" s="760"/>
      <c r="AT50" s="755"/>
      <c r="AU50" s="755"/>
      <c r="AV50" s="755"/>
      <c r="AW50" s="755"/>
      <c r="AX50" s="755">
        <v>150</v>
      </c>
      <c r="AY50" s="754" t="s">
        <v>41</v>
      </c>
      <c r="AZ50" s="759" t="s">
        <v>137</v>
      </c>
      <c r="BA50" s="755"/>
      <c r="BB50" s="755"/>
      <c r="BC50" s="755"/>
      <c r="BD50" s="449"/>
      <c r="BE50" s="449"/>
      <c r="BF50" s="754"/>
      <c r="BG50" s="755">
        <v>8</v>
      </c>
      <c r="BH50" s="755"/>
      <c r="BI50" s="755"/>
      <c r="BJ50" s="755">
        <v>3</v>
      </c>
      <c r="BK50" s="755"/>
      <c r="BL50" s="755">
        <v>1</v>
      </c>
      <c r="BM50" s="755">
        <v>2</v>
      </c>
      <c r="BN50" s="755">
        <v>91</v>
      </c>
      <c r="BO50" s="755">
        <v>124</v>
      </c>
      <c r="BP50" s="754"/>
      <c r="BQ50" s="761"/>
      <c r="BR50" s="760"/>
      <c r="BS50" s="754"/>
      <c r="BT50" s="424"/>
      <c r="BU50" s="424"/>
      <c r="BV50" s="426"/>
      <c r="BW50" s="424"/>
      <c r="BX50" s="449"/>
      <c r="BY50" s="449"/>
      <c r="BZ50" s="449"/>
      <c r="CA50" s="449"/>
      <c r="CB50" s="449"/>
      <c r="CC50" s="807"/>
      <c r="CD50" s="449"/>
      <c r="CE50" s="762" t="str">
        <f>IFERROR(WWWW[[#This Row],['#_Water sources passed]]/WWWW[[#This Row],['#_Water sources tested for fecal coliform ]],"no test")</f>
        <v>no test</v>
      </c>
      <c r="CF50" s="760" t="str">
        <f>IFERROR(WWWW[[#This Row],['#_Household passed]]/WWWW[[#This Row],['#_Household water samples tested for fecal coliform]],"no test")</f>
        <v>no test</v>
      </c>
      <c r="CG50" s="761" t="str">
        <f>IF(AND(WWWW[[#This Row],[% of water sources passed]]="no test",WWWW[[#This Row],[% Household passed]]="no test"),"No Test","Tested")</f>
        <v>No Test</v>
      </c>
      <c r="CH50" s="761">
        <f>WWWW[[#This Row],['#_Constructed/existing protected hand dug well]]-WWWW[[#This Row],['#_Non-functional protected hand dug well]]</f>
        <v>0</v>
      </c>
      <c r="CI50" s="761">
        <f>(WWWW[[#This Row],['#_Constructed/Existing tube wells/boreholes/handpumps_WASH_agency]]+WWWW[[#This Row],['#_Non-Cluster partner water tube-wells/boreholes/handpumps]])-WWWW[[#This Row],['#_Non-functional tube wells/boreholes/handpumps]]</f>
        <v>0</v>
      </c>
      <c r="CJ50" s="761">
        <f>WWWW[[#This Row],['#_Constructed/Existingwater storage tank with gravity fed reticulation system]]-WWWW[[#This Row],['#_Non-functional storage tank gravity fed reticulation system]]</f>
        <v>0</v>
      </c>
      <c r="CK50" s="761">
        <f>(WWWW[[#This Row],['#_Water_Liters_supplied_by_Water boating or water trucking]]/90)/15</f>
        <v>0</v>
      </c>
      <c r="CL50" s="761">
        <f>WWWW[[#This Row],['#_Water_Liters_from_Constructed/Existing water distribution system from river or natural spring]]/90/15</f>
        <v>0</v>
      </c>
      <c r="CM50" s="425">
        <f>IF(WWWW[[#This Row],['#_of water points in TLS/CFS]]*500&gt;WWWW[[#This Row],[Total PoP ]],WWWW[[#This Row],[Total PoP ]],WWWW[[#This Row],['#_of water points in TLS/CFS]]*500)</f>
        <v>0</v>
      </c>
      <c r="CN50" s="425">
        <f>IF(WWWW[[#This Row],['#_of water points in THF]]*500&gt;WWWW[[#This Row],[Total PoP ]],WWWW[[#This Row],[Total PoP ]],WWWW[[#This Row],['#_of water points in THF]]*500)</f>
        <v>0</v>
      </c>
      <c r="CO5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0" s="760">
        <f>IF(WWWW[[#This Row],[Location Type 1]]="Village",WWWW[[#This Row],[Access to safe drinking water for Village]],WWWW[[#This Row],[Access to safe drinking water for Camp]])</f>
        <v>0</v>
      </c>
      <c r="CR50" s="758">
        <f>WWWW[[#This Row],[%Equitable and continuous access to sufficient quantity of safe drinking water]]*WWWW[[#This Row],[Total PoP ]]</f>
        <v>0</v>
      </c>
      <c r="CS50" s="760">
        <f>IF((WWWW[[#This Row],['#_Constructed/Existing protected/fenced ponds]]*250)/WWWW[[#This Row],[Total PoP ]]&gt;1,1,(WWWW[[#This Row],['#_Constructed/Existing protected/fenced ponds]]*250)/WWWW[[#This Row],[Total PoP ]])</f>
        <v>0</v>
      </c>
      <c r="CT50" s="758">
        <f>WWWW[[#This Row],[% Access to unimproved water points]]*WWWW[[#This Row],[Total PoP ]]</f>
        <v>0</v>
      </c>
      <c r="CU5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0" s="758">
        <f>WWWW[[#This Row],[HRP1]]/500</f>
        <v>0</v>
      </c>
      <c r="CX50" s="763">
        <f>1-WWWW[[#This Row],[% Equitable and continuous access to sufficient quantity of domestic water]]</f>
        <v>1</v>
      </c>
      <c r="CY50" s="758">
        <f>WWWW[[#This Row],[%equitable and continuous access to sufficient quantity of safe drinking and domestic water''s GAP]]*WWWW[[#This Row],[Total PoP ]]</f>
        <v>852</v>
      </c>
      <c r="CZ50" s="761">
        <f>IF(WWWW[[#This Row],[Total required water points]]-WWWW[[#This Row],['#Water points coverage]]&lt;0,0,WWWW[[#This Row],[Total required water points]]-WWWW[[#This Row],['#Water points coverage]])</f>
        <v>2</v>
      </c>
      <c r="DA50" s="761">
        <f>ROUND(IF(WWWW[[#This Row],[Total PoP ]]&lt;500,1,WWWW[[#This Row],[Total PoP ]]/500),0)</f>
        <v>2</v>
      </c>
      <c r="DB50" s="761">
        <f>(WWWW[[#This Row],['#_Constructed latrines_by_WASHAgencies]]+WWWW[[#This Row],['#_Non Cluster partner latrines]])-WWWW[[#This Row],['#_Non-functional latrines]]</f>
        <v>150</v>
      </c>
      <c r="DC50" s="634">
        <f>WWWW[[#This Row],[HRP2]]/WWWW[[#This Row],[Total PoP ]]</f>
        <v>0.88028169014084512</v>
      </c>
      <c r="DD5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750</v>
      </c>
      <c r="DE5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0" s="425">
        <f>IF(WWWW[[#This Row],['# of functional latrines in THF supported by WASH partners during the reporting period2]]="",0,WWWW[[#This Row],['# of functional latrines in THF supported by WASH partners during the reporting period2]]*50)</f>
        <v>0</v>
      </c>
      <c r="DH50" s="761">
        <f>ROUND(IF(WWWW[[#This Row],[Location Type 1]]="camp",WWWW[[#This Row],[Total PoP ]]/20,IF(WWWW[[#This Row],[Location Type 1]]="Temporary Location",WWWW[[#This Row],[Total PoP ]]/50,(WWWW[[#This Row],[Total PoP ]]/6))),0)</f>
        <v>142</v>
      </c>
      <c r="DI50" s="761">
        <f>IF(WWWW[[#This Row],[Total required Latrines]]-(WWWW[[#This Row],['#_Constructed latrines_by_WASHAgencies]]+WWWW[[#This Row],['#_Non Cluster partner latrines]])&lt;0,0,WWWW[[#This Row],[Total required Latrines]]-(WWWW[[#This Row],['#_Constructed latrines_by_WASHAgencies]]+WWWW[[#This Row],['#_Non Cluster partner latrines]]))</f>
        <v>0</v>
      </c>
      <c r="DJ50" s="763">
        <f>1-WWWW[[#This Row],[% people access to functioning Latrine]]</f>
        <v>0.11971830985915488</v>
      </c>
      <c r="DK50" s="762">
        <f>IF(OR(WWWW[[#This Row],['#_Non-functional latrines]]="",WWWW[[#This Row],['#_Non-functional latrines]]=0),0,WWWW[[#This Row],['#_Non-functional latrines]]/(WWWW[[#This Row],['#_Constructed latrines_by_WASHAgencies]]+WWWW[[#This Row],['#_Non Cluster partner latrines]]))</f>
        <v>0</v>
      </c>
      <c r="DL50" s="758">
        <f>IF(500*(WWWW[[#This Row],['#_male hygiene promoters]]+WWWW[[#This Row],['#_female hygiene promoters]])&gt;WWWW[[#This Row],[Total PoP ]],WWWW[[#This Row],[Total PoP ]],500*(WWWW[[#This Row],['#_male hygiene promoters]]+WWWW[[#This Row],['#_female hygiene promoters]]))</f>
        <v>852</v>
      </c>
      <c r="DM5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5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50" s="761">
        <f>IF(WWWW[[#This Row],['# People with access to soap]]&gt;WWWW[[#This Row],['# People with access to Sanity Pads]],WWWW[[#This Row],['# People with access to soap]],WWWW[[#This Row],['# People with access to Sanity Pads]])</f>
        <v>455</v>
      </c>
      <c r="DP50" s="761">
        <f>IF(WWWW[[#This Row],['# people reached by regular dedicated hygiene promotion_5]]&gt;WWWW[[#This Row],['# People received regular supply of hygiene items_6]],WWWW[[#This Row],['# people reached by regular dedicated hygiene promotion_5]],WWWW[[#This Row],['# People received regular supply of hygiene items_6]])</f>
        <v>852</v>
      </c>
      <c r="DQ50" s="763">
        <f>IF(WWWW[[#This Row],[HRP3]]/WWWW[[#This Row],[Total PoP ]]&gt;1,1,WWWW[[#This Row],[HRP3]]/WWWW[[#This Row],[Total PoP ]])</f>
        <v>1</v>
      </c>
      <c r="DR50" s="762">
        <f>1-WWWW[[#This Row],[Hygiene Coverage%]]</f>
        <v>0</v>
      </c>
      <c r="DS50" s="760">
        <f>WWWW[[#This Row],['# people reached by regular dedicated hygiene promotion_5]]/WWWW[[#This Row],[Total PoP ]]</f>
        <v>1</v>
      </c>
      <c r="DT5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0.51412429378531077</v>
      </c>
      <c r="DU5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0.70056497175141241</v>
      </c>
      <c r="DV50" s="761">
        <f>WWWW[[#This Row],['#_Constructed/Existing hand washing stations]]-WWWW[[#This Row],['#_Non-Functional_hand_washing_stations]]</f>
        <v>8</v>
      </c>
      <c r="DW50" s="758">
        <f>IF(WWWW[[#This Row],['# Functional hand washing stations during reporting period]]*20&gt;WWWW[[#This Row],[Total HH]],WWWW[[#This Row],[Total HH]],WWWW[[#This Row],['# Functional hand washing stations during reporting period]]*20)</f>
        <v>160</v>
      </c>
      <c r="DX50" s="758">
        <f>IF(WWWW[[#This Row],[Is sufficient soap available for TLS? (Yes/No)]]="yes",WWWW[[#This Row],['#_Constructed/Existing hand washing stations at TLS/CFS/THF]],0)</f>
        <v>0</v>
      </c>
      <c r="DY50" s="429">
        <f>IF(WWWW[[#This Row],['# Functional hand washing stations during reporting period]]*100&gt;WWWW[[#This Row],[Total PoP ]],WWWW[[#This Row],[Total PoP ]],WWWW[[#This Row],['# Functional hand washing stations during reporting period]]*100)</f>
        <v>800</v>
      </c>
      <c r="DZ50" s="429" t="str">
        <f>IF(OR(WWWW[[#This Row],['#_students at TLS_CFS]]="",WWWW[[#This Row],['#_students at TLS_CFS]]=0),"No","Yes")</f>
        <v>No</v>
      </c>
      <c r="EA5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0" s="754" t="str">
        <f>VLOOKUP(WWWW[[#This Row],[Site Name]],SiteDB6[[Site Name]:[CCCM Management]],6,FALSE)</f>
        <v>Yes</v>
      </c>
      <c r="EF50" s="754" t="str">
        <f>VLOOKUP(WWWW[[#This Row],[Site Name]],SiteDB6[[Site Name]:[CCCM Focal Agency]],7,FALSE)</f>
        <v>KBC-MYT</v>
      </c>
      <c r="EG50" s="754" t="str">
        <f>VLOOKUP(WWWW[[#This Row],[Site Name]],SiteDB6[[Site Name]:[Location Type 1]],9,FALSE)</f>
        <v>Village Type Camp</v>
      </c>
      <c r="EH50" s="754" t="str">
        <f>VLOOKUP(WWWW[[#This Row],[Site Name]],SiteDB6[[Site Name]:[Type of Accommodation]],10,FALSE)</f>
        <v>Camp</v>
      </c>
      <c r="EI50" s="754" t="str">
        <f>VLOOKUP(WWWW[[#This Row],[Site Name]],SiteDB6[[Site Name]:[Ethnic or GCA/NGCA]],11,FALSE)</f>
        <v>NGCA</v>
      </c>
      <c r="EJ50" s="754">
        <f>VLOOKUP(WWWW[[#This Row],[Site Name]],SiteDB6[[Site Name]:[Lat]],12,FALSE)</f>
        <v>24.831944</v>
      </c>
      <c r="EK50" s="754">
        <f>VLOOKUP(WWWW[[#This Row],[Site Name]],SiteDB6[[Site Name]:[Long]],13,FALSE)</f>
        <v>97.751389000000003</v>
      </c>
      <c r="EL50" s="754" t="str">
        <f>VLOOKUP(WWWW[[#This Row],[Site Name]],SiteDB6[[Site Name]:[Pcode]],3,FALSE)</f>
        <v>MMR001CMP120</v>
      </c>
      <c r="EM50" s="759" t="str">
        <f t="shared" si="0"/>
        <v>Covered</v>
      </c>
      <c r="EN50" s="759"/>
      <c r="EO50" s="754">
        <f>VLOOKUP(WWWW[[#This Row],[Site Name]],SiteDB6[[Site Name]:[Pop
(Kachin/Shan-CCCM as of July 2021)]],16,FALSE)</f>
        <v>166</v>
      </c>
      <c r="EP50" s="754">
        <f>VLOOKUP(WWWW[[#This Row],[Site Name]],SiteDB6[[Site Name]:[Pop
(Kachin/Shan-CCCM as of July 2021)]],17,FALSE)</f>
        <v>966</v>
      </c>
    </row>
    <row r="51" spans="1:146" hidden="1">
      <c r="A51" s="752" t="s">
        <v>2785</v>
      </c>
      <c r="B51" s="752" t="s">
        <v>141</v>
      </c>
      <c r="C51" s="753" t="s">
        <v>141</v>
      </c>
      <c r="D51" s="753" t="s">
        <v>241</v>
      </c>
      <c r="E51" s="753" t="s">
        <v>37</v>
      </c>
      <c r="F51" s="753" t="s">
        <v>142</v>
      </c>
      <c r="G51" s="594" t="str">
        <f>VLOOKUP(WWWW[[#This Row],[Site Name]],SiteDB6[[Site Name]:[Location Type]],8,FALSE)</f>
        <v>Camp</v>
      </c>
      <c r="H51" s="753" t="s">
        <v>181</v>
      </c>
      <c r="I51" s="755">
        <v>60</v>
      </c>
      <c r="J51" s="755">
        <v>307</v>
      </c>
      <c r="K51" s="756">
        <v>44105</v>
      </c>
      <c r="L51" s="757">
        <v>44681</v>
      </c>
      <c r="M51" s="755"/>
      <c r="N51" s="755">
        <v>2</v>
      </c>
      <c r="O51" s="755"/>
      <c r="P51" s="755"/>
      <c r="Q51" s="758" t="s">
        <v>41</v>
      </c>
      <c r="R51" s="755"/>
      <c r="S51" s="755">
        <v>3</v>
      </c>
      <c r="T51" s="449">
        <v>2</v>
      </c>
      <c r="U51" s="755"/>
      <c r="V51" s="755"/>
      <c r="W51" s="755"/>
      <c r="X51" s="755"/>
      <c r="Y51" s="755"/>
      <c r="Z51" s="755"/>
      <c r="AA51" s="755"/>
      <c r="AB51" s="755"/>
      <c r="AC51" s="755"/>
      <c r="AD51" s="755"/>
      <c r="AE51" s="755"/>
      <c r="AF51" s="755"/>
      <c r="AG51" s="755"/>
      <c r="AH51" s="755">
        <v>1</v>
      </c>
      <c r="AI51" s="755"/>
      <c r="AJ51" s="755"/>
      <c r="AK51" s="755"/>
      <c r="AL51" s="755"/>
      <c r="AM51" s="755"/>
      <c r="AN51" s="755"/>
      <c r="AO51" s="755"/>
      <c r="AP51" s="759"/>
      <c r="AQ51" s="755">
        <v>14</v>
      </c>
      <c r="AR51" s="755"/>
      <c r="AS51" s="760"/>
      <c r="AT51" s="755"/>
      <c r="AU51" s="755">
        <v>10</v>
      </c>
      <c r="AV51" s="755"/>
      <c r="AW51" s="755"/>
      <c r="AX51" s="755">
        <v>10</v>
      </c>
      <c r="AY51" s="754" t="s">
        <v>41</v>
      </c>
      <c r="AZ51" s="759" t="s">
        <v>137</v>
      </c>
      <c r="BA51" s="755"/>
      <c r="BB51" s="755"/>
      <c r="BC51" s="755"/>
      <c r="BD51" s="449"/>
      <c r="BE51" s="449"/>
      <c r="BF51" s="754"/>
      <c r="BG51" s="755">
        <v>1</v>
      </c>
      <c r="BH51" s="755"/>
      <c r="BI51" s="755"/>
      <c r="BJ51" s="755">
        <v>3</v>
      </c>
      <c r="BK51" s="755"/>
      <c r="BL51" s="755">
        <v>1</v>
      </c>
      <c r="BM51" s="755">
        <v>1</v>
      </c>
      <c r="BN51" s="755">
        <v>41</v>
      </c>
      <c r="BO51" s="755">
        <v>85</v>
      </c>
      <c r="BP51" s="754"/>
      <c r="BQ51" s="761"/>
      <c r="BR51" s="760"/>
      <c r="BS51" s="754"/>
      <c r="BT51" s="424"/>
      <c r="BU51" s="424"/>
      <c r="BV51" s="426"/>
      <c r="BW51" s="424"/>
      <c r="BX51" s="449"/>
      <c r="BY51" s="449"/>
      <c r="BZ51" s="449"/>
      <c r="CA51" s="449"/>
      <c r="CB51" s="449"/>
      <c r="CC51" s="807"/>
      <c r="CD51" s="449"/>
      <c r="CE51" s="762" t="str">
        <f>IFERROR(WWWW[[#This Row],['#_Water sources passed]]/WWWW[[#This Row],['#_Water sources tested for fecal coliform ]],"no test")</f>
        <v>no test</v>
      </c>
      <c r="CF51" s="760" t="str">
        <f>IFERROR(WWWW[[#This Row],['#_Household passed]]/WWWW[[#This Row],['#_Household water samples tested for fecal coliform]],"no test")</f>
        <v>no test</v>
      </c>
      <c r="CG51" s="761" t="str">
        <f>IF(AND(WWWW[[#This Row],[% of water sources passed]]="no test",WWWW[[#This Row],[% Household passed]]="no test"),"No Test","Tested")</f>
        <v>No Test</v>
      </c>
      <c r="CH51" s="761">
        <f>WWWW[[#This Row],['#_Constructed/existing protected hand dug well]]-WWWW[[#This Row],['#_Non-functional protected hand dug well]]</f>
        <v>2</v>
      </c>
      <c r="CI51" s="761">
        <f>(WWWW[[#This Row],['#_Constructed/Existing tube wells/boreholes/handpumps_WASH_agency]]+WWWW[[#This Row],['#_Non-Cluster partner water tube-wells/boreholes/handpumps]])-WWWW[[#This Row],['#_Non-functional tube wells/boreholes/handpumps]]</f>
        <v>0</v>
      </c>
      <c r="CJ51" s="761">
        <f>WWWW[[#This Row],['#_Constructed/Existingwater storage tank with gravity fed reticulation system]]-WWWW[[#This Row],['#_Non-functional storage tank gravity fed reticulation system]]</f>
        <v>0</v>
      </c>
      <c r="CK51" s="761">
        <f>(WWWW[[#This Row],['#_Water_Liters_supplied_by_Water boating or water trucking]]/90)/15</f>
        <v>0</v>
      </c>
      <c r="CL51" s="761">
        <f>WWWW[[#This Row],['#_Water_Liters_from_Constructed/Existing water distribution system from river or natural spring]]/90/15</f>
        <v>0</v>
      </c>
      <c r="CM51" s="425">
        <f>IF(WWWW[[#This Row],['#_of water points in TLS/CFS]]*500&gt;WWWW[[#This Row],[Total PoP ]],WWWW[[#This Row],[Total PoP ]],WWWW[[#This Row],['#_of water points in TLS/CFS]]*500)</f>
        <v>0</v>
      </c>
      <c r="CN51" s="425">
        <f>IF(WWWW[[#This Row],['#_of water points in THF]]*500&gt;WWWW[[#This Row],[Total PoP ]],WWWW[[#This Row],[Total PoP ]],WWWW[[#This Row],['#_of water points in THF]]*500)</f>
        <v>0</v>
      </c>
      <c r="CO5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1" s="760">
        <f>IF(WWWW[[#This Row],[Location Type 1]]="Village",WWWW[[#This Row],[Access to safe drinking water for Village]],WWWW[[#This Row],[Access to safe drinking water for Camp]])</f>
        <v>1</v>
      </c>
      <c r="CR51" s="758">
        <f>WWWW[[#This Row],[%Equitable and continuous access to sufficient quantity of safe drinking water]]*WWWW[[#This Row],[Total PoP ]]</f>
        <v>307</v>
      </c>
      <c r="CS51" s="760">
        <f>IF((WWWW[[#This Row],['#_Constructed/Existing protected/fenced ponds]]*250)/WWWW[[#This Row],[Total PoP ]]&gt;1,1,(WWWW[[#This Row],['#_Constructed/Existing protected/fenced ponds]]*250)/WWWW[[#This Row],[Total PoP ]])</f>
        <v>0</v>
      </c>
      <c r="CT51" s="758">
        <f>WWWW[[#This Row],[% Access to unimproved water points]]*WWWW[[#This Row],[Total PoP ]]</f>
        <v>0</v>
      </c>
      <c r="CU5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307</v>
      </c>
      <c r="CW51" s="758">
        <f>WWWW[[#This Row],[HRP1]]/500</f>
        <v>0.61399999999999999</v>
      </c>
      <c r="CX51" s="763">
        <f>1-WWWW[[#This Row],[% Equitable and continuous access to sufficient quantity of domestic water]]</f>
        <v>0</v>
      </c>
      <c r="CY51" s="758">
        <f>WWWW[[#This Row],[%equitable and continuous access to sufficient quantity of safe drinking and domestic water''s GAP]]*WWWW[[#This Row],[Total PoP ]]</f>
        <v>0</v>
      </c>
      <c r="CZ51" s="761">
        <f>IF(WWWW[[#This Row],[Total required water points]]-WWWW[[#This Row],['#Water points coverage]]&lt;0,0,WWWW[[#This Row],[Total required water points]]-WWWW[[#This Row],['#Water points coverage]])</f>
        <v>0.38600000000000001</v>
      </c>
      <c r="DA51" s="761">
        <f>ROUND(IF(WWWW[[#This Row],[Total PoP ]]&lt;500,1,WWWW[[#This Row],[Total PoP ]]/500),0)</f>
        <v>1</v>
      </c>
      <c r="DB51" s="761">
        <f>(WWWW[[#This Row],['#_Constructed latrines_by_WASHAgencies]]+WWWW[[#This Row],['#_Non Cluster partner latrines]])-WWWW[[#This Row],['#_Non-functional latrines]]</f>
        <v>14</v>
      </c>
      <c r="DC51" s="634">
        <f>WWWW[[#This Row],[HRP2]]/WWWW[[#This Row],[Total PoP ]]</f>
        <v>0.91205211726384361</v>
      </c>
      <c r="DD5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5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1" s="425">
        <f>IF(WWWW[[#This Row],['# of functional latrines in THF supported by WASH partners during the reporting period2]]="",0,WWWW[[#This Row],['# of functional latrines in THF supported by WASH partners during the reporting period2]]*50)</f>
        <v>0</v>
      </c>
      <c r="DH51" s="761">
        <f>ROUND(IF(WWWW[[#This Row],[Location Type 1]]="camp",WWWW[[#This Row],[Total PoP ]]/20,IF(WWWW[[#This Row],[Location Type 1]]="Temporary Location",WWWW[[#This Row],[Total PoP ]]/50,(WWWW[[#This Row],[Total PoP ]]/6))),0)</f>
        <v>15</v>
      </c>
      <c r="DI51" s="761">
        <f>IF(WWWW[[#This Row],[Total required Latrines]]-(WWWW[[#This Row],['#_Constructed latrines_by_WASHAgencies]]+WWWW[[#This Row],['#_Non Cluster partner latrines]])&lt;0,0,WWWW[[#This Row],[Total required Latrines]]-(WWWW[[#This Row],['#_Constructed latrines_by_WASHAgencies]]+WWWW[[#This Row],['#_Non Cluster partner latrines]]))</f>
        <v>1</v>
      </c>
      <c r="DJ51" s="763">
        <f>1-WWWW[[#This Row],[% people access to functioning Latrine]]</f>
        <v>8.7947882736156391E-2</v>
      </c>
      <c r="DK51" s="762">
        <f>IF(OR(WWWW[[#This Row],['#_Non-functional latrines]]="",WWWW[[#This Row],['#_Non-functional latrines]]=0),0,WWWW[[#This Row],['#_Non-functional latrines]]/(WWWW[[#This Row],['#_Constructed latrines_by_WASHAgencies]]+WWWW[[#This Row],['#_Non Cluster partner latrines]]))</f>
        <v>0</v>
      </c>
      <c r="DL51" s="758">
        <f>IF(500*(WWWW[[#This Row],['#_male hygiene promoters]]+WWWW[[#This Row],['#_female hygiene promoters]])&gt;WWWW[[#This Row],[Total PoP ]],WWWW[[#This Row],[Total PoP ]],500*(WWWW[[#This Row],['#_male hygiene promoters]]+WWWW[[#This Row],['#_female hygiene promoters]]))</f>
        <v>307</v>
      </c>
      <c r="DM5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5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51" s="761">
        <f>IF(WWWW[[#This Row],['# People with access to soap]]&gt;WWWW[[#This Row],['# People with access to Sanity Pads]],WWWW[[#This Row],['# People with access to soap]],WWWW[[#This Row],['# People with access to Sanity Pads]])</f>
        <v>205</v>
      </c>
      <c r="DP51" s="761">
        <f>IF(WWWW[[#This Row],['# people reached by regular dedicated hygiene promotion_5]]&gt;WWWW[[#This Row],['# People received regular supply of hygiene items_6]],WWWW[[#This Row],['# people reached by regular dedicated hygiene promotion_5]],WWWW[[#This Row],['# People received regular supply of hygiene items_6]])</f>
        <v>307</v>
      </c>
      <c r="DQ51" s="763">
        <f>IF(WWWW[[#This Row],[HRP3]]/WWWW[[#This Row],[Total PoP ]]&gt;1,1,WWWW[[#This Row],[HRP3]]/WWWW[[#This Row],[Total PoP ]])</f>
        <v>1</v>
      </c>
      <c r="DR51" s="762">
        <f>1-WWWW[[#This Row],[Hygiene Coverage%]]</f>
        <v>0</v>
      </c>
      <c r="DS51" s="760">
        <f>WWWW[[#This Row],['# people reached by regular dedicated hygiene promotion_5]]/WWWW[[#This Row],[Total PoP ]]</f>
        <v>1</v>
      </c>
      <c r="DT5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1" s="761">
        <f>WWWW[[#This Row],['#_Constructed/Existing hand washing stations]]-WWWW[[#This Row],['#_Non-Functional_hand_washing_stations]]</f>
        <v>1</v>
      </c>
      <c r="DW51" s="758">
        <f>IF(WWWW[[#This Row],['# Functional hand washing stations during reporting period]]*20&gt;WWWW[[#This Row],[Total HH]],WWWW[[#This Row],[Total HH]],WWWW[[#This Row],['# Functional hand washing stations during reporting period]]*20)</f>
        <v>20</v>
      </c>
      <c r="DX51" s="758">
        <f>IF(WWWW[[#This Row],[Is sufficient soap available for TLS? (Yes/No)]]="yes",WWWW[[#This Row],['#_Constructed/Existing hand washing stations at TLS/CFS/THF]],0)</f>
        <v>0</v>
      </c>
      <c r="DY51" s="429">
        <f>IF(WWWW[[#This Row],['# Functional hand washing stations during reporting period]]*100&gt;WWWW[[#This Row],[Total PoP ]],WWWW[[#This Row],[Total PoP ]],WWWW[[#This Row],['# Functional hand washing stations during reporting period]]*100)</f>
        <v>100</v>
      </c>
      <c r="DZ51" s="429" t="str">
        <f>IF(OR(WWWW[[#This Row],['#_students at TLS_CFS]]="",WWWW[[#This Row],['#_students at TLS_CFS]]=0),"No","Yes")</f>
        <v>No</v>
      </c>
      <c r="EA5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1" s="754" t="str">
        <f>VLOOKUP(WWWW[[#This Row],[Site Name]],SiteDB6[[Site Name]:[CCCM Management]],6,FALSE)</f>
        <v>Yes</v>
      </c>
      <c r="EF51" s="754" t="str">
        <f>VLOOKUP(WWWW[[#This Row],[Site Name]],SiteDB6[[Site Name]:[CCCM Focal Agency]],7,FALSE)</f>
        <v>KBC-MYT</v>
      </c>
      <c r="EG51" s="754" t="str">
        <f>VLOOKUP(WWWW[[#This Row],[Site Name]],SiteDB6[[Site Name]:[Location Type 1]],9,FALSE)</f>
        <v>Camp</v>
      </c>
      <c r="EH51" s="754" t="str">
        <f>VLOOKUP(WWWW[[#This Row],[Site Name]],SiteDB6[[Site Name]:[Type of Accommodation]],10,FALSE)</f>
        <v>Camp</v>
      </c>
      <c r="EI51" s="754" t="str">
        <f>VLOOKUP(WWWW[[#This Row],[Site Name]],SiteDB6[[Site Name]:[Ethnic or GCA/NGCA]],11,FALSE)</f>
        <v>GCA</v>
      </c>
      <c r="EJ51" s="754">
        <f>VLOOKUP(WWWW[[#This Row],[Site Name]],SiteDB6[[Site Name]:[Lat]],12,FALSE)</f>
        <v>25.351724999999998</v>
      </c>
      <c r="EK51" s="754">
        <f>VLOOKUP(WWWW[[#This Row],[Site Name]],SiteDB6[[Site Name]:[Long]],13,FALSE)</f>
        <v>97.438432380952406</v>
      </c>
      <c r="EL51" s="754" t="str">
        <f>VLOOKUP(WWWW[[#This Row],[Site Name]],SiteDB6[[Site Name]:[Pcode]],3,FALSE)</f>
        <v>MMR001CMP025</v>
      </c>
      <c r="EM51" s="759" t="str">
        <f t="shared" si="0"/>
        <v>Covered</v>
      </c>
      <c r="EN51" s="759"/>
      <c r="EO51" s="754">
        <f>VLOOKUP(WWWW[[#This Row],[Site Name]],SiteDB6[[Site Name]:[Pop
(Kachin/Shan-CCCM as of July 2021)]],16,FALSE)</f>
        <v>72</v>
      </c>
      <c r="EP51" s="754">
        <f>VLOOKUP(WWWW[[#This Row],[Site Name]],SiteDB6[[Site Name]:[Pop
(Kachin/Shan-CCCM as of July 2021)]],17,FALSE)</f>
        <v>360</v>
      </c>
    </row>
    <row r="52" spans="1:146" hidden="1">
      <c r="A52" s="752" t="s">
        <v>2785</v>
      </c>
      <c r="B52" s="729" t="s">
        <v>2828</v>
      </c>
      <c r="C52" s="753" t="s">
        <v>141</v>
      </c>
      <c r="D52" s="370" t="s">
        <v>2609</v>
      </c>
      <c r="E52" s="753" t="s">
        <v>37</v>
      </c>
      <c r="F52" s="753" t="s">
        <v>142</v>
      </c>
      <c r="G52" s="594" t="str">
        <f>VLOOKUP(WWWW[[#This Row],[Site Name]],SiteDB6[[Site Name]:[Location Type]],8,FALSE)</f>
        <v>Camp</v>
      </c>
      <c r="H52" s="912" t="s">
        <v>143</v>
      </c>
      <c r="I52" s="449">
        <v>382</v>
      </c>
      <c r="J52" s="449">
        <v>1532</v>
      </c>
      <c r="K52" s="830" t="s">
        <v>2836</v>
      </c>
      <c r="L52" s="56" t="s">
        <v>2837</v>
      </c>
      <c r="M52" s="755"/>
      <c r="N52" s="755">
        <v>6</v>
      </c>
      <c r="O52" s="755"/>
      <c r="P52" s="755"/>
      <c r="Q52" s="758" t="s">
        <v>41</v>
      </c>
      <c r="R52" s="755"/>
      <c r="S52" s="755">
        <v>2</v>
      </c>
      <c r="T52" s="449"/>
      <c r="U52" s="755"/>
      <c r="V52" s="755"/>
      <c r="W52" s="755"/>
      <c r="X52" s="755"/>
      <c r="Y52" s="755"/>
      <c r="Z52" s="755"/>
      <c r="AA52" s="755"/>
      <c r="AB52" s="755"/>
      <c r="AC52" s="755"/>
      <c r="AD52" s="755"/>
      <c r="AE52" s="755"/>
      <c r="AF52" s="755"/>
      <c r="AG52" s="755"/>
      <c r="AH52" s="755"/>
      <c r="AI52" s="755"/>
      <c r="AJ52" s="755"/>
      <c r="AK52" s="755"/>
      <c r="AL52" s="755"/>
      <c r="AM52" s="755"/>
      <c r="AN52" s="755"/>
      <c r="AO52" s="755"/>
      <c r="AP52" s="759"/>
      <c r="AQ52" s="755">
        <v>391</v>
      </c>
      <c r="AR52" s="755"/>
      <c r="AS52" s="760"/>
      <c r="AT52" s="755"/>
      <c r="AU52" s="755"/>
      <c r="AV52" s="755"/>
      <c r="AW52" s="755"/>
      <c r="AX52" s="755">
        <v>413</v>
      </c>
      <c r="AY52" s="754" t="s">
        <v>41</v>
      </c>
      <c r="AZ52" s="759" t="s">
        <v>137</v>
      </c>
      <c r="BA52" s="755"/>
      <c r="BB52" s="755"/>
      <c r="BC52" s="755"/>
      <c r="BD52" s="449"/>
      <c r="BE52" s="449"/>
      <c r="BF52" s="754"/>
      <c r="BG52" s="755">
        <v>7</v>
      </c>
      <c r="BH52" s="755"/>
      <c r="BI52" s="755"/>
      <c r="BJ52" s="755">
        <v>7</v>
      </c>
      <c r="BK52" s="755"/>
      <c r="BL52" s="755">
        <v>3</v>
      </c>
      <c r="BM52" s="755">
        <v>3</v>
      </c>
      <c r="BN52" s="755">
        <v>104</v>
      </c>
      <c r="BO52" s="755">
        <v>148</v>
      </c>
      <c r="BP52" s="754"/>
      <c r="BQ52" s="761"/>
      <c r="BR52" s="760"/>
      <c r="BS52" s="754"/>
      <c r="BT52" s="424"/>
      <c r="BU52" s="424"/>
      <c r="BV52" s="426"/>
      <c r="BW52" s="424"/>
      <c r="BX52" s="449"/>
      <c r="BY52" s="449"/>
      <c r="BZ52" s="449"/>
      <c r="CA52" s="449"/>
      <c r="CB52" s="449"/>
      <c r="CC52" s="807"/>
      <c r="CD52" s="449"/>
      <c r="CE52" s="762" t="str">
        <f>IFERROR(WWWW[[#This Row],['#_Water sources passed]]/WWWW[[#This Row],['#_Water sources tested for fecal coliform ]],"no test")</f>
        <v>no test</v>
      </c>
      <c r="CF52" s="760" t="str">
        <f>IFERROR(WWWW[[#This Row],['#_Household passed]]/WWWW[[#This Row],['#_Household water samples tested for fecal coliform]],"no test")</f>
        <v>no test</v>
      </c>
      <c r="CG52" s="761" t="str">
        <f>IF(AND(WWWW[[#This Row],[% of water sources passed]]="no test",WWWW[[#This Row],[% Household passed]]="no test"),"No Test","Tested")</f>
        <v>No Test</v>
      </c>
      <c r="CH52" s="761">
        <f>WWWW[[#This Row],['#_Constructed/existing protected hand dug well]]-WWWW[[#This Row],['#_Non-functional protected hand dug well]]</f>
        <v>0</v>
      </c>
      <c r="CI52" s="761">
        <f>(WWWW[[#This Row],['#_Constructed/Existing tube wells/boreholes/handpumps_WASH_agency]]+WWWW[[#This Row],['#_Non-Cluster partner water tube-wells/boreholes/handpumps]])-WWWW[[#This Row],['#_Non-functional tube wells/boreholes/handpumps]]</f>
        <v>0</v>
      </c>
      <c r="CJ52" s="761">
        <f>WWWW[[#This Row],['#_Constructed/Existingwater storage tank with gravity fed reticulation system]]-WWWW[[#This Row],['#_Non-functional storage tank gravity fed reticulation system]]</f>
        <v>0</v>
      </c>
      <c r="CK52" s="761">
        <f>(WWWW[[#This Row],['#_Water_Liters_supplied_by_Water boating or water trucking]]/90)/15</f>
        <v>0</v>
      </c>
      <c r="CL52" s="761">
        <f>WWWW[[#This Row],['#_Water_Liters_from_Constructed/Existing water distribution system from river or natural spring]]/90/15</f>
        <v>0</v>
      </c>
      <c r="CM52" s="425">
        <f>IF(WWWW[[#This Row],['#_of water points in TLS/CFS]]*500&gt;WWWW[[#This Row],[Total PoP ]],WWWW[[#This Row],[Total PoP ]],WWWW[[#This Row],['#_of water points in TLS/CFS]]*500)</f>
        <v>0</v>
      </c>
      <c r="CN52" s="425">
        <f>IF(WWWW[[#This Row],['#_of water points in THF]]*500&gt;WWWW[[#This Row],[Total PoP ]],WWWW[[#This Row],[Total PoP ]],WWWW[[#This Row],['#_of water points in THF]]*500)</f>
        <v>0</v>
      </c>
      <c r="CO5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2" s="760">
        <f>IF(WWWW[[#This Row],[Location Type 1]]="Village",WWWW[[#This Row],[Access to safe drinking water for Village]],WWWW[[#This Row],[Access to safe drinking water for Camp]])</f>
        <v>0</v>
      </c>
      <c r="CR52" s="758">
        <f>WWWW[[#This Row],[%Equitable and continuous access to sufficient quantity of safe drinking water]]*WWWW[[#This Row],[Total PoP ]]</f>
        <v>0</v>
      </c>
      <c r="CS52" s="760">
        <f>IF((WWWW[[#This Row],['#_Constructed/Existing protected/fenced ponds]]*250)/WWWW[[#This Row],[Total PoP ]]&gt;1,1,(WWWW[[#This Row],['#_Constructed/Existing protected/fenced ponds]]*250)/WWWW[[#This Row],[Total PoP ]])</f>
        <v>0</v>
      </c>
      <c r="CT52" s="758">
        <f>WWWW[[#This Row],[% Access to unimproved water points]]*WWWW[[#This Row],[Total PoP ]]</f>
        <v>0</v>
      </c>
      <c r="CU5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2" s="758">
        <f>WWWW[[#This Row],[HRP1]]/500</f>
        <v>0</v>
      </c>
      <c r="CX52" s="763">
        <f>1-WWWW[[#This Row],[% Equitable and continuous access to sufficient quantity of domestic water]]</f>
        <v>1</v>
      </c>
      <c r="CY52" s="758">
        <f>WWWW[[#This Row],[%equitable and continuous access to sufficient quantity of safe drinking and domestic water''s GAP]]*WWWW[[#This Row],[Total PoP ]]</f>
        <v>1532</v>
      </c>
      <c r="CZ52" s="761">
        <f>IF(WWWW[[#This Row],[Total required water points]]-WWWW[[#This Row],['#Water points coverage]]&lt;0,0,WWWW[[#This Row],[Total required water points]]-WWWW[[#This Row],['#Water points coverage]])</f>
        <v>3</v>
      </c>
      <c r="DA52" s="761">
        <f>ROUND(IF(WWWW[[#This Row],[Total PoP ]]&lt;500,1,WWWW[[#This Row],[Total PoP ]]/500),0)</f>
        <v>3</v>
      </c>
      <c r="DB52" s="761">
        <f>(WWWW[[#This Row],['#_Constructed latrines_by_WASHAgencies]]+WWWW[[#This Row],['#_Non Cluster partner latrines]])-WWWW[[#This Row],['#_Non-functional latrines]]</f>
        <v>391</v>
      </c>
      <c r="DC52" s="634">
        <f>WWWW[[#This Row],[HRP2]]/WWWW[[#This Row],[Total PoP ]]</f>
        <v>1</v>
      </c>
      <c r="DD5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1532</v>
      </c>
      <c r="DE5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2" s="425">
        <f>IF(WWWW[[#This Row],['# of functional latrines in THF supported by WASH partners during the reporting period2]]="",0,WWWW[[#This Row],['# of functional latrines in THF supported by WASH partners during the reporting period2]]*50)</f>
        <v>0</v>
      </c>
      <c r="DH52" s="761">
        <f>ROUND(IF(WWWW[[#This Row],[Location Type 1]]="camp",WWWW[[#This Row],[Total PoP ]]/20,IF(WWWW[[#This Row],[Location Type 1]]="Temporary Location",WWWW[[#This Row],[Total PoP ]]/50,(WWWW[[#This Row],[Total PoP ]]/6))),0)</f>
        <v>77</v>
      </c>
      <c r="DI52" s="761">
        <f>IF(WWWW[[#This Row],[Total required Latrines]]-(WWWW[[#This Row],['#_Constructed latrines_by_WASHAgencies]]+WWWW[[#This Row],['#_Non Cluster partner latrines]])&lt;0,0,WWWW[[#This Row],[Total required Latrines]]-(WWWW[[#This Row],['#_Constructed latrines_by_WASHAgencies]]+WWWW[[#This Row],['#_Non Cluster partner latrines]]))</f>
        <v>0</v>
      </c>
      <c r="DJ52" s="763">
        <f>1-WWWW[[#This Row],[% people access to functioning Latrine]]</f>
        <v>0</v>
      </c>
      <c r="DK52" s="762">
        <f>IF(OR(WWWW[[#This Row],['#_Non-functional latrines]]="",WWWW[[#This Row],['#_Non-functional latrines]]=0),0,WWWW[[#This Row],['#_Non-functional latrines]]/(WWWW[[#This Row],['#_Constructed latrines_by_WASHAgencies]]+WWWW[[#This Row],['#_Non Cluster partner latrines]]))</f>
        <v>0</v>
      </c>
      <c r="DL52" s="758">
        <f>IF(500*(WWWW[[#This Row],['#_male hygiene promoters]]+WWWW[[#This Row],['#_female hygiene promoters]])&gt;WWWW[[#This Row],[Total PoP ]],WWWW[[#This Row],[Total PoP ]],500*(WWWW[[#This Row],['#_male hygiene promoters]]+WWWW[[#This Row],['#_female hygiene promoters]]))</f>
        <v>1532</v>
      </c>
      <c r="DM5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5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52" s="761">
        <f>IF(WWWW[[#This Row],['# People with access to soap]]&gt;WWWW[[#This Row],['# People with access to Sanity Pads]],WWWW[[#This Row],['# People with access to soap]],WWWW[[#This Row],['# People with access to Sanity Pads]])</f>
        <v>520</v>
      </c>
      <c r="DP52" s="761">
        <f>IF(WWWW[[#This Row],['# people reached by regular dedicated hygiene promotion_5]]&gt;WWWW[[#This Row],['# People received regular supply of hygiene items_6]],WWWW[[#This Row],['# people reached by regular dedicated hygiene promotion_5]],WWWW[[#This Row],['# People received regular supply of hygiene items_6]])</f>
        <v>1532</v>
      </c>
      <c r="DQ52" s="763">
        <f>IF(WWWW[[#This Row],[HRP3]]/WWWW[[#This Row],[Total PoP ]]&gt;1,1,WWWW[[#This Row],[HRP3]]/WWWW[[#This Row],[Total PoP ]])</f>
        <v>1</v>
      </c>
      <c r="DR52" s="762">
        <f>1-WWWW[[#This Row],[Hygiene Coverage%]]</f>
        <v>0</v>
      </c>
      <c r="DS52" s="760">
        <f>WWWW[[#This Row],['# people reached by regular dedicated hygiene promotion_5]]/WWWW[[#This Row],[Total PoP ]]</f>
        <v>1</v>
      </c>
      <c r="DT5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0.27225130890052357</v>
      </c>
      <c r="DU5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0.38743455497382201</v>
      </c>
      <c r="DV52" s="761">
        <f>WWWW[[#This Row],['#_Constructed/Existing hand washing stations]]-WWWW[[#This Row],['#_Non-Functional_hand_washing_stations]]</f>
        <v>7</v>
      </c>
      <c r="DW52" s="758">
        <f>IF(WWWW[[#This Row],['# Functional hand washing stations during reporting period]]*20&gt;WWWW[[#This Row],[Total HH]],WWWW[[#This Row],[Total HH]],WWWW[[#This Row],['# Functional hand washing stations during reporting period]]*20)</f>
        <v>140</v>
      </c>
      <c r="DX52" s="758">
        <f>IF(WWWW[[#This Row],[Is sufficient soap available for TLS? (Yes/No)]]="yes",WWWW[[#This Row],['#_Constructed/Existing hand washing stations at TLS/CFS/THF]],0)</f>
        <v>0</v>
      </c>
      <c r="DY52" s="429">
        <f>IF(WWWW[[#This Row],['# Functional hand washing stations during reporting period]]*100&gt;WWWW[[#This Row],[Total PoP ]],WWWW[[#This Row],[Total PoP ]],WWWW[[#This Row],['# Functional hand washing stations during reporting period]]*100)</f>
        <v>700</v>
      </c>
      <c r="DZ52" s="429" t="str">
        <f>IF(OR(WWWW[[#This Row],['#_students at TLS_CFS]]="",WWWW[[#This Row],['#_students at TLS_CFS]]=0),"No","Yes")</f>
        <v>No</v>
      </c>
      <c r="EA5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2" s="754" t="str">
        <f>VLOOKUP(WWWW[[#This Row],[Site Name]],SiteDB6[[Site Name]:[CCCM Management]],6,FALSE)</f>
        <v>Yes</v>
      </c>
      <c r="EF52" s="754" t="str">
        <f>VLOOKUP(WWWW[[#This Row],[Site Name]],SiteDB6[[Site Name]:[CCCM Focal Agency]],7,FALSE)</f>
        <v>KBC-MYT</v>
      </c>
      <c r="EG52" s="754" t="str">
        <f>VLOOKUP(WWWW[[#This Row],[Site Name]],SiteDB6[[Site Name]:[Location Type 1]],9,FALSE)</f>
        <v>Camp</v>
      </c>
      <c r="EH52" s="754" t="str">
        <f>VLOOKUP(WWWW[[#This Row],[Site Name]],SiteDB6[[Site Name]:[Type of Accommodation]],10,FALSE)</f>
        <v>Camp</v>
      </c>
      <c r="EI52" s="754" t="str">
        <f>VLOOKUP(WWWW[[#This Row],[Site Name]],SiteDB6[[Site Name]:[Ethnic or GCA/NGCA]],11,FALSE)</f>
        <v>NGCA</v>
      </c>
      <c r="EJ52" s="754">
        <f>VLOOKUP(WWWW[[#This Row],[Site Name]],SiteDB6[[Site Name]:[Lat]],12,FALSE)</f>
        <v>25.418084</v>
      </c>
      <c r="EK52" s="754">
        <f>VLOOKUP(WWWW[[#This Row],[Site Name]],SiteDB6[[Site Name]:[Long]],13,FALSE)</f>
        <v>98.025662999999994</v>
      </c>
      <c r="EL52" s="754" t="str">
        <f>VLOOKUP(WWWW[[#This Row],[Site Name]],SiteDB6[[Site Name]:[Pcode]],3,FALSE)</f>
        <v>MMR001CMP249</v>
      </c>
      <c r="EM52" s="759" t="str">
        <f t="shared" si="0"/>
        <v>Covered</v>
      </c>
      <c r="EN52" s="759"/>
      <c r="EO52" s="754">
        <f>VLOOKUP(WWWW[[#This Row],[Site Name]],SiteDB6[[Site Name]:[Pop
(Kachin/Shan-CCCM as of July 2021)]],16,FALSE)</f>
        <v>380</v>
      </c>
      <c r="EP52" s="754">
        <f>VLOOKUP(WWWW[[#This Row],[Site Name]],SiteDB6[[Site Name]:[Pop
(Kachin/Shan-CCCM as of July 2021)]],17,FALSE)</f>
        <v>1877</v>
      </c>
    </row>
    <row r="53" spans="1:146" hidden="1">
      <c r="A53" s="752" t="s">
        <v>2785</v>
      </c>
      <c r="B53" s="752" t="s">
        <v>141</v>
      </c>
      <c r="C53" s="753" t="s">
        <v>141</v>
      </c>
      <c r="D53" s="753" t="s">
        <v>241</v>
      </c>
      <c r="E53" s="753" t="s">
        <v>37</v>
      </c>
      <c r="F53" s="753" t="s">
        <v>142</v>
      </c>
      <c r="G53" s="594" t="str">
        <f>VLOOKUP(WWWW[[#This Row],[Site Name]],SiteDB6[[Site Name]:[Location Type]],8,FALSE)</f>
        <v>Camp</v>
      </c>
      <c r="H53" s="753" t="s">
        <v>182</v>
      </c>
      <c r="I53" s="755">
        <v>179</v>
      </c>
      <c r="J53" s="755">
        <v>958</v>
      </c>
      <c r="K53" s="756">
        <v>44105</v>
      </c>
      <c r="L53" s="757">
        <v>44681</v>
      </c>
      <c r="M53" s="755"/>
      <c r="N53" s="755">
        <v>3</v>
      </c>
      <c r="O53" s="755"/>
      <c r="P53" s="755"/>
      <c r="Q53" s="758" t="s">
        <v>41</v>
      </c>
      <c r="R53" s="755"/>
      <c r="S53" s="755"/>
      <c r="T53" s="449"/>
      <c r="U53" s="755"/>
      <c r="V53" s="755"/>
      <c r="W53" s="755"/>
      <c r="X53" s="755"/>
      <c r="Y53" s="755"/>
      <c r="Z53" s="755"/>
      <c r="AA53" s="755"/>
      <c r="AB53" s="755"/>
      <c r="AC53" s="755"/>
      <c r="AD53" s="755"/>
      <c r="AE53" s="755"/>
      <c r="AF53" s="755"/>
      <c r="AG53" s="755"/>
      <c r="AH53" s="755"/>
      <c r="AI53" s="755"/>
      <c r="AJ53" s="755"/>
      <c r="AK53" s="755"/>
      <c r="AL53" s="755"/>
      <c r="AM53" s="755"/>
      <c r="AN53" s="755"/>
      <c r="AO53" s="755"/>
      <c r="AP53" s="759"/>
      <c r="AQ53" s="755">
        <v>158</v>
      </c>
      <c r="AR53" s="755"/>
      <c r="AS53" s="760"/>
      <c r="AT53" s="755"/>
      <c r="AU53" s="755"/>
      <c r="AV53" s="755"/>
      <c r="AW53" s="755"/>
      <c r="AX53" s="755">
        <v>158</v>
      </c>
      <c r="AY53" s="754" t="s">
        <v>41</v>
      </c>
      <c r="AZ53" s="759" t="s">
        <v>137</v>
      </c>
      <c r="BA53" s="755"/>
      <c r="BB53" s="755"/>
      <c r="BC53" s="755"/>
      <c r="BD53" s="449"/>
      <c r="BE53" s="449"/>
      <c r="BF53" s="754"/>
      <c r="BG53" s="755">
        <v>7</v>
      </c>
      <c r="BH53" s="755"/>
      <c r="BI53" s="755"/>
      <c r="BJ53" s="755">
        <v>4</v>
      </c>
      <c r="BK53" s="755"/>
      <c r="BL53" s="755">
        <v>2</v>
      </c>
      <c r="BM53" s="755">
        <v>1</v>
      </c>
      <c r="BN53" s="755">
        <v>124</v>
      </c>
      <c r="BO53" s="755">
        <v>198</v>
      </c>
      <c r="BP53" s="754"/>
      <c r="BQ53" s="761"/>
      <c r="BR53" s="760"/>
      <c r="BS53" s="754"/>
      <c r="BT53" s="424"/>
      <c r="BU53" s="424"/>
      <c r="BV53" s="426"/>
      <c r="BW53" s="424"/>
      <c r="BX53" s="449"/>
      <c r="BY53" s="449"/>
      <c r="BZ53" s="449"/>
      <c r="CA53" s="449"/>
      <c r="CB53" s="449"/>
      <c r="CC53" s="807"/>
      <c r="CD53" s="449"/>
      <c r="CE53" s="762" t="str">
        <f>IFERROR(WWWW[[#This Row],['#_Water sources passed]]/WWWW[[#This Row],['#_Water sources tested for fecal coliform ]],"no test")</f>
        <v>no test</v>
      </c>
      <c r="CF53" s="760" t="str">
        <f>IFERROR(WWWW[[#This Row],['#_Household passed]]/WWWW[[#This Row],['#_Household water samples tested for fecal coliform]],"no test")</f>
        <v>no test</v>
      </c>
      <c r="CG53" s="761" t="str">
        <f>IF(AND(WWWW[[#This Row],[% of water sources passed]]="no test",WWWW[[#This Row],[% Household passed]]="no test"),"No Test","Tested")</f>
        <v>No Test</v>
      </c>
      <c r="CH53" s="761">
        <f>WWWW[[#This Row],['#_Constructed/existing protected hand dug well]]-WWWW[[#This Row],['#_Non-functional protected hand dug well]]</f>
        <v>0</v>
      </c>
      <c r="CI53" s="761">
        <f>(WWWW[[#This Row],['#_Constructed/Existing tube wells/boreholes/handpumps_WASH_agency]]+WWWW[[#This Row],['#_Non-Cluster partner water tube-wells/boreholes/handpumps]])-WWWW[[#This Row],['#_Non-functional tube wells/boreholes/handpumps]]</f>
        <v>0</v>
      </c>
      <c r="CJ53" s="761">
        <f>WWWW[[#This Row],['#_Constructed/Existingwater storage tank with gravity fed reticulation system]]-WWWW[[#This Row],['#_Non-functional storage tank gravity fed reticulation system]]</f>
        <v>0</v>
      </c>
      <c r="CK53" s="761">
        <f>(WWWW[[#This Row],['#_Water_Liters_supplied_by_Water boating or water trucking]]/90)/15</f>
        <v>0</v>
      </c>
      <c r="CL53" s="761">
        <f>WWWW[[#This Row],['#_Water_Liters_from_Constructed/Existing water distribution system from river or natural spring]]/90/15</f>
        <v>0</v>
      </c>
      <c r="CM53" s="425">
        <f>IF(WWWW[[#This Row],['#_of water points in TLS/CFS]]*500&gt;WWWW[[#This Row],[Total PoP ]],WWWW[[#This Row],[Total PoP ]],WWWW[[#This Row],['#_of water points in TLS/CFS]]*500)</f>
        <v>0</v>
      </c>
      <c r="CN53" s="425">
        <f>IF(WWWW[[#This Row],['#_of water points in THF]]*500&gt;WWWW[[#This Row],[Total PoP ]],WWWW[[#This Row],[Total PoP ]],WWWW[[#This Row],['#_of water points in THF]]*500)</f>
        <v>0</v>
      </c>
      <c r="CO5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5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53" s="760">
        <f>IF(WWWW[[#This Row],[Location Type 1]]="Village",WWWW[[#This Row],[Access to safe drinking water for Village]],WWWW[[#This Row],[Access to safe drinking water for Camp]])</f>
        <v>0</v>
      </c>
      <c r="CR53" s="758">
        <f>WWWW[[#This Row],[%Equitable and continuous access to sufficient quantity of safe drinking water]]*WWWW[[#This Row],[Total PoP ]]</f>
        <v>0</v>
      </c>
      <c r="CS53" s="760">
        <f>IF((WWWW[[#This Row],['#_Constructed/Existing protected/fenced ponds]]*250)/WWWW[[#This Row],[Total PoP ]]&gt;1,1,(WWWW[[#This Row],['#_Constructed/Existing protected/fenced ponds]]*250)/WWWW[[#This Row],[Total PoP ]])</f>
        <v>0</v>
      </c>
      <c r="CT53" s="758">
        <f>WWWW[[#This Row],[% Access to unimproved water points]]*WWWW[[#This Row],[Total PoP ]]</f>
        <v>0</v>
      </c>
      <c r="CU5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5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53" s="758">
        <f>WWWW[[#This Row],[HRP1]]/500</f>
        <v>0</v>
      </c>
      <c r="CX53" s="763">
        <f>1-WWWW[[#This Row],[% Equitable and continuous access to sufficient quantity of domestic water]]</f>
        <v>1</v>
      </c>
      <c r="CY53" s="758">
        <f>WWWW[[#This Row],[%equitable and continuous access to sufficient quantity of safe drinking and domestic water''s GAP]]*WWWW[[#This Row],[Total PoP ]]</f>
        <v>958</v>
      </c>
      <c r="CZ53" s="761">
        <f>IF(WWWW[[#This Row],[Total required water points]]-WWWW[[#This Row],['#Water points coverage]]&lt;0,0,WWWW[[#This Row],[Total required water points]]-WWWW[[#This Row],['#Water points coverage]])</f>
        <v>2</v>
      </c>
      <c r="DA53" s="761">
        <f>ROUND(IF(WWWW[[#This Row],[Total PoP ]]&lt;500,1,WWWW[[#This Row],[Total PoP ]]/500),0)</f>
        <v>2</v>
      </c>
      <c r="DB53" s="761">
        <f>(WWWW[[#This Row],['#_Constructed latrines_by_WASHAgencies]]+WWWW[[#This Row],['#_Non Cluster partner latrines]])-WWWW[[#This Row],['#_Non-functional latrines]]</f>
        <v>158</v>
      </c>
      <c r="DC53" s="634">
        <f>WWWW[[#This Row],[HRP2]]/WWWW[[#This Row],[Total PoP ]]</f>
        <v>1</v>
      </c>
      <c r="DD5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958</v>
      </c>
      <c r="DE5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3" s="425">
        <f>IF(WWWW[[#This Row],['# of functional latrines in THF supported by WASH partners during the reporting period2]]="",0,WWWW[[#This Row],['# of functional latrines in THF supported by WASH partners during the reporting period2]]*50)</f>
        <v>0</v>
      </c>
      <c r="DH53" s="761">
        <f>ROUND(IF(WWWW[[#This Row],[Location Type 1]]="camp",WWWW[[#This Row],[Total PoP ]]/20,IF(WWWW[[#This Row],[Location Type 1]]="Temporary Location",WWWW[[#This Row],[Total PoP ]]/50,(WWWW[[#This Row],[Total PoP ]]/6))),0)</f>
        <v>48</v>
      </c>
      <c r="DI53" s="761">
        <f>IF(WWWW[[#This Row],[Total required Latrines]]-(WWWW[[#This Row],['#_Constructed latrines_by_WASHAgencies]]+WWWW[[#This Row],['#_Non Cluster partner latrines]])&lt;0,0,WWWW[[#This Row],[Total required Latrines]]-(WWWW[[#This Row],['#_Constructed latrines_by_WASHAgencies]]+WWWW[[#This Row],['#_Non Cluster partner latrines]]))</f>
        <v>0</v>
      </c>
      <c r="DJ53" s="763">
        <f>1-WWWW[[#This Row],[% people access to functioning Latrine]]</f>
        <v>0</v>
      </c>
      <c r="DK53" s="762">
        <f>IF(OR(WWWW[[#This Row],['#_Non-functional latrines]]="",WWWW[[#This Row],['#_Non-functional latrines]]=0),0,WWWW[[#This Row],['#_Non-functional latrines]]/(WWWW[[#This Row],['#_Constructed latrines_by_WASHAgencies]]+WWWW[[#This Row],['#_Non Cluster partner latrines]]))</f>
        <v>0</v>
      </c>
      <c r="DL53" s="758">
        <f>IF(500*(WWWW[[#This Row],['#_male hygiene promoters]]+WWWW[[#This Row],['#_female hygiene promoters]])&gt;WWWW[[#This Row],[Total PoP ]],WWWW[[#This Row],[Total PoP ]],500*(WWWW[[#This Row],['#_male hygiene promoters]]+WWWW[[#This Row],['#_female hygiene promoters]]))</f>
        <v>958</v>
      </c>
      <c r="DM5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5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53" s="761">
        <f>IF(WWWW[[#This Row],['# People with access to soap]]&gt;WWWW[[#This Row],['# People with access to Sanity Pads]],WWWW[[#This Row],['# People with access to soap]],WWWW[[#This Row],['# People with access to Sanity Pads]])</f>
        <v>620</v>
      </c>
      <c r="DP53" s="761">
        <f>IF(WWWW[[#This Row],['# people reached by regular dedicated hygiene promotion_5]]&gt;WWWW[[#This Row],['# People received regular supply of hygiene items_6]],WWWW[[#This Row],['# people reached by regular dedicated hygiene promotion_5]],WWWW[[#This Row],['# People received regular supply of hygiene items_6]])</f>
        <v>958</v>
      </c>
      <c r="DQ53" s="763">
        <f>IF(WWWW[[#This Row],[HRP3]]/WWWW[[#This Row],[Total PoP ]]&gt;1,1,WWWW[[#This Row],[HRP3]]/WWWW[[#This Row],[Total PoP ]])</f>
        <v>1</v>
      </c>
      <c r="DR53" s="762">
        <f>1-WWWW[[#This Row],[Hygiene Coverage%]]</f>
        <v>0</v>
      </c>
      <c r="DS53" s="760">
        <f>WWWW[[#This Row],['# people reached by regular dedicated hygiene promotion_5]]/WWWW[[#This Row],[Total PoP ]]</f>
        <v>1</v>
      </c>
      <c r="DT5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3" s="761">
        <f>WWWW[[#This Row],['#_Constructed/Existing hand washing stations]]-WWWW[[#This Row],['#_Non-Functional_hand_washing_stations]]</f>
        <v>7</v>
      </c>
      <c r="DW53" s="758">
        <f>IF(WWWW[[#This Row],['# Functional hand washing stations during reporting period]]*20&gt;WWWW[[#This Row],[Total HH]],WWWW[[#This Row],[Total HH]],WWWW[[#This Row],['# Functional hand washing stations during reporting period]]*20)</f>
        <v>140</v>
      </c>
      <c r="DX53" s="758">
        <f>IF(WWWW[[#This Row],[Is sufficient soap available for TLS? (Yes/No)]]="yes",WWWW[[#This Row],['#_Constructed/Existing hand washing stations at TLS/CFS/THF]],0)</f>
        <v>0</v>
      </c>
      <c r="DY53" s="429">
        <f>IF(WWWW[[#This Row],['# Functional hand washing stations during reporting period]]*100&gt;WWWW[[#This Row],[Total PoP ]],WWWW[[#This Row],[Total PoP ]],WWWW[[#This Row],['# Functional hand washing stations during reporting period]]*100)</f>
        <v>700</v>
      </c>
      <c r="DZ53" s="429" t="str">
        <f>IF(OR(WWWW[[#This Row],['#_students at TLS_CFS]]="",WWWW[[#This Row],['#_students at TLS_CFS]]=0),"No","Yes")</f>
        <v>No</v>
      </c>
      <c r="EA5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3" s="754" t="str">
        <f>VLOOKUP(WWWW[[#This Row],[Site Name]],SiteDB6[[Site Name]:[CCCM Management]],6,FALSE)</f>
        <v>Yes</v>
      </c>
      <c r="EF53" s="754" t="str">
        <f>VLOOKUP(WWWW[[#This Row],[Site Name]],SiteDB6[[Site Name]:[CCCM Focal Agency]],7,FALSE)</f>
        <v>KBC-MYT</v>
      </c>
      <c r="EG53" s="754" t="str">
        <f>VLOOKUP(WWWW[[#This Row],[Site Name]],SiteDB6[[Site Name]:[Location Type 1]],9,FALSE)</f>
        <v>Camp</v>
      </c>
      <c r="EH53" s="754" t="str">
        <f>VLOOKUP(WWWW[[#This Row],[Site Name]],SiteDB6[[Site Name]:[Type of Accommodation]],10,FALSE)</f>
        <v>Camp</v>
      </c>
      <c r="EI53" s="754" t="str">
        <f>VLOOKUP(WWWW[[#This Row],[Site Name]],SiteDB6[[Site Name]:[Ethnic or GCA/NGCA]],11,FALSE)</f>
        <v>GCA</v>
      </c>
      <c r="EJ53" s="754">
        <f>VLOOKUP(WWWW[[#This Row],[Site Name]],SiteDB6[[Site Name]:[Lat]],12,FALSE)</f>
        <v>25.418084</v>
      </c>
      <c r="EK53" s="754">
        <f>VLOOKUP(WWWW[[#This Row],[Site Name]],SiteDB6[[Site Name]:[Long]],13,FALSE)</f>
        <v>98.025662999999994</v>
      </c>
      <c r="EL53" s="754" t="str">
        <f>VLOOKUP(WWWW[[#This Row],[Site Name]],SiteDB6[[Site Name]:[Pcode]],3,FALSE)</f>
        <v>MMR001CMP041</v>
      </c>
      <c r="EM53" s="759" t="str">
        <f t="shared" si="0"/>
        <v>Covered</v>
      </c>
      <c r="EN53" s="759"/>
      <c r="EO53" s="754">
        <f>VLOOKUP(WWWW[[#This Row],[Site Name]],SiteDB6[[Site Name]:[Pop
(Kachin/Shan-CCCM as of July 2021)]],16,FALSE)</f>
        <v>213</v>
      </c>
      <c r="EP53" s="754">
        <f>VLOOKUP(WWWW[[#This Row],[Site Name]],SiteDB6[[Site Name]:[Pop
(Kachin/Shan-CCCM as of July 2021)]],17,FALSE)</f>
        <v>1172</v>
      </c>
    </row>
    <row r="54" spans="1:146" hidden="1">
      <c r="A54" s="752" t="s">
        <v>2785</v>
      </c>
      <c r="B54" s="729" t="s">
        <v>2828</v>
      </c>
      <c r="C54" s="753" t="s">
        <v>141</v>
      </c>
      <c r="D54" s="370" t="s">
        <v>2609</v>
      </c>
      <c r="E54" s="753" t="s">
        <v>37</v>
      </c>
      <c r="F54" s="753" t="s">
        <v>142</v>
      </c>
      <c r="G54" s="594" t="str">
        <f>VLOOKUP(WWWW[[#This Row],[Site Name]],SiteDB6[[Site Name]:[Location Type]],8,FALSE)</f>
        <v>Camp</v>
      </c>
      <c r="H54" s="912" t="s">
        <v>1612</v>
      </c>
      <c r="I54" s="449">
        <v>79</v>
      </c>
      <c r="J54" s="449">
        <v>351</v>
      </c>
      <c r="K54" s="830" t="s">
        <v>2836</v>
      </c>
      <c r="L54" s="56" t="s">
        <v>2837</v>
      </c>
      <c r="M54" s="755"/>
      <c r="N54" s="755">
        <v>2</v>
      </c>
      <c r="O54" s="755"/>
      <c r="P54" s="755"/>
      <c r="Q54" s="758" t="s">
        <v>41</v>
      </c>
      <c r="R54" s="755"/>
      <c r="S54" s="755">
        <v>5</v>
      </c>
      <c r="T54" s="449"/>
      <c r="U54" s="755"/>
      <c r="V54" s="755"/>
      <c r="W54" s="755">
        <v>1</v>
      </c>
      <c r="X54" s="755"/>
      <c r="Y54" s="755"/>
      <c r="Z54" s="755"/>
      <c r="AA54" s="755"/>
      <c r="AB54" s="755"/>
      <c r="AC54" s="755"/>
      <c r="AD54" s="755"/>
      <c r="AE54" s="755"/>
      <c r="AF54" s="755"/>
      <c r="AG54" s="755"/>
      <c r="AH54" s="755">
        <v>3</v>
      </c>
      <c r="AI54" s="755"/>
      <c r="AJ54" s="755"/>
      <c r="AK54" s="755"/>
      <c r="AL54" s="755"/>
      <c r="AM54" s="755"/>
      <c r="AN54" s="755"/>
      <c r="AO54" s="755"/>
      <c r="AP54" s="759"/>
      <c r="AQ54" s="755">
        <v>8</v>
      </c>
      <c r="AR54" s="755"/>
      <c r="AS54" s="760"/>
      <c r="AT54" s="755"/>
      <c r="AU54" s="755"/>
      <c r="AV54" s="755">
        <v>79</v>
      </c>
      <c r="AW54" s="755"/>
      <c r="AX54" s="755">
        <v>6</v>
      </c>
      <c r="AY54" s="754" t="s">
        <v>41</v>
      </c>
      <c r="AZ54" s="759" t="s">
        <v>137</v>
      </c>
      <c r="BA54" s="755"/>
      <c r="BB54" s="755"/>
      <c r="BC54" s="755"/>
      <c r="BD54" s="449"/>
      <c r="BE54" s="449"/>
      <c r="BF54" s="754"/>
      <c r="BG54" s="755">
        <v>3</v>
      </c>
      <c r="BH54" s="755"/>
      <c r="BI54" s="755"/>
      <c r="BJ54" s="755">
        <v>2</v>
      </c>
      <c r="BK54" s="755"/>
      <c r="BL54" s="755">
        <v>1</v>
      </c>
      <c r="BM54" s="755">
        <v>1</v>
      </c>
      <c r="BN54" s="755">
        <v>10</v>
      </c>
      <c r="BO54" s="755">
        <v>18</v>
      </c>
      <c r="BP54" s="754"/>
      <c r="BQ54" s="761"/>
      <c r="BR54" s="760"/>
      <c r="BS54" s="754"/>
      <c r="BT54" s="424"/>
      <c r="BU54" s="424"/>
      <c r="BV54" s="424">
        <f>94%*J56</f>
        <v>438.97999999999996</v>
      </c>
      <c r="BW54" s="424">
        <v>0.65</v>
      </c>
      <c r="BX54" s="449"/>
      <c r="BY54" s="449"/>
      <c r="BZ54" s="449"/>
      <c r="CA54" s="449"/>
      <c r="CB54" s="449"/>
      <c r="CC54" s="807"/>
      <c r="CD54" s="449"/>
      <c r="CE54" s="762" t="str">
        <f>IFERROR(WWWW[[#This Row],['#_Water sources passed]]/WWWW[[#This Row],['#_Water sources tested for fecal coliform ]],"no test")</f>
        <v>no test</v>
      </c>
      <c r="CF54" s="760" t="str">
        <f>IFERROR(WWWW[[#This Row],['#_Household passed]]/WWWW[[#This Row],['#_Household water samples tested for fecal coliform]],"no test")</f>
        <v>no test</v>
      </c>
      <c r="CG54" s="761" t="str">
        <f>IF(AND(WWWW[[#This Row],[% of water sources passed]]="no test",WWWW[[#This Row],[% Household passed]]="no test"),"No Test","Tested")</f>
        <v>No Test</v>
      </c>
      <c r="CH54" s="761">
        <f>WWWW[[#This Row],['#_Constructed/existing protected hand dug well]]-WWWW[[#This Row],['#_Non-functional protected hand dug well]]</f>
        <v>0</v>
      </c>
      <c r="CI54" s="761">
        <f>(WWWW[[#This Row],['#_Constructed/Existing tube wells/boreholes/handpumps_WASH_agency]]+WWWW[[#This Row],['#_Non-Cluster partner water tube-wells/boreholes/handpumps]])-WWWW[[#This Row],['#_Non-functional tube wells/boreholes/handpumps]]</f>
        <v>1</v>
      </c>
      <c r="CJ54" s="761">
        <f>WWWW[[#This Row],['#_Constructed/Existingwater storage tank with gravity fed reticulation system]]-WWWW[[#This Row],['#_Non-functional storage tank gravity fed reticulation system]]</f>
        <v>0</v>
      </c>
      <c r="CK54" s="761">
        <f>(WWWW[[#This Row],['#_Water_Liters_supplied_by_Water boating or water trucking]]/90)/15</f>
        <v>0</v>
      </c>
      <c r="CL54" s="761">
        <f>WWWW[[#This Row],['#_Water_Liters_from_Constructed/Existing water distribution system from river or natural spring]]/90/15</f>
        <v>0</v>
      </c>
      <c r="CM54" s="425">
        <f>IF(WWWW[[#This Row],['#_of water points in TLS/CFS]]*500&gt;WWWW[[#This Row],[Total PoP ]],WWWW[[#This Row],[Total PoP ]],WWWW[[#This Row],['#_of water points in TLS/CFS]]*500)</f>
        <v>0</v>
      </c>
      <c r="CN54" s="425">
        <f>IF(WWWW[[#This Row],['#_of water points in THF]]*500&gt;WWWW[[#This Row],[Total PoP ]],WWWW[[#This Row],[Total PoP ]],WWWW[[#This Row],['#_of water points in THF]]*500)</f>
        <v>0</v>
      </c>
      <c r="CO5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0.71225071225071224</v>
      </c>
      <c r="CQ54" s="760">
        <f>IF(WWWW[[#This Row],[Location Type 1]]="Village",WWWW[[#This Row],[Access to safe drinking water for Village]],WWWW[[#This Row],[Access to safe drinking water for Camp]])</f>
        <v>1</v>
      </c>
      <c r="CR54" s="758">
        <f>WWWW[[#This Row],[%Equitable and continuous access to sufficient quantity of safe drinking water]]*WWWW[[#This Row],[Total PoP ]]</f>
        <v>351</v>
      </c>
      <c r="CS54" s="760">
        <f>IF((WWWW[[#This Row],['#_Constructed/Existing protected/fenced ponds]]*250)/WWWW[[#This Row],[Total PoP ]]&gt;1,1,(WWWW[[#This Row],['#_Constructed/Existing protected/fenced ponds]]*250)/WWWW[[#This Row],[Total PoP ]])</f>
        <v>0</v>
      </c>
      <c r="CT54" s="758">
        <f>WWWW[[#This Row],[% Access to unimproved water points]]*WWWW[[#This Row],[Total PoP ]]</f>
        <v>0</v>
      </c>
      <c r="CU5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351</v>
      </c>
      <c r="CW54" s="758">
        <f>WWWW[[#This Row],[HRP1]]/500</f>
        <v>0.70199999999999996</v>
      </c>
      <c r="CX54" s="763">
        <f>1-WWWW[[#This Row],[% Equitable and continuous access to sufficient quantity of domestic water]]</f>
        <v>0</v>
      </c>
      <c r="CY54" s="758">
        <f>WWWW[[#This Row],[%equitable and continuous access to sufficient quantity of safe drinking and domestic water''s GAP]]*WWWW[[#This Row],[Total PoP ]]</f>
        <v>0</v>
      </c>
      <c r="CZ54" s="761">
        <f>IF(WWWW[[#This Row],[Total required water points]]-WWWW[[#This Row],['#Water points coverage]]&lt;0,0,WWWW[[#This Row],[Total required water points]]-WWWW[[#This Row],['#Water points coverage]])</f>
        <v>0.29800000000000004</v>
      </c>
      <c r="DA54" s="761">
        <f>ROUND(IF(WWWW[[#This Row],[Total PoP ]]&lt;500,1,WWWW[[#This Row],[Total PoP ]]/500),0)</f>
        <v>1</v>
      </c>
      <c r="DB54" s="761">
        <f>(WWWW[[#This Row],['#_Constructed latrines_by_WASHAgencies]]+WWWW[[#This Row],['#_Non Cluster partner latrines]])-WWWW[[#This Row],['#_Non-functional latrines]]</f>
        <v>8</v>
      </c>
      <c r="DC54" s="634">
        <f>WWWW[[#This Row],[HRP2]]/WWWW[[#This Row],[Total PoP ]]</f>
        <v>0.45584045584045585</v>
      </c>
      <c r="DD5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5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351</v>
      </c>
      <c r="DF5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4" s="425">
        <f>IF(WWWW[[#This Row],['# of functional latrines in THF supported by WASH partners during the reporting period2]]="",0,WWWW[[#This Row],['# of functional latrines in THF supported by WASH partners during the reporting period2]]*50)</f>
        <v>0</v>
      </c>
      <c r="DH54" s="761">
        <f>ROUND(IF(WWWW[[#This Row],[Location Type 1]]="camp",WWWW[[#This Row],[Total PoP ]]/20,IF(WWWW[[#This Row],[Location Type 1]]="Temporary Location",WWWW[[#This Row],[Total PoP ]]/50,(WWWW[[#This Row],[Total PoP ]]/6))),0)</f>
        <v>18</v>
      </c>
      <c r="DI54" s="761">
        <f>IF(WWWW[[#This Row],[Total required Latrines]]-(WWWW[[#This Row],['#_Constructed latrines_by_WASHAgencies]]+WWWW[[#This Row],['#_Non Cluster partner latrines]])&lt;0,0,WWWW[[#This Row],[Total required Latrines]]-(WWWW[[#This Row],['#_Constructed latrines_by_WASHAgencies]]+WWWW[[#This Row],['#_Non Cluster partner latrines]]))</f>
        <v>10</v>
      </c>
      <c r="DJ54" s="763">
        <f>1-WWWW[[#This Row],[% people access to functioning Latrine]]</f>
        <v>0.54415954415954415</v>
      </c>
      <c r="DK54" s="762">
        <f>IF(OR(WWWW[[#This Row],['#_Non-functional latrines]]="",WWWW[[#This Row],['#_Non-functional latrines]]=0),0,WWWW[[#This Row],['#_Non-functional latrines]]/(WWWW[[#This Row],['#_Constructed latrines_by_WASHAgencies]]+WWWW[[#This Row],['#_Non Cluster partner latrines]]))</f>
        <v>0</v>
      </c>
      <c r="DL54" s="758">
        <f>IF(500*(WWWW[[#This Row],['#_male hygiene promoters]]+WWWW[[#This Row],['#_female hygiene promoters]])&gt;WWWW[[#This Row],[Total PoP ]],WWWW[[#This Row],[Total PoP ]],500*(WWWW[[#This Row],['#_male hygiene promoters]]+WWWW[[#This Row],['#_female hygiene promoters]]))</f>
        <v>351</v>
      </c>
      <c r="DM5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5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54" s="761">
        <f>IF(WWWW[[#This Row],['# People with access to soap]]&gt;WWWW[[#This Row],['# People with access to Sanity Pads]],WWWW[[#This Row],['# People with access to soap]],WWWW[[#This Row],['# People with access to Sanity Pads]])</f>
        <v>50</v>
      </c>
      <c r="DP54" s="761">
        <f>IF(WWWW[[#This Row],['# people reached by regular dedicated hygiene promotion_5]]&gt;WWWW[[#This Row],['# People received regular supply of hygiene items_6]],WWWW[[#This Row],['# people reached by regular dedicated hygiene promotion_5]],WWWW[[#This Row],['# People received regular supply of hygiene items_6]])</f>
        <v>351</v>
      </c>
      <c r="DQ54" s="763">
        <f>IF(WWWW[[#This Row],[HRP3]]/WWWW[[#This Row],[Total PoP ]]&gt;1,1,WWWW[[#This Row],[HRP3]]/WWWW[[#This Row],[Total PoP ]])</f>
        <v>1</v>
      </c>
      <c r="DR54" s="762">
        <f>1-WWWW[[#This Row],[Hygiene Coverage%]]</f>
        <v>0</v>
      </c>
      <c r="DS54" s="760">
        <f>WWWW[[#This Row],['# people reached by regular dedicated hygiene promotion_5]]/WWWW[[#This Row],[Total PoP ]]</f>
        <v>1</v>
      </c>
      <c r="DT5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0.50632911392405067</v>
      </c>
      <c r="DU5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0.22784810126582278</v>
      </c>
      <c r="DV54" s="761">
        <f>WWWW[[#This Row],['#_Constructed/Existing hand washing stations]]-WWWW[[#This Row],['#_Non-Functional_hand_washing_stations]]</f>
        <v>3</v>
      </c>
      <c r="DW54" s="758">
        <f>IF(WWWW[[#This Row],['# Functional hand washing stations during reporting period]]*20&gt;WWWW[[#This Row],[Total HH]],WWWW[[#This Row],[Total HH]],WWWW[[#This Row],['# Functional hand washing stations during reporting period]]*20)</f>
        <v>60</v>
      </c>
      <c r="DX54" s="758">
        <f>IF(WWWW[[#This Row],[Is sufficient soap available for TLS? (Yes/No)]]="yes",WWWW[[#This Row],['#_Constructed/Existing hand washing stations at TLS/CFS/THF]],0)</f>
        <v>0</v>
      </c>
      <c r="DY54" s="429">
        <f>IF(WWWW[[#This Row],['# Functional hand washing stations during reporting period]]*100&gt;WWWW[[#This Row],[Total PoP ]],WWWW[[#This Row],[Total PoP ]],WWWW[[#This Row],['# Functional hand washing stations during reporting period]]*100)</f>
        <v>300</v>
      </c>
      <c r="DZ54" s="429" t="str">
        <f>IF(OR(WWWW[[#This Row],['#_students at TLS_CFS]]="",WWWW[[#This Row],['#_students at TLS_CFS]]=0),"No","Yes")</f>
        <v>No</v>
      </c>
      <c r="EA54" s="634">
        <f>IF(WWWW[[#This Row],['#_of_affected_people_surveyed_who_report_feeling_informed_about_the_different_WASH_services_available_to_them]]="","",WWWW[[#This Row],['#_of_affected_people_surveyed_who_report_feeling_informed_about_the_different_WASH_services_available_to_them]]/WWWW[[#This Row],[Total PoP ]])</f>
        <v>1.2506552706552705</v>
      </c>
      <c r="EB5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4" s="754" t="str">
        <f>VLOOKUP(WWWW[[#This Row],[Site Name]],SiteDB6[[Site Name]:[CCCM Management]],6,FALSE)</f>
        <v>Yes</v>
      </c>
      <c r="EF54" s="754" t="str">
        <f>VLOOKUP(WWWW[[#This Row],[Site Name]],SiteDB6[[Site Name]:[CCCM Focal Agency]],7,FALSE)</f>
        <v>KBC-MYT</v>
      </c>
      <c r="EG54" s="754" t="str">
        <f>VLOOKUP(WWWW[[#This Row],[Site Name]],SiteDB6[[Site Name]:[Location Type 1]],9,FALSE)</f>
        <v>Camp</v>
      </c>
      <c r="EH54" s="754" t="str">
        <f>VLOOKUP(WWWW[[#This Row],[Site Name]],SiteDB6[[Site Name]:[Type of Accommodation]],10,FALSE)</f>
        <v>Camp</v>
      </c>
      <c r="EI54" s="754" t="str">
        <f>VLOOKUP(WWWW[[#This Row],[Site Name]],SiteDB6[[Site Name]:[Ethnic or GCA/NGCA]],11,FALSE)</f>
        <v>GCA</v>
      </c>
      <c r="EJ54" s="754">
        <f>VLOOKUP(WWWW[[#This Row],[Site Name]],SiteDB6[[Site Name]:[Lat]],12,FALSE)</f>
        <v>25.350989999999999</v>
      </c>
      <c r="EK54" s="754">
        <f>VLOOKUP(WWWW[[#This Row],[Site Name]],SiteDB6[[Site Name]:[Long]],13,FALSE)</f>
        <v>97.442809999999994</v>
      </c>
      <c r="EL54" s="754" t="str">
        <f>VLOOKUP(WWWW[[#This Row],[Site Name]],SiteDB6[[Site Name]:[Pcode]],3,FALSE)</f>
        <v>MMR001CMP269</v>
      </c>
      <c r="EM54" s="759" t="str">
        <f t="shared" si="0"/>
        <v>Covered</v>
      </c>
      <c r="EN54" s="759"/>
      <c r="EO54" s="754">
        <f>VLOOKUP(WWWW[[#This Row],[Site Name]],SiteDB6[[Site Name]:[Pop
(Kachin/Shan-CCCM as of July 2021)]],16,FALSE)</f>
        <v>81</v>
      </c>
      <c r="EP54" s="754">
        <f>VLOOKUP(WWWW[[#This Row],[Site Name]],SiteDB6[[Site Name]:[Pop
(Kachin/Shan-CCCM as of July 2021)]],17,FALSE)</f>
        <v>387</v>
      </c>
    </row>
    <row r="55" spans="1:146" hidden="1">
      <c r="A55" s="752" t="s">
        <v>2785</v>
      </c>
      <c r="B55" s="752" t="s">
        <v>36</v>
      </c>
      <c r="C55" s="753" t="s">
        <v>36</v>
      </c>
      <c r="D55" s="753" t="s">
        <v>241</v>
      </c>
      <c r="E55" s="753" t="s">
        <v>37</v>
      </c>
      <c r="F55" s="753" t="s">
        <v>148</v>
      </c>
      <c r="G55" s="594" t="str">
        <f>VLOOKUP(WWWW[[#This Row],[Site Name]],SiteDB6[[Site Name]:[Location Type]],8,FALSE)</f>
        <v>Camp</v>
      </c>
      <c r="H55" s="753" t="s">
        <v>1564</v>
      </c>
      <c r="I55" s="755">
        <v>14</v>
      </c>
      <c r="J55" s="755">
        <v>52</v>
      </c>
      <c r="K55" s="756">
        <v>44414</v>
      </c>
      <c r="L55" s="757">
        <v>44778</v>
      </c>
      <c r="M55" s="755"/>
      <c r="N55" s="755">
        <v>3</v>
      </c>
      <c r="O55" s="755"/>
      <c r="P55" s="755"/>
      <c r="Q55" s="758" t="s">
        <v>41</v>
      </c>
      <c r="R55" s="755">
        <v>3</v>
      </c>
      <c r="S55" s="755">
        <v>2</v>
      </c>
      <c r="T55" s="449">
        <v>1</v>
      </c>
      <c r="U55" s="755">
        <v>1</v>
      </c>
      <c r="V55" s="755">
        <v>1</v>
      </c>
      <c r="W55" s="755">
        <v>1</v>
      </c>
      <c r="X55" s="755"/>
      <c r="Y55" s="755"/>
      <c r="Z55" s="755"/>
      <c r="AA55" s="755">
        <v>1</v>
      </c>
      <c r="AB55" s="755"/>
      <c r="AC55" s="755"/>
      <c r="AD55" s="755"/>
      <c r="AE55" s="755"/>
      <c r="AF55" s="755"/>
      <c r="AG55" s="755">
        <v>10</v>
      </c>
      <c r="AH55" s="755">
        <v>1</v>
      </c>
      <c r="AI55" s="755">
        <v>2</v>
      </c>
      <c r="AJ55" s="755"/>
      <c r="AK55" s="755">
        <v>8</v>
      </c>
      <c r="AL55" s="755"/>
      <c r="AM55" s="755">
        <v>2</v>
      </c>
      <c r="AN55" s="755">
        <v>1</v>
      </c>
      <c r="AO55" s="755"/>
      <c r="AP55" s="759"/>
      <c r="AQ55" s="755">
        <v>4</v>
      </c>
      <c r="AR55" s="755"/>
      <c r="AS55" s="760"/>
      <c r="AT55" s="755"/>
      <c r="AU55" s="755"/>
      <c r="AV55" s="755"/>
      <c r="AW55" s="755"/>
      <c r="AX55" s="755"/>
      <c r="AY55" s="754" t="s">
        <v>41</v>
      </c>
      <c r="AZ55" s="759" t="s">
        <v>136</v>
      </c>
      <c r="BA55" s="755">
        <v>2</v>
      </c>
      <c r="BB55" s="755"/>
      <c r="BC55" s="755"/>
      <c r="BD55" s="449"/>
      <c r="BE55" s="449"/>
      <c r="BF55" s="754"/>
      <c r="BG55" s="755">
        <v>3</v>
      </c>
      <c r="BH55" s="755"/>
      <c r="BI55" s="755"/>
      <c r="BJ55" s="755">
        <v>2</v>
      </c>
      <c r="BK55" s="755"/>
      <c r="BL55" s="755"/>
      <c r="BM55" s="755"/>
      <c r="BN55" s="755">
        <v>88</v>
      </c>
      <c r="BO55" s="755">
        <v>100</v>
      </c>
      <c r="BP55" s="754"/>
      <c r="BQ55" s="761"/>
      <c r="BR55" s="760"/>
      <c r="BS55" s="754"/>
      <c r="BT55" s="424"/>
      <c r="BU55" s="424"/>
      <c r="BV55" s="426"/>
      <c r="BW55" s="424"/>
      <c r="BX55" s="449"/>
      <c r="BY55" s="449"/>
      <c r="BZ55" s="449"/>
      <c r="CA55" s="449"/>
      <c r="CB55" s="449"/>
      <c r="CC55" s="807"/>
      <c r="CD55" s="449"/>
      <c r="CE55" s="762">
        <f>IFERROR(WWWW[[#This Row],['#_Water sources passed]]/WWWW[[#This Row],['#_Water sources tested for fecal coliform ]],"no test")</f>
        <v>0</v>
      </c>
      <c r="CF55" s="760">
        <f>IFERROR(WWWW[[#This Row],['#_Household passed]]/WWWW[[#This Row],['#_Household water samples tested for fecal coliform]],"no test")</f>
        <v>0</v>
      </c>
      <c r="CG55" s="761" t="str">
        <f>IF(AND(WWWW[[#This Row],[% of water sources passed]]="no test",WWWW[[#This Row],[% Household passed]]="no test"),"No Test","Tested")</f>
        <v>Tested</v>
      </c>
      <c r="CH55" s="761">
        <f>WWWW[[#This Row],['#_Constructed/existing protected hand dug well]]-WWWW[[#This Row],['#_Non-functional protected hand dug well]]</f>
        <v>0</v>
      </c>
      <c r="CI55" s="761">
        <f>(WWWW[[#This Row],['#_Constructed/Existing tube wells/boreholes/handpumps_WASH_agency]]+WWWW[[#This Row],['#_Non-Cluster partner water tube-wells/boreholes/handpumps]])-WWWW[[#This Row],['#_Non-functional tube wells/boreholes/handpumps]]</f>
        <v>1</v>
      </c>
      <c r="CJ55" s="761">
        <f>WWWW[[#This Row],['#_Constructed/Existingwater storage tank with gravity fed reticulation system]]-WWWW[[#This Row],['#_Non-functional storage tank gravity fed reticulation system]]</f>
        <v>1</v>
      </c>
      <c r="CK55" s="761">
        <f>(WWWW[[#This Row],['#_Water_Liters_supplied_by_Water boating or water trucking]]/90)/15</f>
        <v>0</v>
      </c>
      <c r="CL55" s="761">
        <f>WWWW[[#This Row],['#_Water_Liters_from_Constructed/Existing water distribution system from river or natural spring]]/90/15</f>
        <v>0</v>
      </c>
      <c r="CM55" s="425">
        <f>IF(WWWW[[#This Row],['#_of water points in TLS/CFS]]*500&gt;WWWW[[#This Row],[Total PoP ]],WWWW[[#This Row],[Total PoP ]],WWWW[[#This Row],['#_of water points in TLS/CFS]]*500)</f>
        <v>52</v>
      </c>
      <c r="CN55" s="425">
        <f>IF(WWWW[[#This Row],['#_of water points in THF]]*500&gt;WWWW[[#This Row],[Total PoP ]],WWWW[[#This Row],[Total PoP ]],WWWW[[#This Row],['#_of water points in THF]]*500)</f>
        <v>0</v>
      </c>
      <c r="CO5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5" s="760">
        <f>IF(WWWW[[#This Row],[Location Type 1]]="Village",WWWW[[#This Row],[Access to safe drinking water for Village]],WWWW[[#This Row],[Access to safe drinking water for Camp]])</f>
        <v>1</v>
      </c>
      <c r="CR55" s="758">
        <f>WWWW[[#This Row],[%Equitable and continuous access to sufficient quantity of safe drinking water]]*WWWW[[#This Row],[Total PoP ]]</f>
        <v>52</v>
      </c>
      <c r="CS55" s="760">
        <f>IF((WWWW[[#This Row],['#_Constructed/Existing protected/fenced ponds]]*250)/WWWW[[#This Row],[Total PoP ]]&gt;1,1,(WWWW[[#This Row],['#_Constructed/Existing protected/fenced ponds]]*250)/WWWW[[#This Row],[Total PoP ]])</f>
        <v>0</v>
      </c>
      <c r="CT55" s="758">
        <f>WWWW[[#This Row],[% Access to unimproved water points]]*WWWW[[#This Row],[Total PoP ]]</f>
        <v>0</v>
      </c>
      <c r="CU5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W55" s="758">
        <f>WWWW[[#This Row],[HRP1]]/500</f>
        <v>0.104</v>
      </c>
      <c r="CX55" s="763">
        <f>1-WWWW[[#This Row],[% Equitable and continuous access to sufficient quantity of domestic water]]</f>
        <v>0</v>
      </c>
      <c r="CY55" s="758">
        <f>WWWW[[#This Row],[%equitable and continuous access to sufficient quantity of safe drinking and domestic water''s GAP]]*WWWW[[#This Row],[Total PoP ]]</f>
        <v>0</v>
      </c>
      <c r="CZ55" s="761">
        <f>IF(WWWW[[#This Row],[Total required water points]]-WWWW[[#This Row],['#Water points coverage]]&lt;0,0,WWWW[[#This Row],[Total required water points]]-WWWW[[#This Row],['#Water points coverage]])</f>
        <v>0.89600000000000002</v>
      </c>
      <c r="DA55" s="761">
        <f>ROUND(IF(WWWW[[#This Row],[Total PoP ]]&lt;500,1,WWWW[[#This Row],[Total PoP ]]/500),0)</f>
        <v>1</v>
      </c>
      <c r="DB55" s="761">
        <f>(WWWW[[#This Row],['#_Constructed latrines_by_WASHAgencies]]+WWWW[[#This Row],['#_Non Cluster partner latrines]])-WWWW[[#This Row],['#_Non-functional latrines]]</f>
        <v>4</v>
      </c>
      <c r="DC55" s="634">
        <f>WWWW[[#This Row],[HRP2]]/WWWW[[#This Row],[Total PoP ]]</f>
        <v>1</v>
      </c>
      <c r="DD5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DE5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5" s="425">
        <f>IF(WWWW[[#This Row],['# of functional latrines in THF supported by WASH partners during the reporting period2]]="",0,WWWW[[#This Row],['# of functional latrines in THF supported by WASH partners during the reporting period2]]*50)</f>
        <v>0</v>
      </c>
      <c r="DH55" s="761">
        <f>ROUND(IF(WWWW[[#This Row],[Location Type 1]]="camp",WWWW[[#This Row],[Total PoP ]]/20,IF(WWWW[[#This Row],[Location Type 1]]="Temporary Location",WWWW[[#This Row],[Total PoP ]]/50,(WWWW[[#This Row],[Total PoP ]]/6))),0)</f>
        <v>3</v>
      </c>
      <c r="DI55" s="761">
        <f>IF(WWWW[[#This Row],[Total required Latrines]]-(WWWW[[#This Row],['#_Constructed latrines_by_WASHAgencies]]+WWWW[[#This Row],['#_Non Cluster partner latrines]])&lt;0,0,WWWW[[#This Row],[Total required Latrines]]-(WWWW[[#This Row],['#_Constructed latrines_by_WASHAgencies]]+WWWW[[#This Row],['#_Non Cluster partner latrines]]))</f>
        <v>0</v>
      </c>
      <c r="DJ55" s="763">
        <f>1-WWWW[[#This Row],[% people access to functioning Latrine]]</f>
        <v>0</v>
      </c>
      <c r="DK55" s="762">
        <f>IF(OR(WWWW[[#This Row],['#_Non-functional latrines]]="",WWWW[[#This Row],['#_Non-functional latrines]]=0),0,WWWW[[#This Row],['#_Non-functional latrines]]/(WWWW[[#This Row],['#_Constructed latrines_by_WASHAgencies]]+WWWW[[#This Row],['#_Non Cluster partner latrines]]))</f>
        <v>0</v>
      </c>
      <c r="DL55" s="758">
        <f>IF(500*(WWWW[[#This Row],['#_male hygiene promoters]]+WWWW[[#This Row],['#_female hygiene promoters]])&gt;WWWW[[#This Row],[Total PoP ]],WWWW[[#This Row],[Total PoP ]],500*(WWWW[[#This Row],['#_male hygiene promoters]]+WWWW[[#This Row],['#_female hygiene promoters]]))</f>
        <v>0</v>
      </c>
      <c r="DM5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DN5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52</v>
      </c>
      <c r="DO55" s="761">
        <f>IF(WWWW[[#This Row],['# People with access to soap]]&gt;WWWW[[#This Row],['# People with access to Sanity Pads]],WWWW[[#This Row],['# People with access to soap]],WWWW[[#This Row],['# People with access to Sanity Pads]])</f>
        <v>52</v>
      </c>
      <c r="DP55" s="761">
        <f>IF(WWWW[[#This Row],['# people reached by regular dedicated hygiene promotion_5]]&gt;WWWW[[#This Row],['# People received regular supply of hygiene items_6]],WWWW[[#This Row],['# people reached by regular dedicated hygiene promotion_5]],WWWW[[#This Row],['# People received regular supply of hygiene items_6]])</f>
        <v>52</v>
      </c>
      <c r="DQ55" s="763">
        <f>IF(WWWW[[#This Row],[HRP3]]/WWWW[[#This Row],[Total PoP ]]&gt;1,1,WWWW[[#This Row],[HRP3]]/WWWW[[#This Row],[Total PoP ]])</f>
        <v>1</v>
      </c>
      <c r="DR55" s="762">
        <f>1-WWWW[[#This Row],[Hygiene Coverage%]]</f>
        <v>0</v>
      </c>
      <c r="DS55" s="760">
        <f>WWWW[[#This Row],['# people reached by regular dedicated hygiene promotion_5]]/WWWW[[#This Row],[Total PoP ]]</f>
        <v>0</v>
      </c>
      <c r="DT5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5" s="761">
        <f>WWWW[[#This Row],['#_Constructed/Existing hand washing stations]]-WWWW[[#This Row],['#_Non-Functional_hand_washing_stations]]</f>
        <v>3</v>
      </c>
      <c r="DW55" s="758">
        <f>IF(WWWW[[#This Row],['# Functional hand washing stations during reporting period]]*20&gt;WWWW[[#This Row],[Total HH]],WWWW[[#This Row],[Total HH]],WWWW[[#This Row],['# Functional hand washing stations during reporting period]]*20)</f>
        <v>14</v>
      </c>
      <c r="DX55" s="758">
        <f>IF(WWWW[[#This Row],[Is sufficient soap available for TLS? (Yes/No)]]="yes",WWWW[[#This Row],['#_Constructed/Existing hand washing stations at TLS/CFS/THF]],0)</f>
        <v>0</v>
      </c>
      <c r="DY55" s="429">
        <f>IF(WWWW[[#This Row],['# Functional hand washing stations during reporting period]]*100&gt;WWWW[[#This Row],[Total PoP ]],WWWW[[#This Row],[Total PoP ]],WWWW[[#This Row],['# Functional hand washing stations during reporting period]]*100)</f>
        <v>52</v>
      </c>
      <c r="DZ55" s="429" t="str">
        <f>IF(OR(WWWW[[#This Row],['#_students at TLS_CFS]]="",WWWW[[#This Row],['#_students at TLS_CFS]]=0),"No","Yes")</f>
        <v>No</v>
      </c>
      <c r="EA5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D5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5" s="754">
        <f>VLOOKUP(WWWW[[#This Row],[Site Name]],SiteDB6[[Site Name]:[CCCM Management]],6,FALSE)</f>
        <v>0</v>
      </c>
      <c r="EF55" s="754" t="str">
        <f>VLOOKUP(WWWW[[#This Row],[Site Name]],SiteDB6[[Site Name]:[CCCM Focal Agency]],7,FALSE)</f>
        <v>KMSS-MYT</v>
      </c>
      <c r="EG55" s="754" t="str">
        <f>VLOOKUP(WWWW[[#This Row],[Site Name]],SiteDB6[[Site Name]:[Location Type 1]],9,FALSE)</f>
        <v>Camp</v>
      </c>
      <c r="EH55" s="754" t="str">
        <f>VLOOKUP(WWWW[[#This Row],[Site Name]],SiteDB6[[Site Name]:[Type of Accommodation]],10,FALSE)</f>
        <v>Camp</v>
      </c>
      <c r="EI55" s="754" t="str">
        <f>VLOOKUP(WWWW[[#This Row],[Site Name]],SiteDB6[[Site Name]:[Ethnic or GCA/NGCA]],11,FALSE)</f>
        <v>GCA</v>
      </c>
      <c r="EJ55" s="754">
        <f>VLOOKUP(WWWW[[#This Row],[Site Name]],SiteDB6[[Site Name]:[Lat]],12,FALSE)</f>
        <v>25.522594999999999</v>
      </c>
      <c r="EK55" s="754">
        <f>VLOOKUP(WWWW[[#This Row],[Site Name]],SiteDB6[[Site Name]:[Long]],13,FALSE)</f>
        <v>96.711534</v>
      </c>
      <c r="EL55" s="754" t="str">
        <f>VLOOKUP(WWWW[[#This Row],[Site Name]],SiteDB6[[Site Name]:[Pcode]],3,FALSE)</f>
        <v>MMR001CMP270</v>
      </c>
      <c r="EM55" s="759" t="str">
        <f t="shared" si="0"/>
        <v>Covered</v>
      </c>
      <c r="EN55" s="759"/>
      <c r="EO55" s="754">
        <f>VLOOKUP(WWWW[[#This Row],[Site Name]],SiteDB6[[Site Name]:[Pop
(Kachin/Shan-CCCM as of July 2021)]],16,FALSE)</f>
        <v>14</v>
      </c>
      <c r="EP55" s="754">
        <f>VLOOKUP(WWWW[[#This Row],[Site Name]],SiteDB6[[Site Name]:[Pop
(Kachin/Shan-CCCM as of July 2021)]],17,FALSE)</f>
        <v>52</v>
      </c>
    </row>
    <row r="56" spans="1:146" hidden="1">
      <c r="A56" s="752" t="s">
        <v>2785</v>
      </c>
      <c r="B56" s="752" t="s">
        <v>36</v>
      </c>
      <c r="C56" s="753" t="s">
        <v>36</v>
      </c>
      <c r="D56" s="753" t="s">
        <v>241</v>
      </c>
      <c r="E56" s="753" t="s">
        <v>37</v>
      </c>
      <c r="F56" s="753" t="s">
        <v>148</v>
      </c>
      <c r="G56" s="594" t="str">
        <f>VLOOKUP(WWWW[[#This Row],[Site Name]],SiteDB6[[Site Name]:[Location Type]],8,FALSE)</f>
        <v>Camp_not registered</v>
      </c>
      <c r="H56" s="753" t="s">
        <v>1592</v>
      </c>
      <c r="I56" s="818">
        <v>94</v>
      </c>
      <c r="J56" s="818">
        <v>467</v>
      </c>
      <c r="K56" s="828">
        <v>44414</v>
      </c>
      <c r="L56" s="829">
        <v>44778</v>
      </c>
      <c r="M56" s="755"/>
      <c r="N56" s="755">
        <v>5</v>
      </c>
      <c r="O56" s="755"/>
      <c r="P56" s="755"/>
      <c r="Q56" s="758" t="s">
        <v>41</v>
      </c>
      <c r="R56" s="755">
        <v>2</v>
      </c>
      <c r="S56" s="755">
        <v>5</v>
      </c>
      <c r="T56" s="449">
        <v>1</v>
      </c>
      <c r="U56" s="755"/>
      <c r="V56" s="755"/>
      <c r="W56" s="755"/>
      <c r="X56" s="755"/>
      <c r="Y56" s="755"/>
      <c r="Z56" s="755"/>
      <c r="AA56" s="755"/>
      <c r="AB56" s="755"/>
      <c r="AC56" s="755"/>
      <c r="AD56" s="755"/>
      <c r="AE56" s="755"/>
      <c r="AF56" s="755"/>
      <c r="AG56" s="755"/>
      <c r="AH56" s="755"/>
      <c r="AI56" s="755">
        <v>10</v>
      </c>
      <c r="AJ56" s="755"/>
      <c r="AK56" s="755"/>
      <c r="AL56" s="755"/>
      <c r="AM56" s="755"/>
      <c r="AN56" s="755"/>
      <c r="AO56" s="755"/>
      <c r="AP56" s="759"/>
      <c r="AQ56" s="755">
        <v>12</v>
      </c>
      <c r="AR56" s="755"/>
      <c r="AS56" s="760"/>
      <c r="AT56" s="755"/>
      <c r="AU56" s="755"/>
      <c r="AV56" s="755"/>
      <c r="AW56" s="755"/>
      <c r="AX56" s="755"/>
      <c r="AY56" s="754" t="s">
        <v>41</v>
      </c>
      <c r="AZ56" s="759" t="s">
        <v>137</v>
      </c>
      <c r="BA56" s="755">
        <v>3</v>
      </c>
      <c r="BB56" s="755"/>
      <c r="BC56" s="755"/>
      <c r="BD56" s="449"/>
      <c r="BE56" s="449"/>
      <c r="BF56" s="754"/>
      <c r="BG56" s="755">
        <v>1</v>
      </c>
      <c r="BH56" s="755"/>
      <c r="BI56" s="755"/>
      <c r="BJ56" s="755">
        <v>3</v>
      </c>
      <c r="BK56" s="755"/>
      <c r="BL56" s="755"/>
      <c r="BM56" s="755"/>
      <c r="BN56" s="755">
        <v>41</v>
      </c>
      <c r="BO56" s="755">
        <v>85</v>
      </c>
      <c r="BP56" s="754"/>
      <c r="BQ56" s="761">
        <v>100</v>
      </c>
      <c r="BR56" s="760">
        <v>0.3</v>
      </c>
      <c r="BS56" s="754"/>
      <c r="BT56" s="424"/>
      <c r="BU56" s="424"/>
      <c r="BV56" s="426"/>
      <c r="BW56" s="424"/>
      <c r="BX56" s="449"/>
      <c r="BY56" s="449"/>
      <c r="BZ56" s="449"/>
      <c r="CA56" s="449"/>
      <c r="CB56" s="449"/>
      <c r="CC56" s="807"/>
      <c r="CD56" s="449"/>
      <c r="CE56" s="762">
        <f>IFERROR(WWWW[[#This Row],['#_Water sources passed]]/WWWW[[#This Row],['#_Water sources tested for fecal coliform ]],"no test")</f>
        <v>0</v>
      </c>
      <c r="CF56" s="760" t="str">
        <f>IFERROR(WWWW[[#This Row],['#_Household passed]]/WWWW[[#This Row],['#_Household water samples tested for fecal coliform]],"no test")</f>
        <v>no test</v>
      </c>
      <c r="CG56" s="761" t="str">
        <f>IF(AND(WWWW[[#This Row],[% of water sources passed]]="no test",WWWW[[#This Row],[% Household passed]]="no test"),"No Test","Tested")</f>
        <v>Tested</v>
      </c>
      <c r="CH56" s="761">
        <f>WWWW[[#This Row],['#_Constructed/existing protected hand dug well]]-WWWW[[#This Row],['#_Non-functional protected hand dug well]]</f>
        <v>1</v>
      </c>
      <c r="CI56" s="761">
        <f>(WWWW[[#This Row],['#_Constructed/Existing tube wells/boreholes/handpumps_WASH_agency]]+WWWW[[#This Row],['#_Non-Cluster partner water tube-wells/boreholes/handpumps]])-WWWW[[#This Row],['#_Non-functional tube wells/boreholes/handpumps]]</f>
        <v>0</v>
      </c>
      <c r="CJ56" s="761">
        <f>WWWW[[#This Row],['#_Constructed/Existingwater storage tank with gravity fed reticulation system]]-WWWW[[#This Row],['#_Non-functional storage tank gravity fed reticulation system]]</f>
        <v>0</v>
      </c>
      <c r="CK56" s="761">
        <f>(WWWW[[#This Row],['#_Water_Liters_supplied_by_Water boating or water trucking]]/90)/15</f>
        <v>0</v>
      </c>
      <c r="CL56" s="761">
        <f>WWWW[[#This Row],['#_Water_Liters_from_Constructed/Existing water distribution system from river or natural spring]]/90/15</f>
        <v>0</v>
      </c>
      <c r="CM56" s="425">
        <f>IF(WWWW[[#This Row],['#_of water points in TLS/CFS]]*500&gt;WWWW[[#This Row],[Total PoP ]],WWWW[[#This Row],[Total PoP ]],WWWW[[#This Row],['#_of water points in TLS/CFS]]*500)</f>
        <v>0</v>
      </c>
      <c r="CN56" s="425">
        <f>IF(WWWW[[#This Row],['#_of water points in THF]]*500&gt;WWWW[[#This Row],[Total PoP ]],WWWW[[#This Row],[Total PoP ]],WWWW[[#This Row],['#_of water points in THF]]*500)</f>
        <v>0</v>
      </c>
      <c r="CO5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0.85653104925053536</v>
      </c>
      <c r="CP5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0.53533190578158463</v>
      </c>
      <c r="CQ56" s="760">
        <f>IF(WWWW[[#This Row],[Location Type 1]]="Village",WWWW[[#This Row],[Access to safe drinking water for Village]],WWWW[[#This Row],[Access to safe drinking water for Camp]])</f>
        <v>0.85653104925053536</v>
      </c>
      <c r="CR56" s="758">
        <f>WWWW[[#This Row],[%Equitable and continuous access to sufficient quantity of safe drinking water]]*WWWW[[#This Row],[Total PoP ]]</f>
        <v>400</v>
      </c>
      <c r="CS56" s="760">
        <f>IF((WWWW[[#This Row],['#_Constructed/Existing protected/fenced ponds]]*250)/WWWW[[#This Row],[Total PoP ]]&gt;1,1,(WWWW[[#This Row],['#_Constructed/Existing protected/fenced ponds]]*250)/WWWW[[#This Row],[Total PoP ]])</f>
        <v>0</v>
      </c>
      <c r="CT56" s="758">
        <f>WWWW[[#This Row],[% Access to unimproved water points]]*WWWW[[#This Row],[Total PoP ]]</f>
        <v>0</v>
      </c>
      <c r="CU5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0.85653104925053536</v>
      </c>
      <c r="CV5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56" s="758">
        <f>WWWW[[#This Row],[HRP1]]/500</f>
        <v>0.8</v>
      </c>
      <c r="CX56" s="763">
        <f>1-WWWW[[#This Row],[% Equitable and continuous access to sufficient quantity of domestic water]]</f>
        <v>0.14346895074946464</v>
      </c>
      <c r="CY56" s="758">
        <f>WWWW[[#This Row],[%equitable and continuous access to sufficient quantity of safe drinking and domestic water''s GAP]]*WWWW[[#This Row],[Total PoP ]]</f>
        <v>66.999999999999986</v>
      </c>
      <c r="CZ56" s="761">
        <f>IF(WWWW[[#This Row],[Total required water points]]-WWWW[[#This Row],['#Water points coverage]]&lt;0,0,WWWW[[#This Row],[Total required water points]]-WWWW[[#This Row],['#Water points coverage]])</f>
        <v>0.19999999999999996</v>
      </c>
      <c r="DA56" s="761">
        <f>ROUND(IF(WWWW[[#This Row],[Total PoP ]]&lt;500,1,WWWW[[#This Row],[Total PoP ]]/500),0)</f>
        <v>1</v>
      </c>
      <c r="DB56" s="761">
        <f>(WWWW[[#This Row],['#_Constructed latrines_by_WASHAgencies]]+WWWW[[#This Row],['#_Non Cluster partner latrines]])-WWWW[[#This Row],['#_Non-functional latrines]]</f>
        <v>12</v>
      </c>
      <c r="DC56" s="634">
        <f>WWWW[[#This Row],[HRP2]]/WWWW[[#This Row],[Total PoP ]]</f>
        <v>0.64239828693790146</v>
      </c>
      <c r="DD5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5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6" s="425">
        <f>IF(WWWW[[#This Row],['# of functional latrines in THF supported by WASH partners during the reporting period2]]="",0,WWWW[[#This Row],['# of functional latrines in THF supported by WASH partners during the reporting period2]]*50)</f>
        <v>0</v>
      </c>
      <c r="DH56" s="761">
        <f>ROUND(IF(WWWW[[#This Row],[Location Type 1]]="camp",WWWW[[#This Row],[Total PoP ]]/20,IF(WWWW[[#This Row],[Location Type 1]]="Temporary Location",WWWW[[#This Row],[Total PoP ]]/50,(WWWW[[#This Row],[Total PoP ]]/6))),0)</f>
        <v>23</v>
      </c>
      <c r="DI56" s="761">
        <f>IF(WWWW[[#This Row],[Total required Latrines]]-(WWWW[[#This Row],['#_Constructed latrines_by_WASHAgencies]]+WWWW[[#This Row],['#_Non Cluster partner latrines]])&lt;0,0,WWWW[[#This Row],[Total required Latrines]]-(WWWW[[#This Row],['#_Constructed latrines_by_WASHAgencies]]+WWWW[[#This Row],['#_Non Cluster partner latrines]]))</f>
        <v>11</v>
      </c>
      <c r="DJ56" s="763">
        <f>1-WWWW[[#This Row],[% people access to functioning Latrine]]</f>
        <v>0.35760171306209854</v>
      </c>
      <c r="DK56" s="762">
        <f>IF(OR(WWWW[[#This Row],['#_Non-functional latrines]]="",WWWW[[#This Row],['#_Non-functional latrines]]=0),0,WWWW[[#This Row],['#_Non-functional latrines]]/(WWWW[[#This Row],['#_Constructed latrines_by_WASHAgencies]]+WWWW[[#This Row],['#_Non Cluster partner latrines]]))</f>
        <v>0</v>
      </c>
      <c r="DL56" s="758">
        <f>IF(500*(WWWW[[#This Row],['#_male hygiene promoters]]+WWWW[[#This Row],['#_female hygiene promoters]])&gt;WWWW[[#This Row],[Total PoP ]],WWWW[[#This Row],[Total PoP ]],500*(WWWW[[#This Row],['#_male hygiene promoters]]+WWWW[[#This Row],['#_female hygiene promoters]]))</f>
        <v>0</v>
      </c>
      <c r="DM5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5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56" s="761">
        <f>IF(WWWW[[#This Row],['# People with access to soap]]&gt;WWWW[[#This Row],['# People with access to Sanity Pads]],WWWW[[#This Row],['# People with access to soap]],WWWW[[#This Row],['# People with access to Sanity Pads]])</f>
        <v>205</v>
      </c>
      <c r="DP56" s="761">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56" s="763">
        <f>IF(WWWW[[#This Row],[HRP3]]/WWWW[[#This Row],[Total PoP ]]&gt;1,1,WWWW[[#This Row],[HRP3]]/WWWW[[#This Row],[Total PoP ]])</f>
        <v>0.43897216274089934</v>
      </c>
      <c r="DR56" s="762">
        <f>1-WWWW[[#This Row],[Hygiene Coverage%]]</f>
        <v>0.56102783725910066</v>
      </c>
      <c r="DS56" s="760">
        <f>WWWW[[#This Row],['# people reached by regular dedicated hygiene promotion_5]]/WWWW[[#This Row],[Total PoP ]]</f>
        <v>0</v>
      </c>
      <c r="DT5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0.9042553191489362</v>
      </c>
      <c r="DV56" s="761">
        <f>WWWW[[#This Row],['#_Constructed/Existing hand washing stations]]-WWWW[[#This Row],['#_Non-Functional_hand_washing_stations]]</f>
        <v>1</v>
      </c>
      <c r="DW56" s="758">
        <f>IF(WWWW[[#This Row],['# Functional hand washing stations during reporting period]]*20&gt;WWWW[[#This Row],[Total HH]],WWWW[[#This Row],[Total HH]],WWWW[[#This Row],['# Functional hand washing stations during reporting period]]*20)</f>
        <v>20</v>
      </c>
      <c r="DX56" s="758">
        <f>IF(WWWW[[#This Row],[Is sufficient soap available for TLS? (Yes/No)]]="yes",WWWW[[#This Row],['#_Constructed/Existing hand washing stations at TLS/CFS/THF]],0)</f>
        <v>0</v>
      </c>
      <c r="DY56" s="429">
        <f>IF(WWWW[[#This Row],['# Functional hand washing stations during reporting period]]*100&gt;WWWW[[#This Row],[Total PoP ]],WWWW[[#This Row],[Total PoP ]],WWWW[[#This Row],['# Functional hand washing stations during reporting period]]*100)</f>
        <v>100</v>
      </c>
      <c r="DZ56" s="429" t="str">
        <f>IF(OR(WWWW[[#This Row],['#_students at TLS_CFS]]="",WWWW[[#This Row],['#_students at TLS_CFS]]=0),"No","Yes")</f>
        <v>No</v>
      </c>
      <c r="EA5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6" s="754">
        <f>VLOOKUP(WWWW[[#This Row],[Site Name]],SiteDB6[[Site Name]:[CCCM Management]],6,FALSE)</f>
        <v>0</v>
      </c>
      <c r="EF56" s="754">
        <f>VLOOKUP(WWWW[[#This Row],[Site Name]],SiteDB6[[Site Name]:[CCCM Focal Agency]],7,FALSE)</f>
        <v>0</v>
      </c>
      <c r="EG56" s="754" t="str">
        <f>VLOOKUP(WWWW[[#This Row],[Site Name]],SiteDB6[[Site Name]:[Location Type 1]],9,FALSE)</f>
        <v>Camp</v>
      </c>
      <c r="EH56" s="754" t="str">
        <f>VLOOKUP(WWWW[[#This Row],[Site Name]],SiteDB6[[Site Name]:[Type of Accommodation]],10,FALSE)</f>
        <v>Camp like setting</v>
      </c>
      <c r="EI56" s="754" t="str">
        <f>VLOOKUP(WWWW[[#This Row],[Site Name]],SiteDB6[[Site Name]:[Ethnic or GCA/NGCA]],11,FALSE)</f>
        <v>GCA</v>
      </c>
      <c r="EJ56" s="754">
        <f>VLOOKUP(WWWW[[#This Row],[Site Name]],SiteDB6[[Site Name]:[Lat]],12,FALSE)</f>
        <v>0</v>
      </c>
      <c r="EK56" s="754">
        <f>VLOOKUP(WWWW[[#This Row],[Site Name]],SiteDB6[[Site Name]:[Long]],13,FALSE)</f>
        <v>0</v>
      </c>
      <c r="EL56" s="754">
        <f>VLOOKUP(WWWW[[#This Row],[Site Name]],SiteDB6[[Site Name]:[Pcode]],3,FALSE)</f>
        <v>0</v>
      </c>
      <c r="EM56" s="759" t="str">
        <f t="shared" si="0"/>
        <v>Covered</v>
      </c>
      <c r="EN56" s="759"/>
      <c r="EO56" s="754">
        <f>VLOOKUP(WWWW[[#This Row],[Site Name]],SiteDB6[[Site Name]:[Pop
(Kachin/Shan-CCCM as of July 2021)]],16,FALSE)</f>
        <v>0</v>
      </c>
      <c r="EP56" s="754">
        <f>VLOOKUP(WWWW[[#This Row],[Site Name]],SiteDB6[[Site Name]:[Pop
(Kachin/Shan-CCCM as of July 2021)]],17,FALSE)</f>
        <v>0</v>
      </c>
    </row>
    <row r="57" spans="1:146" hidden="1">
      <c r="A57" s="752" t="s">
        <v>2785</v>
      </c>
      <c r="B57" s="752" t="s">
        <v>36</v>
      </c>
      <c r="C57" s="753" t="s">
        <v>36</v>
      </c>
      <c r="D57" s="753" t="s">
        <v>241</v>
      </c>
      <c r="E57" s="753" t="s">
        <v>37</v>
      </c>
      <c r="F57" s="753" t="s">
        <v>148</v>
      </c>
      <c r="G57" s="594" t="str">
        <f>VLOOKUP(WWWW[[#This Row],[Site Name]],SiteDB6[[Site Name]:[Location Type]],8,FALSE)</f>
        <v>Camp</v>
      </c>
      <c r="H57" s="753" t="s">
        <v>231</v>
      </c>
      <c r="I57" s="818">
        <v>50</v>
      </c>
      <c r="J57" s="818">
        <v>218</v>
      </c>
      <c r="K57" s="828">
        <v>44414</v>
      </c>
      <c r="L57" s="829">
        <v>44778</v>
      </c>
      <c r="M57" s="755"/>
      <c r="N57" s="755">
        <v>1</v>
      </c>
      <c r="O57" s="755"/>
      <c r="P57" s="755"/>
      <c r="Q57" s="758" t="s">
        <v>41</v>
      </c>
      <c r="R57" s="755">
        <v>3</v>
      </c>
      <c r="S57" s="755">
        <v>3</v>
      </c>
      <c r="T57" s="449">
        <v>1</v>
      </c>
      <c r="U57" s="755"/>
      <c r="V57" s="755"/>
      <c r="W57" s="755"/>
      <c r="X57" s="755"/>
      <c r="Y57" s="755"/>
      <c r="Z57" s="755"/>
      <c r="AA57" s="755"/>
      <c r="AB57" s="755"/>
      <c r="AC57" s="755"/>
      <c r="AD57" s="755"/>
      <c r="AE57" s="755"/>
      <c r="AF57" s="755"/>
      <c r="AG57" s="755"/>
      <c r="AH57" s="755"/>
      <c r="AI57" s="755"/>
      <c r="AJ57" s="755"/>
      <c r="AK57" s="755"/>
      <c r="AL57" s="755"/>
      <c r="AM57" s="755">
        <v>4</v>
      </c>
      <c r="AN57" s="755"/>
      <c r="AO57" s="755"/>
      <c r="AP57" s="759"/>
      <c r="AQ57" s="755">
        <v>16</v>
      </c>
      <c r="AR57" s="755"/>
      <c r="AS57" s="760"/>
      <c r="AT57" s="755"/>
      <c r="AU57" s="755"/>
      <c r="AV57" s="755"/>
      <c r="AW57" s="755"/>
      <c r="AX57" s="755"/>
      <c r="AY57" s="754" t="s">
        <v>41</v>
      </c>
      <c r="AZ57" s="759" t="s">
        <v>137</v>
      </c>
      <c r="BA57" s="755"/>
      <c r="BB57" s="755"/>
      <c r="BC57" s="755"/>
      <c r="BD57" s="449"/>
      <c r="BE57" s="449"/>
      <c r="BF57" s="754"/>
      <c r="BG57" s="755">
        <v>7</v>
      </c>
      <c r="BH57" s="755"/>
      <c r="BI57" s="755"/>
      <c r="BJ57" s="755">
        <v>4</v>
      </c>
      <c r="BK57" s="755"/>
      <c r="BL57" s="755"/>
      <c r="BM57" s="755"/>
      <c r="BN57" s="755">
        <v>124</v>
      </c>
      <c r="BO57" s="755">
        <v>198</v>
      </c>
      <c r="BP57" s="754"/>
      <c r="BQ57" s="761"/>
      <c r="BR57" s="760"/>
      <c r="BS57" s="754"/>
      <c r="BT57" s="424"/>
      <c r="BU57" s="424"/>
      <c r="BV57" s="426"/>
      <c r="BW57" s="424"/>
      <c r="BX57" s="449"/>
      <c r="BY57" s="449"/>
      <c r="BZ57" s="449"/>
      <c r="CA57" s="449"/>
      <c r="CB57" s="449"/>
      <c r="CC57" s="807"/>
      <c r="CD57" s="449"/>
      <c r="CE57" s="762" t="str">
        <f>IFERROR(WWWW[[#This Row],['#_Water sources passed]]/WWWW[[#This Row],['#_Water sources tested for fecal coliform ]],"no test")</f>
        <v>no test</v>
      </c>
      <c r="CF57" s="760" t="str">
        <f>IFERROR(WWWW[[#This Row],['#_Household passed]]/WWWW[[#This Row],['#_Household water samples tested for fecal coliform]],"no test")</f>
        <v>no test</v>
      </c>
      <c r="CG57" s="761" t="str">
        <f>IF(AND(WWWW[[#This Row],[% of water sources passed]]="no test",WWWW[[#This Row],[% Household passed]]="no test"),"No Test","Tested")</f>
        <v>No Test</v>
      </c>
      <c r="CH57" s="761">
        <f>WWWW[[#This Row],['#_Constructed/existing protected hand dug well]]-WWWW[[#This Row],['#_Non-functional protected hand dug well]]</f>
        <v>1</v>
      </c>
      <c r="CI57" s="761">
        <f>(WWWW[[#This Row],['#_Constructed/Existing tube wells/boreholes/handpumps_WASH_agency]]+WWWW[[#This Row],['#_Non-Cluster partner water tube-wells/boreholes/handpumps]])-WWWW[[#This Row],['#_Non-functional tube wells/boreholes/handpumps]]</f>
        <v>0</v>
      </c>
      <c r="CJ57" s="761">
        <f>WWWW[[#This Row],['#_Constructed/Existingwater storage tank with gravity fed reticulation system]]-WWWW[[#This Row],['#_Non-functional storage tank gravity fed reticulation system]]</f>
        <v>0</v>
      </c>
      <c r="CK57" s="761">
        <f>(WWWW[[#This Row],['#_Water_Liters_supplied_by_Water boating or water trucking]]/90)/15</f>
        <v>0</v>
      </c>
      <c r="CL57" s="761">
        <f>WWWW[[#This Row],['#_Water_Liters_from_Constructed/Existing water distribution system from river or natural spring]]/90/15</f>
        <v>0</v>
      </c>
      <c r="CM57" s="425">
        <f>IF(WWWW[[#This Row],['#_of water points in TLS/CFS]]*500&gt;WWWW[[#This Row],[Total PoP ]],WWWW[[#This Row],[Total PoP ]],WWWW[[#This Row],['#_of water points in TLS/CFS]]*500)</f>
        <v>0</v>
      </c>
      <c r="CN57" s="425">
        <f>IF(WWWW[[#This Row],['#_of water points in THF]]*500&gt;WWWW[[#This Row],[Total PoP ]],WWWW[[#This Row],[Total PoP ]],WWWW[[#This Row],['#_of water points in THF]]*500)</f>
        <v>0</v>
      </c>
      <c r="CO5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7" s="760">
        <f>IF(WWWW[[#This Row],[Location Type 1]]="Village",WWWW[[#This Row],[Access to safe drinking water for Village]],WWWW[[#This Row],[Access to safe drinking water for Camp]])</f>
        <v>1</v>
      </c>
      <c r="CR57" s="758">
        <f>WWWW[[#This Row],[%Equitable and continuous access to sufficient quantity of safe drinking water]]*WWWW[[#This Row],[Total PoP ]]</f>
        <v>218</v>
      </c>
      <c r="CS57" s="760">
        <f>IF((WWWW[[#This Row],['#_Constructed/Existing protected/fenced ponds]]*250)/WWWW[[#This Row],[Total PoP ]]&gt;1,1,(WWWW[[#This Row],['#_Constructed/Existing protected/fenced ponds]]*250)/WWWW[[#This Row],[Total PoP ]])</f>
        <v>0</v>
      </c>
      <c r="CT57" s="758">
        <f>WWWW[[#This Row],[% Access to unimproved water points]]*WWWW[[#This Row],[Total PoP ]]</f>
        <v>0</v>
      </c>
      <c r="CU5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W57" s="758">
        <f>WWWW[[#This Row],[HRP1]]/500</f>
        <v>0.436</v>
      </c>
      <c r="CX57" s="763">
        <f>1-WWWW[[#This Row],[% Equitable and continuous access to sufficient quantity of domestic water]]</f>
        <v>0</v>
      </c>
      <c r="CY57" s="758">
        <f>WWWW[[#This Row],[%equitable and continuous access to sufficient quantity of safe drinking and domestic water''s GAP]]*WWWW[[#This Row],[Total PoP ]]</f>
        <v>0</v>
      </c>
      <c r="CZ57" s="761">
        <f>IF(WWWW[[#This Row],[Total required water points]]-WWWW[[#This Row],['#Water points coverage]]&lt;0,0,WWWW[[#This Row],[Total required water points]]-WWWW[[#This Row],['#Water points coverage]])</f>
        <v>0.56400000000000006</v>
      </c>
      <c r="DA57" s="761">
        <f>ROUND(IF(WWWW[[#This Row],[Total PoP ]]&lt;500,1,WWWW[[#This Row],[Total PoP ]]/500),0)</f>
        <v>1</v>
      </c>
      <c r="DB57" s="761">
        <f>(WWWW[[#This Row],['#_Constructed latrines_by_WASHAgencies]]+WWWW[[#This Row],['#_Non Cluster partner latrines]])-WWWW[[#This Row],['#_Non-functional latrines]]</f>
        <v>16</v>
      </c>
      <c r="DC57" s="634">
        <f>WWWW[[#This Row],[HRP2]]/WWWW[[#This Row],[Total PoP ]]</f>
        <v>1</v>
      </c>
      <c r="DD5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DE5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7" s="425">
        <f>IF(WWWW[[#This Row],['# of functional latrines in THF supported by WASH partners during the reporting period2]]="",0,WWWW[[#This Row],['# of functional latrines in THF supported by WASH partners during the reporting period2]]*50)</f>
        <v>0</v>
      </c>
      <c r="DH57" s="761">
        <f>ROUND(IF(WWWW[[#This Row],[Location Type 1]]="camp",WWWW[[#This Row],[Total PoP ]]/20,IF(WWWW[[#This Row],[Location Type 1]]="Temporary Location",WWWW[[#This Row],[Total PoP ]]/50,(WWWW[[#This Row],[Total PoP ]]/6))),0)</f>
        <v>11</v>
      </c>
      <c r="DI57" s="761">
        <f>IF(WWWW[[#This Row],[Total required Latrines]]-(WWWW[[#This Row],['#_Constructed latrines_by_WASHAgencies]]+WWWW[[#This Row],['#_Non Cluster partner latrines]])&lt;0,0,WWWW[[#This Row],[Total required Latrines]]-(WWWW[[#This Row],['#_Constructed latrines_by_WASHAgencies]]+WWWW[[#This Row],['#_Non Cluster partner latrines]]))</f>
        <v>0</v>
      </c>
      <c r="DJ57" s="763">
        <f>1-WWWW[[#This Row],[% people access to functioning Latrine]]</f>
        <v>0</v>
      </c>
      <c r="DK57" s="762">
        <f>IF(OR(WWWW[[#This Row],['#_Non-functional latrines]]="",WWWW[[#This Row],['#_Non-functional latrines]]=0),0,WWWW[[#This Row],['#_Non-functional latrines]]/(WWWW[[#This Row],['#_Constructed latrines_by_WASHAgencies]]+WWWW[[#This Row],['#_Non Cluster partner latrines]]))</f>
        <v>0</v>
      </c>
      <c r="DL57" s="758">
        <f>IF(500*(WWWW[[#This Row],['#_male hygiene promoters]]+WWWW[[#This Row],['#_female hygiene promoters]])&gt;WWWW[[#This Row],[Total PoP ]],WWWW[[#This Row],[Total PoP ]],500*(WWWW[[#This Row],['#_male hygiene promoters]]+WWWW[[#This Row],['#_female hygiene promoters]]))</f>
        <v>0</v>
      </c>
      <c r="DM5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N5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57" s="761">
        <f>IF(WWWW[[#This Row],['# People with access to soap]]&gt;WWWW[[#This Row],['# People with access to Sanity Pads]],WWWW[[#This Row],['# People with access to soap]],WWWW[[#This Row],['# People with access to Sanity Pads]])</f>
        <v>218</v>
      </c>
      <c r="DP57" s="761">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Q57" s="763">
        <f>IF(WWWW[[#This Row],[HRP3]]/WWWW[[#This Row],[Total PoP ]]&gt;1,1,WWWW[[#This Row],[HRP3]]/WWWW[[#This Row],[Total PoP ]])</f>
        <v>1</v>
      </c>
      <c r="DR57" s="762">
        <f>1-WWWW[[#This Row],[Hygiene Coverage%]]</f>
        <v>0</v>
      </c>
      <c r="DS57" s="760">
        <f>WWWW[[#This Row],['# people reached by regular dedicated hygiene promotion_5]]/WWWW[[#This Row],[Total PoP ]]</f>
        <v>0</v>
      </c>
      <c r="DT5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7" s="761">
        <f>WWWW[[#This Row],['#_Constructed/Existing hand washing stations]]-WWWW[[#This Row],['#_Non-Functional_hand_washing_stations]]</f>
        <v>7</v>
      </c>
      <c r="DW57" s="758">
        <f>IF(WWWW[[#This Row],['# Functional hand washing stations during reporting period]]*20&gt;WWWW[[#This Row],[Total HH]],WWWW[[#This Row],[Total HH]],WWWW[[#This Row],['# Functional hand washing stations during reporting period]]*20)</f>
        <v>50</v>
      </c>
      <c r="DX57" s="758">
        <f>IF(WWWW[[#This Row],[Is sufficient soap available for TLS? (Yes/No)]]="yes",WWWW[[#This Row],['#_Constructed/Existing hand washing stations at TLS/CFS/THF]],0)</f>
        <v>0</v>
      </c>
      <c r="DY57" s="429">
        <f>IF(WWWW[[#This Row],['# Functional hand washing stations during reporting period]]*100&gt;WWWW[[#This Row],[Total PoP ]],WWWW[[#This Row],[Total PoP ]],WWWW[[#This Row],['# Functional hand washing stations during reporting period]]*100)</f>
        <v>218</v>
      </c>
      <c r="DZ57" s="429" t="str">
        <f>IF(OR(WWWW[[#This Row],['#_students at TLS_CFS]]="",WWWW[[#This Row],['#_students at TLS_CFS]]=0),"No","Yes")</f>
        <v>No</v>
      </c>
      <c r="EA5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7" s="754" t="str">
        <f>VLOOKUP(WWWW[[#This Row],[Site Name]],SiteDB6[[Site Name]:[CCCM Management]],6,FALSE)</f>
        <v>Yes</v>
      </c>
      <c r="EF57" s="754" t="str">
        <f>VLOOKUP(WWWW[[#This Row],[Site Name]],SiteDB6[[Site Name]:[CCCM Focal Agency]],7,FALSE)</f>
        <v>KMSS-MYT</v>
      </c>
      <c r="EG57" s="754" t="str">
        <f>VLOOKUP(WWWW[[#This Row],[Site Name]],SiteDB6[[Site Name]:[Location Type 1]],9,FALSE)</f>
        <v>Camp</v>
      </c>
      <c r="EH57" s="754" t="str">
        <f>VLOOKUP(WWWW[[#This Row],[Site Name]],SiteDB6[[Site Name]:[Type of Accommodation]],10,FALSE)</f>
        <v>Camp</v>
      </c>
      <c r="EI57" s="754" t="str">
        <f>VLOOKUP(WWWW[[#This Row],[Site Name]],SiteDB6[[Site Name]:[Ethnic or GCA/NGCA]],11,FALSE)</f>
        <v>GCA</v>
      </c>
      <c r="EJ57" s="754">
        <f>VLOOKUP(WWWW[[#This Row],[Site Name]],SiteDB6[[Site Name]:[Lat]],12,FALSE)</f>
        <v>25.613894999999999</v>
      </c>
      <c r="EK57" s="754">
        <f>VLOOKUP(WWWW[[#This Row],[Site Name]],SiteDB6[[Site Name]:[Long]],13,FALSE)</f>
        <v>96.341352999999998</v>
      </c>
      <c r="EL57" s="754" t="str">
        <f>VLOOKUP(WWWW[[#This Row],[Site Name]],SiteDB6[[Site Name]:[Pcode]],3,FALSE)</f>
        <v>MMR001CMP103</v>
      </c>
      <c r="EM57" s="759" t="str">
        <f t="shared" si="0"/>
        <v>Covered</v>
      </c>
      <c r="EN57" s="759"/>
      <c r="EO57" s="754">
        <f>VLOOKUP(WWWW[[#This Row],[Site Name]],SiteDB6[[Site Name]:[Pop
(Kachin/Shan-CCCM as of July 2021)]],16,FALSE)</f>
        <v>47</v>
      </c>
      <c r="EP57" s="754">
        <f>VLOOKUP(WWWW[[#This Row],[Site Name]],SiteDB6[[Site Name]:[Pop
(Kachin/Shan-CCCM as of July 2021)]],17,FALSE)</f>
        <v>226</v>
      </c>
    </row>
    <row r="58" spans="1:146" hidden="1">
      <c r="A58" s="752" t="s">
        <v>2785</v>
      </c>
      <c r="B58" s="752" t="s">
        <v>36</v>
      </c>
      <c r="C58" s="753" t="s">
        <v>36</v>
      </c>
      <c r="D58" s="753" t="s">
        <v>241</v>
      </c>
      <c r="E58" s="753" t="s">
        <v>37</v>
      </c>
      <c r="F58" s="753" t="s">
        <v>152</v>
      </c>
      <c r="G58" s="594" t="str">
        <f>VLOOKUP(WWWW[[#This Row],[Site Name]],SiteDB6[[Site Name]:[Location Type]],8,FALSE)</f>
        <v>Camp</v>
      </c>
      <c r="H58" s="753" t="s">
        <v>3052</v>
      </c>
      <c r="I58" s="755">
        <v>48</v>
      </c>
      <c r="J58" s="755">
        <v>267</v>
      </c>
      <c r="K58" s="756">
        <v>44414</v>
      </c>
      <c r="L58" s="757">
        <v>44778</v>
      </c>
      <c r="M58" s="755"/>
      <c r="N58" s="755">
        <v>1</v>
      </c>
      <c r="O58" s="755"/>
      <c r="P58" s="755"/>
      <c r="Q58" s="758" t="s">
        <v>41</v>
      </c>
      <c r="R58" s="755">
        <v>2</v>
      </c>
      <c r="S58" s="755">
        <v>3</v>
      </c>
      <c r="T58" s="449">
        <v>3</v>
      </c>
      <c r="U58" s="755"/>
      <c r="V58" s="755">
        <v>1</v>
      </c>
      <c r="W58" s="755"/>
      <c r="X58" s="755"/>
      <c r="Y58" s="755"/>
      <c r="Z58" s="755"/>
      <c r="AA58" s="755"/>
      <c r="AB58" s="755"/>
      <c r="AC58" s="755"/>
      <c r="AD58" s="755"/>
      <c r="AE58" s="755"/>
      <c r="AF58" s="755"/>
      <c r="AG58" s="755"/>
      <c r="AH58" s="755"/>
      <c r="AI58" s="755">
        <v>3</v>
      </c>
      <c r="AJ58" s="755"/>
      <c r="AK58" s="755"/>
      <c r="AL58" s="755"/>
      <c r="AM58" s="755">
        <v>10</v>
      </c>
      <c r="AN58" s="755"/>
      <c r="AO58" s="755"/>
      <c r="AP58" s="759"/>
      <c r="AQ58" s="755">
        <v>14</v>
      </c>
      <c r="AR58" s="755"/>
      <c r="AS58" s="760"/>
      <c r="AT58" s="755"/>
      <c r="AU58" s="755"/>
      <c r="AV58" s="755"/>
      <c r="AW58" s="755"/>
      <c r="AX58" s="755"/>
      <c r="AY58" s="754" t="s">
        <v>41</v>
      </c>
      <c r="AZ58" s="759" t="s">
        <v>136</v>
      </c>
      <c r="BA58" s="755">
        <v>1</v>
      </c>
      <c r="BB58" s="755"/>
      <c r="BC58" s="755"/>
      <c r="BD58" s="449"/>
      <c r="BE58" s="449"/>
      <c r="BF58" s="754"/>
      <c r="BG58" s="755">
        <v>8</v>
      </c>
      <c r="BH58" s="755"/>
      <c r="BI58" s="755">
        <v>2</v>
      </c>
      <c r="BJ58" s="755">
        <v>3</v>
      </c>
      <c r="BK58" s="755"/>
      <c r="BL58" s="755"/>
      <c r="BM58" s="755">
        <v>1</v>
      </c>
      <c r="BN58" s="755">
        <v>91</v>
      </c>
      <c r="BO58" s="755">
        <v>124</v>
      </c>
      <c r="BP58" s="754"/>
      <c r="BQ58" s="761">
        <v>100</v>
      </c>
      <c r="BR58" s="760">
        <v>0.5</v>
      </c>
      <c r="BS58" s="754" t="s">
        <v>2751</v>
      </c>
      <c r="BT58" s="424"/>
      <c r="BU58" s="424"/>
      <c r="BV58" s="426"/>
      <c r="BW58" s="424"/>
      <c r="BX58" s="449"/>
      <c r="BY58" s="449"/>
      <c r="BZ58" s="449"/>
      <c r="CA58" s="449"/>
      <c r="CB58" s="449"/>
      <c r="CC58" s="807"/>
      <c r="CD58" s="449"/>
      <c r="CE58" s="762">
        <f>IFERROR(WWWW[[#This Row],['#_Water sources passed]]/WWWW[[#This Row],['#_Water sources tested for fecal coliform ]],"no test")</f>
        <v>0</v>
      </c>
      <c r="CF58" s="760" t="str">
        <f>IFERROR(WWWW[[#This Row],['#_Household passed]]/WWWW[[#This Row],['#_Household water samples tested for fecal coliform]],"no test")</f>
        <v>no test</v>
      </c>
      <c r="CG58" s="761" t="str">
        <f>IF(AND(WWWW[[#This Row],[% of water sources passed]]="no test",WWWW[[#This Row],[% Household passed]]="no test"),"No Test","Tested")</f>
        <v>Tested</v>
      </c>
      <c r="CH58" s="761">
        <f>WWWW[[#This Row],['#_Constructed/existing protected hand dug well]]-WWWW[[#This Row],['#_Non-functional protected hand dug well]]</f>
        <v>3</v>
      </c>
      <c r="CI58" s="761">
        <f>(WWWW[[#This Row],['#_Constructed/Existing tube wells/boreholes/handpumps_WASH_agency]]+WWWW[[#This Row],['#_Non-Cluster partner water tube-wells/boreholes/handpumps]])-WWWW[[#This Row],['#_Non-functional tube wells/boreholes/handpumps]]</f>
        <v>0</v>
      </c>
      <c r="CJ58" s="761">
        <f>WWWW[[#This Row],['#_Constructed/Existingwater storage tank with gravity fed reticulation system]]-WWWW[[#This Row],['#_Non-functional storage tank gravity fed reticulation system]]</f>
        <v>0</v>
      </c>
      <c r="CK58" s="761">
        <f>(WWWW[[#This Row],['#_Water_Liters_supplied_by_Water boating or water trucking]]/90)/15</f>
        <v>0</v>
      </c>
      <c r="CL58" s="761">
        <f>WWWW[[#This Row],['#_Water_Liters_from_Constructed/Existing water distribution system from river or natural spring]]/90/15</f>
        <v>0</v>
      </c>
      <c r="CM58" s="425">
        <f>IF(WWWW[[#This Row],['#_of water points in TLS/CFS]]*500&gt;WWWW[[#This Row],[Total PoP ]],WWWW[[#This Row],[Total PoP ]],WWWW[[#This Row],['#_of water points in TLS/CFS]]*500)</f>
        <v>0</v>
      </c>
      <c r="CN58" s="425">
        <f>IF(WWWW[[#This Row],['#_of water points in THF]]*500&gt;WWWW[[#This Row],[Total PoP ]],WWWW[[#This Row],[Total PoP ]],WWWW[[#This Row],['#_of water points in THF]]*500)</f>
        <v>0</v>
      </c>
      <c r="CO5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8" s="760">
        <f>IF(WWWW[[#This Row],[Location Type 1]]="Village",WWWW[[#This Row],[Access to safe drinking water for Village]],WWWW[[#This Row],[Access to safe drinking water for Camp]])</f>
        <v>1</v>
      </c>
      <c r="CR58" s="758">
        <f>WWWW[[#This Row],[%Equitable and continuous access to sufficient quantity of safe drinking water]]*WWWW[[#This Row],[Total PoP ]]</f>
        <v>267</v>
      </c>
      <c r="CS58" s="760">
        <f>IF((WWWW[[#This Row],['#_Constructed/Existing protected/fenced ponds]]*250)/WWWW[[#This Row],[Total PoP ]]&gt;1,1,(WWWW[[#This Row],['#_Constructed/Existing protected/fenced ponds]]*250)/WWWW[[#This Row],[Total PoP ]])</f>
        <v>0</v>
      </c>
      <c r="CT58" s="758">
        <f>WWWW[[#This Row],[% Access to unimproved water points]]*WWWW[[#This Row],[Total PoP ]]</f>
        <v>0</v>
      </c>
      <c r="CU5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W58" s="758">
        <f>WWWW[[#This Row],[HRP1]]/500</f>
        <v>0.53400000000000003</v>
      </c>
      <c r="CX58" s="763">
        <f>1-WWWW[[#This Row],[% Equitable and continuous access to sufficient quantity of domestic water]]</f>
        <v>0</v>
      </c>
      <c r="CY58" s="758">
        <f>WWWW[[#This Row],[%equitable and continuous access to sufficient quantity of safe drinking and domestic water''s GAP]]*WWWW[[#This Row],[Total PoP ]]</f>
        <v>0</v>
      </c>
      <c r="CZ58" s="761">
        <f>IF(WWWW[[#This Row],[Total required water points]]-WWWW[[#This Row],['#Water points coverage]]&lt;0,0,WWWW[[#This Row],[Total required water points]]-WWWW[[#This Row],['#Water points coverage]])</f>
        <v>0.46599999999999997</v>
      </c>
      <c r="DA58" s="761">
        <f>ROUND(IF(WWWW[[#This Row],[Total PoP ]]&lt;500,1,WWWW[[#This Row],[Total PoP ]]/500),0)</f>
        <v>1</v>
      </c>
      <c r="DB58" s="761">
        <f>(WWWW[[#This Row],['#_Constructed latrines_by_WASHAgencies]]+WWWW[[#This Row],['#_Non Cluster partner latrines]])-WWWW[[#This Row],['#_Non-functional latrines]]</f>
        <v>14</v>
      </c>
      <c r="DC58" s="634">
        <f>WWWW[[#This Row],[HRP2]]/WWWW[[#This Row],[Total PoP ]]</f>
        <v>1</v>
      </c>
      <c r="DD5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267</v>
      </c>
      <c r="DE5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8" s="425">
        <f>IF(WWWW[[#This Row],['# of functional latrines in THF supported by WASH partners during the reporting period2]]="",0,WWWW[[#This Row],['# of functional latrines in THF supported by WASH partners during the reporting period2]]*50)</f>
        <v>0</v>
      </c>
      <c r="DH58" s="761">
        <f>ROUND(IF(WWWW[[#This Row],[Location Type 1]]="camp",WWWW[[#This Row],[Total PoP ]]/20,IF(WWWW[[#This Row],[Location Type 1]]="Temporary Location",WWWW[[#This Row],[Total PoP ]]/50,(WWWW[[#This Row],[Total PoP ]]/6))),0)</f>
        <v>13</v>
      </c>
      <c r="DI58" s="761">
        <f>IF(WWWW[[#This Row],[Total required Latrines]]-(WWWW[[#This Row],['#_Constructed latrines_by_WASHAgencies]]+WWWW[[#This Row],['#_Non Cluster partner latrines]])&lt;0,0,WWWW[[#This Row],[Total required Latrines]]-(WWWW[[#This Row],['#_Constructed latrines_by_WASHAgencies]]+WWWW[[#This Row],['#_Non Cluster partner latrines]]))</f>
        <v>0</v>
      </c>
      <c r="DJ58" s="763">
        <f>1-WWWW[[#This Row],[% people access to functioning Latrine]]</f>
        <v>0</v>
      </c>
      <c r="DK58" s="762">
        <f>IF(OR(WWWW[[#This Row],['#_Non-functional latrines]]="",WWWW[[#This Row],['#_Non-functional latrines]]=0),0,WWWW[[#This Row],['#_Non-functional latrines]]/(WWWW[[#This Row],['#_Constructed latrines_by_WASHAgencies]]+WWWW[[#This Row],['#_Non Cluster partner latrines]]))</f>
        <v>0</v>
      </c>
      <c r="DL58" s="758">
        <f>IF(500*(WWWW[[#This Row],['#_male hygiene promoters]]+WWWW[[#This Row],['#_female hygiene promoters]])&gt;WWWW[[#This Row],[Total PoP ]],WWWW[[#This Row],[Total PoP ]],500*(WWWW[[#This Row],['#_male hygiene promoters]]+WWWW[[#This Row],['#_female hygiene promoters]]))</f>
        <v>267</v>
      </c>
      <c r="DM5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267</v>
      </c>
      <c r="DN5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58" s="761">
        <f>IF(WWWW[[#This Row],['# People with access to soap]]&gt;WWWW[[#This Row],['# People with access to Sanity Pads]],WWWW[[#This Row],['# People with access to soap]],WWWW[[#This Row],['# People with access to Sanity Pads]])</f>
        <v>267</v>
      </c>
      <c r="DP58" s="761">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Q58" s="763">
        <f>IF(WWWW[[#This Row],[HRP3]]/WWWW[[#This Row],[Total PoP ]]&gt;1,1,WWWW[[#This Row],[HRP3]]/WWWW[[#This Row],[Total PoP ]])</f>
        <v>1</v>
      </c>
      <c r="DR58" s="762">
        <f>1-WWWW[[#This Row],[Hygiene Coverage%]]</f>
        <v>0</v>
      </c>
      <c r="DS58" s="760">
        <f>WWWW[[#This Row],['# people reached by regular dedicated hygiene promotion_5]]/WWWW[[#This Row],[Total PoP ]]</f>
        <v>1</v>
      </c>
      <c r="DT5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5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58" s="761">
        <f>WWWW[[#This Row],['#_Constructed/Existing hand washing stations]]-WWWW[[#This Row],['#_Non-Functional_hand_washing_stations]]</f>
        <v>8</v>
      </c>
      <c r="DW58" s="758">
        <f>IF(WWWW[[#This Row],['# Functional hand washing stations during reporting period]]*20&gt;WWWW[[#This Row],[Total HH]],WWWW[[#This Row],[Total HH]],WWWW[[#This Row],['# Functional hand washing stations during reporting period]]*20)</f>
        <v>48</v>
      </c>
      <c r="DX58" s="758">
        <f>IF(WWWW[[#This Row],[Is sufficient soap available for TLS? (Yes/No)]]="yes",WWWW[[#This Row],['#_Constructed/Existing hand washing stations at TLS/CFS/THF]],0)</f>
        <v>0</v>
      </c>
      <c r="DY58" s="429">
        <f>IF(WWWW[[#This Row],['# Functional hand washing stations during reporting period]]*100&gt;WWWW[[#This Row],[Total PoP ]],WWWW[[#This Row],[Total PoP ]],WWWW[[#This Row],['# Functional hand washing stations during reporting period]]*100)</f>
        <v>267</v>
      </c>
      <c r="DZ58" s="429" t="str">
        <f>IF(OR(WWWW[[#This Row],['#_students at TLS_CFS]]="",WWWW[[#This Row],['#_students at TLS_CFS]]=0),"No","Yes")</f>
        <v>No</v>
      </c>
      <c r="EA5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8" s="754">
        <f>VLOOKUP(WWWW[[#This Row],[Site Name]],SiteDB6[[Site Name]:[CCCM Management]],6,FALSE)</f>
        <v>0</v>
      </c>
      <c r="EF58" s="754" t="str">
        <f>VLOOKUP(WWWW[[#This Row],[Site Name]],SiteDB6[[Site Name]:[CCCM Focal Agency]],7,FALSE)</f>
        <v>KMSS-MYT</v>
      </c>
      <c r="EG58" s="754" t="str">
        <f>VLOOKUP(WWWW[[#This Row],[Site Name]],SiteDB6[[Site Name]:[Location Type 1]],9,FALSE)</f>
        <v>Camp</v>
      </c>
      <c r="EH58" s="754" t="str">
        <f>VLOOKUP(WWWW[[#This Row],[Site Name]],SiteDB6[[Site Name]:[Type of Accommodation]],10,FALSE)</f>
        <v>Camp</v>
      </c>
      <c r="EI58" s="754" t="str">
        <f>VLOOKUP(WWWW[[#This Row],[Site Name]],SiteDB6[[Site Name]:[Ethnic or GCA/NGCA]],11,FALSE)</f>
        <v>GCA</v>
      </c>
      <c r="EJ58" s="754">
        <f>VLOOKUP(WWWW[[#This Row],[Site Name]],SiteDB6[[Site Name]:[Lat]],12,FALSE)</f>
        <v>25.383058999999999</v>
      </c>
      <c r="EK58" s="754">
        <f>VLOOKUP(WWWW[[#This Row],[Site Name]],SiteDB6[[Site Name]:[Long]],13,FALSE)</f>
        <v>97.014313000000001</v>
      </c>
      <c r="EL58" s="754" t="str">
        <f>VLOOKUP(WWWW[[#This Row],[Site Name]],SiteDB6[[Site Name]:[Pcode]],3,FALSE)</f>
        <v>MMR001CMP259</v>
      </c>
      <c r="EM58" s="759" t="str">
        <f t="shared" si="0"/>
        <v>Covered</v>
      </c>
      <c r="EN58" s="759"/>
      <c r="EO58" s="754">
        <f>VLOOKUP(WWWW[[#This Row],[Site Name]],SiteDB6[[Site Name]:[Pop
(Kachin/Shan-CCCM as of July 2021)]],16,FALSE)</f>
        <v>48</v>
      </c>
      <c r="EP58" s="754">
        <f>VLOOKUP(WWWW[[#This Row],[Site Name]],SiteDB6[[Site Name]:[Pop
(Kachin/Shan-CCCM as of July 2021)]],17,FALSE)</f>
        <v>268</v>
      </c>
    </row>
    <row r="59" spans="1:146" hidden="1">
      <c r="A59" s="752" t="s">
        <v>2785</v>
      </c>
      <c r="B59" s="752" t="s">
        <v>36</v>
      </c>
      <c r="C59" s="753" t="s">
        <v>36</v>
      </c>
      <c r="D59" s="753" t="s">
        <v>241</v>
      </c>
      <c r="E59" s="753" t="s">
        <v>37</v>
      </c>
      <c r="F59" s="753" t="s">
        <v>152</v>
      </c>
      <c r="G59" s="594" t="str">
        <f>VLOOKUP(WWWW[[#This Row],[Site Name]],SiteDB6[[Site Name]:[Location Type]],8,FALSE)</f>
        <v>Camp</v>
      </c>
      <c r="H59" s="753" t="s">
        <v>3053</v>
      </c>
      <c r="I59" s="755">
        <v>83</v>
      </c>
      <c r="J59" s="755">
        <v>412</v>
      </c>
      <c r="K59" s="756">
        <v>44414</v>
      </c>
      <c r="L59" s="757">
        <v>44778</v>
      </c>
      <c r="M59" s="755"/>
      <c r="N59" s="755"/>
      <c r="O59" s="755"/>
      <c r="P59" s="755"/>
      <c r="Q59" s="758" t="s">
        <v>41</v>
      </c>
      <c r="R59" s="755"/>
      <c r="S59" s="755">
        <v>1</v>
      </c>
      <c r="T59" s="449">
        <v>2</v>
      </c>
      <c r="U59" s="755"/>
      <c r="V59" s="755"/>
      <c r="W59" s="755"/>
      <c r="X59" s="755"/>
      <c r="Y59" s="755"/>
      <c r="Z59" s="755"/>
      <c r="AA59" s="755"/>
      <c r="AB59" s="755"/>
      <c r="AC59" s="755"/>
      <c r="AD59" s="755"/>
      <c r="AE59" s="755"/>
      <c r="AF59" s="755"/>
      <c r="AG59" s="755"/>
      <c r="AH59" s="755"/>
      <c r="AI59" s="755"/>
      <c r="AJ59" s="755"/>
      <c r="AK59" s="755"/>
      <c r="AL59" s="755"/>
      <c r="AM59" s="755">
        <v>5</v>
      </c>
      <c r="AN59" s="755"/>
      <c r="AO59" s="755"/>
      <c r="AP59" s="759"/>
      <c r="AQ59" s="755">
        <v>18</v>
      </c>
      <c r="AR59" s="755"/>
      <c r="AS59" s="760"/>
      <c r="AT59" s="755"/>
      <c r="AU59" s="755"/>
      <c r="AV59" s="755"/>
      <c r="AW59" s="755"/>
      <c r="AX59" s="755"/>
      <c r="AY59" s="754" t="s">
        <v>41</v>
      </c>
      <c r="AZ59" s="759" t="s">
        <v>904</v>
      </c>
      <c r="BA59" s="755"/>
      <c r="BB59" s="755"/>
      <c r="BC59" s="755"/>
      <c r="BD59" s="449"/>
      <c r="BE59" s="449"/>
      <c r="BF59" s="754"/>
      <c r="BG59" s="755">
        <v>3</v>
      </c>
      <c r="BH59" s="755"/>
      <c r="BI59" s="755">
        <v>2</v>
      </c>
      <c r="BJ59" s="755">
        <v>2</v>
      </c>
      <c r="BK59" s="755"/>
      <c r="BL59" s="755"/>
      <c r="BM59" s="755"/>
      <c r="BN59" s="755">
        <v>10</v>
      </c>
      <c r="BO59" s="755">
        <v>18</v>
      </c>
      <c r="BP59" s="754"/>
      <c r="BQ59" s="761"/>
      <c r="BR59" s="760"/>
      <c r="BS59" s="754"/>
      <c r="BT59" s="424"/>
      <c r="BU59" s="424"/>
      <c r="BV59" s="426"/>
      <c r="BW59" s="424"/>
      <c r="BX59" s="449"/>
      <c r="BY59" s="449"/>
      <c r="BZ59" s="449"/>
      <c r="CA59" s="449"/>
      <c r="CB59" s="449"/>
      <c r="CC59" s="807"/>
      <c r="CD59" s="449"/>
      <c r="CE59" s="762" t="str">
        <f>IFERROR(WWWW[[#This Row],['#_Water sources passed]]/WWWW[[#This Row],['#_Water sources tested for fecal coliform ]],"no test")</f>
        <v>no test</v>
      </c>
      <c r="CF59" s="760" t="str">
        <f>IFERROR(WWWW[[#This Row],['#_Household passed]]/WWWW[[#This Row],['#_Household water samples tested for fecal coliform]],"no test")</f>
        <v>no test</v>
      </c>
      <c r="CG59" s="761" t="str">
        <f>IF(AND(WWWW[[#This Row],[% of water sources passed]]="no test",WWWW[[#This Row],[% Household passed]]="no test"),"No Test","Tested")</f>
        <v>No Test</v>
      </c>
      <c r="CH59" s="761">
        <f>WWWW[[#This Row],['#_Constructed/existing protected hand dug well]]-WWWW[[#This Row],['#_Non-functional protected hand dug well]]</f>
        <v>2</v>
      </c>
      <c r="CI59" s="761">
        <f>(WWWW[[#This Row],['#_Constructed/Existing tube wells/boreholes/handpumps_WASH_agency]]+WWWW[[#This Row],['#_Non-Cluster partner water tube-wells/boreholes/handpumps]])-WWWW[[#This Row],['#_Non-functional tube wells/boreholes/handpumps]]</f>
        <v>0</v>
      </c>
      <c r="CJ59" s="761">
        <f>WWWW[[#This Row],['#_Constructed/Existingwater storage tank with gravity fed reticulation system]]-WWWW[[#This Row],['#_Non-functional storage tank gravity fed reticulation system]]</f>
        <v>0</v>
      </c>
      <c r="CK59" s="761">
        <f>(WWWW[[#This Row],['#_Water_Liters_supplied_by_Water boating or water trucking]]/90)/15</f>
        <v>0</v>
      </c>
      <c r="CL59" s="761">
        <f>WWWW[[#This Row],['#_Water_Liters_from_Constructed/Existing water distribution system from river or natural spring]]/90/15</f>
        <v>0</v>
      </c>
      <c r="CM59" s="425">
        <f>IF(WWWW[[#This Row],['#_of water points in TLS/CFS]]*500&gt;WWWW[[#This Row],[Total PoP ]],WWWW[[#This Row],[Total PoP ]],WWWW[[#This Row],['#_of water points in TLS/CFS]]*500)</f>
        <v>0</v>
      </c>
      <c r="CN59" s="425">
        <f>IF(WWWW[[#This Row],['#_of water points in THF]]*500&gt;WWWW[[#This Row],[Total PoP ]],WWWW[[#This Row],[Total PoP ]],WWWW[[#This Row],['#_of water points in THF]]*500)</f>
        <v>0</v>
      </c>
      <c r="CO5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5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59" s="760">
        <f>IF(WWWW[[#This Row],[Location Type 1]]="Village",WWWW[[#This Row],[Access to safe drinking water for Village]],WWWW[[#This Row],[Access to safe drinking water for Camp]])</f>
        <v>1</v>
      </c>
      <c r="CR59" s="758">
        <f>WWWW[[#This Row],[%Equitable and continuous access to sufficient quantity of safe drinking water]]*WWWW[[#This Row],[Total PoP ]]</f>
        <v>412</v>
      </c>
      <c r="CS59" s="760">
        <f>IF((WWWW[[#This Row],['#_Constructed/Existing protected/fenced ponds]]*250)/WWWW[[#This Row],[Total PoP ]]&gt;1,1,(WWWW[[#This Row],['#_Constructed/Existing protected/fenced ponds]]*250)/WWWW[[#This Row],[Total PoP ]])</f>
        <v>0</v>
      </c>
      <c r="CT59" s="758">
        <f>WWWW[[#This Row],[% Access to unimproved water points]]*WWWW[[#This Row],[Total PoP ]]</f>
        <v>0</v>
      </c>
      <c r="CU5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5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412</v>
      </c>
      <c r="CW59" s="758">
        <f>WWWW[[#This Row],[HRP1]]/500</f>
        <v>0.82399999999999995</v>
      </c>
      <c r="CX59" s="763">
        <f>1-WWWW[[#This Row],[% Equitable and continuous access to sufficient quantity of domestic water]]</f>
        <v>0</v>
      </c>
      <c r="CY59" s="758">
        <f>WWWW[[#This Row],[%equitable and continuous access to sufficient quantity of safe drinking and domestic water''s GAP]]*WWWW[[#This Row],[Total PoP ]]</f>
        <v>0</v>
      </c>
      <c r="CZ59" s="761">
        <f>IF(WWWW[[#This Row],[Total required water points]]-WWWW[[#This Row],['#Water points coverage]]&lt;0,0,WWWW[[#This Row],[Total required water points]]-WWWW[[#This Row],['#Water points coverage]])</f>
        <v>0.17600000000000005</v>
      </c>
      <c r="DA59" s="761">
        <f>ROUND(IF(WWWW[[#This Row],[Total PoP ]]&lt;500,1,WWWW[[#This Row],[Total PoP ]]/500),0)</f>
        <v>1</v>
      </c>
      <c r="DB59" s="761">
        <f>(WWWW[[#This Row],['#_Constructed latrines_by_WASHAgencies]]+WWWW[[#This Row],['#_Non Cluster partner latrines]])-WWWW[[#This Row],['#_Non-functional latrines]]</f>
        <v>18</v>
      </c>
      <c r="DC59" s="634">
        <f>WWWW[[#This Row],[HRP2]]/WWWW[[#This Row],[Total PoP ]]</f>
        <v>0.87378640776699024</v>
      </c>
      <c r="DD5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5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5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59" s="425">
        <f>IF(WWWW[[#This Row],['# of functional latrines in THF supported by WASH partners during the reporting period2]]="",0,WWWW[[#This Row],['# of functional latrines in THF supported by WASH partners during the reporting period2]]*50)</f>
        <v>0</v>
      </c>
      <c r="DH59" s="761">
        <f>ROUND(IF(WWWW[[#This Row],[Location Type 1]]="camp",WWWW[[#This Row],[Total PoP ]]/20,IF(WWWW[[#This Row],[Location Type 1]]="Temporary Location",WWWW[[#This Row],[Total PoP ]]/50,(WWWW[[#This Row],[Total PoP ]]/6))),0)</f>
        <v>21</v>
      </c>
      <c r="DI59" s="761">
        <f>IF(WWWW[[#This Row],[Total required Latrines]]-(WWWW[[#This Row],['#_Constructed latrines_by_WASHAgencies]]+WWWW[[#This Row],['#_Non Cluster partner latrines]])&lt;0,0,WWWW[[#This Row],[Total required Latrines]]-(WWWW[[#This Row],['#_Constructed latrines_by_WASHAgencies]]+WWWW[[#This Row],['#_Non Cluster partner latrines]]))</f>
        <v>3</v>
      </c>
      <c r="DJ59" s="763">
        <f>1-WWWW[[#This Row],[% people access to functioning Latrine]]</f>
        <v>0.12621359223300976</v>
      </c>
      <c r="DK59" s="762">
        <f>IF(OR(WWWW[[#This Row],['#_Non-functional latrines]]="",WWWW[[#This Row],['#_Non-functional latrines]]=0),0,WWWW[[#This Row],['#_Non-functional latrines]]/(WWWW[[#This Row],['#_Constructed latrines_by_WASHAgencies]]+WWWW[[#This Row],['#_Non Cluster partner latrines]]))</f>
        <v>0</v>
      </c>
      <c r="DL59" s="758">
        <f>IF(500*(WWWW[[#This Row],['#_male hygiene promoters]]+WWWW[[#This Row],['#_female hygiene promoters]])&gt;WWWW[[#This Row],[Total PoP ]],WWWW[[#This Row],[Total PoP ]],500*(WWWW[[#This Row],['#_male hygiene promoters]]+WWWW[[#This Row],['#_female hygiene promoters]]))</f>
        <v>0</v>
      </c>
      <c r="DM5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5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59" s="761">
        <f>IF(WWWW[[#This Row],['# People with access to soap]]&gt;WWWW[[#This Row],['# People with access to Sanity Pads]],WWWW[[#This Row],['# People with access to soap]],WWWW[[#This Row],['# People with access to Sanity Pads]])</f>
        <v>50</v>
      </c>
      <c r="DP59" s="761">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59" s="763">
        <f>IF(WWWW[[#This Row],[HRP3]]/WWWW[[#This Row],[Total PoP ]]&gt;1,1,WWWW[[#This Row],[HRP3]]/WWWW[[#This Row],[Total PoP ]])</f>
        <v>0.12135922330097088</v>
      </c>
      <c r="DR59" s="762">
        <f>1-WWWW[[#This Row],[Hygiene Coverage%]]</f>
        <v>0.87864077669902918</v>
      </c>
      <c r="DS59" s="760">
        <f>WWWW[[#This Row],['# people reached by regular dedicated hygiene promotion_5]]/WWWW[[#This Row],[Total PoP ]]</f>
        <v>0</v>
      </c>
      <c r="DT5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0.48192771084337349</v>
      </c>
      <c r="DU5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0.21686746987951808</v>
      </c>
      <c r="DV59" s="761">
        <f>WWWW[[#This Row],['#_Constructed/Existing hand washing stations]]-WWWW[[#This Row],['#_Non-Functional_hand_washing_stations]]</f>
        <v>3</v>
      </c>
      <c r="DW59" s="758">
        <f>IF(WWWW[[#This Row],['# Functional hand washing stations during reporting period]]*20&gt;WWWW[[#This Row],[Total HH]],WWWW[[#This Row],[Total HH]],WWWW[[#This Row],['# Functional hand washing stations during reporting period]]*20)</f>
        <v>60</v>
      </c>
      <c r="DX59" s="758">
        <f>IF(WWWW[[#This Row],[Is sufficient soap available for TLS? (Yes/No)]]="yes",WWWW[[#This Row],['#_Constructed/Existing hand washing stations at TLS/CFS/THF]],0)</f>
        <v>0</v>
      </c>
      <c r="DY59" s="429">
        <f>IF(WWWW[[#This Row],['# Functional hand washing stations during reporting period]]*100&gt;WWWW[[#This Row],[Total PoP ]],WWWW[[#This Row],[Total PoP ]],WWWW[[#This Row],['# Functional hand washing stations during reporting period]]*100)</f>
        <v>300</v>
      </c>
      <c r="DZ59" s="429" t="str">
        <f>IF(OR(WWWW[[#This Row],['#_students at TLS_CFS]]="",WWWW[[#This Row],['#_students at TLS_CFS]]=0),"No","Yes")</f>
        <v>No</v>
      </c>
      <c r="EA5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5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5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5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59" s="754">
        <f>VLOOKUP(WWWW[[#This Row],[Site Name]],SiteDB6[[Site Name]:[CCCM Management]],6,FALSE)</f>
        <v>0</v>
      </c>
      <c r="EF59" s="754" t="str">
        <f>VLOOKUP(WWWW[[#This Row],[Site Name]],SiteDB6[[Site Name]:[CCCM Focal Agency]],7,FALSE)</f>
        <v>KMSS-MYT</v>
      </c>
      <c r="EG59" s="754" t="str">
        <f>VLOOKUP(WWWW[[#This Row],[Site Name]],SiteDB6[[Site Name]:[Location Type 1]],9,FALSE)</f>
        <v>Camp</v>
      </c>
      <c r="EH59" s="754" t="str">
        <f>VLOOKUP(WWWW[[#This Row],[Site Name]],SiteDB6[[Site Name]:[Type of Accommodation]],10,FALSE)</f>
        <v>Camp</v>
      </c>
      <c r="EI59" s="754" t="str">
        <f>VLOOKUP(WWWW[[#This Row],[Site Name]],SiteDB6[[Site Name]:[Ethnic or GCA/NGCA]],11,FALSE)</f>
        <v>GCA</v>
      </c>
      <c r="EJ59" s="754">
        <f>VLOOKUP(WWWW[[#This Row],[Site Name]],SiteDB6[[Site Name]:[Lat]],12,FALSE)</f>
        <v>25.383058999999999</v>
      </c>
      <c r="EK59" s="754">
        <f>VLOOKUP(WWWW[[#This Row],[Site Name]],SiteDB6[[Site Name]:[Long]],13,FALSE)</f>
        <v>97.014313000000001</v>
      </c>
      <c r="EL59" s="754" t="str">
        <f>VLOOKUP(WWWW[[#This Row],[Site Name]],SiteDB6[[Site Name]:[Pcode]],3,FALSE)</f>
        <v>MMR001CMP260</v>
      </c>
      <c r="EM59" s="759" t="str">
        <f t="shared" si="0"/>
        <v>Covered</v>
      </c>
      <c r="EN59" s="759"/>
      <c r="EO59" s="754">
        <f>VLOOKUP(WWWW[[#This Row],[Site Name]],SiteDB6[[Site Name]:[Pop
(Kachin/Shan-CCCM as of July 2021)]],16,FALSE)</f>
        <v>83</v>
      </c>
      <c r="EP59" s="754">
        <f>VLOOKUP(WWWW[[#This Row],[Site Name]],SiteDB6[[Site Name]:[Pop
(Kachin/Shan-CCCM as of July 2021)]],17,FALSE)</f>
        <v>422</v>
      </c>
    </row>
    <row r="60" spans="1:146" hidden="1">
      <c r="A60" s="752" t="s">
        <v>2785</v>
      </c>
      <c r="B60" s="752" t="s">
        <v>36</v>
      </c>
      <c r="C60" s="753" t="s">
        <v>36</v>
      </c>
      <c r="D60" s="753" t="s">
        <v>241</v>
      </c>
      <c r="E60" s="753" t="s">
        <v>37</v>
      </c>
      <c r="F60" s="753" t="s">
        <v>157</v>
      </c>
      <c r="G60" s="594" t="str">
        <f>VLOOKUP(WWWW[[#This Row],[Site Name]],SiteDB6[[Site Name]:[Location Type]],8,FALSE)</f>
        <v>Camp</v>
      </c>
      <c r="H60" s="753" t="s">
        <v>239</v>
      </c>
      <c r="I60" s="755">
        <v>11</v>
      </c>
      <c r="J60" s="755">
        <v>68</v>
      </c>
      <c r="K60" s="828">
        <v>44414</v>
      </c>
      <c r="L60" s="829">
        <v>44778</v>
      </c>
      <c r="M60" s="755"/>
      <c r="N60" s="755"/>
      <c r="O60" s="755"/>
      <c r="P60" s="755"/>
      <c r="Q60" s="758" t="s">
        <v>41</v>
      </c>
      <c r="R60" s="755"/>
      <c r="S60" s="755">
        <v>8</v>
      </c>
      <c r="T60" s="449">
        <v>1</v>
      </c>
      <c r="U60" s="755"/>
      <c r="V60" s="755"/>
      <c r="W60" s="755"/>
      <c r="X60" s="755"/>
      <c r="Y60" s="755"/>
      <c r="Z60" s="755"/>
      <c r="AA60" s="755"/>
      <c r="AB60" s="755"/>
      <c r="AC60" s="755"/>
      <c r="AD60" s="755"/>
      <c r="AE60" s="755"/>
      <c r="AF60" s="755"/>
      <c r="AG60" s="755"/>
      <c r="AH60" s="755"/>
      <c r="AI60" s="755"/>
      <c r="AJ60" s="755"/>
      <c r="AK60" s="755"/>
      <c r="AL60" s="755"/>
      <c r="AM60" s="755">
        <v>4</v>
      </c>
      <c r="AN60" s="755"/>
      <c r="AO60" s="755"/>
      <c r="AP60" s="759"/>
      <c r="AQ60" s="755">
        <v>7</v>
      </c>
      <c r="AR60" s="755"/>
      <c r="AS60" s="760"/>
      <c r="AT60" s="755"/>
      <c r="AU60" s="755"/>
      <c r="AV60" s="755"/>
      <c r="AW60" s="755"/>
      <c r="AX60" s="755"/>
      <c r="AY60" s="754" t="s">
        <v>41</v>
      </c>
      <c r="AZ60" s="759" t="s">
        <v>137</v>
      </c>
      <c r="BA60" s="755">
        <v>1</v>
      </c>
      <c r="BB60" s="755"/>
      <c r="BC60" s="755"/>
      <c r="BD60" s="449"/>
      <c r="BE60" s="449"/>
      <c r="BF60" s="754"/>
      <c r="BG60" s="755">
        <v>7</v>
      </c>
      <c r="BH60" s="755"/>
      <c r="BI60" s="755"/>
      <c r="BJ60" s="755">
        <v>7</v>
      </c>
      <c r="BK60" s="755"/>
      <c r="BL60" s="755"/>
      <c r="BM60" s="755">
        <v>1</v>
      </c>
      <c r="BN60" s="755">
        <v>104</v>
      </c>
      <c r="BO60" s="755">
        <v>148</v>
      </c>
      <c r="BP60" s="754"/>
      <c r="BQ60" s="761"/>
      <c r="BR60" s="760"/>
      <c r="BS60" s="754"/>
      <c r="BT60" s="424"/>
      <c r="BU60" s="424"/>
      <c r="BV60" s="426"/>
      <c r="BW60" s="424"/>
      <c r="BX60" s="449"/>
      <c r="BY60" s="449"/>
      <c r="BZ60" s="449"/>
      <c r="CA60" s="449"/>
      <c r="CB60" s="449"/>
      <c r="CC60" s="807"/>
      <c r="CD60" s="449"/>
      <c r="CE60" s="762" t="str">
        <f>IFERROR(WWWW[[#This Row],['#_Water sources passed]]/WWWW[[#This Row],['#_Water sources tested for fecal coliform ]],"no test")</f>
        <v>no test</v>
      </c>
      <c r="CF60" s="760" t="str">
        <f>IFERROR(WWWW[[#This Row],['#_Household passed]]/WWWW[[#This Row],['#_Household water samples tested for fecal coliform]],"no test")</f>
        <v>no test</v>
      </c>
      <c r="CG60" s="761" t="str">
        <f>IF(AND(WWWW[[#This Row],[% of water sources passed]]="no test",WWWW[[#This Row],[% Household passed]]="no test"),"No Test","Tested")</f>
        <v>No Test</v>
      </c>
      <c r="CH60" s="761">
        <f>WWWW[[#This Row],['#_Constructed/existing protected hand dug well]]-WWWW[[#This Row],['#_Non-functional protected hand dug well]]</f>
        <v>1</v>
      </c>
      <c r="CI60" s="761">
        <f>(WWWW[[#This Row],['#_Constructed/Existing tube wells/boreholes/handpumps_WASH_agency]]+WWWW[[#This Row],['#_Non-Cluster partner water tube-wells/boreholes/handpumps]])-WWWW[[#This Row],['#_Non-functional tube wells/boreholes/handpumps]]</f>
        <v>0</v>
      </c>
      <c r="CJ60" s="761">
        <f>WWWW[[#This Row],['#_Constructed/Existingwater storage tank with gravity fed reticulation system]]-WWWW[[#This Row],['#_Non-functional storage tank gravity fed reticulation system]]</f>
        <v>0</v>
      </c>
      <c r="CK60" s="761">
        <f>(WWWW[[#This Row],['#_Water_Liters_supplied_by_Water boating or water trucking]]/90)/15</f>
        <v>0</v>
      </c>
      <c r="CL60" s="761">
        <f>WWWW[[#This Row],['#_Water_Liters_from_Constructed/Existing water distribution system from river or natural spring]]/90/15</f>
        <v>0</v>
      </c>
      <c r="CM60" s="425">
        <f>IF(WWWW[[#This Row],['#_of water points in TLS/CFS]]*500&gt;WWWW[[#This Row],[Total PoP ]],WWWW[[#This Row],[Total PoP ]],WWWW[[#This Row],['#_of water points in TLS/CFS]]*500)</f>
        <v>0</v>
      </c>
      <c r="CN60" s="425">
        <f>IF(WWWW[[#This Row],['#_of water points in THF]]*500&gt;WWWW[[#This Row],[Total PoP ]],WWWW[[#This Row],[Total PoP ]],WWWW[[#This Row],['#_of water points in THF]]*500)</f>
        <v>0</v>
      </c>
      <c r="CO6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0" s="760">
        <f>IF(WWWW[[#This Row],[Location Type 1]]="Village",WWWW[[#This Row],[Access to safe drinking water for Village]],WWWW[[#This Row],[Access to safe drinking water for Camp]])</f>
        <v>1</v>
      </c>
      <c r="CR60" s="758">
        <f>WWWW[[#This Row],[%Equitable and continuous access to sufficient quantity of safe drinking water]]*WWWW[[#This Row],[Total PoP ]]</f>
        <v>68</v>
      </c>
      <c r="CS60" s="760">
        <f>IF((WWWW[[#This Row],['#_Constructed/Existing protected/fenced ponds]]*250)/WWWW[[#This Row],[Total PoP ]]&gt;1,1,(WWWW[[#This Row],['#_Constructed/Existing protected/fenced ponds]]*250)/WWWW[[#This Row],[Total PoP ]])</f>
        <v>0</v>
      </c>
      <c r="CT60" s="758">
        <f>WWWW[[#This Row],[% Access to unimproved water points]]*WWWW[[#This Row],[Total PoP ]]</f>
        <v>0</v>
      </c>
      <c r="CU6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60" s="758">
        <f>WWWW[[#This Row],[HRP1]]/500</f>
        <v>0.13600000000000001</v>
      </c>
      <c r="CX60" s="763">
        <f>1-WWWW[[#This Row],[% Equitable and continuous access to sufficient quantity of domestic water]]</f>
        <v>0</v>
      </c>
      <c r="CY60" s="758">
        <f>WWWW[[#This Row],[%equitable and continuous access to sufficient quantity of safe drinking and domestic water''s GAP]]*WWWW[[#This Row],[Total PoP ]]</f>
        <v>0</v>
      </c>
      <c r="CZ60" s="761">
        <f>IF(WWWW[[#This Row],[Total required water points]]-WWWW[[#This Row],['#Water points coverage]]&lt;0,0,WWWW[[#This Row],[Total required water points]]-WWWW[[#This Row],['#Water points coverage]])</f>
        <v>0.86399999999999999</v>
      </c>
      <c r="DA60" s="761">
        <f>ROUND(IF(WWWW[[#This Row],[Total PoP ]]&lt;500,1,WWWW[[#This Row],[Total PoP ]]/500),0)</f>
        <v>1</v>
      </c>
      <c r="DB60" s="761">
        <f>(WWWW[[#This Row],['#_Constructed latrines_by_WASHAgencies]]+WWWW[[#This Row],['#_Non Cluster partner latrines]])-WWWW[[#This Row],['#_Non-functional latrines]]</f>
        <v>7</v>
      </c>
      <c r="DC60" s="634">
        <f>WWWW[[#This Row],[HRP2]]/WWWW[[#This Row],[Total PoP ]]</f>
        <v>1</v>
      </c>
      <c r="DD6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6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0" s="425">
        <f>IF(WWWW[[#This Row],['# of functional latrines in THF supported by WASH partners during the reporting period2]]="",0,WWWW[[#This Row],['# of functional latrines in THF supported by WASH partners during the reporting period2]]*50)</f>
        <v>0</v>
      </c>
      <c r="DH60" s="761">
        <f>ROUND(IF(WWWW[[#This Row],[Location Type 1]]="camp",WWWW[[#This Row],[Total PoP ]]/20,IF(WWWW[[#This Row],[Location Type 1]]="Temporary Location",WWWW[[#This Row],[Total PoP ]]/50,(WWWW[[#This Row],[Total PoP ]]/6))),0)</f>
        <v>3</v>
      </c>
      <c r="DI60" s="761">
        <f>IF(WWWW[[#This Row],[Total required Latrines]]-(WWWW[[#This Row],['#_Constructed latrines_by_WASHAgencies]]+WWWW[[#This Row],['#_Non Cluster partner latrines]])&lt;0,0,WWWW[[#This Row],[Total required Latrines]]-(WWWW[[#This Row],['#_Constructed latrines_by_WASHAgencies]]+WWWW[[#This Row],['#_Non Cluster partner latrines]]))</f>
        <v>0</v>
      </c>
      <c r="DJ60" s="763">
        <f>1-WWWW[[#This Row],[% people access to functioning Latrine]]</f>
        <v>0</v>
      </c>
      <c r="DK60" s="762">
        <f>IF(OR(WWWW[[#This Row],['#_Non-functional latrines]]="",WWWW[[#This Row],['#_Non-functional latrines]]=0),0,WWWW[[#This Row],['#_Non-functional latrines]]/(WWWW[[#This Row],['#_Constructed latrines_by_WASHAgencies]]+WWWW[[#This Row],['#_Non Cluster partner latrines]]))</f>
        <v>0</v>
      </c>
      <c r="DL60" s="758">
        <f>IF(500*(WWWW[[#This Row],['#_male hygiene promoters]]+WWWW[[#This Row],['#_female hygiene promoters]])&gt;WWWW[[#This Row],[Total PoP ]],WWWW[[#This Row],[Total PoP ]],500*(WWWW[[#This Row],['#_male hygiene promoters]]+WWWW[[#This Row],['#_female hygiene promoters]]))</f>
        <v>68</v>
      </c>
      <c r="DM6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v>
      </c>
      <c r="DN6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68</v>
      </c>
      <c r="DO60" s="761">
        <f>IF(WWWW[[#This Row],['# People with access to soap]]&gt;WWWW[[#This Row],['# People with access to Sanity Pads]],WWWW[[#This Row],['# People with access to soap]],WWWW[[#This Row],['# People with access to Sanity Pads]])</f>
        <v>68</v>
      </c>
      <c r="DP60" s="761">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60" s="763">
        <f>IF(WWWW[[#This Row],[HRP3]]/WWWW[[#This Row],[Total PoP ]]&gt;1,1,WWWW[[#This Row],[HRP3]]/WWWW[[#This Row],[Total PoP ]])</f>
        <v>1</v>
      </c>
      <c r="DR60" s="762">
        <f>1-WWWW[[#This Row],[Hygiene Coverage%]]</f>
        <v>0</v>
      </c>
      <c r="DS60" s="760">
        <f>WWWW[[#This Row],['# people reached by regular dedicated hygiene promotion_5]]/WWWW[[#This Row],[Total PoP ]]</f>
        <v>1</v>
      </c>
      <c r="DT6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0" s="761">
        <f>WWWW[[#This Row],['#_Constructed/Existing hand washing stations]]-WWWW[[#This Row],['#_Non-Functional_hand_washing_stations]]</f>
        <v>7</v>
      </c>
      <c r="DW60" s="758">
        <f>IF(WWWW[[#This Row],['# Functional hand washing stations during reporting period]]*20&gt;WWWW[[#This Row],[Total HH]],WWWW[[#This Row],[Total HH]],WWWW[[#This Row],['# Functional hand washing stations during reporting period]]*20)</f>
        <v>11</v>
      </c>
      <c r="DX60" s="758">
        <f>IF(WWWW[[#This Row],[Is sufficient soap available for TLS? (Yes/No)]]="yes",WWWW[[#This Row],['#_Constructed/Existing hand washing stations at TLS/CFS/THF]],0)</f>
        <v>0</v>
      </c>
      <c r="DY60" s="429">
        <f>IF(WWWW[[#This Row],['# Functional hand washing stations during reporting period]]*100&gt;WWWW[[#This Row],[Total PoP ]],WWWW[[#This Row],[Total PoP ]],WWWW[[#This Row],['# Functional hand washing stations during reporting period]]*100)</f>
        <v>68</v>
      </c>
      <c r="DZ60" s="429" t="str">
        <f>IF(OR(WWWW[[#This Row],['#_students at TLS_CFS]]="",WWWW[[#This Row],['#_students at TLS_CFS]]=0),"No","Yes")</f>
        <v>No</v>
      </c>
      <c r="EA6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0" s="754" t="str">
        <f>VLOOKUP(WWWW[[#This Row],[Site Name]],SiteDB6[[Site Name]:[CCCM Management]],6,FALSE)</f>
        <v>Yes</v>
      </c>
      <c r="EF60" s="754" t="str">
        <f>VLOOKUP(WWWW[[#This Row],[Site Name]],SiteDB6[[Site Name]:[CCCM Focal Agency]],7,FALSE)</f>
        <v>KMSS-MYT</v>
      </c>
      <c r="EG60" s="754" t="str">
        <f>VLOOKUP(WWWW[[#This Row],[Site Name]],SiteDB6[[Site Name]:[Location Type 1]],9,FALSE)</f>
        <v>Camp</v>
      </c>
      <c r="EH60" s="754" t="str">
        <f>VLOOKUP(WWWW[[#This Row],[Site Name]],SiteDB6[[Site Name]:[Type of Accommodation]],10,FALSE)</f>
        <v>Closed Camp</v>
      </c>
      <c r="EI60" s="754" t="str">
        <f>VLOOKUP(WWWW[[#This Row],[Site Name]],SiteDB6[[Site Name]:[Ethnic or GCA/NGCA]],11,FALSE)</f>
        <v>GCA</v>
      </c>
      <c r="EJ60" s="754">
        <f>VLOOKUP(WWWW[[#This Row],[Site Name]],SiteDB6[[Site Name]:[Lat]],12,FALSE)</f>
        <v>24.764800000000001</v>
      </c>
      <c r="EK60" s="754">
        <f>VLOOKUP(WWWW[[#This Row],[Site Name]],SiteDB6[[Site Name]:[Long]],13,FALSE)</f>
        <v>96.367059999999995</v>
      </c>
      <c r="EL60" s="754" t="str">
        <f>VLOOKUP(WWWW[[#This Row],[Site Name]],SiteDB6[[Site Name]:[Pcode]],3,FALSE)</f>
        <v>MMR001CMP080</v>
      </c>
      <c r="EM60" s="759" t="str">
        <f t="shared" si="0"/>
        <v>Covered</v>
      </c>
      <c r="EN60" s="759"/>
      <c r="EO60" s="754">
        <f>VLOOKUP(WWWW[[#This Row],[Site Name]],SiteDB6[[Site Name]:[Pop
(Kachin/Shan-CCCM as of July 2021)]],16,FALSE)</f>
        <v>11</v>
      </c>
      <c r="EP60" s="754">
        <f>VLOOKUP(WWWW[[#This Row],[Site Name]],SiteDB6[[Site Name]:[Pop
(Kachin/Shan-CCCM as of July 2021)]],17,FALSE)</f>
        <v>68</v>
      </c>
    </row>
    <row r="61" spans="1:146" hidden="1">
      <c r="A61" s="752" t="s">
        <v>2785</v>
      </c>
      <c r="B61" s="752" t="s">
        <v>36</v>
      </c>
      <c r="C61" s="753" t="s">
        <v>36</v>
      </c>
      <c r="D61" s="753" t="s">
        <v>241</v>
      </c>
      <c r="E61" s="753" t="s">
        <v>37</v>
      </c>
      <c r="F61" s="753" t="s">
        <v>205</v>
      </c>
      <c r="G61" s="594" t="str">
        <f>VLOOKUP(WWWW[[#This Row],[Site Name]],SiteDB6[[Site Name]:[Location Type]],8,FALSE)</f>
        <v>Camp</v>
      </c>
      <c r="H61" s="753" t="s">
        <v>232</v>
      </c>
      <c r="I61" s="755">
        <v>70</v>
      </c>
      <c r="J61" s="755">
        <v>394</v>
      </c>
      <c r="K61" s="828">
        <v>44414</v>
      </c>
      <c r="L61" s="829">
        <v>44778</v>
      </c>
      <c r="M61" s="755"/>
      <c r="N61" s="755"/>
      <c r="O61" s="755"/>
      <c r="P61" s="755"/>
      <c r="Q61" s="758" t="s">
        <v>41</v>
      </c>
      <c r="R61" s="755">
        <v>8</v>
      </c>
      <c r="S61" s="755">
        <v>3</v>
      </c>
      <c r="T61" s="449"/>
      <c r="U61" s="755"/>
      <c r="V61" s="755"/>
      <c r="W61" s="755"/>
      <c r="X61" s="755"/>
      <c r="Y61" s="755"/>
      <c r="Z61" s="755"/>
      <c r="AA61" s="755"/>
      <c r="AB61" s="755"/>
      <c r="AC61" s="755"/>
      <c r="AD61" s="755"/>
      <c r="AE61" s="755"/>
      <c r="AF61" s="755"/>
      <c r="AG61" s="755"/>
      <c r="AH61" s="755"/>
      <c r="AI61" s="755"/>
      <c r="AJ61" s="755"/>
      <c r="AK61" s="755"/>
      <c r="AL61" s="755"/>
      <c r="AM61" s="755">
        <v>4</v>
      </c>
      <c r="AN61" s="755"/>
      <c r="AO61" s="755"/>
      <c r="AP61" s="759"/>
      <c r="AQ61" s="755">
        <v>86</v>
      </c>
      <c r="AR61" s="755"/>
      <c r="AS61" s="760"/>
      <c r="AT61" s="755"/>
      <c r="AU61" s="755"/>
      <c r="AV61" s="755"/>
      <c r="AW61" s="755"/>
      <c r="AX61" s="755"/>
      <c r="AY61" s="754" t="s">
        <v>41</v>
      </c>
      <c r="AZ61" s="759" t="s">
        <v>137</v>
      </c>
      <c r="BA61" s="755">
        <v>1</v>
      </c>
      <c r="BB61" s="755"/>
      <c r="BC61" s="755"/>
      <c r="BD61" s="449"/>
      <c r="BE61" s="449"/>
      <c r="BF61" s="754"/>
      <c r="BG61" s="755">
        <v>8</v>
      </c>
      <c r="BH61" s="755"/>
      <c r="BI61" s="755"/>
      <c r="BJ61" s="755">
        <v>3</v>
      </c>
      <c r="BK61" s="755"/>
      <c r="BL61" s="755"/>
      <c r="BM61" s="755">
        <v>2</v>
      </c>
      <c r="BN61" s="755">
        <v>91</v>
      </c>
      <c r="BO61" s="755">
        <v>124</v>
      </c>
      <c r="BP61" s="754"/>
      <c r="BQ61" s="761"/>
      <c r="BR61" s="760"/>
      <c r="BS61" s="754"/>
      <c r="BT61" s="424"/>
      <c r="BU61" s="424"/>
      <c r="BV61" s="426"/>
      <c r="BW61" s="424"/>
      <c r="BX61" s="449"/>
      <c r="BY61" s="449"/>
      <c r="BZ61" s="449"/>
      <c r="CA61" s="449"/>
      <c r="CB61" s="449"/>
      <c r="CC61" s="807"/>
      <c r="CD61" s="449"/>
      <c r="CE61" s="762" t="str">
        <f>IFERROR(WWWW[[#This Row],['#_Water sources passed]]/WWWW[[#This Row],['#_Water sources tested for fecal coliform ]],"no test")</f>
        <v>no test</v>
      </c>
      <c r="CF61" s="760" t="str">
        <f>IFERROR(WWWW[[#This Row],['#_Household passed]]/WWWW[[#This Row],['#_Household water samples tested for fecal coliform]],"no test")</f>
        <v>no test</v>
      </c>
      <c r="CG61" s="761" t="str">
        <f>IF(AND(WWWW[[#This Row],[% of water sources passed]]="no test",WWWW[[#This Row],[% Household passed]]="no test"),"No Test","Tested")</f>
        <v>No Test</v>
      </c>
      <c r="CH61" s="761">
        <f>WWWW[[#This Row],['#_Constructed/existing protected hand dug well]]-WWWW[[#This Row],['#_Non-functional protected hand dug well]]</f>
        <v>0</v>
      </c>
      <c r="CI61" s="761">
        <f>(WWWW[[#This Row],['#_Constructed/Existing tube wells/boreholes/handpumps_WASH_agency]]+WWWW[[#This Row],['#_Non-Cluster partner water tube-wells/boreholes/handpumps]])-WWWW[[#This Row],['#_Non-functional tube wells/boreholes/handpumps]]</f>
        <v>0</v>
      </c>
      <c r="CJ61" s="761">
        <f>WWWW[[#This Row],['#_Constructed/Existingwater storage tank with gravity fed reticulation system]]-WWWW[[#This Row],['#_Non-functional storage tank gravity fed reticulation system]]</f>
        <v>0</v>
      </c>
      <c r="CK61" s="761">
        <f>(WWWW[[#This Row],['#_Water_Liters_supplied_by_Water boating or water trucking]]/90)/15</f>
        <v>0</v>
      </c>
      <c r="CL61" s="761">
        <f>WWWW[[#This Row],['#_Water_Liters_from_Constructed/Existing water distribution system from river or natural spring]]/90/15</f>
        <v>0</v>
      </c>
      <c r="CM61" s="425">
        <f>IF(WWWW[[#This Row],['#_of water points in TLS/CFS]]*500&gt;WWWW[[#This Row],[Total PoP ]],WWWW[[#This Row],[Total PoP ]],WWWW[[#This Row],['#_of water points in TLS/CFS]]*500)</f>
        <v>0</v>
      </c>
      <c r="CN61" s="425">
        <f>IF(WWWW[[#This Row],['#_of water points in THF]]*500&gt;WWWW[[#This Row],[Total PoP ]],WWWW[[#This Row],[Total PoP ]],WWWW[[#This Row],['#_of water points in THF]]*500)</f>
        <v>0</v>
      </c>
      <c r="CO6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6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61" s="760">
        <f>IF(WWWW[[#This Row],[Location Type 1]]="Village",WWWW[[#This Row],[Access to safe drinking water for Village]],WWWW[[#This Row],[Access to safe drinking water for Camp]])</f>
        <v>0</v>
      </c>
      <c r="CR61" s="758">
        <f>WWWW[[#This Row],[%Equitable and continuous access to sufficient quantity of safe drinking water]]*WWWW[[#This Row],[Total PoP ]]</f>
        <v>0</v>
      </c>
      <c r="CS61" s="760">
        <f>IF((WWWW[[#This Row],['#_Constructed/Existing protected/fenced ponds]]*250)/WWWW[[#This Row],[Total PoP ]]&gt;1,1,(WWWW[[#This Row],['#_Constructed/Existing protected/fenced ponds]]*250)/WWWW[[#This Row],[Total PoP ]])</f>
        <v>0</v>
      </c>
      <c r="CT61" s="758">
        <f>WWWW[[#This Row],[% Access to unimproved water points]]*WWWW[[#This Row],[Total PoP ]]</f>
        <v>0</v>
      </c>
      <c r="CU6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6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61" s="758">
        <f>WWWW[[#This Row],[HRP1]]/500</f>
        <v>0</v>
      </c>
      <c r="CX61" s="763">
        <f>1-WWWW[[#This Row],[% Equitable and continuous access to sufficient quantity of domestic water]]</f>
        <v>1</v>
      </c>
      <c r="CY61" s="758">
        <f>WWWW[[#This Row],[%equitable and continuous access to sufficient quantity of safe drinking and domestic water''s GAP]]*WWWW[[#This Row],[Total PoP ]]</f>
        <v>394</v>
      </c>
      <c r="CZ61" s="761">
        <f>IF(WWWW[[#This Row],[Total required water points]]-WWWW[[#This Row],['#Water points coverage]]&lt;0,0,WWWW[[#This Row],[Total required water points]]-WWWW[[#This Row],['#Water points coverage]])</f>
        <v>1</v>
      </c>
      <c r="DA61" s="761">
        <f>ROUND(IF(WWWW[[#This Row],[Total PoP ]]&lt;500,1,WWWW[[#This Row],[Total PoP ]]/500),0)</f>
        <v>1</v>
      </c>
      <c r="DB61" s="761">
        <f>(WWWW[[#This Row],['#_Constructed latrines_by_WASHAgencies]]+WWWW[[#This Row],['#_Non Cluster partner latrines]])-WWWW[[#This Row],['#_Non-functional latrines]]</f>
        <v>86</v>
      </c>
      <c r="DC61" s="634">
        <f>WWWW[[#This Row],[HRP2]]/WWWW[[#This Row],[Total PoP ]]</f>
        <v>1</v>
      </c>
      <c r="DD6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394</v>
      </c>
      <c r="DE6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1" s="425">
        <f>IF(WWWW[[#This Row],['# of functional latrines in THF supported by WASH partners during the reporting period2]]="",0,WWWW[[#This Row],['# of functional latrines in THF supported by WASH partners during the reporting period2]]*50)</f>
        <v>0</v>
      </c>
      <c r="DH61" s="761">
        <f>ROUND(IF(WWWW[[#This Row],[Location Type 1]]="camp",WWWW[[#This Row],[Total PoP ]]/20,IF(WWWW[[#This Row],[Location Type 1]]="Temporary Location",WWWW[[#This Row],[Total PoP ]]/50,(WWWW[[#This Row],[Total PoP ]]/6))),0)</f>
        <v>20</v>
      </c>
      <c r="DI61" s="761">
        <f>IF(WWWW[[#This Row],[Total required Latrines]]-(WWWW[[#This Row],['#_Constructed latrines_by_WASHAgencies]]+WWWW[[#This Row],['#_Non Cluster partner latrines]])&lt;0,0,WWWW[[#This Row],[Total required Latrines]]-(WWWW[[#This Row],['#_Constructed latrines_by_WASHAgencies]]+WWWW[[#This Row],['#_Non Cluster partner latrines]]))</f>
        <v>0</v>
      </c>
      <c r="DJ61" s="763">
        <f>1-WWWW[[#This Row],[% people access to functioning Latrine]]</f>
        <v>0</v>
      </c>
      <c r="DK61" s="762">
        <f>IF(OR(WWWW[[#This Row],['#_Non-functional latrines]]="",WWWW[[#This Row],['#_Non-functional latrines]]=0),0,WWWW[[#This Row],['#_Non-functional latrines]]/(WWWW[[#This Row],['#_Constructed latrines_by_WASHAgencies]]+WWWW[[#This Row],['#_Non Cluster partner latrines]]))</f>
        <v>0</v>
      </c>
      <c r="DL61" s="758">
        <f>IF(500*(WWWW[[#This Row],['#_male hygiene promoters]]+WWWW[[#This Row],['#_female hygiene promoters]])&gt;WWWW[[#This Row],[Total PoP ]],WWWW[[#This Row],[Total PoP ]],500*(WWWW[[#This Row],['#_male hygiene promoters]]+WWWW[[#This Row],['#_female hygiene promoters]]))</f>
        <v>394</v>
      </c>
      <c r="DM6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394</v>
      </c>
      <c r="DN6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61" s="761">
        <f>IF(WWWW[[#This Row],['# People with access to soap]]&gt;WWWW[[#This Row],['# People with access to Sanity Pads]],WWWW[[#This Row],['# People with access to soap]],WWWW[[#This Row],['# People with access to Sanity Pads]])</f>
        <v>394</v>
      </c>
      <c r="DP61" s="761">
        <f>IF(WWWW[[#This Row],['# people reached by regular dedicated hygiene promotion_5]]&gt;WWWW[[#This Row],['# People received regular supply of hygiene items_6]],WWWW[[#This Row],['# people reached by regular dedicated hygiene promotion_5]],WWWW[[#This Row],['# People received regular supply of hygiene items_6]])</f>
        <v>394</v>
      </c>
      <c r="DQ61" s="763">
        <f>IF(WWWW[[#This Row],[HRP3]]/WWWW[[#This Row],[Total PoP ]]&gt;1,1,WWWW[[#This Row],[HRP3]]/WWWW[[#This Row],[Total PoP ]])</f>
        <v>1</v>
      </c>
      <c r="DR61" s="762">
        <f>1-WWWW[[#This Row],[Hygiene Coverage%]]</f>
        <v>0</v>
      </c>
      <c r="DS61" s="760">
        <f>WWWW[[#This Row],['# people reached by regular dedicated hygiene promotion_5]]/WWWW[[#This Row],[Total PoP ]]</f>
        <v>1</v>
      </c>
      <c r="DT6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1" s="761">
        <f>WWWW[[#This Row],['#_Constructed/Existing hand washing stations]]-WWWW[[#This Row],['#_Non-Functional_hand_washing_stations]]</f>
        <v>8</v>
      </c>
      <c r="DW61" s="758">
        <f>IF(WWWW[[#This Row],['# Functional hand washing stations during reporting period]]*20&gt;WWWW[[#This Row],[Total HH]],WWWW[[#This Row],[Total HH]],WWWW[[#This Row],['# Functional hand washing stations during reporting period]]*20)</f>
        <v>70</v>
      </c>
      <c r="DX61" s="758">
        <f>IF(WWWW[[#This Row],[Is sufficient soap available for TLS? (Yes/No)]]="yes",WWWW[[#This Row],['#_Constructed/Existing hand washing stations at TLS/CFS/THF]],0)</f>
        <v>0</v>
      </c>
      <c r="DY61" s="429">
        <f>IF(WWWW[[#This Row],['# Functional hand washing stations during reporting period]]*100&gt;WWWW[[#This Row],[Total PoP ]],WWWW[[#This Row],[Total PoP ]],WWWW[[#This Row],['# Functional hand washing stations during reporting period]]*100)</f>
        <v>394</v>
      </c>
      <c r="DZ61" s="429" t="str">
        <f>IF(OR(WWWW[[#This Row],['#_students at TLS_CFS]]="",WWWW[[#This Row],['#_students at TLS_CFS]]=0),"No","Yes")</f>
        <v>No</v>
      </c>
      <c r="EA6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1" s="754" t="str">
        <f>VLOOKUP(WWWW[[#This Row],[Site Name]],SiteDB6[[Site Name]:[CCCM Management]],6,FALSE)</f>
        <v>Yes</v>
      </c>
      <c r="EF61" s="754" t="str">
        <f>VLOOKUP(WWWW[[#This Row],[Site Name]],SiteDB6[[Site Name]:[CCCM Focal Agency]],7,FALSE)</f>
        <v>KMSS-MYT</v>
      </c>
      <c r="EG61" s="754" t="str">
        <f>VLOOKUP(WWWW[[#This Row],[Site Name]],SiteDB6[[Site Name]:[Location Type 1]],9,FALSE)</f>
        <v>Camp</v>
      </c>
      <c r="EH61" s="754" t="str">
        <f>VLOOKUP(WWWW[[#This Row],[Site Name]],SiteDB6[[Site Name]:[Type of Accommodation]],10,FALSE)</f>
        <v>Camp</v>
      </c>
      <c r="EI61" s="754" t="str">
        <f>VLOOKUP(WWWW[[#This Row],[Site Name]],SiteDB6[[Site Name]:[Ethnic or GCA/NGCA]],11,FALSE)</f>
        <v>NGCA</v>
      </c>
      <c r="EJ61" s="754">
        <f>VLOOKUP(WWWW[[#This Row],[Site Name]],SiteDB6[[Site Name]:[Lat]],12,FALSE)</f>
        <v>24.461033</v>
      </c>
      <c r="EK61" s="754">
        <f>VLOOKUP(WWWW[[#This Row],[Site Name]],SiteDB6[[Site Name]:[Long]],13,FALSE)</f>
        <v>97.537099999999995</v>
      </c>
      <c r="EL61" s="754" t="str">
        <f>VLOOKUP(WWWW[[#This Row],[Site Name]],SiteDB6[[Site Name]:[Pcode]],3,FALSE)</f>
        <v>MMR001CMP123</v>
      </c>
      <c r="EM61" s="759" t="str">
        <f t="shared" si="0"/>
        <v>Covered</v>
      </c>
      <c r="EN61" s="759"/>
      <c r="EO61" s="754">
        <f>VLOOKUP(WWWW[[#This Row],[Site Name]],SiteDB6[[Site Name]:[Pop
(Kachin/Shan-CCCM as of July 2021)]],16,FALSE)</f>
        <v>72</v>
      </c>
      <c r="EP61" s="754">
        <f>VLOOKUP(WWWW[[#This Row],[Site Name]],SiteDB6[[Site Name]:[Pop
(Kachin/Shan-CCCM as of July 2021)]],17,FALSE)</f>
        <v>404</v>
      </c>
    </row>
    <row r="62" spans="1:146" hidden="1">
      <c r="A62" s="752" t="s">
        <v>2785</v>
      </c>
      <c r="B62" s="752" t="s">
        <v>36</v>
      </c>
      <c r="C62" s="753" t="s">
        <v>36</v>
      </c>
      <c r="D62" s="753" t="s">
        <v>241</v>
      </c>
      <c r="E62" s="753" t="s">
        <v>37</v>
      </c>
      <c r="F62" s="753" t="s">
        <v>159</v>
      </c>
      <c r="G62" s="594" t="str">
        <f>VLOOKUP(WWWW[[#This Row],[Site Name]],SiteDB6[[Site Name]:[Location Type]],8,FALSE)</f>
        <v>Camp</v>
      </c>
      <c r="H62" s="753" t="s">
        <v>233</v>
      </c>
      <c r="I62" s="755">
        <v>76</v>
      </c>
      <c r="J62" s="755">
        <v>398</v>
      </c>
      <c r="K62" s="756">
        <v>44414</v>
      </c>
      <c r="L62" s="757">
        <v>44778</v>
      </c>
      <c r="M62" s="755"/>
      <c r="N62" s="755">
        <v>2</v>
      </c>
      <c r="O62" s="755"/>
      <c r="P62" s="755"/>
      <c r="Q62" s="758" t="s">
        <v>41</v>
      </c>
      <c r="R62" s="755">
        <v>1</v>
      </c>
      <c r="S62" s="755">
        <v>8</v>
      </c>
      <c r="T62" s="449">
        <v>1</v>
      </c>
      <c r="U62" s="755"/>
      <c r="V62" s="755"/>
      <c r="W62" s="755"/>
      <c r="X62" s="755"/>
      <c r="Y62" s="755"/>
      <c r="Z62" s="755"/>
      <c r="AA62" s="755"/>
      <c r="AB62" s="755"/>
      <c r="AC62" s="755"/>
      <c r="AD62" s="755"/>
      <c r="AE62" s="755"/>
      <c r="AF62" s="755"/>
      <c r="AG62" s="755"/>
      <c r="AH62" s="755"/>
      <c r="AI62" s="755"/>
      <c r="AJ62" s="755"/>
      <c r="AK62" s="755"/>
      <c r="AL62" s="755"/>
      <c r="AM62" s="755">
        <v>5</v>
      </c>
      <c r="AN62" s="755"/>
      <c r="AO62" s="755"/>
      <c r="AP62" s="759"/>
      <c r="AQ62" s="755">
        <v>22</v>
      </c>
      <c r="AR62" s="755"/>
      <c r="AS62" s="760"/>
      <c r="AT62" s="755"/>
      <c r="AU62" s="755"/>
      <c r="AV62" s="755"/>
      <c r="AW62" s="755"/>
      <c r="AX62" s="755"/>
      <c r="AY62" s="754" t="s">
        <v>41</v>
      </c>
      <c r="AZ62" s="759" t="s">
        <v>137</v>
      </c>
      <c r="BA62" s="755">
        <v>1</v>
      </c>
      <c r="BB62" s="755"/>
      <c r="BC62" s="755"/>
      <c r="BD62" s="449"/>
      <c r="BE62" s="449"/>
      <c r="BF62" s="754"/>
      <c r="BG62" s="755">
        <v>7</v>
      </c>
      <c r="BH62" s="755"/>
      <c r="BI62" s="755"/>
      <c r="BJ62" s="755">
        <v>7</v>
      </c>
      <c r="BK62" s="755"/>
      <c r="BL62" s="755"/>
      <c r="BM62" s="755">
        <v>2</v>
      </c>
      <c r="BN62" s="755">
        <v>104</v>
      </c>
      <c r="BO62" s="755">
        <v>148</v>
      </c>
      <c r="BP62" s="754"/>
      <c r="BQ62" s="761">
        <v>100</v>
      </c>
      <c r="BR62" s="760">
        <v>0.5</v>
      </c>
      <c r="BS62" s="754"/>
      <c r="BT62" s="424"/>
      <c r="BU62" s="424"/>
      <c r="BV62" s="426"/>
      <c r="BW62" s="424"/>
      <c r="BX62" s="449"/>
      <c r="BY62" s="449"/>
      <c r="BZ62" s="449"/>
      <c r="CA62" s="449"/>
      <c r="CB62" s="449"/>
      <c r="CC62" s="807"/>
      <c r="CD62" s="449"/>
      <c r="CE62" s="762" t="str">
        <f>IFERROR(WWWW[[#This Row],['#_Water sources passed]]/WWWW[[#This Row],['#_Water sources tested for fecal coliform ]],"no test")</f>
        <v>no test</v>
      </c>
      <c r="CF62" s="760" t="str">
        <f>IFERROR(WWWW[[#This Row],['#_Household passed]]/WWWW[[#This Row],['#_Household water samples tested for fecal coliform]],"no test")</f>
        <v>no test</v>
      </c>
      <c r="CG62" s="761" t="str">
        <f>IF(AND(WWWW[[#This Row],[% of water sources passed]]="no test",WWWW[[#This Row],[% Household passed]]="no test"),"No Test","Tested")</f>
        <v>No Test</v>
      </c>
      <c r="CH62" s="761">
        <f>WWWW[[#This Row],['#_Constructed/existing protected hand dug well]]-WWWW[[#This Row],['#_Non-functional protected hand dug well]]</f>
        <v>1</v>
      </c>
      <c r="CI62" s="761">
        <f>(WWWW[[#This Row],['#_Constructed/Existing tube wells/boreholes/handpumps_WASH_agency]]+WWWW[[#This Row],['#_Non-Cluster partner water tube-wells/boreholes/handpumps]])-WWWW[[#This Row],['#_Non-functional tube wells/boreholes/handpumps]]</f>
        <v>0</v>
      </c>
      <c r="CJ62" s="761">
        <f>WWWW[[#This Row],['#_Constructed/Existingwater storage tank with gravity fed reticulation system]]-WWWW[[#This Row],['#_Non-functional storage tank gravity fed reticulation system]]</f>
        <v>0</v>
      </c>
      <c r="CK62" s="761">
        <f>(WWWW[[#This Row],['#_Water_Liters_supplied_by_Water boating or water trucking]]/90)/15</f>
        <v>0</v>
      </c>
      <c r="CL62" s="761">
        <f>WWWW[[#This Row],['#_Water_Liters_from_Constructed/Existing water distribution system from river or natural spring]]/90/15</f>
        <v>0</v>
      </c>
      <c r="CM62" s="425">
        <f>IF(WWWW[[#This Row],['#_of water points in TLS/CFS]]*500&gt;WWWW[[#This Row],[Total PoP ]],WWWW[[#This Row],[Total PoP ]],WWWW[[#This Row],['#_of water points in TLS/CFS]]*500)</f>
        <v>0</v>
      </c>
      <c r="CN62" s="425">
        <f>IF(WWWW[[#This Row],['#_of water points in THF]]*500&gt;WWWW[[#This Row],[Total PoP ]],WWWW[[#This Row],[Total PoP ]],WWWW[[#This Row],['#_of water points in THF]]*500)</f>
        <v>0</v>
      </c>
      <c r="CO6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0.62814070351758799</v>
      </c>
      <c r="CQ62" s="760">
        <f>IF(WWWW[[#This Row],[Location Type 1]]="Village",WWWW[[#This Row],[Access to safe drinking water for Village]],WWWW[[#This Row],[Access to safe drinking water for Camp]])</f>
        <v>1</v>
      </c>
      <c r="CR62" s="758">
        <f>WWWW[[#This Row],[%Equitable and continuous access to sufficient quantity of safe drinking water]]*WWWW[[#This Row],[Total PoP ]]</f>
        <v>398</v>
      </c>
      <c r="CS62" s="760">
        <f>IF((WWWW[[#This Row],['#_Constructed/Existing protected/fenced ponds]]*250)/WWWW[[#This Row],[Total PoP ]]&gt;1,1,(WWWW[[#This Row],['#_Constructed/Existing protected/fenced ponds]]*250)/WWWW[[#This Row],[Total PoP ]])</f>
        <v>0</v>
      </c>
      <c r="CT62" s="758">
        <f>WWWW[[#This Row],[% Access to unimproved water points]]*WWWW[[#This Row],[Total PoP ]]</f>
        <v>0</v>
      </c>
      <c r="CU6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398</v>
      </c>
      <c r="CW62" s="758">
        <f>WWWW[[#This Row],[HRP1]]/500</f>
        <v>0.79600000000000004</v>
      </c>
      <c r="CX62" s="763">
        <f>1-WWWW[[#This Row],[% Equitable and continuous access to sufficient quantity of domestic water]]</f>
        <v>0</v>
      </c>
      <c r="CY62" s="758">
        <f>WWWW[[#This Row],[%equitable and continuous access to sufficient quantity of safe drinking and domestic water''s GAP]]*WWWW[[#This Row],[Total PoP ]]</f>
        <v>0</v>
      </c>
      <c r="CZ62" s="761">
        <f>IF(WWWW[[#This Row],[Total required water points]]-WWWW[[#This Row],['#Water points coverage]]&lt;0,0,WWWW[[#This Row],[Total required water points]]-WWWW[[#This Row],['#Water points coverage]])</f>
        <v>0.20399999999999996</v>
      </c>
      <c r="DA62" s="761">
        <f>ROUND(IF(WWWW[[#This Row],[Total PoP ]]&lt;500,1,WWWW[[#This Row],[Total PoP ]]/500),0)</f>
        <v>1</v>
      </c>
      <c r="DB62" s="761">
        <f>(WWWW[[#This Row],['#_Constructed latrines_by_WASHAgencies]]+WWWW[[#This Row],['#_Non Cluster partner latrines]])-WWWW[[#This Row],['#_Non-functional latrines]]</f>
        <v>22</v>
      </c>
      <c r="DC62" s="634">
        <f>WWWW[[#This Row],[HRP2]]/WWWW[[#This Row],[Total PoP ]]</f>
        <v>1</v>
      </c>
      <c r="DD6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398</v>
      </c>
      <c r="DE6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2" s="425">
        <f>IF(WWWW[[#This Row],['# of functional latrines in THF supported by WASH partners during the reporting period2]]="",0,WWWW[[#This Row],['# of functional latrines in THF supported by WASH partners during the reporting period2]]*50)</f>
        <v>0</v>
      </c>
      <c r="DH62" s="761">
        <f>ROUND(IF(WWWW[[#This Row],[Location Type 1]]="camp",WWWW[[#This Row],[Total PoP ]]/20,IF(WWWW[[#This Row],[Location Type 1]]="Temporary Location",WWWW[[#This Row],[Total PoP ]]/50,(WWWW[[#This Row],[Total PoP ]]/6))),0)</f>
        <v>20</v>
      </c>
      <c r="DI62" s="761">
        <f>IF(WWWW[[#This Row],[Total required Latrines]]-(WWWW[[#This Row],['#_Constructed latrines_by_WASHAgencies]]+WWWW[[#This Row],['#_Non Cluster partner latrines]])&lt;0,0,WWWW[[#This Row],[Total required Latrines]]-(WWWW[[#This Row],['#_Constructed latrines_by_WASHAgencies]]+WWWW[[#This Row],['#_Non Cluster partner latrines]]))</f>
        <v>0</v>
      </c>
      <c r="DJ62" s="763">
        <f>1-WWWW[[#This Row],[% people access to functioning Latrine]]</f>
        <v>0</v>
      </c>
      <c r="DK62" s="762">
        <f>IF(OR(WWWW[[#This Row],['#_Non-functional latrines]]="",WWWW[[#This Row],['#_Non-functional latrines]]=0),0,WWWW[[#This Row],['#_Non-functional latrines]]/(WWWW[[#This Row],['#_Constructed latrines_by_WASHAgencies]]+WWWW[[#This Row],['#_Non Cluster partner latrines]]))</f>
        <v>0</v>
      </c>
      <c r="DL62" s="758">
        <f>IF(500*(WWWW[[#This Row],['#_male hygiene promoters]]+WWWW[[#This Row],['#_female hygiene promoters]])&gt;WWWW[[#This Row],[Total PoP ]],WWWW[[#This Row],[Total PoP ]],500*(WWWW[[#This Row],['#_male hygiene promoters]]+WWWW[[#This Row],['#_female hygiene promoters]]))</f>
        <v>398</v>
      </c>
      <c r="DM6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398</v>
      </c>
      <c r="DN6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62" s="761">
        <f>IF(WWWW[[#This Row],['# People with access to soap]]&gt;WWWW[[#This Row],['# People with access to Sanity Pads]],WWWW[[#This Row],['# People with access to soap]],WWWW[[#This Row],['# People with access to Sanity Pads]])</f>
        <v>398</v>
      </c>
      <c r="DP62" s="761">
        <f>IF(WWWW[[#This Row],['# people reached by regular dedicated hygiene promotion_5]]&gt;WWWW[[#This Row],['# People received regular supply of hygiene items_6]],WWWW[[#This Row],['# people reached by regular dedicated hygiene promotion_5]],WWWW[[#This Row],['# People received regular supply of hygiene items_6]])</f>
        <v>398</v>
      </c>
      <c r="DQ62" s="763">
        <f>IF(WWWW[[#This Row],[HRP3]]/WWWW[[#This Row],[Total PoP ]]&gt;1,1,WWWW[[#This Row],[HRP3]]/WWWW[[#This Row],[Total PoP ]])</f>
        <v>1</v>
      </c>
      <c r="DR62" s="762">
        <f>1-WWWW[[#This Row],[Hygiene Coverage%]]</f>
        <v>0</v>
      </c>
      <c r="DS62" s="760">
        <f>WWWW[[#This Row],['# people reached by regular dedicated hygiene promotion_5]]/WWWW[[#This Row],[Total PoP ]]</f>
        <v>1</v>
      </c>
      <c r="DT6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2" s="761">
        <f>WWWW[[#This Row],['#_Constructed/Existing hand washing stations]]-WWWW[[#This Row],['#_Non-Functional_hand_washing_stations]]</f>
        <v>7</v>
      </c>
      <c r="DW62" s="758">
        <f>IF(WWWW[[#This Row],['# Functional hand washing stations during reporting period]]*20&gt;WWWW[[#This Row],[Total HH]],WWWW[[#This Row],[Total HH]],WWWW[[#This Row],['# Functional hand washing stations during reporting period]]*20)</f>
        <v>76</v>
      </c>
      <c r="DX62" s="758">
        <f>IF(WWWW[[#This Row],[Is sufficient soap available for TLS? (Yes/No)]]="yes",WWWW[[#This Row],['#_Constructed/Existing hand washing stations at TLS/CFS/THF]],0)</f>
        <v>0</v>
      </c>
      <c r="DY62" s="429">
        <f>IF(WWWW[[#This Row],['# Functional hand washing stations during reporting period]]*100&gt;WWWW[[#This Row],[Total PoP ]],WWWW[[#This Row],[Total PoP ]],WWWW[[#This Row],['# Functional hand washing stations during reporting period]]*100)</f>
        <v>398</v>
      </c>
      <c r="DZ62" s="429" t="str">
        <f>IF(OR(WWWW[[#This Row],['#_students at TLS_CFS]]="",WWWW[[#This Row],['#_students at TLS_CFS]]=0),"No","Yes")</f>
        <v>No</v>
      </c>
      <c r="EA6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2" s="754" t="str">
        <f>VLOOKUP(WWWW[[#This Row],[Site Name]],SiteDB6[[Site Name]:[CCCM Management]],6,FALSE)</f>
        <v>Yes</v>
      </c>
      <c r="EF62" s="754" t="str">
        <f>VLOOKUP(WWWW[[#This Row],[Site Name]],SiteDB6[[Site Name]:[CCCM Focal Agency]],7,FALSE)</f>
        <v>KMSS-MYT</v>
      </c>
      <c r="EG62" s="754" t="str">
        <f>VLOOKUP(WWWW[[#This Row],[Site Name]],SiteDB6[[Site Name]:[Location Type 1]],9,FALSE)</f>
        <v>Camp</v>
      </c>
      <c r="EH62" s="754" t="str">
        <f>VLOOKUP(WWWW[[#This Row],[Site Name]],SiteDB6[[Site Name]:[Type of Accommodation]],10,FALSE)</f>
        <v>Camp</v>
      </c>
      <c r="EI62" s="754" t="str">
        <f>VLOOKUP(WWWW[[#This Row],[Site Name]],SiteDB6[[Site Name]:[Ethnic or GCA/NGCA]],11,FALSE)</f>
        <v>GCA</v>
      </c>
      <c r="EJ62" s="754">
        <f>VLOOKUP(WWWW[[#This Row],[Site Name]],SiteDB6[[Site Name]:[Lat]],12,FALSE)</f>
        <v>25.403476999999999</v>
      </c>
      <c r="EK62" s="754">
        <f>VLOOKUP(WWWW[[#This Row],[Site Name]],SiteDB6[[Site Name]:[Long]],13,FALSE)</f>
        <v>97.373361000000003</v>
      </c>
      <c r="EL62" s="754" t="str">
        <f>VLOOKUP(WWWW[[#This Row],[Site Name]],SiteDB6[[Site Name]:[Pcode]],3,FALSE)</f>
        <v>MMR001CMP019</v>
      </c>
      <c r="EM62" s="759" t="str">
        <f t="shared" si="0"/>
        <v>Covered</v>
      </c>
      <c r="EN62" s="759"/>
      <c r="EO62" s="754">
        <f>VLOOKUP(WWWW[[#This Row],[Site Name]],SiteDB6[[Site Name]:[Pop
(Kachin/Shan-CCCM as of July 2021)]],16,FALSE)</f>
        <v>73</v>
      </c>
      <c r="EP62" s="754">
        <f>VLOOKUP(WWWW[[#This Row],[Site Name]],SiteDB6[[Site Name]:[Pop
(Kachin/Shan-CCCM as of July 2021)]],17,FALSE)</f>
        <v>387</v>
      </c>
    </row>
    <row r="63" spans="1:146" hidden="1">
      <c r="A63" s="752" t="s">
        <v>2785</v>
      </c>
      <c r="B63" s="752" t="s">
        <v>36</v>
      </c>
      <c r="C63" s="753" t="s">
        <v>36</v>
      </c>
      <c r="D63" s="753" t="s">
        <v>241</v>
      </c>
      <c r="E63" s="753" t="s">
        <v>37</v>
      </c>
      <c r="F63" s="753" t="s">
        <v>159</v>
      </c>
      <c r="G63" s="594" t="str">
        <f>VLOOKUP(WWWW[[#This Row],[Site Name]],SiteDB6[[Site Name]:[Location Type]],8,FALSE)</f>
        <v>Camp</v>
      </c>
      <c r="H63" s="753" t="s">
        <v>828</v>
      </c>
      <c r="I63" s="755">
        <v>14</v>
      </c>
      <c r="J63" s="755">
        <v>43</v>
      </c>
      <c r="K63" s="756">
        <v>44414</v>
      </c>
      <c r="L63" s="757">
        <v>44778</v>
      </c>
      <c r="M63" s="755"/>
      <c r="N63" s="755">
        <v>1</v>
      </c>
      <c r="O63" s="755"/>
      <c r="P63" s="755"/>
      <c r="Q63" s="758" t="s">
        <v>41</v>
      </c>
      <c r="R63" s="755">
        <v>1</v>
      </c>
      <c r="S63" s="755">
        <v>2</v>
      </c>
      <c r="T63" s="449"/>
      <c r="U63" s="755"/>
      <c r="V63" s="755"/>
      <c r="W63" s="755">
        <v>1</v>
      </c>
      <c r="X63" s="755"/>
      <c r="Y63" s="755"/>
      <c r="Z63" s="755"/>
      <c r="AA63" s="755"/>
      <c r="AB63" s="755"/>
      <c r="AC63" s="755"/>
      <c r="AD63" s="755"/>
      <c r="AE63" s="755"/>
      <c r="AF63" s="755"/>
      <c r="AG63" s="755"/>
      <c r="AH63" s="755"/>
      <c r="AI63" s="755"/>
      <c r="AJ63" s="755"/>
      <c r="AK63" s="755"/>
      <c r="AL63" s="755"/>
      <c r="AM63" s="755">
        <v>4</v>
      </c>
      <c r="AN63" s="755"/>
      <c r="AO63" s="755"/>
      <c r="AP63" s="759"/>
      <c r="AQ63" s="755">
        <v>4</v>
      </c>
      <c r="AR63" s="755"/>
      <c r="AS63" s="760"/>
      <c r="AT63" s="755"/>
      <c r="AU63" s="755"/>
      <c r="AV63" s="755"/>
      <c r="AW63" s="755"/>
      <c r="AX63" s="755"/>
      <c r="AY63" s="754" t="s">
        <v>41</v>
      </c>
      <c r="AZ63" s="759" t="s">
        <v>137</v>
      </c>
      <c r="BA63" s="755"/>
      <c r="BB63" s="755"/>
      <c r="BC63" s="755"/>
      <c r="BD63" s="449"/>
      <c r="BE63" s="449"/>
      <c r="BF63" s="754"/>
      <c r="BG63" s="755">
        <v>7</v>
      </c>
      <c r="BH63" s="755"/>
      <c r="BI63" s="755"/>
      <c r="BJ63" s="755">
        <v>4</v>
      </c>
      <c r="BK63" s="755"/>
      <c r="BL63" s="755"/>
      <c r="BM63" s="755"/>
      <c r="BN63" s="755">
        <v>124</v>
      </c>
      <c r="BO63" s="755">
        <v>198</v>
      </c>
      <c r="BP63" s="754"/>
      <c r="BQ63" s="761">
        <v>100</v>
      </c>
      <c r="BR63" s="760">
        <v>0.5</v>
      </c>
      <c r="BS63" s="754"/>
      <c r="BT63" s="424"/>
      <c r="BU63" s="424"/>
      <c r="BV63" s="426"/>
      <c r="BW63" s="424"/>
      <c r="BX63" s="449"/>
      <c r="BY63" s="449"/>
      <c r="BZ63" s="449"/>
      <c r="CA63" s="449"/>
      <c r="CB63" s="449"/>
      <c r="CC63" s="807"/>
      <c r="CD63" s="449"/>
      <c r="CE63" s="762" t="str">
        <f>IFERROR(WWWW[[#This Row],['#_Water sources passed]]/WWWW[[#This Row],['#_Water sources tested for fecal coliform ]],"no test")</f>
        <v>no test</v>
      </c>
      <c r="CF63" s="760" t="str">
        <f>IFERROR(WWWW[[#This Row],['#_Household passed]]/WWWW[[#This Row],['#_Household water samples tested for fecal coliform]],"no test")</f>
        <v>no test</v>
      </c>
      <c r="CG63" s="761" t="str">
        <f>IF(AND(WWWW[[#This Row],[% of water sources passed]]="no test",WWWW[[#This Row],[% Household passed]]="no test"),"No Test","Tested")</f>
        <v>No Test</v>
      </c>
      <c r="CH63" s="761">
        <f>WWWW[[#This Row],['#_Constructed/existing protected hand dug well]]-WWWW[[#This Row],['#_Non-functional protected hand dug well]]</f>
        <v>0</v>
      </c>
      <c r="CI63" s="761">
        <f>(WWWW[[#This Row],['#_Constructed/Existing tube wells/boreholes/handpumps_WASH_agency]]+WWWW[[#This Row],['#_Non-Cluster partner water tube-wells/boreholes/handpumps]])-WWWW[[#This Row],['#_Non-functional tube wells/boreholes/handpumps]]</f>
        <v>1</v>
      </c>
      <c r="CJ63" s="761">
        <f>WWWW[[#This Row],['#_Constructed/Existingwater storage tank with gravity fed reticulation system]]-WWWW[[#This Row],['#_Non-functional storage tank gravity fed reticulation system]]</f>
        <v>0</v>
      </c>
      <c r="CK63" s="761">
        <f>(WWWW[[#This Row],['#_Water_Liters_supplied_by_Water boating or water trucking]]/90)/15</f>
        <v>0</v>
      </c>
      <c r="CL63" s="761">
        <f>WWWW[[#This Row],['#_Water_Liters_from_Constructed/Existing water distribution system from river or natural spring]]/90/15</f>
        <v>0</v>
      </c>
      <c r="CM63" s="425">
        <f>IF(WWWW[[#This Row],['#_of water points in TLS/CFS]]*500&gt;WWWW[[#This Row],[Total PoP ]],WWWW[[#This Row],[Total PoP ]],WWWW[[#This Row],['#_of water points in TLS/CFS]]*500)</f>
        <v>0</v>
      </c>
      <c r="CN63" s="425">
        <f>IF(WWWW[[#This Row],['#_of water points in THF]]*500&gt;WWWW[[#This Row],[Total PoP ]],WWWW[[#This Row],[Total PoP ]],WWWW[[#This Row],['#_of water points in THF]]*500)</f>
        <v>0</v>
      </c>
      <c r="CO6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3" s="760">
        <f>IF(WWWW[[#This Row],[Location Type 1]]="Village",WWWW[[#This Row],[Access to safe drinking water for Village]],WWWW[[#This Row],[Access to safe drinking water for Camp]])</f>
        <v>1</v>
      </c>
      <c r="CR63" s="758">
        <f>WWWW[[#This Row],[%Equitable and continuous access to sufficient quantity of safe drinking water]]*WWWW[[#This Row],[Total PoP ]]</f>
        <v>43</v>
      </c>
      <c r="CS63" s="760">
        <f>IF((WWWW[[#This Row],['#_Constructed/Existing protected/fenced ponds]]*250)/WWWW[[#This Row],[Total PoP ]]&gt;1,1,(WWWW[[#This Row],['#_Constructed/Existing protected/fenced ponds]]*250)/WWWW[[#This Row],[Total PoP ]])</f>
        <v>0</v>
      </c>
      <c r="CT63" s="758">
        <f>WWWW[[#This Row],[% Access to unimproved water points]]*WWWW[[#This Row],[Total PoP ]]</f>
        <v>0</v>
      </c>
      <c r="CU6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v>
      </c>
      <c r="CW63" s="758">
        <f>WWWW[[#This Row],[HRP1]]/500</f>
        <v>8.5999999999999993E-2</v>
      </c>
      <c r="CX63" s="763">
        <f>1-WWWW[[#This Row],[% Equitable and continuous access to sufficient quantity of domestic water]]</f>
        <v>0</v>
      </c>
      <c r="CY63" s="758">
        <f>WWWW[[#This Row],[%equitable and continuous access to sufficient quantity of safe drinking and domestic water''s GAP]]*WWWW[[#This Row],[Total PoP ]]</f>
        <v>0</v>
      </c>
      <c r="CZ63" s="761">
        <f>IF(WWWW[[#This Row],[Total required water points]]-WWWW[[#This Row],['#Water points coverage]]&lt;0,0,WWWW[[#This Row],[Total required water points]]-WWWW[[#This Row],['#Water points coverage]])</f>
        <v>0.91400000000000003</v>
      </c>
      <c r="DA63" s="761">
        <f>ROUND(IF(WWWW[[#This Row],[Total PoP ]]&lt;500,1,WWWW[[#This Row],[Total PoP ]]/500),0)</f>
        <v>1</v>
      </c>
      <c r="DB63" s="761">
        <f>(WWWW[[#This Row],['#_Constructed latrines_by_WASHAgencies]]+WWWW[[#This Row],['#_Non Cluster partner latrines]])-WWWW[[#This Row],['#_Non-functional latrines]]</f>
        <v>4</v>
      </c>
      <c r="DC63" s="634">
        <f>WWWW[[#This Row],[HRP2]]/WWWW[[#This Row],[Total PoP ]]</f>
        <v>1</v>
      </c>
      <c r="DD6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v>
      </c>
      <c r="DE6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3" s="425">
        <f>IF(WWWW[[#This Row],['# of functional latrines in THF supported by WASH partners during the reporting period2]]="",0,WWWW[[#This Row],['# of functional latrines in THF supported by WASH partners during the reporting period2]]*50)</f>
        <v>0</v>
      </c>
      <c r="DH63" s="761">
        <f>ROUND(IF(WWWW[[#This Row],[Location Type 1]]="camp",WWWW[[#This Row],[Total PoP ]]/20,IF(WWWW[[#This Row],[Location Type 1]]="Temporary Location",WWWW[[#This Row],[Total PoP ]]/50,(WWWW[[#This Row],[Total PoP ]]/6))),0)</f>
        <v>2</v>
      </c>
      <c r="DI63" s="761">
        <f>IF(WWWW[[#This Row],[Total required Latrines]]-(WWWW[[#This Row],['#_Constructed latrines_by_WASHAgencies]]+WWWW[[#This Row],['#_Non Cluster partner latrines]])&lt;0,0,WWWW[[#This Row],[Total required Latrines]]-(WWWW[[#This Row],['#_Constructed latrines_by_WASHAgencies]]+WWWW[[#This Row],['#_Non Cluster partner latrines]]))</f>
        <v>0</v>
      </c>
      <c r="DJ63" s="763">
        <f>1-WWWW[[#This Row],[% people access to functioning Latrine]]</f>
        <v>0</v>
      </c>
      <c r="DK63" s="762">
        <f>IF(OR(WWWW[[#This Row],['#_Non-functional latrines]]="",WWWW[[#This Row],['#_Non-functional latrines]]=0),0,WWWW[[#This Row],['#_Non-functional latrines]]/(WWWW[[#This Row],['#_Constructed latrines_by_WASHAgencies]]+WWWW[[#This Row],['#_Non Cluster partner latrines]]))</f>
        <v>0</v>
      </c>
      <c r="DL63" s="758">
        <f>IF(500*(WWWW[[#This Row],['#_male hygiene promoters]]+WWWW[[#This Row],['#_female hygiene promoters]])&gt;WWWW[[#This Row],[Total PoP ]],WWWW[[#This Row],[Total PoP ]],500*(WWWW[[#This Row],['#_male hygiene promoters]]+WWWW[[#This Row],['#_female hygiene promoters]]))</f>
        <v>0</v>
      </c>
      <c r="DM6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v>
      </c>
      <c r="DN6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43</v>
      </c>
      <c r="DO63" s="761">
        <f>IF(WWWW[[#This Row],['# People with access to soap]]&gt;WWWW[[#This Row],['# People with access to Sanity Pads]],WWWW[[#This Row],['# People with access to soap]],WWWW[[#This Row],['# People with access to Sanity Pads]])</f>
        <v>43</v>
      </c>
      <c r="DP63" s="761">
        <f>IF(WWWW[[#This Row],['# people reached by regular dedicated hygiene promotion_5]]&gt;WWWW[[#This Row],['# People received regular supply of hygiene items_6]],WWWW[[#This Row],['# people reached by regular dedicated hygiene promotion_5]],WWWW[[#This Row],['# People received regular supply of hygiene items_6]])</f>
        <v>43</v>
      </c>
      <c r="DQ63" s="763">
        <f>IF(WWWW[[#This Row],[HRP3]]/WWWW[[#This Row],[Total PoP ]]&gt;1,1,WWWW[[#This Row],[HRP3]]/WWWW[[#This Row],[Total PoP ]])</f>
        <v>1</v>
      </c>
      <c r="DR63" s="762">
        <f>1-WWWW[[#This Row],[Hygiene Coverage%]]</f>
        <v>0</v>
      </c>
      <c r="DS63" s="760">
        <f>WWWW[[#This Row],['# people reached by regular dedicated hygiene promotion_5]]/WWWW[[#This Row],[Total PoP ]]</f>
        <v>0</v>
      </c>
      <c r="DT6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3" s="761">
        <f>WWWW[[#This Row],['#_Constructed/Existing hand washing stations]]-WWWW[[#This Row],['#_Non-Functional_hand_washing_stations]]</f>
        <v>7</v>
      </c>
      <c r="DW63" s="758">
        <f>IF(WWWW[[#This Row],['# Functional hand washing stations during reporting period]]*20&gt;WWWW[[#This Row],[Total HH]],WWWW[[#This Row],[Total HH]],WWWW[[#This Row],['# Functional hand washing stations during reporting period]]*20)</f>
        <v>14</v>
      </c>
      <c r="DX63" s="758">
        <f>IF(WWWW[[#This Row],[Is sufficient soap available for TLS? (Yes/No)]]="yes",WWWW[[#This Row],['#_Constructed/Existing hand washing stations at TLS/CFS/THF]],0)</f>
        <v>0</v>
      </c>
      <c r="DY63" s="429">
        <f>IF(WWWW[[#This Row],['# Functional hand washing stations during reporting period]]*100&gt;WWWW[[#This Row],[Total PoP ]],WWWW[[#This Row],[Total PoP ]],WWWW[[#This Row],['# Functional hand washing stations during reporting period]]*100)</f>
        <v>43</v>
      </c>
      <c r="DZ63" s="429" t="str">
        <f>IF(OR(WWWW[[#This Row],['#_students at TLS_CFS]]="",WWWW[[#This Row],['#_students at TLS_CFS]]=0),"No","Yes")</f>
        <v>No</v>
      </c>
      <c r="EA6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3" s="754">
        <f>VLOOKUP(WWWW[[#This Row],[Site Name]],SiteDB6[[Site Name]:[CCCM Management]],6,FALSE)</f>
        <v>0</v>
      </c>
      <c r="EF63" s="754" t="str">
        <f>VLOOKUP(WWWW[[#This Row],[Site Name]],SiteDB6[[Site Name]:[CCCM Focal Agency]],7,FALSE)</f>
        <v>KMSS-MYT</v>
      </c>
      <c r="EG63" s="754" t="str">
        <f>VLOOKUP(WWWW[[#This Row],[Site Name]],SiteDB6[[Site Name]:[Location Type 1]],9,FALSE)</f>
        <v>Camp</v>
      </c>
      <c r="EH63" s="754" t="str">
        <f>VLOOKUP(WWWW[[#This Row],[Site Name]],SiteDB6[[Site Name]:[Type of Accommodation]],10,FALSE)</f>
        <v>Camp</v>
      </c>
      <c r="EI63" s="754" t="str">
        <f>VLOOKUP(WWWW[[#This Row],[Site Name]],SiteDB6[[Site Name]:[Ethnic or GCA/NGCA]],11,FALSE)</f>
        <v>GCA</v>
      </c>
      <c r="EJ63" s="754">
        <f>VLOOKUP(WWWW[[#This Row],[Site Name]],SiteDB6[[Site Name]:[Lat]],12,FALSE)</f>
        <v>25.244700000000002</v>
      </c>
      <c r="EK63" s="754">
        <f>VLOOKUP(WWWW[[#This Row],[Site Name]],SiteDB6[[Site Name]:[Long]],13,FALSE)</f>
        <v>97.2209</v>
      </c>
      <c r="EL63" s="754" t="str">
        <f>VLOOKUP(WWWW[[#This Row],[Site Name]],SiteDB6[[Site Name]:[Pcode]],3,FALSE)</f>
        <v>MMR001CMP256</v>
      </c>
      <c r="EM63" s="759" t="str">
        <f t="shared" si="0"/>
        <v>Covered</v>
      </c>
      <c r="EN63" s="759"/>
      <c r="EO63" s="754">
        <f>VLOOKUP(WWWW[[#This Row],[Site Name]],SiteDB6[[Site Name]:[Pop
(Kachin/Shan-CCCM as of July 2021)]],16,FALSE)</f>
        <v>18</v>
      </c>
      <c r="EP63" s="754">
        <f>VLOOKUP(WWWW[[#This Row],[Site Name]],SiteDB6[[Site Name]:[Pop
(Kachin/Shan-CCCM as of July 2021)]],17,FALSE)</f>
        <v>60</v>
      </c>
    </row>
    <row r="64" spans="1:146" hidden="1">
      <c r="A64" s="752" t="s">
        <v>2785</v>
      </c>
      <c r="B64" s="752" t="s">
        <v>36</v>
      </c>
      <c r="C64" s="753" t="s">
        <v>36</v>
      </c>
      <c r="D64" s="753" t="s">
        <v>241</v>
      </c>
      <c r="E64" s="753" t="s">
        <v>37</v>
      </c>
      <c r="F64" s="753" t="s">
        <v>159</v>
      </c>
      <c r="G64" s="594" t="str">
        <f>VLOOKUP(WWWW[[#This Row],[Site Name]],SiteDB6[[Site Name]:[Location Type]],8,FALSE)</f>
        <v>Camp</v>
      </c>
      <c r="H64" s="753" t="s">
        <v>234</v>
      </c>
      <c r="I64" s="755">
        <v>63</v>
      </c>
      <c r="J64" s="755">
        <v>309</v>
      </c>
      <c r="K64" s="756">
        <v>44414</v>
      </c>
      <c r="L64" s="757">
        <v>44778</v>
      </c>
      <c r="M64" s="755"/>
      <c r="N64" s="755"/>
      <c r="O64" s="755"/>
      <c r="P64" s="755"/>
      <c r="Q64" s="758" t="s">
        <v>41</v>
      </c>
      <c r="R64" s="755">
        <v>2</v>
      </c>
      <c r="S64" s="755">
        <v>9</v>
      </c>
      <c r="T64" s="449"/>
      <c r="U64" s="755"/>
      <c r="V64" s="755"/>
      <c r="W64" s="755">
        <v>4</v>
      </c>
      <c r="X64" s="755"/>
      <c r="Y64" s="755"/>
      <c r="Z64" s="755"/>
      <c r="AA64" s="755"/>
      <c r="AB64" s="755"/>
      <c r="AC64" s="755"/>
      <c r="AD64" s="755"/>
      <c r="AE64" s="755"/>
      <c r="AF64" s="755"/>
      <c r="AG64" s="755"/>
      <c r="AH64" s="755"/>
      <c r="AI64" s="755"/>
      <c r="AJ64" s="755"/>
      <c r="AK64" s="755"/>
      <c r="AL64" s="755"/>
      <c r="AM64" s="755">
        <v>4</v>
      </c>
      <c r="AN64" s="755"/>
      <c r="AO64" s="755"/>
      <c r="AP64" s="759"/>
      <c r="AQ64" s="755">
        <v>20</v>
      </c>
      <c r="AR64" s="755"/>
      <c r="AS64" s="760"/>
      <c r="AT64" s="755"/>
      <c r="AU64" s="755"/>
      <c r="AV64" s="755"/>
      <c r="AW64" s="755"/>
      <c r="AX64" s="755"/>
      <c r="AY64" s="754" t="s">
        <v>41</v>
      </c>
      <c r="AZ64" s="759" t="s">
        <v>137</v>
      </c>
      <c r="BA64" s="755">
        <v>1</v>
      </c>
      <c r="BB64" s="755"/>
      <c r="BC64" s="755"/>
      <c r="BD64" s="449"/>
      <c r="BE64" s="449"/>
      <c r="BF64" s="754"/>
      <c r="BG64" s="755">
        <v>7</v>
      </c>
      <c r="BH64" s="755"/>
      <c r="BI64" s="755"/>
      <c r="BJ64" s="755">
        <v>7</v>
      </c>
      <c r="BK64" s="755"/>
      <c r="BL64" s="755">
        <v>1</v>
      </c>
      <c r="BM64" s="755">
        <v>1</v>
      </c>
      <c r="BN64" s="755">
        <v>104</v>
      </c>
      <c r="BO64" s="755">
        <v>148</v>
      </c>
      <c r="BP64" s="754"/>
      <c r="BQ64" s="761"/>
      <c r="BR64" s="760"/>
      <c r="BS64" s="754"/>
      <c r="BT64" s="424"/>
      <c r="BU64" s="424"/>
      <c r="BV64" s="426"/>
      <c r="BW64" s="424"/>
      <c r="BX64" s="449"/>
      <c r="BY64" s="449"/>
      <c r="BZ64" s="449"/>
      <c r="CA64" s="449"/>
      <c r="CB64" s="449"/>
      <c r="CC64" s="807"/>
      <c r="CD64" s="449"/>
      <c r="CE64" s="762" t="str">
        <f>IFERROR(WWWW[[#This Row],['#_Water sources passed]]/WWWW[[#This Row],['#_Water sources tested for fecal coliform ]],"no test")</f>
        <v>no test</v>
      </c>
      <c r="CF64" s="760" t="str">
        <f>IFERROR(WWWW[[#This Row],['#_Household passed]]/WWWW[[#This Row],['#_Household water samples tested for fecal coliform]],"no test")</f>
        <v>no test</v>
      </c>
      <c r="CG64" s="761" t="str">
        <f>IF(AND(WWWW[[#This Row],[% of water sources passed]]="no test",WWWW[[#This Row],[% Household passed]]="no test"),"No Test","Tested")</f>
        <v>No Test</v>
      </c>
      <c r="CH64" s="761">
        <f>WWWW[[#This Row],['#_Constructed/existing protected hand dug well]]-WWWW[[#This Row],['#_Non-functional protected hand dug well]]</f>
        <v>0</v>
      </c>
      <c r="CI64" s="761">
        <f>(WWWW[[#This Row],['#_Constructed/Existing tube wells/boreholes/handpumps_WASH_agency]]+WWWW[[#This Row],['#_Non-Cluster partner water tube-wells/boreholes/handpumps]])-WWWW[[#This Row],['#_Non-functional tube wells/boreholes/handpumps]]</f>
        <v>4</v>
      </c>
      <c r="CJ64" s="761">
        <f>WWWW[[#This Row],['#_Constructed/Existingwater storage tank with gravity fed reticulation system]]-WWWW[[#This Row],['#_Non-functional storage tank gravity fed reticulation system]]</f>
        <v>0</v>
      </c>
      <c r="CK64" s="761">
        <f>(WWWW[[#This Row],['#_Water_Liters_supplied_by_Water boating or water trucking]]/90)/15</f>
        <v>0</v>
      </c>
      <c r="CL64" s="761">
        <f>WWWW[[#This Row],['#_Water_Liters_from_Constructed/Existing water distribution system from river or natural spring]]/90/15</f>
        <v>0</v>
      </c>
      <c r="CM64" s="425">
        <f>IF(WWWW[[#This Row],['#_of water points in TLS/CFS]]*500&gt;WWWW[[#This Row],[Total PoP ]],WWWW[[#This Row],[Total PoP ]],WWWW[[#This Row],['#_of water points in TLS/CFS]]*500)</f>
        <v>0</v>
      </c>
      <c r="CN64" s="425">
        <f>IF(WWWW[[#This Row],['#_of water points in THF]]*500&gt;WWWW[[#This Row],[Total PoP ]],WWWW[[#This Row],[Total PoP ]],WWWW[[#This Row],['#_of water points in THF]]*500)</f>
        <v>0</v>
      </c>
      <c r="CO6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4" s="760">
        <f>IF(WWWW[[#This Row],[Location Type 1]]="Village",WWWW[[#This Row],[Access to safe drinking water for Village]],WWWW[[#This Row],[Access to safe drinking water for Camp]])</f>
        <v>1</v>
      </c>
      <c r="CR64" s="758">
        <f>WWWW[[#This Row],[%Equitable and continuous access to sufficient quantity of safe drinking water]]*WWWW[[#This Row],[Total PoP ]]</f>
        <v>309</v>
      </c>
      <c r="CS64" s="760">
        <f>IF((WWWW[[#This Row],['#_Constructed/Existing protected/fenced ponds]]*250)/WWWW[[#This Row],[Total PoP ]]&gt;1,1,(WWWW[[#This Row],['#_Constructed/Existing protected/fenced ponds]]*250)/WWWW[[#This Row],[Total PoP ]])</f>
        <v>0</v>
      </c>
      <c r="CT64" s="758">
        <f>WWWW[[#This Row],[% Access to unimproved water points]]*WWWW[[#This Row],[Total PoP ]]</f>
        <v>0</v>
      </c>
      <c r="CU6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309</v>
      </c>
      <c r="CW64" s="758">
        <f>WWWW[[#This Row],[HRP1]]/500</f>
        <v>0.61799999999999999</v>
      </c>
      <c r="CX64" s="763">
        <f>1-WWWW[[#This Row],[% Equitable and continuous access to sufficient quantity of domestic water]]</f>
        <v>0</v>
      </c>
      <c r="CY64" s="758">
        <f>WWWW[[#This Row],[%equitable and continuous access to sufficient quantity of safe drinking and domestic water''s GAP]]*WWWW[[#This Row],[Total PoP ]]</f>
        <v>0</v>
      </c>
      <c r="CZ64" s="761">
        <f>IF(WWWW[[#This Row],[Total required water points]]-WWWW[[#This Row],['#Water points coverage]]&lt;0,0,WWWW[[#This Row],[Total required water points]]-WWWW[[#This Row],['#Water points coverage]])</f>
        <v>0.38200000000000001</v>
      </c>
      <c r="DA64" s="761">
        <f>ROUND(IF(WWWW[[#This Row],[Total PoP ]]&lt;500,1,WWWW[[#This Row],[Total PoP ]]/500),0)</f>
        <v>1</v>
      </c>
      <c r="DB64" s="761">
        <f>(WWWW[[#This Row],['#_Constructed latrines_by_WASHAgencies]]+WWWW[[#This Row],['#_Non Cluster partner latrines]])-WWWW[[#This Row],['#_Non-functional latrines]]</f>
        <v>20</v>
      </c>
      <c r="DC64" s="634">
        <f>WWWW[[#This Row],[HRP2]]/WWWW[[#This Row],[Total PoP ]]</f>
        <v>1</v>
      </c>
      <c r="DD6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309</v>
      </c>
      <c r="DE6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4" s="425">
        <f>IF(WWWW[[#This Row],['# of functional latrines in THF supported by WASH partners during the reporting period2]]="",0,WWWW[[#This Row],['# of functional latrines in THF supported by WASH partners during the reporting period2]]*50)</f>
        <v>0</v>
      </c>
      <c r="DH64" s="761">
        <f>ROUND(IF(WWWW[[#This Row],[Location Type 1]]="camp",WWWW[[#This Row],[Total PoP ]]/20,IF(WWWW[[#This Row],[Location Type 1]]="Temporary Location",WWWW[[#This Row],[Total PoP ]]/50,(WWWW[[#This Row],[Total PoP ]]/6))),0)</f>
        <v>15</v>
      </c>
      <c r="DI64" s="761">
        <f>IF(WWWW[[#This Row],[Total required Latrines]]-(WWWW[[#This Row],['#_Constructed latrines_by_WASHAgencies]]+WWWW[[#This Row],['#_Non Cluster partner latrines]])&lt;0,0,WWWW[[#This Row],[Total required Latrines]]-(WWWW[[#This Row],['#_Constructed latrines_by_WASHAgencies]]+WWWW[[#This Row],['#_Non Cluster partner latrines]]))</f>
        <v>0</v>
      </c>
      <c r="DJ64" s="763">
        <f>1-WWWW[[#This Row],[% people access to functioning Latrine]]</f>
        <v>0</v>
      </c>
      <c r="DK64" s="762">
        <f>IF(OR(WWWW[[#This Row],['#_Non-functional latrines]]="",WWWW[[#This Row],['#_Non-functional latrines]]=0),0,WWWW[[#This Row],['#_Non-functional latrines]]/(WWWW[[#This Row],['#_Constructed latrines_by_WASHAgencies]]+WWWW[[#This Row],['#_Non Cluster partner latrines]]))</f>
        <v>0</v>
      </c>
      <c r="DL64" s="758">
        <f>IF(500*(WWWW[[#This Row],['#_male hygiene promoters]]+WWWW[[#This Row],['#_female hygiene promoters]])&gt;WWWW[[#This Row],[Total PoP ]],WWWW[[#This Row],[Total PoP ]],500*(WWWW[[#This Row],['#_male hygiene promoters]]+WWWW[[#This Row],['#_female hygiene promoters]]))</f>
        <v>309</v>
      </c>
      <c r="DM6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309</v>
      </c>
      <c r="DN6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64" s="761">
        <f>IF(WWWW[[#This Row],['# People with access to soap]]&gt;WWWW[[#This Row],['# People with access to Sanity Pads]],WWWW[[#This Row],['# People with access to soap]],WWWW[[#This Row],['# People with access to Sanity Pads]])</f>
        <v>309</v>
      </c>
      <c r="DP64" s="761">
        <f>IF(WWWW[[#This Row],['# people reached by regular dedicated hygiene promotion_5]]&gt;WWWW[[#This Row],['# People received regular supply of hygiene items_6]],WWWW[[#This Row],['# people reached by regular dedicated hygiene promotion_5]],WWWW[[#This Row],['# People received regular supply of hygiene items_6]])</f>
        <v>309</v>
      </c>
      <c r="DQ64" s="763">
        <f>IF(WWWW[[#This Row],[HRP3]]/WWWW[[#This Row],[Total PoP ]]&gt;1,1,WWWW[[#This Row],[HRP3]]/WWWW[[#This Row],[Total PoP ]])</f>
        <v>1</v>
      </c>
      <c r="DR64" s="762">
        <f>1-WWWW[[#This Row],[Hygiene Coverage%]]</f>
        <v>0</v>
      </c>
      <c r="DS64" s="760">
        <f>WWWW[[#This Row],['# people reached by regular dedicated hygiene promotion_5]]/WWWW[[#This Row],[Total PoP ]]</f>
        <v>1</v>
      </c>
      <c r="DT6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4" s="761">
        <f>WWWW[[#This Row],['#_Constructed/Existing hand washing stations]]-WWWW[[#This Row],['#_Non-Functional_hand_washing_stations]]</f>
        <v>7</v>
      </c>
      <c r="DW64" s="758">
        <f>IF(WWWW[[#This Row],['# Functional hand washing stations during reporting period]]*20&gt;WWWW[[#This Row],[Total HH]],WWWW[[#This Row],[Total HH]],WWWW[[#This Row],['# Functional hand washing stations during reporting period]]*20)</f>
        <v>63</v>
      </c>
      <c r="DX64" s="758">
        <f>IF(WWWW[[#This Row],[Is sufficient soap available for TLS? (Yes/No)]]="yes",WWWW[[#This Row],['#_Constructed/Existing hand washing stations at TLS/CFS/THF]],0)</f>
        <v>0</v>
      </c>
      <c r="DY64" s="429">
        <f>IF(WWWW[[#This Row],['# Functional hand washing stations during reporting period]]*100&gt;WWWW[[#This Row],[Total PoP ]],WWWW[[#This Row],[Total PoP ]],WWWW[[#This Row],['# Functional hand washing stations during reporting period]]*100)</f>
        <v>309</v>
      </c>
      <c r="DZ64" s="429" t="str">
        <f>IF(OR(WWWW[[#This Row],['#_students at TLS_CFS]]="",WWWW[[#This Row],['#_students at TLS_CFS]]=0),"No","Yes")</f>
        <v>No</v>
      </c>
      <c r="EA6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4" s="754" t="str">
        <f>VLOOKUP(WWWW[[#This Row],[Site Name]],SiteDB6[[Site Name]:[CCCM Management]],6,FALSE)</f>
        <v>Yes</v>
      </c>
      <c r="EF64" s="754" t="str">
        <f>VLOOKUP(WWWW[[#This Row],[Site Name]],SiteDB6[[Site Name]:[CCCM Focal Agency]],7,FALSE)</f>
        <v>KMSS-MYT</v>
      </c>
      <c r="EG64" s="754" t="str">
        <f>VLOOKUP(WWWW[[#This Row],[Site Name]],SiteDB6[[Site Name]:[Location Type 1]],9,FALSE)</f>
        <v>Camp</v>
      </c>
      <c r="EH64" s="754" t="str">
        <f>VLOOKUP(WWWW[[#This Row],[Site Name]],SiteDB6[[Site Name]:[Type of Accommodation]],10,FALSE)</f>
        <v>Camp</v>
      </c>
      <c r="EI64" s="754" t="str">
        <f>VLOOKUP(WWWW[[#This Row],[Site Name]],SiteDB6[[Site Name]:[Ethnic or GCA/NGCA]],11,FALSE)</f>
        <v>GCA</v>
      </c>
      <c r="EJ64" s="754">
        <f>VLOOKUP(WWWW[[#This Row],[Site Name]],SiteDB6[[Site Name]:[Lat]],12,FALSE)</f>
        <v>25.410569299999999</v>
      </c>
      <c r="EK64" s="754">
        <f>VLOOKUP(WWWW[[#This Row],[Site Name]],SiteDB6[[Site Name]:[Long]],13,FALSE)</f>
        <v>97.359320179999997</v>
      </c>
      <c r="EL64" s="754" t="str">
        <f>VLOOKUP(WWWW[[#This Row],[Site Name]],SiteDB6[[Site Name]:[Pcode]],3,FALSE)</f>
        <v>MMR001CMP024</v>
      </c>
      <c r="EM64" s="759" t="str">
        <f t="shared" si="0"/>
        <v>Covered</v>
      </c>
      <c r="EN64" s="759"/>
      <c r="EO64" s="754">
        <f>VLOOKUP(WWWW[[#This Row],[Site Name]],SiteDB6[[Site Name]:[Pop
(Kachin/Shan-CCCM as of July 2021)]],16,FALSE)</f>
        <v>61</v>
      </c>
      <c r="EP64" s="754">
        <f>VLOOKUP(WWWW[[#This Row],[Site Name]],SiteDB6[[Site Name]:[Pop
(Kachin/Shan-CCCM as of July 2021)]],17,FALSE)</f>
        <v>290</v>
      </c>
    </row>
    <row r="65" spans="1:146" hidden="1">
      <c r="A65" s="752" t="s">
        <v>2785</v>
      </c>
      <c r="B65" s="752" t="s">
        <v>36</v>
      </c>
      <c r="C65" s="753" t="s">
        <v>36</v>
      </c>
      <c r="D65" s="753" t="s">
        <v>241</v>
      </c>
      <c r="E65" s="753" t="s">
        <v>37</v>
      </c>
      <c r="F65" s="753" t="s">
        <v>159</v>
      </c>
      <c r="G65" s="594" t="str">
        <f>VLOOKUP(WWWW[[#This Row],[Site Name]],SiteDB6[[Site Name]:[Location Type]],8,FALSE)</f>
        <v>Camp</v>
      </c>
      <c r="H65" s="753" t="s">
        <v>235</v>
      </c>
      <c r="I65" s="755">
        <v>141</v>
      </c>
      <c r="J65" s="755">
        <v>895</v>
      </c>
      <c r="K65" s="756">
        <v>44414</v>
      </c>
      <c r="L65" s="757">
        <v>44778</v>
      </c>
      <c r="M65" s="755"/>
      <c r="N65" s="755">
        <v>2</v>
      </c>
      <c r="O65" s="755"/>
      <c r="P65" s="755"/>
      <c r="Q65" s="758" t="s">
        <v>41</v>
      </c>
      <c r="R65" s="755">
        <v>1</v>
      </c>
      <c r="S65" s="755">
        <v>4</v>
      </c>
      <c r="T65" s="449">
        <v>4</v>
      </c>
      <c r="U65" s="755"/>
      <c r="V65" s="755"/>
      <c r="W65" s="755">
        <v>2</v>
      </c>
      <c r="X65" s="755"/>
      <c r="Y65" s="755"/>
      <c r="Z65" s="755"/>
      <c r="AA65" s="755"/>
      <c r="AB65" s="755"/>
      <c r="AC65" s="755"/>
      <c r="AD65" s="755"/>
      <c r="AE65" s="755"/>
      <c r="AF65" s="755"/>
      <c r="AG65" s="755"/>
      <c r="AH65" s="755"/>
      <c r="AI65" s="755"/>
      <c r="AJ65" s="755"/>
      <c r="AK65" s="755"/>
      <c r="AL65" s="755"/>
      <c r="AM65" s="755">
        <v>12</v>
      </c>
      <c r="AN65" s="755"/>
      <c r="AO65" s="755"/>
      <c r="AP65" s="759"/>
      <c r="AQ65" s="755">
        <v>33</v>
      </c>
      <c r="AR65" s="755"/>
      <c r="AS65" s="760"/>
      <c r="AT65" s="755"/>
      <c r="AU65" s="755"/>
      <c r="AV65" s="755"/>
      <c r="AW65" s="755"/>
      <c r="AX65" s="755">
        <v>8</v>
      </c>
      <c r="AY65" s="754" t="s">
        <v>41</v>
      </c>
      <c r="AZ65" s="759" t="s">
        <v>137</v>
      </c>
      <c r="BA65" s="755">
        <v>1</v>
      </c>
      <c r="BB65" s="755"/>
      <c r="BC65" s="755"/>
      <c r="BD65" s="449"/>
      <c r="BE65" s="449"/>
      <c r="BF65" s="754"/>
      <c r="BG65" s="755">
        <v>3</v>
      </c>
      <c r="BH65" s="755"/>
      <c r="BI65" s="755"/>
      <c r="BJ65" s="755">
        <v>2</v>
      </c>
      <c r="BK65" s="755"/>
      <c r="BL65" s="755">
        <v>1</v>
      </c>
      <c r="BM65" s="755">
        <v>2</v>
      </c>
      <c r="BN65" s="755">
        <v>88</v>
      </c>
      <c r="BO65" s="755">
        <v>100</v>
      </c>
      <c r="BP65" s="754"/>
      <c r="BQ65" s="761"/>
      <c r="BR65" s="760"/>
      <c r="BS65" s="754"/>
      <c r="BT65" s="424"/>
      <c r="BU65" s="424"/>
      <c r="BV65" s="426"/>
      <c r="BW65" s="424"/>
      <c r="BX65" s="449"/>
      <c r="BY65" s="449"/>
      <c r="BZ65" s="449"/>
      <c r="CA65" s="449"/>
      <c r="CB65" s="449"/>
      <c r="CC65" s="807"/>
      <c r="CD65" s="449"/>
      <c r="CE65" s="762" t="str">
        <f>IFERROR(WWWW[[#This Row],['#_Water sources passed]]/WWWW[[#This Row],['#_Water sources tested for fecal coliform ]],"no test")</f>
        <v>no test</v>
      </c>
      <c r="CF65" s="760" t="str">
        <f>IFERROR(WWWW[[#This Row],['#_Household passed]]/WWWW[[#This Row],['#_Household water samples tested for fecal coliform]],"no test")</f>
        <v>no test</v>
      </c>
      <c r="CG65" s="761" t="str">
        <f>IF(AND(WWWW[[#This Row],[% of water sources passed]]="no test",WWWW[[#This Row],[% Household passed]]="no test"),"No Test","Tested")</f>
        <v>No Test</v>
      </c>
      <c r="CH65" s="761">
        <f>WWWW[[#This Row],['#_Constructed/existing protected hand dug well]]-WWWW[[#This Row],['#_Non-functional protected hand dug well]]</f>
        <v>4</v>
      </c>
      <c r="CI65" s="761">
        <f>(WWWW[[#This Row],['#_Constructed/Existing tube wells/boreholes/handpumps_WASH_agency]]+WWWW[[#This Row],['#_Non-Cluster partner water tube-wells/boreholes/handpumps]])-WWWW[[#This Row],['#_Non-functional tube wells/boreholes/handpumps]]</f>
        <v>2</v>
      </c>
      <c r="CJ65" s="761">
        <f>WWWW[[#This Row],['#_Constructed/Existingwater storage tank with gravity fed reticulation system]]-WWWW[[#This Row],['#_Non-functional storage tank gravity fed reticulation system]]</f>
        <v>0</v>
      </c>
      <c r="CK65" s="761">
        <f>(WWWW[[#This Row],['#_Water_Liters_supplied_by_Water boating or water trucking]]/90)/15</f>
        <v>0</v>
      </c>
      <c r="CL65" s="761">
        <f>WWWW[[#This Row],['#_Water_Liters_from_Constructed/Existing water distribution system from river or natural spring]]/90/15</f>
        <v>0</v>
      </c>
      <c r="CM65" s="425">
        <f>IF(WWWW[[#This Row],['#_of water points in TLS/CFS]]*500&gt;WWWW[[#This Row],[Total PoP ]],WWWW[[#This Row],[Total PoP ]],WWWW[[#This Row],['#_of water points in TLS/CFS]]*500)</f>
        <v>0</v>
      </c>
      <c r="CN65" s="425">
        <f>IF(WWWW[[#This Row],['#_of water points in THF]]*500&gt;WWWW[[#This Row],[Total PoP ]],WWWW[[#This Row],[Total PoP ]],WWWW[[#This Row],['#_of water points in THF]]*500)</f>
        <v>0</v>
      </c>
      <c r="CO6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5" s="760">
        <f>IF(WWWW[[#This Row],[Location Type 1]]="Village",WWWW[[#This Row],[Access to safe drinking water for Village]],WWWW[[#This Row],[Access to safe drinking water for Camp]])</f>
        <v>1</v>
      </c>
      <c r="CR65" s="758">
        <f>WWWW[[#This Row],[%Equitable and continuous access to sufficient quantity of safe drinking water]]*WWWW[[#This Row],[Total PoP ]]</f>
        <v>895</v>
      </c>
      <c r="CS65" s="760">
        <f>IF((WWWW[[#This Row],['#_Constructed/Existing protected/fenced ponds]]*250)/WWWW[[#This Row],[Total PoP ]]&gt;1,1,(WWWW[[#This Row],['#_Constructed/Existing protected/fenced ponds]]*250)/WWWW[[#This Row],[Total PoP ]])</f>
        <v>0</v>
      </c>
      <c r="CT65" s="758">
        <f>WWWW[[#This Row],[% Access to unimproved water points]]*WWWW[[#This Row],[Total PoP ]]</f>
        <v>0</v>
      </c>
      <c r="CU6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895</v>
      </c>
      <c r="CW65" s="758">
        <f>WWWW[[#This Row],[HRP1]]/500</f>
        <v>1.79</v>
      </c>
      <c r="CX65" s="763">
        <f>1-WWWW[[#This Row],[% Equitable and continuous access to sufficient quantity of domestic water]]</f>
        <v>0</v>
      </c>
      <c r="CY65" s="758">
        <f>WWWW[[#This Row],[%equitable and continuous access to sufficient quantity of safe drinking and domestic water''s GAP]]*WWWW[[#This Row],[Total PoP ]]</f>
        <v>0</v>
      </c>
      <c r="CZ65" s="761">
        <f>IF(WWWW[[#This Row],[Total required water points]]-WWWW[[#This Row],['#Water points coverage]]&lt;0,0,WWWW[[#This Row],[Total required water points]]-WWWW[[#This Row],['#Water points coverage]])</f>
        <v>0.20999999999999996</v>
      </c>
      <c r="DA65" s="761">
        <f>ROUND(IF(WWWW[[#This Row],[Total PoP ]]&lt;500,1,WWWW[[#This Row],[Total PoP ]]/500),0)</f>
        <v>2</v>
      </c>
      <c r="DB65" s="761">
        <f>(WWWW[[#This Row],['#_Constructed latrines_by_WASHAgencies]]+WWWW[[#This Row],['#_Non Cluster partner latrines]])-WWWW[[#This Row],['#_Non-functional latrines]]</f>
        <v>33</v>
      </c>
      <c r="DC65" s="634">
        <f>WWWW[[#This Row],[HRP2]]/WWWW[[#This Row],[Total PoP ]]</f>
        <v>0.75977653631284914</v>
      </c>
      <c r="DD6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6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5" s="425">
        <f>IF(WWWW[[#This Row],['# of functional latrines in THF supported by WASH partners during the reporting period2]]="",0,WWWW[[#This Row],['# of functional latrines in THF supported by WASH partners during the reporting period2]]*50)</f>
        <v>0</v>
      </c>
      <c r="DH65" s="761">
        <f>ROUND(IF(WWWW[[#This Row],[Location Type 1]]="camp",WWWW[[#This Row],[Total PoP ]]/20,IF(WWWW[[#This Row],[Location Type 1]]="Temporary Location",WWWW[[#This Row],[Total PoP ]]/50,(WWWW[[#This Row],[Total PoP ]]/6))),0)</f>
        <v>45</v>
      </c>
      <c r="DI65" s="761">
        <f>IF(WWWW[[#This Row],[Total required Latrines]]-(WWWW[[#This Row],['#_Constructed latrines_by_WASHAgencies]]+WWWW[[#This Row],['#_Non Cluster partner latrines]])&lt;0,0,WWWW[[#This Row],[Total required Latrines]]-(WWWW[[#This Row],['#_Constructed latrines_by_WASHAgencies]]+WWWW[[#This Row],['#_Non Cluster partner latrines]]))</f>
        <v>12</v>
      </c>
      <c r="DJ65" s="763">
        <f>1-WWWW[[#This Row],[% people access to functioning Latrine]]</f>
        <v>0.24022346368715086</v>
      </c>
      <c r="DK65" s="762">
        <f>IF(OR(WWWW[[#This Row],['#_Non-functional latrines]]="",WWWW[[#This Row],['#_Non-functional latrines]]=0),0,WWWW[[#This Row],['#_Non-functional latrines]]/(WWWW[[#This Row],['#_Constructed latrines_by_WASHAgencies]]+WWWW[[#This Row],['#_Non Cluster partner latrines]]))</f>
        <v>0</v>
      </c>
      <c r="DL65" s="758">
        <f>IF(500*(WWWW[[#This Row],['#_male hygiene promoters]]+WWWW[[#This Row],['#_female hygiene promoters]])&gt;WWWW[[#This Row],[Total PoP ]],WWWW[[#This Row],[Total PoP ]],500*(WWWW[[#This Row],['#_male hygiene promoters]]+WWWW[[#This Row],['#_female hygiene promoters]]))</f>
        <v>895</v>
      </c>
      <c r="DM6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6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65" s="761">
        <f>IF(WWWW[[#This Row],['# People with access to soap]]&gt;WWWW[[#This Row],['# People with access to Sanity Pads]],WWWW[[#This Row],['# People with access to soap]],WWWW[[#This Row],['# People with access to Sanity Pads]])</f>
        <v>440</v>
      </c>
      <c r="DP65" s="761">
        <f>IF(WWWW[[#This Row],['# people reached by regular dedicated hygiene promotion_5]]&gt;WWWW[[#This Row],['# People received regular supply of hygiene items_6]],WWWW[[#This Row],['# people reached by regular dedicated hygiene promotion_5]],WWWW[[#This Row],['# People received regular supply of hygiene items_6]])</f>
        <v>895</v>
      </c>
      <c r="DQ65" s="763">
        <f>IF(WWWW[[#This Row],[HRP3]]/WWWW[[#This Row],[Total PoP ]]&gt;1,1,WWWW[[#This Row],[HRP3]]/WWWW[[#This Row],[Total PoP ]])</f>
        <v>1</v>
      </c>
      <c r="DR65" s="762">
        <f>1-WWWW[[#This Row],[Hygiene Coverage%]]</f>
        <v>0</v>
      </c>
      <c r="DS65" s="760">
        <f>WWWW[[#This Row],['# people reached by regular dedicated hygiene promotion_5]]/WWWW[[#This Row],[Total PoP ]]</f>
        <v>1</v>
      </c>
      <c r="DT6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0.70921985815602839</v>
      </c>
      <c r="DV65" s="761">
        <f>WWWW[[#This Row],['#_Constructed/Existing hand washing stations]]-WWWW[[#This Row],['#_Non-Functional_hand_washing_stations]]</f>
        <v>3</v>
      </c>
      <c r="DW65" s="758">
        <f>IF(WWWW[[#This Row],['# Functional hand washing stations during reporting period]]*20&gt;WWWW[[#This Row],[Total HH]],WWWW[[#This Row],[Total HH]],WWWW[[#This Row],['# Functional hand washing stations during reporting period]]*20)</f>
        <v>60</v>
      </c>
      <c r="DX65" s="758">
        <f>IF(WWWW[[#This Row],[Is sufficient soap available for TLS? (Yes/No)]]="yes",WWWW[[#This Row],['#_Constructed/Existing hand washing stations at TLS/CFS/THF]],0)</f>
        <v>0</v>
      </c>
      <c r="DY65" s="429">
        <f>IF(WWWW[[#This Row],['# Functional hand washing stations during reporting period]]*100&gt;WWWW[[#This Row],[Total PoP ]],WWWW[[#This Row],[Total PoP ]],WWWW[[#This Row],['# Functional hand washing stations during reporting period]]*100)</f>
        <v>300</v>
      </c>
      <c r="DZ65" s="429" t="str">
        <f>IF(OR(WWWW[[#This Row],['#_students at TLS_CFS]]="",WWWW[[#This Row],['#_students at TLS_CFS]]=0),"No","Yes")</f>
        <v>No</v>
      </c>
      <c r="EA6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5" s="754" t="str">
        <f>VLOOKUP(WWWW[[#This Row],[Site Name]],SiteDB6[[Site Name]:[CCCM Management]],6,FALSE)</f>
        <v>Yes</v>
      </c>
      <c r="EF65" s="754" t="str">
        <f>VLOOKUP(WWWW[[#This Row],[Site Name]],SiteDB6[[Site Name]:[CCCM Focal Agency]],7,FALSE)</f>
        <v>KMSS-MYT</v>
      </c>
      <c r="EG65" s="754" t="str">
        <f>VLOOKUP(WWWW[[#This Row],[Site Name]],SiteDB6[[Site Name]:[Location Type 1]],9,FALSE)</f>
        <v>Camp</v>
      </c>
      <c r="EH65" s="754" t="str">
        <f>VLOOKUP(WWWW[[#This Row],[Site Name]],SiteDB6[[Site Name]:[Type of Accommodation]],10,FALSE)</f>
        <v>Camp</v>
      </c>
      <c r="EI65" s="754" t="str">
        <f>VLOOKUP(WWWW[[#This Row],[Site Name]],SiteDB6[[Site Name]:[Ethnic or GCA/NGCA]],11,FALSE)</f>
        <v>GCA</v>
      </c>
      <c r="EJ65" s="754">
        <f>VLOOKUP(WWWW[[#This Row],[Site Name]],SiteDB6[[Site Name]:[Lat]],12,FALSE)</f>
        <v>25.493819999999999</v>
      </c>
      <c r="EK65" s="754">
        <f>VLOOKUP(WWWW[[#This Row],[Site Name]],SiteDB6[[Site Name]:[Long]],13,FALSE)</f>
        <v>97.4345</v>
      </c>
      <c r="EL65" s="754" t="str">
        <f>VLOOKUP(WWWW[[#This Row],[Site Name]],SiteDB6[[Site Name]:[Pcode]],3,FALSE)</f>
        <v>MMR001CMP162</v>
      </c>
      <c r="EM65" s="759" t="str">
        <f t="shared" si="0"/>
        <v>Covered</v>
      </c>
      <c r="EN65" s="759"/>
      <c r="EO65" s="754">
        <f>VLOOKUP(WWWW[[#This Row],[Site Name]],SiteDB6[[Site Name]:[Pop
(Kachin/Shan-CCCM as of July 2021)]],16,FALSE)</f>
        <v>152</v>
      </c>
      <c r="EP65" s="754">
        <f>VLOOKUP(WWWW[[#This Row],[Site Name]],SiteDB6[[Site Name]:[Pop
(Kachin/Shan-CCCM as of July 2021)]],17,FALSE)</f>
        <v>941</v>
      </c>
    </row>
    <row r="66" spans="1:146" hidden="1">
      <c r="A66" s="752" t="s">
        <v>2785</v>
      </c>
      <c r="B66" s="752" t="s">
        <v>36</v>
      </c>
      <c r="C66" s="753" t="s">
        <v>36</v>
      </c>
      <c r="D66" s="753" t="s">
        <v>241</v>
      </c>
      <c r="E66" s="753" t="s">
        <v>37</v>
      </c>
      <c r="F66" s="753" t="s">
        <v>159</v>
      </c>
      <c r="G66" s="594" t="str">
        <f>VLOOKUP(WWWW[[#This Row],[Site Name]],SiteDB6[[Site Name]:[Location Type]],8,FALSE)</f>
        <v>Camp</v>
      </c>
      <c r="H66" s="753" t="s">
        <v>1606</v>
      </c>
      <c r="I66" s="755">
        <v>247</v>
      </c>
      <c r="J66" s="755">
        <v>1365</v>
      </c>
      <c r="K66" s="756">
        <v>44414</v>
      </c>
      <c r="L66" s="757">
        <v>44778</v>
      </c>
      <c r="M66" s="755"/>
      <c r="N66" s="755">
        <v>2</v>
      </c>
      <c r="O66" s="755"/>
      <c r="P66" s="755"/>
      <c r="Q66" s="758" t="s">
        <v>41</v>
      </c>
      <c r="R66" s="755">
        <v>2</v>
      </c>
      <c r="S66" s="755">
        <v>4</v>
      </c>
      <c r="T66" s="449">
        <v>4</v>
      </c>
      <c r="U66" s="755"/>
      <c r="V66" s="755"/>
      <c r="W66" s="755"/>
      <c r="X66" s="755"/>
      <c r="Y66" s="755"/>
      <c r="Z66" s="755"/>
      <c r="AA66" s="755"/>
      <c r="AB66" s="755"/>
      <c r="AC66" s="755"/>
      <c r="AD66" s="755"/>
      <c r="AE66" s="755"/>
      <c r="AF66" s="755"/>
      <c r="AG66" s="755"/>
      <c r="AH66" s="755"/>
      <c r="AI66" s="755"/>
      <c r="AJ66" s="755"/>
      <c r="AK66" s="755"/>
      <c r="AL66" s="755"/>
      <c r="AM66" s="755"/>
      <c r="AN66" s="755"/>
      <c r="AO66" s="755"/>
      <c r="AP66" s="759"/>
      <c r="AQ66" s="755">
        <v>66</v>
      </c>
      <c r="AR66" s="755"/>
      <c r="AS66" s="760"/>
      <c r="AT66" s="755"/>
      <c r="AU66" s="755"/>
      <c r="AV66" s="755"/>
      <c r="AW66" s="755"/>
      <c r="AX66" s="755"/>
      <c r="AY66" s="754" t="s">
        <v>41</v>
      </c>
      <c r="AZ66" s="759" t="s">
        <v>137</v>
      </c>
      <c r="BA66" s="755">
        <v>1</v>
      </c>
      <c r="BB66" s="755"/>
      <c r="BC66" s="755"/>
      <c r="BD66" s="449"/>
      <c r="BE66" s="449"/>
      <c r="BF66" s="754"/>
      <c r="BG66" s="755">
        <v>3</v>
      </c>
      <c r="BH66" s="755"/>
      <c r="BI66" s="755">
        <v>7</v>
      </c>
      <c r="BJ66" s="755">
        <v>2</v>
      </c>
      <c r="BK66" s="755"/>
      <c r="BL66" s="755"/>
      <c r="BM66" s="755"/>
      <c r="BN66" s="755">
        <v>10</v>
      </c>
      <c r="BO66" s="755">
        <v>18</v>
      </c>
      <c r="BP66" s="754"/>
      <c r="BQ66" s="761"/>
      <c r="BR66" s="760"/>
      <c r="BS66" s="754"/>
      <c r="BT66" s="424"/>
      <c r="BU66" s="424"/>
      <c r="BV66" s="426"/>
      <c r="BW66" s="424"/>
      <c r="BX66" s="449"/>
      <c r="BY66" s="449"/>
      <c r="BZ66" s="449"/>
      <c r="CA66" s="449"/>
      <c r="CB66" s="449"/>
      <c r="CC66" s="807"/>
      <c r="CD66" s="449"/>
      <c r="CE66" s="762" t="str">
        <f>IFERROR(WWWW[[#This Row],['#_Water sources passed]]/WWWW[[#This Row],['#_Water sources tested for fecal coliform ]],"no test")</f>
        <v>no test</v>
      </c>
      <c r="CF66" s="760" t="str">
        <f>IFERROR(WWWW[[#This Row],['#_Household passed]]/WWWW[[#This Row],['#_Household water samples tested for fecal coliform]],"no test")</f>
        <v>no test</v>
      </c>
      <c r="CG66" s="761" t="str">
        <f>IF(AND(WWWW[[#This Row],[% of water sources passed]]="no test",WWWW[[#This Row],[% Household passed]]="no test"),"No Test","Tested")</f>
        <v>No Test</v>
      </c>
      <c r="CH66" s="761">
        <f>WWWW[[#This Row],['#_Constructed/existing protected hand dug well]]-WWWW[[#This Row],['#_Non-functional protected hand dug well]]</f>
        <v>4</v>
      </c>
      <c r="CI66" s="761">
        <f>(WWWW[[#This Row],['#_Constructed/Existing tube wells/boreholes/handpumps_WASH_agency]]+WWWW[[#This Row],['#_Non-Cluster partner water tube-wells/boreholes/handpumps]])-WWWW[[#This Row],['#_Non-functional tube wells/boreholes/handpumps]]</f>
        <v>0</v>
      </c>
      <c r="CJ66" s="761">
        <f>WWWW[[#This Row],['#_Constructed/Existingwater storage tank with gravity fed reticulation system]]-WWWW[[#This Row],['#_Non-functional storage tank gravity fed reticulation system]]</f>
        <v>0</v>
      </c>
      <c r="CK66" s="761">
        <f>(WWWW[[#This Row],['#_Water_Liters_supplied_by_Water boating or water trucking]]/90)/15</f>
        <v>0</v>
      </c>
      <c r="CL66" s="761">
        <f>WWWW[[#This Row],['#_Water_Liters_from_Constructed/Existing water distribution system from river or natural spring]]/90/15</f>
        <v>0</v>
      </c>
      <c r="CM66" s="425">
        <f>IF(WWWW[[#This Row],['#_of water points in TLS/CFS]]*500&gt;WWWW[[#This Row],[Total PoP ]],WWWW[[#This Row],[Total PoP ]],WWWW[[#This Row],['#_of water points in TLS/CFS]]*500)</f>
        <v>0</v>
      </c>
      <c r="CN66" s="425">
        <f>IF(WWWW[[#This Row],['#_of water points in THF]]*500&gt;WWWW[[#This Row],[Total PoP ]],WWWW[[#This Row],[Total PoP ]],WWWW[[#This Row],['#_of water points in THF]]*500)</f>
        <v>0</v>
      </c>
      <c r="CO6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0.73260073260073255</v>
      </c>
      <c r="CQ66" s="760">
        <f>IF(WWWW[[#This Row],[Location Type 1]]="Village",WWWW[[#This Row],[Access to safe drinking water for Village]],WWWW[[#This Row],[Access to safe drinking water for Camp]])</f>
        <v>1</v>
      </c>
      <c r="CR66" s="758">
        <f>WWWW[[#This Row],[%Equitable and continuous access to sufficient quantity of safe drinking water]]*WWWW[[#This Row],[Total PoP ]]</f>
        <v>1365</v>
      </c>
      <c r="CS66" s="760">
        <f>IF((WWWW[[#This Row],['#_Constructed/Existing protected/fenced ponds]]*250)/WWWW[[#This Row],[Total PoP ]]&gt;1,1,(WWWW[[#This Row],['#_Constructed/Existing protected/fenced ponds]]*250)/WWWW[[#This Row],[Total PoP ]])</f>
        <v>0</v>
      </c>
      <c r="CT66" s="758">
        <f>WWWW[[#This Row],[% Access to unimproved water points]]*WWWW[[#This Row],[Total PoP ]]</f>
        <v>0</v>
      </c>
      <c r="CU6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1365</v>
      </c>
      <c r="CW66" s="758">
        <f>WWWW[[#This Row],[HRP1]]/500</f>
        <v>2.73</v>
      </c>
      <c r="CX66" s="763">
        <f>1-WWWW[[#This Row],[% Equitable and continuous access to sufficient quantity of domestic water]]</f>
        <v>0</v>
      </c>
      <c r="CY66" s="758">
        <f>WWWW[[#This Row],[%equitable and continuous access to sufficient quantity of safe drinking and domestic water''s GAP]]*WWWW[[#This Row],[Total PoP ]]</f>
        <v>0</v>
      </c>
      <c r="CZ66" s="761">
        <f>IF(WWWW[[#This Row],[Total required water points]]-WWWW[[#This Row],['#Water points coverage]]&lt;0,0,WWWW[[#This Row],[Total required water points]]-WWWW[[#This Row],['#Water points coverage]])</f>
        <v>0.27</v>
      </c>
      <c r="DA66" s="761">
        <f>ROUND(IF(WWWW[[#This Row],[Total PoP ]]&lt;500,1,WWWW[[#This Row],[Total PoP ]]/500),0)</f>
        <v>3</v>
      </c>
      <c r="DB66" s="761">
        <f>(WWWW[[#This Row],['#_Constructed latrines_by_WASHAgencies]]+WWWW[[#This Row],['#_Non Cluster partner latrines]])-WWWW[[#This Row],['#_Non-functional latrines]]</f>
        <v>66</v>
      </c>
      <c r="DC66" s="634">
        <f>WWWW[[#This Row],[HRP2]]/WWWW[[#This Row],[Total PoP ]]</f>
        <v>0.98168498168498164</v>
      </c>
      <c r="DD6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1340</v>
      </c>
      <c r="DE6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6" s="425">
        <f>IF(WWWW[[#This Row],['# of functional latrines in THF supported by WASH partners during the reporting period2]]="",0,WWWW[[#This Row],['# of functional latrines in THF supported by WASH partners during the reporting period2]]*50)</f>
        <v>0</v>
      </c>
      <c r="DH66" s="761">
        <f>ROUND(IF(WWWW[[#This Row],[Location Type 1]]="camp",WWWW[[#This Row],[Total PoP ]]/20,IF(WWWW[[#This Row],[Location Type 1]]="Temporary Location",WWWW[[#This Row],[Total PoP ]]/50,(WWWW[[#This Row],[Total PoP ]]/6))),0)</f>
        <v>68</v>
      </c>
      <c r="DI66" s="761">
        <f>IF(WWWW[[#This Row],[Total required Latrines]]-(WWWW[[#This Row],['#_Constructed latrines_by_WASHAgencies]]+WWWW[[#This Row],['#_Non Cluster partner latrines]])&lt;0,0,WWWW[[#This Row],[Total required Latrines]]-(WWWW[[#This Row],['#_Constructed latrines_by_WASHAgencies]]+WWWW[[#This Row],['#_Non Cluster partner latrines]]))</f>
        <v>2</v>
      </c>
      <c r="DJ66" s="763">
        <f>1-WWWW[[#This Row],[% people access to functioning Latrine]]</f>
        <v>1.8315018315018361E-2</v>
      </c>
      <c r="DK66" s="762">
        <f>IF(OR(WWWW[[#This Row],['#_Non-functional latrines]]="",WWWW[[#This Row],['#_Non-functional latrines]]=0),0,WWWW[[#This Row],['#_Non-functional latrines]]/(WWWW[[#This Row],['#_Constructed latrines_by_WASHAgencies]]+WWWW[[#This Row],['#_Non Cluster partner latrines]]))</f>
        <v>0</v>
      </c>
      <c r="DL66" s="758">
        <f>IF(500*(WWWW[[#This Row],['#_male hygiene promoters]]+WWWW[[#This Row],['#_female hygiene promoters]])&gt;WWWW[[#This Row],[Total PoP ]],WWWW[[#This Row],[Total PoP ]],500*(WWWW[[#This Row],['#_male hygiene promoters]]+WWWW[[#This Row],['#_female hygiene promoters]]))</f>
        <v>0</v>
      </c>
      <c r="DM6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6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66" s="761">
        <f>IF(WWWW[[#This Row],['# People with access to soap]]&gt;WWWW[[#This Row],['# People with access to Sanity Pads]],WWWW[[#This Row],['# People with access to soap]],WWWW[[#This Row],['# People with access to Sanity Pads]])</f>
        <v>50</v>
      </c>
      <c r="DP66" s="761">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66" s="763">
        <f>IF(WWWW[[#This Row],[HRP3]]/WWWW[[#This Row],[Total PoP ]]&gt;1,1,WWWW[[#This Row],[HRP3]]/WWWW[[#This Row],[Total PoP ]])</f>
        <v>3.6630036630036632E-2</v>
      </c>
      <c r="DR66" s="762">
        <f>1-WWWW[[#This Row],[Hygiene Coverage%]]</f>
        <v>0.96336996336996339</v>
      </c>
      <c r="DS66" s="760">
        <f>WWWW[[#This Row],['# people reached by regular dedicated hygiene promotion_5]]/WWWW[[#This Row],[Total PoP ]]</f>
        <v>0</v>
      </c>
      <c r="DT6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0.16194331983805668</v>
      </c>
      <c r="DU6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7.28744939271255E-2</v>
      </c>
      <c r="DV66" s="761">
        <f>WWWW[[#This Row],['#_Constructed/Existing hand washing stations]]-WWWW[[#This Row],['#_Non-Functional_hand_washing_stations]]</f>
        <v>3</v>
      </c>
      <c r="DW66" s="758">
        <f>IF(WWWW[[#This Row],['# Functional hand washing stations during reporting period]]*20&gt;WWWW[[#This Row],[Total HH]],WWWW[[#This Row],[Total HH]],WWWW[[#This Row],['# Functional hand washing stations during reporting period]]*20)</f>
        <v>60</v>
      </c>
      <c r="DX66" s="758">
        <f>IF(WWWW[[#This Row],[Is sufficient soap available for TLS? (Yes/No)]]="yes",WWWW[[#This Row],['#_Constructed/Existing hand washing stations at TLS/CFS/THF]],0)</f>
        <v>0</v>
      </c>
      <c r="DY66" s="429">
        <f>IF(WWWW[[#This Row],['# Functional hand washing stations during reporting period]]*100&gt;WWWW[[#This Row],[Total PoP ]],WWWW[[#This Row],[Total PoP ]],WWWW[[#This Row],['# Functional hand washing stations during reporting period]]*100)</f>
        <v>300</v>
      </c>
      <c r="DZ66" s="429" t="str">
        <f>IF(OR(WWWW[[#This Row],['#_students at TLS_CFS]]="",WWWW[[#This Row],['#_students at TLS_CFS]]=0),"No","Yes")</f>
        <v>No</v>
      </c>
      <c r="EA6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6" s="754" t="str">
        <f>VLOOKUP(WWWW[[#This Row],[Site Name]],SiteDB6[[Site Name]:[CCCM Management]],6,FALSE)</f>
        <v>Yes</v>
      </c>
      <c r="EF66" s="754" t="str">
        <f>VLOOKUP(WWWW[[#This Row],[Site Name]],SiteDB6[[Site Name]:[CCCM Focal Agency]],7,FALSE)</f>
        <v>KMSS-MYT</v>
      </c>
      <c r="EG66" s="754" t="str">
        <f>VLOOKUP(WWWW[[#This Row],[Site Name]],SiteDB6[[Site Name]:[Location Type 1]],9,FALSE)</f>
        <v>Camp</v>
      </c>
      <c r="EH66" s="754" t="str">
        <f>VLOOKUP(WWWW[[#This Row],[Site Name]],SiteDB6[[Site Name]:[Type of Accommodation]],10,FALSE)</f>
        <v>Camp</v>
      </c>
      <c r="EI66" s="754" t="str">
        <f>VLOOKUP(WWWW[[#This Row],[Site Name]],SiteDB6[[Site Name]:[Ethnic or GCA/NGCA]],11,FALSE)</f>
        <v>GCA</v>
      </c>
      <c r="EJ66" s="754">
        <f>VLOOKUP(WWWW[[#This Row],[Site Name]],SiteDB6[[Site Name]:[Lat]],12,FALSE)</f>
        <v>25.493819999999999</v>
      </c>
      <c r="EK66" s="754">
        <f>VLOOKUP(WWWW[[#This Row],[Site Name]],SiteDB6[[Site Name]:[Long]],13,FALSE)</f>
        <v>97.4345</v>
      </c>
      <c r="EL66" s="754" t="str">
        <f>VLOOKUP(WWWW[[#This Row],[Site Name]],SiteDB6[[Site Name]:[Pcode]],3,FALSE)</f>
        <v>MMR001CMP271</v>
      </c>
      <c r="EM66" s="759" t="str">
        <f t="shared" si="0"/>
        <v>Covered</v>
      </c>
      <c r="EN66" s="759"/>
      <c r="EO66" s="754">
        <f>VLOOKUP(WWWW[[#This Row],[Site Name]],SiteDB6[[Site Name]:[Pop
(Kachin/Shan-CCCM as of July 2021)]],16,FALSE)</f>
        <v>215</v>
      </c>
      <c r="EP66" s="754">
        <f>VLOOKUP(WWWW[[#This Row],[Site Name]],SiteDB6[[Site Name]:[Pop
(Kachin/Shan-CCCM as of July 2021)]],17,FALSE)</f>
        <v>1188</v>
      </c>
    </row>
    <row r="67" spans="1:146" hidden="1">
      <c r="A67" s="752" t="s">
        <v>2785</v>
      </c>
      <c r="B67" s="752" t="s">
        <v>36</v>
      </c>
      <c r="C67" s="753" t="s">
        <v>36</v>
      </c>
      <c r="D67" s="753" t="s">
        <v>241</v>
      </c>
      <c r="E67" s="753" t="s">
        <v>37</v>
      </c>
      <c r="F67" s="753" t="s">
        <v>159</v>
      </c>
      <c r="G67" s="594" t="str">
        <f>VLOOKUP(WWWW[[#This Row],[Site Name]],SiteDB6[[Site Name]:[Location Type]],8,FALSE)</f>
        <v>Camp_not registered</v>
      </c>
      <c r="H67" s="753" t="s">
        <v>2207</v>
      </c>
      <c r="I67" s="755">
        <v>26</v>
      </c>
      <c r="J67" s="755">
        <v>143</v>
      </c>
      <c r="K67" s="756">
        <v>44414</v>
      </c>
      <c r="L67" s="757">
        <v>44778</v>
      </c>
      <c r="M67" s="755"/>
      <c r="N67" s="755">
        <v>1</v>
      </c>
      <c r="O67" s="755"/>
      <c r="P67" s="755"/>
      <c r="Q67" s="758" t="s">
        <v>41</v>
      </c>
      <c r="R67" s="755">
        <v>2</v>
      </c>
      <c r="S67" s="755">
        <v>2</v>
      </c>
      <c r="T67" s="449"/>
      <c r="U67" s="755"/>
      <c r="V67" s="755"/>
      <c r="W67" s="755">
        <v>2</v>
      </c>
      <c r="X67" s="755"/>
      <c r="Y67" s="755"/>
      <c r="Z67" s="755"/>
      <c r="AA67" s="755"/>
      <c r="AB67" s="755"/>
      <c r="AC67" s="755"/>
      <c r="AD67" s="755"/>
      <c r="AE67" s="755"/>
      <c r="AF67" s="755"/>
      <c r="AG67" s="755"/>
      <c r="AH67" s="755">
        <v>26</v>
      </c>
      <c r="AI67" s="755"/>
      <c r="AJ67" s="755"/>
      <c r="AK67" s="755"/>
      <c r="AL67" s="755"/>
      <c r="AM67" s="755">
        <v>3</v>
      </c>
      <c r="AN67" s="755"/>
      <c r="AO67" s="755"/>
      <c r="AP67" s="759"/>
      <c r="AQ67" s="755">
        <v>6</v>
      </c>
      <c r="AR67" s="755"/>
      <c r="AS67" s="760"/>
      <c r="AT67" s="755"/>
      <c r="AU67" s="755"/>
      <c r="AV67" s="755"/>
      <c r="AW67" s="755"/>
      <c r="AX67" s="755"/>
      <c r="AY67" s="754" t="s">
        <v>41</v>
      </c>
      <c r="AZ67" s="759" t="s">
        <v>136</v>
      </c>
      <c r="BA67" s="755"/>
      <c r="BB67" s="755"/>
      <c r="BC67" s="755"/>
      <c r="BD67" s="449"/>
      <c r="BE67" s="449"/>
      <c r="BF67" s="754"/>
      <c r="BG67" s="755">
        <v>1</v>
      </c>
      <c r="BH67" s="755"/>
      <c r="BI67" s="755"/>
      <c r="BJ67" s="755">
        <v>3</v>
      </c>
      <c r="BK67" s="755"/>
      <c r="BL67" s="755"/>
      <c r="BM67" s="755">
        <v>1</v>
      </c>
      <c r="BN67" s="755">
        <v>41</v>
      </c>
      <c r="BO67" s="755">
        <v>85</v>
      </c>
      <c r="BP67" s="754"/>
      <c r="BQ67" s="761"/>
      <c r="BR67" s="760"/>
      <c r="BS67" s="754"/>
      <c r="BT67" s="424"/>
      <c r="BU67" s="424"/>
      <c r="BV67" s="426"/>
      <c r="BW67" s="424"/>
      <c r="BX67" s="449"/>
      <c r="BY67" s="449"/>
      <c r="BZ67" s="449"/>
      <c r="CA67" s="449"/>
      <c r="CB67" s="449"/>
      <c r="CC67" s="807"/>
      <c r="CD67" s="449"/>
      <c r="CE67" s="762" t="str">
        <f>IFERROR(WWWW[[#This Row],['#_Water sources passed]]/WWWW[[#This Row],['#_Water sources tested for fecal coliform ]],"no test")</f>
        <v>no test</v>
      </c>
      <c r="CF67" s="760" t="str">
        <f>IFERROR(WWWW[[#This Row],['#_Household passed]]/WWWW[[#This Row],['#_Household water samples tested for fecal coliform]],"no test")</f>
        <v>no test</v>
      </c>
      <c r="CG67" s="761" t="str">
        <f>IF(AND(WWWW[[#This Row],[% of water sources passed]]="no test",WWWW[[#This Row],[% Household passed]]="no test"),"No Test","Tested")</f>
        <v>No Test</v>
      </c>
      <c r="CH67" s="761">
        <f>WWWW[[#This Row],['#_Constructed/existing protected hand dug well]]-WWWW[[#This Row],['#_Non-functional protected hand dug well]]</f>
        <v>0</v>
      </c>
      <c r="CI67" s="761">
        <f>(WWWW[[#This Row],['#_Constructed/Existing tube wells/boreholes/handpumps_WASH_agency]]+WWWW[[#This Row],['#_Non-Cluster partner water tube-wells/boreholes/handpumps]])-WWWW[[#This Row],['#_Non-functional tube wells/boreholes/handpumps]]</f>
        <v>2</v>
      </c>
      <c r="CJ67" s="761">
        <f>WWWW[[#This Row],['#_Constructed/Existingwater storage tank with gravity fed reticulation system]]-WWWW[[#This Row],['#_Non-functional storage tank gravity fed reticulation system]]</f>
        <v>0</v>
      </c>
      <c r="CK67" s="761">
        <f>(WWWW[[#This Row],['#_Water_Liters_supplied_by_Water boating or water trucking]]/90)/15</f>
        <v>0</v>
      </c>
      <c r="CL67" s="761">
        <f>WWWW[[#This Row],['#_Water_Liters_from_Constructed/Existing water distribution system from river or natural spring]]/90/15</f>
        <v>0</v>
      </c>
      <c r="CM67" s="425">
        <f>IF(WWWW[[#This Row],['#_of water points in TLS/CFS]]*500&gt;WWWW[[#This Row],[Total PoP ]],WWWW[[#This Row],[Total PoP ]],WWWW[[#This Row],['#_of water points in TLS/CFS]]*500)</f>
        <v>0</v>
      </c>
      <c r="CN67" s="425">
        <f>IF(WWWW[[#This Row],['#_of water points in THF]]*500&gt;WWWW[[#This Row],[Total PoP ]],WWWW[[#This Row],[Total PoP ]],WWWW[[#This Row],['#_of water points in THF]]*500)</f>
        <v>0</v>
      </c>
      <c r="CO6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7" s="760">
        <f>IF(WWWW[[#This Row],[Location Type 1]]="Village",WWWW[[#This Row],[Access to safe drinking water for Village]],WWWW[[#This Row],[Access to safe drinking water for Camp]])</f>
        <v>1</v>
      </c>
      <c r="CR67" s="758">
        <f>WWWW[[#This Row],[%Equitable and continuous access to sufficient quantity of safe drinking water]]*WWWW[[#This Row],[Total PoP ]]</f>
        <v>143</v>
      </c>
      <c r="CS67" s="760">
        <f>IF((WWWW[[#This Row],['#_Constructed/Existing protected/fenced ponds]]*250)/WWWW[[#This Row],[Total PoP ]]&gt;1,1,(WWWW[[#This Row],['#_Constructed/Existing protected/fenced ponds]]*250)/WWWW[[#This Row],[Total PoP ]])</f>
        <v>0</v>
      </c>
      <c r="CT67" s="758">
        <f>WWWW[[#This Row],[% Access to unimproved water points]]*WWWW[[#This Row],[Total PoP ]]</f>
        <v>0</v>
      </c>
      <c r="CU6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v>
      </c>
      <c r="CW67" s="758">
        <f>WWWW[[#This Row],[HRP1]]/500</f>
        <v>0.28599999999999998</v>
      </c>
      <c r="CX67" s="763">
        <f>1-WWWW[[#This Row],[% Equitable and continuous access to sufficient quantity of domestic water]]</f>
        <v>0</v>
      </c>
      <c r="CY67" s="758">
        <f>WWWW[[#This Row],[%equitable and continuous access to sufficient quantity of safe drinking and domestic water''s GAP]]*WWWW[[#This Row],[Total PoP ]]</f>
        <v>0</v>
      </c>
      <c r="CZ67" s="761">
        <f>IF(WWWW[[#This Row],[Total required water points]]-WWWW[[#This Row],['#Water points coverage]]&lt;0,0,WWWW[[#This Row],[Total required water points]]-WWWW[[#This Row],['#Water points coverage]])</f>
        <v>0.71399999999999997</v>
      </c>
      <c r="DA67" s="761">
        <f>ROUND(IF(WWWW[[#This Row],[Total PoP ]]&lt;500,1,WWWW[[#This Row],[Total PoP ]]/500),0)</f>
        <v>1</v>
      </c>
      <c r="DB67" s="761">
        <f>(WWWW[[#This Row],['#_Constructed latrines_by_WASHAgencies]]+WWWW[[#This Row],['#_Non Cluster partner latrines]])-WWWW[[#This Row],['#_Non-functional latrines]]</f>
        <v>6</v>
      </c>
      <c r="DC67" s="634">
        <f>WWWW[[#This Row],[HRP2]]/WWWW[[#This Row],[Total PoP ]]</f>
        <v>0.83916083916083917</v>
      </c>
      <c r="DD6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6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7" s="425">
        <f>IF(WWWW[[#This Row],['# of functional latrines in THF supported by WASH partners during the reporting period2]]="",0,WWWW[[#This Row],['# of functional latrines in THF supported by WASH partners during the reporting period2]]*50)</f>
        <v>0</v>
      </c>
      <c r="DH67" s="761">
        <f>ROUND(IF(WWWW[[#This Row],[Location Type 1]]="camp",WWWW[[#This Row],[Total PoP ]]/20,IF(WWWW[[#This Row],[Location Type 1]]="Temporary Location",WWWW[[#This Row],[Total PoP ]]/50,(WWWW[[#This Row],[Total PoP ]]/6))),0)</f>
        <v>7</v>
      </c>
      <c r="DI67" s="761">
        <f>IF(WWWW[[#This Row],[Total required Latrines]]-(WWWW[[#This Row],['#_Constructed latrines_by_WASHAgencies]]+WWWW[[#This Row],['#_Non Cluster partner latrines]])&lt;0,0,WWWW[[#This Row],[Total required Latrines]]-(WWWW[[#This Row],['#_Constructed latrines_by_WASHAgencies]]+WWWW[[#This Row],['#_Non Cluster partner latrines]]))</f>
        <v>1</v>
      </c>
      <c r="DJ67" s="763">
        <f>1-WWWW[[#This Row],[% people access to functioning Latrine]]</f>
        <v>0.16083916083916083</v>
      </c>
      <c r="DK67" s="762">
        <f>IF(OR(WWWW[[#This Row],['#_Non-functional latrines]]="",WWWW[[#This Row],['#_Non-functional latrines]]=0),0,WWWW[[#This Row],['#_Non-functional latrines]]/(WWWW[[#This Row],['#_Constructed latrines_by_WASHAgencies]]+WWWW[[#This Row],['#_Non Cluster partner latrines]]))</f>
        <v>0</v>
      </c>
      <c r="DL67" s="758">
        <f>IF(500*(WWWW[[#This Row],['#_male hygiene promoters]]+WWWW[[#This Row],['#_female hygiene promoters]])&gt;WWWW[[#This Row],[Total PoP ]],WWWW[[#This Row],[Total PoP ]],500*(WWWW[[#This Row],['#_male hygiene promoters]]+WWWW[[#This Row],['#_female hygiene promoters]]))</f>
        <v>143</v>
      </c>
      <c r="DM6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143</v>
      </c>
      <c r="DN6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67" s="761">
        <f>IF(WWWW[[#This Row],['# People with access to soap]]&gt;WWWW[[#This Row],['# People with access to Sanity Pads]],WWWW[[#This Row],['# People with access to soap]],WWWW[[#This Row],['# People with access to Sanity Pads]])</f>
        <v>143</v>
      </c>
      <c r="DP67" s="761">
        <f>IF(WWWW[[#This Row],['# people reached by regular dedicated hygiene promotion_5]]&gt;WWWW[[#This Row],['# People received regular supply of hygiene items_6]],WWWW[[#This Row],['# people reached by regular dedicated hygiene promotion_5]],WWWW[[#This Row],['# People received regular supply of hygiene items_6]])</f>
        <v>143</v>
      </c>
      <c r="DQ67" s="763">
        <f>IF(WWWW[[#This Row],[HRP3]]/WWWW[[#This Row],[Total PoP ]]&gt;1,1,WWWW[[#This Row],[HRP3]]/WWWW[[#This Row],[Total PoP ]])</f>
        <v>1</v>
      </c>
      <c r="DR67" s="762">
        <f>1-WWWW[[#This Row],[Hygiene Coverage%]]</f>
        <v>0</v>
      </c>
      <c r="DS67" s="760">
        <f>WWWW[[#This Row],['# people reached by regular dedicated hygiene promotion_5]]/WWWW[[#This Row],[Total PoP ]]</f>
        <v>1</v>
      </c>
      <c r="DT6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7" s="761">
        <f>WWWW[[#This Row],['#_Constructed/Existing hand washing stations]]-WWWW[[#This Row],['#_Non-Functional_hand_washing_stations]]</f>
        <v>1</v>
      </c>
      <c r="DW67" s="758">
        <f>IF(WWWW[[#This Row],['# Functional hand washing stations during reporting period]]*20&gt;WWWW[[#This Row],[Total HH]],WWWW[[#This Row],[Total HH]],WWWW[[#This Row],['# Functional hand washing stations during reporting period]]*20)</f>
        <v>20</v>
      </c>
      <c r="DX67" s="758">
        <f>IF(WWWW[[#This Row],[Is sufficient soap available for TLS? (Yes/No)]]="yes",WWWW[[#This Row],['#_Constructed/Existing hand washing stations at TLS/CFS/THF]],0)</f>
        <v>0</v>
      </c>
      <c r="DY67" s="429">
        <f>IF(WWWW[[#This Row],['# Functional hand washing stations during reporting period]]*100&gt;WWWW[[#This Row],[Total PoP ]],WWWW[[#This Row],[Total PoP ]],WWWW[[#This Row],['# Functional hand washing stations during reporting period]]*100)</f>
        <v>100</v>
      </c>
      <c r="DZ67" s="429" t="str">
        <f>IF(OR(WWWW[[#This Row],['#_students at TLS_CFS]]="",WWWW[[#This Row],['#_students at TLS_CFS]]=0),"No","Yes")</f>
        <v>No</v>
      </c>
      <c r="EA6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7" s="754">
        <f>VLOOKUP(WWWW[[#This Row],[Site Name]],SiteDB6[[Site Name]:[CCCM Management]],6,FALSE)</f>
        <v>0</v>
      </c>
      <c r="EF67" s="754">
        <f>VLOOKUP(WWWW[[#This Row],[Site Name]],SiteDB6[[Site Name]:[CCCM Focal Agency]],7,FALSE)</f>
        <v>0</v>
      </c>
      <c r="EG67" s="754" t="str">
        <f>VLOOKUP(WWWW[[#This Row],[Site Name]],SiteDB6[[Site Name]:[Location Type 1]],9,FALSE)</f>
        <v>Camp</v>
      </c>
      <c r="EH67" s="754" t="str">
        <f>VLOOKUP(WWWW[[#This Row],[Site Name]],SiteDB6[[Site Name]:[Type of Accommodation]],10,FALSE)</f>
        <v>Camp</v>
      </c>
      <c r="EI67" s="754" t="str">
        <f>VLOOKUP(WWWW[[#This Row],[Site Name]],SiteDB6[[Site Name]:[Ethnic or GCA/NGCA]],11,FALSE)</f>
        <v>GCA</v>
      </c>
      <c r="EJ67" s="754">
        <f>VLOOKUP(WWWW[[#This Row],[Site Name]],SiteDB6[[Site Name]:[Lat]],12,FALSE)</f>
        <v>0</v>
      </c>
      <c r="EK67" s="754">
        <f>VLOOKUP(WWWW[[#This Row],[Site Name]],SiteDB6[[Site Name]:[Long]],13,FALSE)</f>
        <v>0</v>
      </c>
      <c r="EL67" s="754">
        <f>VLOOKUP(WWWW[[#This Row],[Site Name]],SiteDB6[[Site Name]:[Pcode]],3,FALSE)</f>
        <v>0</v>
      </c>
      <c r="EM67" s="759" t="str">
        <f t="shared" si="0"/>
        <v>Covered</v>
      </c>
      <c r="EN67" s="759"/>
      <c r="EO67" s="754">
        <f>VLOOKUP(WWWW[[#This Row],[Site Name]],SiteDB6[[Site Name]:[Pop
(Kachin/Shan-CCCM as of July 2021)]],16,FALSE)</f>
        <v>0</v>
      </c>
      <c r="EP67" s="754">
        <f>VLOOKUP(WWWW[[#This Row],[Site Name]],SiteDB6[[Site Name]:[Pop
(Kachin/Shan-CCCM as of July 2021)]],17,FALSE)</f>
        <v>0</v>
      </c>
    </row>
    <row r="68" spans="1:146" hidden="1">
      <c r="A68" s="752" t="s">
        <v>2785</v>
      </c>
      <c r="B68" s="752" t="s">
        <v>36</v>
      </c>
      <c r="C68" s="753" t="s">
        <v>36</v>
      </c>
      <c r="D68" s="753" t="s">
        <v>241</v>
      </c>
      <c r="E68" s="753" t="s">
        <v>37</v>
      </c>
      <c r="F68" s="753" t="s">
        <v>863</v>
      </c>
      <c r="G68" s="594" t="str">
        <f>VLOOKUP(WWWW[[#This Row],[Site Name]],SiteDB6[[Site Name]:[Location Type]],8,FALSE)</f>
        <v>Camp</v>
      </c>
      <c r="H68" s="753" t="s">
        <v>1718</v>
      </c>
      <c r="I68" s="755">
        <v>133</v>
      </c>
      <c r="J68" s="755">
        <v>622</v>
      </c>
      <c r="K68" s="756">
        <v>44414</v>
      </c>
      <c r="L68" s="757">
        <v>44778</v>
      </c>
      <c r="M68" s="755"/>
      <c r="N68" s="755">
        <v>1</v>
      </c>
      <c r="O68" s="755"/>
      <c r="P68" s="755"/>
      <c r="Q68" s="758" t="s">
        <v>41</v>
      </c>
      <c r="R68" s="755">
        <v>4</v>
      </c>
      <c r="S68" s="755">
        <v>2</v>
      </c>
      <c r="T68" s="449">
        <v>1</v>
      </c>
      <c r="U68" s="755"/>
      <c r="V68" s="755"/>
      <c r="W68" s="755">
        <v>1</v>
      </c>
      <c r="X68" s="755"/>
      <c r="Y68" s="755"/>
      <c r="Z68" s="755"/>
      <c r="AA68" s="755"/>
      <c r="AB68" s="755"/>
      <c r="AC68" s="755"/>
      <c r="AD68" s="755"/>
      <c r="AE68" s="755"/>
      <c r="AF68" s="755"/>
      <c r="AG68" s="755"/>
      <c r="AH68" s="755"/>
      <c r="AI68" s="755"/>
      <c r="AJ68" s="755"/>
      <c r="AK68" s="755"/>
      <c r="AL68" s="755"/>
      <c r="AM68" s="755">
        <v>5</v>
      </c>
      <c r="AN68" s="755"/>
      <c r="AO68" s="755"/>
      <c r="AP68" s="759"/>
      <c r="AQ68" s="755"/>
      <c r="AR68" s="755"/>
      <c r="AS68" s="760"/>
      <c r="AT68" s="755"/>
      <c r="AU68" s="755"/>
      <c r="AV68" s="755"/>
      <c r="AW68" s="755"/>
      <c r="AX68" s="755"/>
      <c r="AY68" s="754" t="s">
        <v>41</v>
      </c>
      <c r="AZ68" s="759" t="s">
        <v>137</v>
      </c>
      <c r="BA68" s="755"/>
      <c r="BB68" s="755"/>
      <c r="BC68" s="755"/>
      <c r="BD68" s="449"/>
      <c r="BE68" s="449"/>
      <c r="BF68" s="754"/>
      <c r="BG68" s="755">
        <v>8</v>
      </c>
      <c r="BH68" s="755"/>
      <c r="BI68" s="755"/>
      <c r="BJ68" s="755">
        <v>3</v>
      </c>
      <c r="BK68" s="755"/>
      <c r="BL68" s="755"/>
      <c r="BM68" s="755"/>
      <c r="BN68" s="755">
        <v>91</v>
      </c>
      <c r="BO68" s="755">
        <v>124</v>
      </c>
      <c r="BP68" s="754"/>
      <c r="BQ68" s="761">
        <v>100</v>
      </c>
      <c r="BR68" s="760">
        <v>0.25</v>
      </c>
      <c r="BS68" s="754"/>
      <c r="BT68" s="424"/>
      <c r="BU68" s="424"/>
      <c r="BV68" s="426"/>
      <c r="BW68" s="424"/>
      <c r="BX68" s="449"/>
      <c r="BY68" s="449"/>
      <c r="BZ68" s="449"/>
      <c r="CA68" s="449"/>
      <c r="CB68" s="449"/>
      <c r="CC68" s="807"/>
      <c r="CD68" s="449"/>
      <c r="CE68" s="762" t="str">
        <f>IFERROR(WWWW[[#This Row],['#_Water sources passed]]/WWWW[[#This Row],['#_Water sources tested for fecal coliform ]],"no test")</f>
        <v>no test</v>
      </c>
      <c r="CF68" s="760" t="str">
        <f>IFERROR(WWWW[[#This Row],['#_Household passed]]/WWWW[[#This Row],['#_Household water samples tested for fecal coliform]],"no test")</f>
        <v>no test</v>
      </c>
      <c r="CG68" s="761" t="str">
        <f>IF(AND(WWWW[[#This Row],[% of water sources passed]]="no test",WWWW[[#This Row],[% Household passed]]="no test"),"No Test","Tested")</f>
        <v>No Test</v>
      </c>
      <c r="CH68" s="761">
        <f>WWWW[[#This Row],['#_Constructed/existing protected hand dug well]]-WWWW[[#This Row],['#_Non-functional protected hand dug well]]</f>
        <v>1</v>
      </c>
      <c r="CI68" s="761">
        <f>(WWWW[[#This Row],['#_Constructed/Existing tube wells/boreholes/handpumps_WASH_agency]]+WWWW[[#This Row],['#_Non-Cluster partner water tube-wells/boreholes/handpumps]])-WWWW[[#This Row],['#_Non-functional tube wells/boreholes/handpumps]]</f>
        <v>1</v>
      </c>
      <c r="CJ68" s="761">
        <f>WWWW[[#This Row],['#_Constructed/Existingwater storage tank with gravity fed reticulation system]]-WWWW[[#This Row],['#_Non-functional storage tank gravity fed reticulation system]]</f>
        <v>0</v>
      </c>
      <c r="CK68" s="761">
        <f>(WWWW[[#This Row],['#_Water_Liters_supplied_by_Water boating or water trucking]]/90)/15</f>
        <v>0</v>
      </c>
      <c r="CL68" s="761">
        <f>WWWW[[#This Row],['#_Water_Liters_from_Constructed/Existing water distribution system from river or natural spring]]/90/15</f>
        <v>0</v>
      </c>
      <c r="CM68" s="425">
        <f>IF(WWWW[[#This Row],['#_of water points in TLS/CFS]]*500&gt;WWWW[[#This Row],[Total PoP ]],WWWW[[#This Row],[Total PoP ]],WWWW[[#This Row],['#_of water points in TLS/CFS]]*500)</f>
        <v>0</v>
      </c>
      <c r="CN68" s="425">
        <f>IF(WWWW[[#This Row],['#_of water points in THF]]*500&gt;WWWW[[#This Row],[Total PoP ]],WWWW[[#This Row],[Total PoP ]],WWWW[[#This Row],['#_of water points in THF]]*500)</f>
        <v>0</v>
      </c>
      <c r="CO6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0.8038585209003215</v>
      </c>
      <c r="CQ68" s="760">
        <f>IF(WWWW[[#This Row],[Location Type 1]]="Village",WWWW[[#This Row],[Access to safe drinking water for Village]],WWWW[[#This Row],[Access to safe drinking water for Camp]])</f>
        <v>1</v>
      </c>
      <c r="CR68" s="758">
        <f>WWWW[[#This Row],[%Equitable and continuous access to sufficient quantity of safe drinking water]]*WWWW[[#This Row],[Total PoP ]]</f>
        <v>622</v>
      </c>
      <c r="CS68" s="760">
        <f>IF((WWWW[[#This Row],['#_Constructed/Existing protected/fenced ponds]]*250)/WWWW[[#This Row],[Total PoP ]]&gt;1,1,(WWWW[[#This Row],['#_Constructed/Existing protected/fenced ponds]]*250)/WWWW[[#This Row],[Total PoP ]])</f>
        <v>0</v>
      </c>
      <c r="CT68" s="758">
        <f>WWWW[[#This Row],[% Access to unimproved water points]]*WWWW[[#This Row],[Total PoP ]]</f>
        <v>0</v>
      </c>
      <c r="CU6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68" s="758">
        <f>WWWW[[#This Row],[HRP1]]/500</f>
        <v>1.244</v>
      </c>
      <c r="CX68" s="763">
        <f>1-WWWW[[#This Row],[% Equitable and continuous access to sufficient quantity of domestic water]]</f>
        <v>0</v>
      </c>
      <c r="CY68" s="758">
        <f>WWWW[[#This Row],[%equitable and continuous access to sufficient quantity of safe drinking and domestic water''s GAP]]*WWWW[[#This Row],[Total PoP ]]</f>
        <v>0</v>
      </c>
      <c r="CZ68" s="761">
        <f>IF(WWWW[[#This Row],[Total required water points]]-WWWW[[#This Row],['#Water points coverage]]&lt;0,0,WWWW[[#This Row],[Total required water points]]-WWWW[[#This Row],['#Water points coverage]])</f>
        <v>0</v>
      </c>
      <c r="DA68" s="761">
        <f>ROUND(IF(WWWW[[#This Row],[Total PoP ]]&lt;500,1,WWWW[[#This Row],[Total PoP ]]/500),0)</f>
        <v>1</v>
      </c>
      <c r="DB68" s="761">
        <f>(WWWW[[#This Row],['#_Constructed latrines_by_WASHAgencies]]+WWWW[[#This Row],['#_Non Cluster partner latrines]])-WWWW[[#This Row],['#_Non-functional latrines]]</f>
        <v>0</v>
      </c>
      <c r="DC68" s="634">
        <f>WWWW[[#This Row],[HRP2]]/WWWW[[#This Row],[Total PoP ]]</f>
        <v>0</v>
      </c>
      <c r="DD6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8" s="425">
        <f>IF(WWWW[[#This Row],['# of functional latrines in THF supported by WASH partners during the reporting period2]]="",0,WWWW[[#This Row],['# of functional latrines in THF supported by WASH partners during the reporting period2]]*50)</f>
        <v>0</v>
      </c>
      <c r="DH68" s="761">
        <f>ROUND(IF(WWWW[[#This Row],[Location Type 1]]="camp",WWWW[[#This Row],[Total PoP ]]/20,IF(WWWW[[#This Row],[Location Type 1]]="Temporary Location",WWWW[[#This Row],[Total PoP ]]/50,(WWWW[[#This Row],[Total PoP ]]/6))),0)</f>
        <v>31</v>
      </c>
      <c r="DI68" s="761">
        <f>IF(WWWW[[#This Row],[Total required Latrines]]-(WWWW[[#This Row],['#_Constructed latrines_by_WASHAgencies]]+WWWW[[#This Row],['#_Non Cluster partner latrines]])&lt;0,0,WWWW[[#This Row],[Total required Latrines]]-(WWWW[[#This Row],['#_Constructed latrines_by_WASHAgencies]]+WWWW[[#This Row],['#_Non Cluster partner latrines]]))</f>
        <v>31</v>
      </c>
      <c r="DJ68" s="763">
        <f>1-WWWW[[#This Row],[% people access to functioning Latrine]]</f>
        <v>1</v>
      </c>
      <c r="DK68" s="762">
        <f>IF(OR(WWWW[[#This Row],['#_Non-functional latrines]]="",WWWW[[#This Row],['#_Non-functional latrines]]=0),0,WWWW[[#This Row],['#_Non-functional latrines]]/(WWWW[[#This Row],['#_Constructed latrines_by_WASHAgencies]]+WWWW[[#This Row],['#_Non Cluster partner latrines]]))</f>
        <v>0</v>
      </c>
      <c r="DL68" s="758">
        <f>IF(500*(WWWW[[#This Row],['#_male hygiene promoters]]+WWWW[[#This Row],['#_female hygiene promoters]])&gt;WWWW[[#This Row],[Total PoP ]],WWWW[[#This Row],[Total PoP ]],500*(WWWW[[#This Row],['#_male hygiene promoters]]+WWWW[[#This Row],['#_female hygiene promoters]]))</f>
        <v>0</v>
      </c>
      <c r="DM6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6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68" s="761">
        <f>IF(WWWW[[#This Row],['# People with access to soap]]&gt;WWWW[[#This Row],['# People with access to Sanity Pads]],WWWW[[#This Row],['# People with access to soap]],WWWW[[#This Row],['# People with access to Sanity Pads]])</f>
        <v>455</v>
      </c>
      <c r="DP68" s="761">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68" s="763">
        <f>IF(WWWW[[#This Row],[HRP3]]/WWWW[[#This Row],[Total PoP ]]&gt;1,1,WWWW[[#This Row],[HRP3]]/WWWW[[#This Row],[Total PoP ]])</f>
        <v>0.73151125401929262</v>
      </c>
      <c r="DR68" s="762">
        <f>1-WWWW[[#This Row],[Hygiene Coverage%]]</f>
        <v>0.26848874598070738</v>
      </c>
      <c r="DS68" s="760">
        <f>WWWW[[#This Row],['# people reached by regular dedicated hygiene promotion_5]]/WWWW[[#This Row],[Total PoP ]]</f>
        <v>0</v>
      </c>
      <c r="DT6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0.93233082706766912</v>
      </c>
      <c r="DV68" s="761">
        <f>WWWW[[#This Row],['#_Constructed/Existing hand washing stations]]-WWWW[[#This Row],['#_Non-Functional_hand_washing_stations]]</f>
        <v>8</v>
      </c>
      <c r="DW68" s="758">
        <f>IF(WWWW[[#This Row],['# Functional hand washing stations during reporting period]]*20&gt;WWWW[[#This Row],[Total HH]],WWWW[[#This Row],[Total HH]],WWWW[[#This Row],['# Functional hand washing stations during reporting period]]*20)</f>
        <v>133</v>
      </c>
      <c r="DX68" s="758">
        <f>IF(WWWW[[#This Row],[Is sufficient soap available for TLS? (Yes/No)]]="yes",WWWW[[#This Row],['#_Constructed/Existing hand washing stations at TLS/CFS/THF]],0)</f>
        <v>0</v>
      </c>
      <c r="DY68" s="429">
        <f>IF(WWWW[[#This Row],['# Functional hand washing stations during reporting period]]*100&gt;WWWW[[#This Row],[Total PoP ]],WWWW[[#This Row],[Total PoP ]],WWWW[[#This Row],['# Functional hand washing stations during reporting period]]*100)</f>
        <v>622</v>
      </c>
      <c r="DZ68" s="429" t="str">
        <f>IF(OR(WWWW[[#This Row],['#_students at TLS_CFS]]="",WWWW[[#This Row],['#_students at TLS_CFS]]=0),"No","Yes")</f>
        <v>No</v>
      </c>
      <c r="EA6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8" s="754" t="str">
        <f>VLOOKUP(WWWW[[#This Row],[Site Name]],SiteDB6[[Site Name]:[CCCM Management]],6,FALSE)</f>
        <v>Yes</v>
      </c>
      <c r="EF68" s="754" t="str">
        <f>VLOOKUP(WWWW[[#This Row],[Site Name]],SiteDB6[[Site Name]:[CCCM Focal Agency]],7,FALSE)</f>
        <v>KMSS-MYT</v>
      </c>
      <c r="EG68" s="754" t="str">
        <f>VLOOKUP(WWWW[[#This Row],[Site Name]],SiteDB6[[Site Name]:[Location Type 1]],9,FALSE)</f>
        <v>Camp</v>
      </c>
      <c r="EH68" s="754" t="str">
        <f>VLOOKUP(WWWW[[#This Row],[Site Name]],SiteDB6[[Site Name]:[Type of Accommodation]],10,FALSE)</f>
        <v>Camp</v>
      </c>
      <c r="EI68" s="754" t="str">
        <f>VLOOKUP(WWWW[[#This Row],[Site Name]],SiteDB6[[Site Name]:[Ethnic or GCA/NGCA]],11,FALSE)</f>
        <v>GCA</v>
      </c>
      <c r="EJ68" s="754">
        <f>VLOOKUP(WWWW[[#This Row],[Site Name]],SiteDB6[[Site Name]:[Lat]],12,FALSE)</f>
        <v>26.350176000000001</v>
      </c>
      <c r="EK68" s="754">
        <f>VLOOKUP(WWWW[[#This Row],[Site Name]],SiteDB6[[Site Name]:[Long]],13,FALSE)</f>
        <v>96.711387999999999</v>
      </c>
      <c r="EL68" s="754" t="str">
        <f>VLOOKUP(WWWW[[#This Row],[Site Name]],SiteDB6[[Site Name]:[Pcode]],3,FALSE)</f>
        <v>MMR001CMP251</v>
      </c>
      <c r="EM68" s="759" t="str">
        <f t="shared" si="0"/>
        <v>Covered</v>
      </c>
      <c r="EN68" s="759"/>
      <c r="EO68" s="754">
        <f>VLOOKUP(WWWW[[#This Row],[Site Name]],SiteDB6[[Site Name]:[Pop
(Kachin/Shan-CCCM as of July 2021)]],16,FALSE)</f>
        <v>133</v>
      </c>
      <c r="EP68" s="754">
        <f>VLOOKUP(WWWW[[#This Row],[Site Name]],SiteDB6[[Site Name]:[Pop
(Kachin/Shan-CCCM as of July 2021)]],17,FALSE)</f>
        <v>622</v>
      </c>
    </row>
    <row r="69" spans="1:146" hidden="1">
      <c r="A69" s="752" t="s">
        <v>2785</v>
      </c>
      <c r="B69" s="752" t="s">
        <v>36</v>
      </c>
      <c r="C69" s="753" t="s">
        <v>36</v>
      </c>
      <c r="D69" s="753" t="s">
        <v>241</v>
      </c>
      <c r="E69" s="753" t="s">
        <v>37</v>
      </c>
      <c r="F69" s="753" t="s">
        <v>863</v>
      </c>
      <c r="G69" s="594" t="str">
        <f>VLOOKUP(WWWW[[#This Row],[Site Name]],SiteDB6[[Site Name]:[Location Type]],8,FALSE)</f>
        <v>Camp</v>
      </c>
      <c r="H69" s="753" t="s">
        <v>865</v>
      </c>
      <c r="I69" s="755">
        <v>34</v>
      </c>
      <c r="J69" s="755">
        <v>153</v>
      </c>
      <c r="K69" s="756">
        <v>44414</v>
      </c>
      <c r="L69" s="757">
        <v>44778</v>
      </c>
      <c r="M69" s="755"/>
      <c r="N69" s="755">
        <v>1</v>
      </c>
      <c r="O69" s="755"/>
      <c r="P69" s="755"/>
      <c r="Q69" s="758" t="s">
        <v>41</v>
      </c>
      <c r="R69" s="755">
        <v>4</v>
      </c>
      <c r="S69" s="755">
        <v>1</v>
      </c>
      <c r="T69" s="449"/>
      <c r="U69" s="755"/>
      <c r="V69" s="755"/>
      <c r="W69" s="755">
        <v>2</v>
      </c>
      <c r="X69" s="755"/>
      <c r="Y69" s="755"/>
      <c r="Z69" s="755"/>
      <c r="AA69" s="755"/>
      <c r="AB69" s="755"/>
      <c r="AC69" s="755"/>
      <c r="AD69" s="755"/>
      <c r="AE69" s="755"/>
      <c r="AF69" s="755"/>
      <c r="AG69" s="755"/>
      <c r="AH69" s="755"/>
      <c r="AI69" s="755"/>
      <c r="AJ69" s="755"/>
      <c r="AK69" s="755"/>
      <c r="AL69" s="755"/>
      <c r="AM69" s="755">
        <v>5</v>
      </c>
      <c r="AN69" s="755"/>
      <c r="AO69" s="755"/>
      <c r="AP69" s="759"/>
      <c r="AQ69" s="755"/>
      <c r="AR69" s="755"/>
      <c r="AS69" s="760"/>
      <c r="AT69" s="755"/>
      <c r="AU69" s="755"/>
      <c r="AV69" s="755"/>
      <c r="AW69" s="755"/>
      <c r="AX69" s="755"/>
      <c r="AY69" s="754" t="s">
        <v>41</v>
      </c>
      <c r="AZ69" s="759" t="s">
        <v>136</v>
      </c>
      <c r="BA69" s="755"/>
      <c r="BB69" s="755"/>
      <c r="BC69" s="755"/>
      <c r="BD69" s="449"/>
      <c r="BE69" s="449"/>
      <c r="BF69" s="754"/>
      <c r="BG69" s="755">
        <v>7</v>
      </c>
      <c r="BH69" s="755"/>
      <c r="BI69" s="755">
        <v>2</v>
      </c>
      <c r="BJ69" s="755">
        <v>4</v>
      </c>
      <c r="BK69" s="755"/>
      <c r="BL69" s="755"/>
      <c r="BM69" s="755"/>
      <c r="BN69" s="755">
        <v>124</v>
      </c>
      <c r="BO69" s="755">
        <v>198</v>
      </c>
      <c r="BP69" s="754"/>
      <c r="BQ69" s="761">
        <v>50</v>
      </c>
      <c r="BR69" s="760">
        <v>0.25</v>
      </c>
      <c r="BS69" s="754"/>
      <c r="BT69" s="424"/>
      <c r="BU69" s="424"/>
      <c r="BV69" s="426"/>
      <c r="BW69" s="424"/>
      <c r="BX69" s="449"/>
      <c r="BY69" s="449"/>
      <c r="BZ69" s="449"/>
      <c r="CA69" s="449"/>
      <c r="CB69" s="449"/>
      <c r="CC69" s="807"/>
      <c r="CD69" s="449"/>
      <c r="CE69" s="762" t="str">
        <f>IFERROR(WWWW[[#This Row],['#_Water sources passed]]/WWWW[[#This Row],['#_Water sources tested for fecal coliform ]],"no test")</f>
        <v>no test</v>
      </c>
      <c r="CF69" s="760" t="str">
        <f>IFERROR(WWWW[[#This Row],['#_Household passed]]/WWWW[[#This Row],['#_Household water samples tested for fecal coliform]],"no test")</f>
        <v>no test</v>
      </c>
      <c r="CG69" s="761" t="str">
        <f>IF(AND(WWWW[[#This Row],[% of water sources passed]]="no test",WWWW[[#This Row],[% Household passed]]="no test"),"No Test","Tested")</f>
        <v>No Test</v>
      </c>
      <c r="CH69" s="761">
        <f>WWWW[[#This Row],['#_Constructed/existing protected hand dug well]]-WWWW[[#This Row],['#_Non-functional protected hand dug well]]</f>
        <v>0</v>
      </c>
      <c r="CI69" s="761">
        <f>(WWWW[[#This Row],['#_Constructed/Existing tube wells/boreholes/handpumps_WASH_agency]]+WWWW[[#This Row],['#_Non-Cluster partner water tube-wells/boreholes/handpumps]])-WWWW[[#This Row],['#_Non-functional tube wells/boreholes/handpumps]]</f>
        <v>2</v>
      </c>
      <c r="CJ69" s="761">
        <f>WWWW[[#This Row],['#_Constructed/Existingwater storage tank with gravity fed reticulation system]]-WWWW[[#This Row],['#_Non-functional storage tank gravity fed reticulation system]]</f>
        <v>0</v>
      </c>
      <c r="CK69" s="761">
        <f>(WWWW[[#This Row],['#_Water_Liters_supplied_by_Water boating or water trucking]]/90)/15</f>
        <v>0</v>
      </c>
      <c r="CL69" s="761">
        <f>WWWW[[#This Row],['#_Water_Liters_from_Constructed/Existing water distribution system from river or natural spring]]/90/15</f>
        <v>0</v>
      </c>
      <c r="CM69" s="425">
        <f>IF(WWWW[[#This Row],['#_of water points in TLS/CFS]]*500&gt;WWWW[[#This Row],[Total PoP ]],WWWW[[#This Row],[Total PoP ]],WWWW[[#This Row],['#_of water points in TLS/CFS]]*500)</f>
        <v>0</v>
      </c>
      <c r="CN69" s="425">
        <f>IF(WWWW[[#This Row],['#_of water points in THF]]*500&gt;WWWW[[#This Row],[Total PoP ]],WWWW[[#This Row],[Total PoP ]],WWWW[[#This Row],['#_of water points in THF]]*500)</f>
        <v>0</v>
      </c>
      <c r="CO6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6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69" s="760">
        <f>IF(WWWW[[#This Row],[Location Type 1]]="Village",WWWW[[#This Row],[Access to safe drinking water for Village]],WWWW[[#This Row],[Access to safe drinking water for Camp]])</f>
        <v>1</v>
      </c>
      <c r="CR69" s="758">
        <f>WWWW[[#This Row],[%Equitable and continuous access to sufficient quantity of safe drinking water]]*WWWW[[#This Row],[Total PoP ]]</f>
        <v>153</v>
      </c>
      <c r="CS69" s="760">
        <f>IF((WWWW[[#This Row],['#_Constructed/Existing protected/fenced ponds]]*250)/WWWW[[#This Row],[Total PoP ]]&gt;1,1,(WWWW[[#This Row],['#_Constructed/Existing protected/fenced ponds]]*250)/WWWW[[#This Row],[Total PoP ]])</f>
        <v>0</v>
      </c>
      <c r="CT69" s="758">
        <f>WWWW[[#This Row],[% Access to unimproved water points]]*WWWW[[#This Row],[Total PoP ]]</f>
        <v>0</v>
      </c>
      <c r="CU6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6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v>
      </c>
      <c r="CW69" s="758">
        <f>WWWW[[#This Row],[HRP1]]/500</f>
        <v>0.30599999999999999</v>
      </c>
      <c r="CX69" s="763">
        <f>1-WWWW[[#This Row],[% Equitable and continuous access to sufficient quantity of domestic water]]</f>
        <v>0</v>
      </c>
      <c r="CY69" s="758">
        <f>WWWW[[#This Row],[%equitable and continuous access to sufficient quantity of safe drinking and domestic water''s GAP]]*WWWW[[#This Row],[Total PoP ]]</f>
        <v>0</v>
      </c>
      <c r="CZ69" s="761">
        <f>IF(WWWW[[#This Row],[Total required water points]]-WWWW[[#This Row],['#Water points coverage]]&lt;0,0,WWWW[[#This Row],[Total required water points]]-WWWW[[#This Row],['#Water points coverage]])</f>
        <v>0.69399999999999995</v>
      </c>
      <c r="DA69" s="761">
        <f>ROUND(IF(WWWW[[#This Row],[Total PoP ]]&lt;500,1,WWWW[[#This Row],[Total PoP ]]/500),0)</f>
        <v>1</v>
      </c>
      <c r="DB69" s="761">
        <f>(WWWW[[#This Row],['#_Constructed latrines_by_WASHAgencies]]+WWWW[[#This Row],['#_Non Cluster partner latrines]])-WWWW[[#This Row],['#_Non-functional latrines]]</f>
        <v>0</v>
      </c>
      <c r="DC69" s="634">
        <f>WWWW[[#This Row],[HRP2]]/WWWW[[#This Row],[Total PoP ]]</f>
        <v>0</v>
      </c>
      <c r="DD6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6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6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69" s="425">
        <f>IF(WWWW[[#This Row],['# of functional latrines in THF supported by WASH partners during the reporting period2]]="",0,WWWW[[#This Row],['# of functional latrines in THF supported by WASH partners during the reporting period2]]*50)</f>
        <v>0</v>
      </c>
      <c r="DH69" s="761">
        <f>ROUND(IF(WWWW[[#This Row],[Location Type 1]]="camp",WWWW[[#This Row],[Total PoP ]]/20,IF(WWWW[[#This Row],[Location Type 1]]="Temporary Location",WWWW[[#This Row],[Total PoP ]]/50,(WWWW[[#This Row],[Total PoP ]]/6))),0)</f>
        <v>8</v>
      </c>
      <c r="DI69" s="761">
        <f>IF(WWWW[[#This Row],[Total required Latrines]]-(WWWW[[#This Row],['#_Constructed latrines_by_WASHAgencies]]+WWWW[[#This Row],['#_Non Cluster partner latrines]])&lt;0,0,WWWW[[#This Row],[Total required Latrines]]-(WWWW[[#This Row],['#_Constructed latrines_by_WASHAgencies]]+WWWW[[#This Row],['#_Non Cluster partner latrines]]))</f>
        <v>8</v>
      </c>
      <c r="DJ69" s="763">
        <f>1-WWWW[[#This Row],[% people access to functioning Latrine]]</f>
        <v>1</v>
      </c>
      <c r="DK69" s="762">
        <f>IF(OR(WWWW[[#This Row],['#_Non-functional latrines]]="",WWWW[[#This Row],['#_Non-functional latrines]]=0),0,WWWW[[#This Row],['#_Non-functional latrines]]/(WWWW[[#This Row],['#_Constructed latrines_by_WASHAgencies]]+WWWW[[#This Row],['#_Non Cluster partner latrines]]))</f>
        <v>0</v>
      </c>
      <c r="DL69" s="758">
        <f>IF(500*(WWWW[[#This Row],['#_male hygiene promoters]]+WWWW[[#This Row],['#_female hygiene promoters]])&gt;WWWW[[#This Row],[Total PoP ]],WWWW[[#This Row],[Total PoP ]],500*(WWWW[[#This Row],['#_male hygiene promoters]]+WWWW[[#This Row],['#_female hygiene promoters]]))</f>
        <v>0</v>
      </c>
      <c r="DM6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153</v>
      </c>
      <c r="DN6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153</v>
      </c>
      <c r="DO69" s="761">
        <f>IF(WWWW[[#This Row],['# People with access to soap]]&gt;WWWW[[#This Row],['# People with access to Sanity Pads]],WWWW[[#This Row],['# People with access to soap]],WWWW[[#This Row],['# People with access to Sanity Pads]])</f>
        <v>153</v>
      </c>
      <c r="DP69" s="761">
        <f>IF(WWWW[[#This Row],['# people reached by regular dedicated hygiene promotion_5]]&gt;WWWW[[#This Row],['# People received regular supply of hygiene items_6]],WWWW[[#This Row],['# people reached by regular dedicated hygiene promotion_5]],WWWW[[#This Row],['# People received regular supply of hygiene items_6]])</f>
        <v>153</v>
      </c>
      <c r="DQ69" s="763">
        <f>IF(WWWW[[#This Row],[HRP3]]/WWWW[[#This Row],[Total PoP ]]&gt;1,1,WWWW[[#This Row],[HRP3]]/WWWW[[#This Row],[Total PoP ]])</f>
        <v>1</v>
      </c>
      <c r="DR69" s="762">
        <f>1-WWWW[[#This Row],[Hygiene Coverage%]]</f>
        <v>0</v>
      </c>
      <c r="DS69" s="760">
        <f>WWWW[[#This Row],['# people reached by regular dedicated hygiene promotion_5]]/WWWW[[#This Row],[Total PoP ]]</f>
        <v>0</v>
      </c>
      <c r="DT6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6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69" s="761">
        <f>WWWW[[#This Row],['#_Constructed/Existing hand washing stations]]-WWWW[[#This Row],['#_Non-Functional_hand_washing_stations]]</f>
        <v>7</v>
      </c>
      <c r="DW69" s="758">
        <f>IF(WWWW[[#This Row],['# Functional hand washing stations during reporting period]]*20&gt;WWWW[[#This Row],[Total HH]],WWWW[[#This Row],[Total HH]],WWWW[[#This Row],['# Functional hand washing stations during reporting period]]*20)</f>
        <v>34</v>
      </c>
      <c r="DX69" s="758">
        <f>IF(WWWW[[#This Row],[Is sufficient soap available for TLS? (Yes/No)]]="yes",WWWW[[#This Row],['#_Constructed/Existing hand washing stations at TLS/CFS/THF]],0)</f>
        <v>0</v>
      </c>
      <c r="DY69" s="429">
        <f>IF(WWWW[[#This Row],['# Functional hand washing stations during reporting period]]*100&gt;WWWW[[#This Row],[Total PoP ]],WWWW[[#This Row],[Total PoP ]],WWWW[[#This Row],['# Functional hand washing stations during reporting period]]*100)</f>
        <v>153</v>
      </c>
      <c r="DZ69" s="429" t="str">
        <f>IF(OR(WWWW[[#This Row],['#_students at TLS_CFS]]="",WWWW[[#This Row],['#_students at TLS_CFS]]=0),"No","Yes")</f>
        <v>No</v>
      </c>
      <c r="EA6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6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6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6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69" s="754" t="str">
        <f>VLOOKUP(WWWW[[#This Row],[Site Name]],SiteDB6[[Site Name]:[CCCM Management]],6,FALSE)</f>
        <v>Yes</v>
      </c>
      <c r="EF69" s="754" t="str">
        <f>VLOOKUP(WWWW[[#This Row],[Site Name]],SiteDB6[[Site Name]:[CCCM Focal Agency]],7,FALSE)</f>
        <v>KMSS-MYT</v>
      </c>
      <c r="EG69" s="754" t="str">
        <f>VLOOKUP(WWWW[[#This Row],[Site Name]],SiteDB6[[Site Name]:[Location Type 1]],9,FALSE)</f>
        <v>Camp</v>
      </c>
      <c r="EH69" s="754" t="str">
        <f>VLOOKUP(WWWW[[#This Row],[Site Name]],SiteDB6[[Site Name]:[Type of Accommodation]],10,FALSE)</f>
        <v>Camp</v>
      </c>
      <c r="EI69" s="754" t="str">
        <f>VLOOKUP(WWWW[[#This Row],[Site Name]],SiteDB6[[Site Name]:[Ethnic or GCA/NGCA]],11,FALSE)</f>
        <v>GCA</v>
      </c>
      <c r="EJ69" s="754">
        <f>VLOOKUP(WWWW[[#This Row],[Site Name]],SiteDB6[[Site Name]:[Lat]],12,FALSE)</f>
        <v>26.351690999999999</v>
      </c>
      <c r="EK69" s="754">
        <f>VLOOKUP(WWWW[[#This Row],[Site Name]],SiteDB6[[Site Name]:[Long]],13,FALSE)</f>
        <v>96.690871999999999</v>
      </c>
      <c r="EL69" s="754" t="str">
        <f>VLOOKUP(WWWW[[#This Row],[Site Name]],SiteDB6[[Site Name]:[Pcode]],3,FALSE)</f>
        <v>MMR001CMP254</v>
      </c>
      <c r="EM69" s="759" t="str">
        <f t="shared" si="0"/>
        <v>Covered</v>
      </c>
      <c r="EN69" s="759"/>
      <c r="EO69" s="754">
        <f>VLOOKUP(WWWW[[#This Row],[Site Name]],SiteDB6[[Site Name]:[Pop
(Kachin/Shan-CCCM as of July 2021)]],16,FALSE)</f>
        <v>35</v>
      </c>
      <c r="EP69" s="754">
        <f>VLOOKUP(WWWW[[#This Row],[Site Name]],SiteDB6[[Site Name]:[Pop
(Kachin/Shan-CCCM as of July 2021)]],17,FALSE)</f>
        <v>161</v>
      </c>
    </row>
    <row r="70" spans="1:146" hidden="1">
      <c r="A70" s="752" t="s">
        <v>2785</v>
      </c>
      <c r="B70" s="752" t="s">
        <v>36</v>
      </c>
      <c r="C70" s="753" t="s">
        <v>36</v>
      </c>
      <c r="D70" s="753" t="s">
        <v>241</v>
      </c>
      <c r="E70" s="753" t="s">
        <v>37</v>
      </c>
      <c r="F70" s="753" t="s">
        <v>142</v>
      </c>
      <c r="G70" s="594" t="str">
        <f>VLOOKUP(WWWW[[#This Row],[Site Name]],SiteDB6[[Site Name]:[Location Type]],8,FALSE)</f>
        <v>Camp</v>
      </c>
      <c r="H70" s="753" t="s">
        <v>236</v>
      </c>
      <c r="I70" s="755">
        <v>119</v>
      </c>
      <c r="J70" s="755">
        <v>421</v>
      </c>
      <c r="K70" s="828">
        <v>44414</v>
      </c>
      <c r="L70" s="829">
        <v>44778</v>
      </c>
      <c r="M70" s="755"/>
      <c r="N70" s="755"/>
      <c r="O70" s="755"/>
      <c r="P70" s="755"/>
      <c r="Q70" s="758" t="s">
        <v>41</v>
      </c>
      <c r="R70" s="755">
        <v>4</v>
      </c>
      <c r="S70" s="755">
        <v>3</v>
      </c>
      <c r="T70" s="449"/>
      <c r="U70" s="755"/>
      <c r="V70" s="755"/>
      <c r="W70" s="755"/>
      <c r="X70" s="755"/>
      <c r="Y70" s="755"/>
      <c r="Z70" s="755"/>
      <c r="AA70" s="755"/>
      <c r="AB70" s="755"/>
      <c r="AC70" s="755"/>
      <c r="AD70" s="755"/>
      <c r="AE70" s="755"/>
      <c r="AF70" s="755"/>
      <c r="AG70" s="755"/>
      <c r="AH70" s="755"/>
      <c r="AI70" s="755"/>
      <c r="AJ70" s="755"/>
      <c r="AK70" s="755"/>
      <c r="AL70" s="755"/>
      <c r="AM70" s="755">
        <v>4</v>
      </c>
      <c r="AN70" s="755"/>
      <c r="AO70" s="755"/>
      <c r="AP70" s="759"/>
      <c r="AQ70" s="755">
        <v>90</v>
      </c>
      <c r="AR70" s="755"/>
      <c r="AS70" s="760"/>
      <c r="AT70" s="755"/>
      <c r="AU70" s="755"/>
      <c r="AV70" s="755"/>
      <c r="AW70" s="755"/>
      <c r="AX70" s="755"/>
      <c r="AY70" s="754" t="s">
        <v>41</v>
      </c>
      <c r="AZ70" s="759" t="s">
        <v>137</v>
      </c>
      <c r="BA70" s="755"/>
      <c r="BB70" s="755"/>
      <c r="BC70" s="755"/>
      <c r="BD70" s="449"/>
      <c r="BE70" s="449"/>
      <c r="BF70" s="754"/>
      <c r="BG70" s="755">
        <v>1</v>
      </c>
      <c r="BH70" s="755"/>
      <c r="BI70" s="755"/>
      <c r="BJ70" s="755">
        <v>1</v>
      </c>
      <c r="BK70" s="755"/>
      <c r="BL70" s="755"/>
      <c r="BM70" s="755">
        <v>2</v>
      </c>
      <c r="BN70" s="755">
        <v>6</v>
      </c>
      <c r="BO70" s="755">
        <v>5</v>
      </c>
      <c r="BP70" s="754"/>
      <c r="BQ70" s="761"/>
      <c r="BR70" s="760"/>
      <c r="BS70" s="754"/>
      <c r="BT70" s="424"/>
      <c r="BU70" s="424"/>
      <c r="BV70" s="426"/>
      <c r="BW70" s="424"/>
      <c r="BX70" s="449"/>
      <c r="BY70" s="449"/>
      <c r="BZ70" s="449"/>
      <c r="CA70" s="449"/>
      <c r="CB70" s="449"/>
      <c r="CC70" s="807"/>
      <c r="CD70" s="449"/>
      <c r="CE70" s="762" t="str">
        <f>IFERROR(WWWW[[#This Row],['#_Water sources passed]]/WWWW[[#This Row],['#_Water sources tested for fecal coliform ]],"no test")</f>
        <v>no test</v>
      </c>
      <c r="CF70" s="760" t="str">
        <f>IFERROR(WWWW[[#This Row],['#_Household passed]]/WWWW[[#This Row],['#_Household water samples tested for fecal coliform]],"no test")</f>
        <v>no test</v>
      </c>
      <c r="CG70" s="761" t="str">
        <f>IF(AND(WWWW[[#This Row],[% of water sources passed]]="no test",WWWW[[#This Row],[% Household passed]]="no test"),"No Test","Tested")</f>
        <v>No Test</v>
      </c>
      <c r="CH70" s="761">
        <f>WWWW[[#This Row],['#_Constructed/existing protected hand dug well]]-WWWW[[#This Row],['#_Non-functional protected hand dug well]]</f>
        <v>0</v>
      </c>
      <c r="CI70" s="761">
        <f>(WWWW[[#This Row],['#_Constructed/Existing tube wells/boreholes/handpumps_WASH_agency]]+WWWW[[#This Row],['#_Non-Cluster partner water tube-wells/boreholes/handpumps]])-WWWW[[#This Row],['#_Non-functional tube wells/boreholes/handpumps]]</f>
        <v>0</v>
      </c>
      <c r="CJ70" s="761">
        <f>WWWW[[#This Row],['#_Constructed/Existingwater storage tank with gravity fed reticulation system]]-WWWW[[#This Row],['#_Non-functional storage tank gravity fed reticulation system]]</f>
        <v>0</v>
      </c>
      <c r="CK70" s="761">
        <f>(WWWW[[#This Row],['#_Water_Liters_supplied_by_Water boating or water trucking]]/90)/15</f>
        <v>0</v>
      </c>
      <c r="CL70" s="761">
        <f>WWWW[[#This Row],['#_Water_Liters_from_Constructed/Existing water distribution system from river or natural spring]]/90/15</f>
        <v>0</v>
      </c>
      <c r="CM70" s="425">
        <f>IF(WWWW[[#This Row],['#_of water points in TLS/CFS]]*500&gt;WWWW[[#This Row],[Total PoP ]],WWWW[[#This Row],[Total PoP ]],WWWW[[#This Row],['#_of water points in TLS/CFS]]*500)</f>
        <v>0</v>
      </c>
      <c r="CN70" s="425">
        <f>IF(WWWW[[#This Row],['#_of water points in THF]]*500&gt;WWWW[[#This Row],[Total PoP ]],WWWW[[#This Row],[Total PoP ]],WWWW[[#This Row],['#_of water points in THF]]*500)</f>
        <v>0</v>
      </c>
      <c r="CO7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7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70" s="760">
        <f>IF(WWWW[[#This Row],[Location Type 1]]="Village",WWWW[[#This Row],[Access to safe drinking water for Village]],WWWW[[#This Row],[Access to safe drinking water for Camp]])</f>
        <v>0</v>
      </c>
      <c r="CR70" s="758">
        <f>WWWW[[#This Row],[%Equitable and continuous access to sufficient quantity of safe drinking water]]*WWWW[[#This Row],[Total PoP ]]</f>
        <v>0</v>
      </c>
      <c r="CS70" s="760">
        <f>IF((WWWW[[#This Row],['#_Constructed/Existing protected/fenced ponds]]*250)/WWWW[[#This Row],[Total PoP ]]&gt;1,1,(WWWW[[#This Row],['#_Constructed/Existing protected/fenced ponds]]*250)/WWWW[[#This Row],[Total PoP ]])</f>
        <v>0</v>
      </c>
      <c r="CT70" s="758">
        <f>WWWW[[#This Row],[% Access to unimproved water points]]*WWWW[[#This Row],[Total PoP ]]</f>
        <v>0</v>
      </c>
      <c r="CU7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7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70" s="758">
        <f>WWWW[[#This Row],[HRP1]]/500</f>
        <v>0</v>
      </c>
      <c r="CX70" s="763">
        <f>1-WWWW[[#This Row],[% Equitable and continuous access to sufficient quantity of domestic water]]</f>
        <v>1</v>
      </c>
      <c r="CY70" s="758">
        <f>WWWW[[#This Row],[%equitable and continuous access to sufficient quantity of safe drinking and domestic water''s GAP]]*WWWW[[#This Row],[Total PoP ]]</f>
        <v>421</v>
      </c>
      <c r="CZ70" s="761">
        <f>IF(WWWW[[#This Row],[Total required water points]]-WWWW[[#This Row],['#Water points coverage]]&lt;0,0,WWWW[[#This Row],[Total required water points]]-WWWW[[#This Row],['#Water points coverage]])</f>
        <v>1</v>
      </c>
      <c r="DA70" s="761">
        <f>ROUND(IF(WWWW[[#This Row],[Total PoP ]]&lt;500,1,WWWW[[#This Row],[Total PoP ]]/500),0)</f>
        <v>1</v>
      </c>
      <c r="DB70" s="761">
        <f>(WWWW[[#This Row],['#_Constructed latrines_by_WASHAgencies]]+WWWW[[#This Row],['#_Non Cluster partner latrines]])-WWWW[[#This Row],['#_Non-functional latrines]]</f>
        <v>90</v>
      </c>
      <c r="DC70" s="634">
        <f>WWWW[[#This Row],[HRP2]]/WWWW[[#This Row],[Total PoP ]]</f>
        <v>1</v>
      </c>
      <c r="DD7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421</v>
      </c>
      <c r="DE7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0" s="425">
        <f>IF(WWWW[[#This Row],['# of functional latrines in THF supported by WASH partners during the reporting period2]]="",0,WWWW[[#This Row],['# of functional latrines in THF supported by WASH partners during the reporting period2]]*50)</f>
        <v>0</v>
      </c>
      <c r="DH70" s="761">
        <f>ROUND(IF(WWWW[[#This Row],[Location Type 1]]="camp",WWWW[[#This Row],[Total PoP ]]/20,IF(WWWW[[#This Row],[Location Type 1]]="Temporary Location",WWWW[[#This Row],[Total PoP ]]/50,(WWWW[[#This Row],[Total PoP ]]/6))),0)</f>
        <v>21</v>
      </c>
      <c r="DI70" s="761">
        <f>IF(WWWW[[#This Row],[Total required Latrines]]-(WWWW[[#This Row],['#_Constructed latrines_by_WASHAgencies]]+WWWW[[#This Row],['#_Non Cluster partner latrines]])&lt;0,0,WWWW[[#This Row],[Total required Latrines]]-(WWWW[[#This Row],['#_Constructed latrines_by_WASHAgencies]]+WWWW[[#This Row],['#_Non Cluster partner latrines]]))</f>
        <v>0</v>
      </c>
      <c r="DJ70" s="763">
        <f>1-WWWW[[#This Row],[% people access to functioning Latrine]]</f>
        <v>0</v>
      </c>
      <c r="DK70" s="762">
        <f>IF(OR(WWWW[[#This Row],['#_Non-functional latrines]]="",WWWW[[#This Row],['#_Non-functional latrines]]=0),0,WWWW[[#This Row],['#_Non-functional latrines]]/(WWWW[[#This Row],['#_Constructed latrines_by_WASHAgencies]]+WWWW[[#This Row],['#_Non Cluster partner latrines]]))</f>
        <v>0</v>
      </c>
      <c r="DL70" s="758">
        <f>IF(500*(WWWW[[#This Row],['#_male hygiene promoters]]+WWWW[[#This Row],['#_female hygiene promoters]])&gt;WWWW[[#This Row],[Total PoP ]],WWWW[[#This Row],[Total PoP ]],500*(WWWW[[#This Row],['#_male hygiene promoters]]+WWWW[[#This Row],['#_female hygiene promoters]]))</f>
        <v>421</v>
      </c>
      <c r="DM7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0" s="761">
        <f>IF(WWWW[[#This Row],['# People with access to soap]]&gt;WWWW[[#This Row],['# People with access to Sanity Pads]],WWWW[[#This Row],['# People with access to soap]],WWWW[[#This Row],['# People with access to Sanity Pads]])</f>
        <v>30</v>
      </c>
      <c r="DP70" s="761">
        <f>IF(WWWW[[#This Row],['# people reached by regular dedicated hygiene promotion_5]]&gt;WWWW[[#This Row],['# People received regular supply of hygiene items_6]],WWWW[[#This Row],['# people reached by regular dedicated hygiene promotion_5]],WWWW[[#This Row],['# People received regular supply of hygiene items_6]])</f>
        <v>421</v>
      </c>
      <c r="DQ70" s="763">
        <f>IF(WWWW[[#This Row],[HRP3]]/WWWW[[#This Row],[Total PoP ]]&gt;1,1,WWWW[[#This Row],[HRP3]]/WWWW[[#This Row],[Total PoP ]])</f>
        <v>1</v>
      </c>
      <c r="DR70" s="762">
        <f>1-WWWW[[#This Row],[Hygiene Coverage%]]</f>
        <v>0</v>
      </c>
      <c r="DS70" s="760">
        <f>WWWW[[#This Row],['# people reached by regular dedicated hygiene promotion_5]]/WWWW[[#This Row],[Total PoP ]]</f>
        <v>1</v>
      </c>
      <c r="DT7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5.0420168067226892E-2</v>
      </c>
      <c r="DU7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4.2016806722689079E-2</v>
      </c>
      <c r="DV70" s="761">
        <f>WWWW[[#This Row],['#_Constructed/Existing hand washing stations]]-WWWW[[#This Row],['#_Non-Functional_hand_washing_stations]]</f>
        <v>1</v>
      </c>
      <c r="DW70" s="758">
        <f>IF(WWWW[[#This Row],['# Functional hand washing stations during reporting period]]*20&gt;WWWW[[#This Row],[Total HH]],WWWW[[#This Row],[Total HH]],WWWW[[#This Row],['# Functional hand washing stations during reporting period]]*20)</f>
        <v>20</v>
      </c>
      <c r="DX70" s="758">
        <f>IF(WWWW[[#This Row],[Is sufficient soap available for TLS? (Yes/No)]]="yes",WWWW[[#This Row],['#_Constructed/Existing hand washing stations at TLS/CFS/THF]],0)</f>
        <v>0</v>
      </c>
      <c r="DY70" s="429">
        <f>IF(WWWW[[#This Row],['# Functional hand washing stations during reporting period]]*100&gt;WWWW[[#This Row],[Total PoP ]],WWWW[[#This Row],[Total PoP ]],WWWW[[#This Row],['# Functional hand washing stations during reporting period]]*100)</f>
        <v>100</v>
      </c>
      <c r="DZ70" s="429" t="str">
        <f>IF(OR(WWWW[[#This Row],['#_students at TLS_CFS]]="",WWWW[[#This Row],['#_students at TLS_CFS]]=0),"No","Yes")</f>
        <v>No</v>
      </c>
      <c r="EA7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0" s="754" t="str">
        <f>VLOOKUP(WWWW[[#This Row],[Site Name]],SiteDB6[[Site Name]:[CCCM Management]],6,FALSE)</f>
        <v>Yes</v>
      </c>
      <c r="EF70" s="754" t="str">
        <f>VLOOKUP(WWWW[[#This Row],[Site Name]],SiteDB6[[Site Name]:[CCCM Focal Agency]],7,FALSE)</f>
        <v>KMSS-MYT</v>
      </c>
      <c r="EG70" s="754" t="str">
        <f>VLOOKUP(WWWW[[#This Row],[Site Name]],SiteDB6[[Site Name]:[Location Type 1]],9,FALSE)</f>
        <v>Camp</v>
      </c>
      <c r="EH70" s="754" t="str">
        <f>VLOOKUP(WWWW[[#This Row],[Site Name]],SiteDB6[[Site Name]:[Type of Accommodation]],10,FALSE)</f>
        <v>Camp</v>
      </c>
      <c r="EI70" s="754" t="str">
        <f>VLOOKUP(WWWW[[#This Row],[Site Name]],SiteDB6[[Site Name]:[Ethnic or GCA/NGCA]],11,FALSE)</f>
        <v>NGCA</v>
      </c>
      <c r="EJ70" s="754">
        <f>VLOOKUP(WWWW[[#This Row],[Site Name]],SiteDB6[[Site Name]:[Lat]],12,FALSE)</f>
        <v>25.220278</v>
      </c>
      <c r="EK70" s="754">
        <f>VLOOKUP(WWWW[[#This Row],[Site Name]],SiteDB6[[Site Name]:[Long]],13,FALSE)</f>
        <v>97.915833000000006</v>
      </c>
      <c r="EL70" s="754" t="str">
        <f>VLOOKUP(WWWW[[#This Row],[Site Name]],SiteDB6[[Site Name]:[Pcode]],3,FALSE)</f>
        <v>MMR001CMP113</v>
      </c>
      <c r="EM70" s="759" t="str">
        <f t="shared" si="0"/>
        <v>Covered</v>
      </c>
      <c r="EN70" s="759"/>
      <c r="EO70" s="754">
        <f>VLOOKUP(WWWW[[#This Row],[Site Name]],SiteDB6[[Site Name]:[Pop
(Kachin/Shan-CCCM as of July 2021)]],16,FALSE)</f>
        <v>118</v>
      </c>
      <c r="EP70" s="754">
        <f>VLOOKUP(WWWW[[#This Row],[Site Name]],SiteDB6[[Site Name]:[Pop
(Kachin/Shan-CCCM as of July 2021)]],17,FALSE)</f>
        <v>419</v>
      </c>
    </row>
    <row r="71" spans="1:146" hidden="1">
      <c r="A71" s="752" t="s">
        <v>2785</v>
      </c>
      <c r="B71" s="752" t="s">
        <v>36</v>
      </c>
      <c r="C71" s="753" t="s">
        <v>36</v>
      </c>
      <c r="D71" s="753" t="s">
        <v>241</v>
      </c>
      <c r="E71" s="753" t="s">
        <v>37</v>
      </c>
      <c r="F71" s="753" t="s">
        <v>142</v>
      </c>
      <c r="G71" s="594" t="str">
        <f>VLOOKUP(WWWW[[#This Row],[Site Name]],SiteDB6[[Site Name]:[Location Type]],8,FALSE)</f>
        <v>Camp</v>
      </c>
      <c r="H71" s="753" t="s">
        <v>237</v>
      </c>
      <c r="I71" s="755">
        <v>328</v>
      </c>
      <c r="J71" s="755">
        <v>1776</v>
      </c>
      <c r="K71" s="828">
        <v>44414</v>
      </c>
      <c r="L71" s="829">
        <v>44778</v>
      </c>
      <c r="M71" s="755"/>
      <c r="N71" s="755">
        <v>5</v>
      </c>
      <c r="O71" s="755"/>
      <c r="P71" s="755"/>
      <c r="Q71" s="758" t="s">
        <v>41</v>
      </c>
      <c r="R71" s="755">
        <v>4</v>
      </c>
      <c r="S71" s="755">
        <v>3</v>
      </c>
      <c r="T71" s="449">
        <v>11</v>
      </c>
      <c r="U71" s="755"/>
      <c r="V71" s="755"/>
      <c r="W71" s="755"/>
      <c r="X71" s="755"/>
      <c r="Y71" s="755"/>
      <c r="Z71" s="755"/>
      <c r="AA71" s="755"/>
      <c r="AB71" s="755"/>
      <c r="AC71" s="755"/>
      <c r="AD71" s="755"/>
      <c r="AE71" s="755"/>
      <c r="AF71" s="755"/>
      <c r="AG71" s="755"/>
      <c r="AH71" s="755"/>
      <c r="AI71" s="755"/>
      <c r="AJ71" s="755"/>
      <c r="AK71" s="755"/>
      <c r="AL71" s="755"/>
      <c r="AM71" s="755">
        <v>5</v>
      </c>
      <c r="AN71" s="755"/>
      <c r="AO71" s="755"/>
      <c r="AP71" s="759"/>
      <c r="AQ71" s="755">
        <v>97</v>
      </c>
      <c r="AR71" s="755"/>
      <c r="AS71" s="760"/>
      <c r="AT71" s="755"/>
      <c r="AU71" s="755"/>
      <c r="AV71" s="755"/>
      <c r="AW71" s="755"/>
      <c r="AX71" s="755"/>
      <c r="AY71" s="754" t="s">
        <v>41</v>
      </c>
      <c r="AZ71" s="759" t="s">
        <v>137</v>
      </c>
      <c r="BA71" s="755"/>
      <c r="BB71" s="755"/>
      <c r="BC71" s="755"/>
      <c r="BD71" s="449"/>
      <c r="BE71" s="449"/>
      <c r="BF71" s="754"/>
      <c r="BG71" s="755">
        <v>1</v>
      </c>
      <c r="BH71" s="755"/>
      <c r="BI71" s="755"/>
      <c r="BJ71" s="755">
        <v>1</v>
      </c>
      <c r="BK71" s="755"/>
      <c r="BL71" s="755"/>
      <c r="BM71" s="755"/>
      <c r="BN71" s="755">
        <v>6</v>
      </c>
      <c r="BO71" s="755">
        <v>5</v>
      </c>
      <c r="BP71" s="754"/>
      <c r="BQ71" s="761">
        <v>100</v>
      </c>
      <c r="BR71" s="760">
        <v>0.6</v>
      </c>
      <c r="BS71" s="754"/>
      <c r="BT71" s="424"/>
      <c r="BU71" s="424"/>
      <c r="BV71" s="426"/>
      <c r="BW71" s="424"/>
      <c r="BX71" s="449"/>
      <c r="BY71" s="449"/>
      <c r="BZ71" s="449"/>
      <c r="CA71" s="449"/>
      <c r="CB71" s="449"/>
      <c r="CC71" s="807"/>
      <c r="CD71" s="449"/>
      <c r="CE71" s="762" t="str">
        <f>IFERROR(WWWW[[#This Row],['#_Water sources passed]]/WWWW[[#This Row],['#_Water sources tested for fecal coliform ]],"no test")</f>
        <v>no test</v>
      </c>
      <c r="CF71" s="760" t="str">
        <f>IFERROR(WWWW[[#This Row],['#_Household passed]]/WWWW[[#This Row],['#_Household water samples tested for fecal coliform]],"no test")</f>
        <v>no test</v>
      </c>
      <c r="CG71" s="761" t="str">
        <f>IF(AND(WWWW[[#This Row],[% of water sources passed]]="no test",WWWW[[#This Row],[% Household passed]]="no test"),"No Test","Tested")</f>
        <v>No Test</v>
      </c>
      <c r="CH71" s="761">
        <f>WWWW[[#This Row],['#_Constructed/existing protected hand dug well]]-WWWW[[#This Row],['#_Non-functional protected hand dug well]]</f>
        <v>11</v>
      </c>
      <c r="CI71" s="761">
        <f>(WWWW[[#This Row],['#_Constructed/Existing tube wells/boreholes/handpumps_WASH_agency]]+WWWW[[#This Row],['#_Non-Cluster partner water tube-wells/boreholes/handpumps]])-WWWW[[#This Row],['#_Non-functional tube wells/boreholes/handpumps]]</f>
        <v>0</v>
      </c>
      <c r="CJ71" s="761">
        <f>WWWW[[#This Row],['#_Constructed/Existingwater storage tank with gravity fed reticulation system]]-WWWW[[#This Row],['#_Non-functional storage tank gravity fed reticulation system]]</f>
        <v>0</v>
      </c>
      <c r="CK71" s="761">
        <f>(WWWW[[#This Row],['#_Water_Liters_supplied_by_Water boating or water trucking]]/90)/15</f>
        <v>0</v>
      </c>
      <c r="CL71" s="761">
        <f>WWWW[[#This Row],['#_Water_Liters_from_Constructed/Existing water distribution system from river or natural spring]]/90/15</f>
        <v>0</v>
      </c>
      <c r="CM71" s="425">
        <f>IF(WWWW[[#This Row],['#_of water points in TLS/CFS]]*500&gt;WWWW[[#This Row],[Total PoP ]],WWWW[[#This Row],[Total PoP ]],WWWW[[#This Row],['#_of water points in TLS/CFS]]*500)</f>
        <v>0</v>
      </c>
      <c r="CN71" s="425">
        <f>IF(WWWW[[#This Row],['#_of water points in THF]]*500&gt;WWWW[[#This Row],[Total PoP ]],WWWW[[#This Row],[Total PoP ]],WWWW[[#This Row],['#_of water points in THF]]*500)</f>
        <v>0</v>
      </c>
      <c r="CO7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1" s="760">
        <f>IF(WWWW[[#This Row],[Location Type 1]]="Village",WWWW[[#This Row],[Access to safe drinking water for Village]],WWWW[[#This Row],[Access to safe drinking water for Camp]])</f>
        <v>1</v>
      </c>
      <c r="CR71" s="758">
        <f>WWWW[[#This Row],[%Equitable and continuous access to sufficient quantity of safe drinking water]]*WWWW[[#This Row],[Total PoP ]]</f>
        <v>1776</v>
      </c>
      <c r="CS71" s="760">
        <f>IF((WWWW[[#This Row],['#_Constructed/Existing protected/fenced ponds]]*250)/WWWW[[#This Row],[Total PoP ]]&gt;1,1,(WWWW[[#This Row],['#_Constructed/Existing protected/fenced ponds]]*250)/WWWW[[#This Row],[Total PoP ]])</f>
        <v>0</v>
      </c>
      <c r="CT71" s="758">
        <f>WWWW[[#This Row],[% Access to unimproved water points]]*WWWW[[#This Row],[Total PoP ]]</f>
        <v>0</v>
      </c>
      <c r="CU7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1776</v>
      </c>
      <c r="CW71" s="758">
        <f>WWWW[[#This Row],[HRP1]]/500</f>
        <v>3.552</v>
      </c>
      <c r="CX71" s="763">
        <f>1-WWWW[[#This Row],[% Equitable and continuous access to sufficient quantity of domestic water]]</f>
        <v>0</v>
      </c>
      <c r="CY71" s="758">
        <f>WWWW[[#This Row],[%equitable and continuous access to sufficient quantity of safe drinking and domestic water''s GAP]]*WWWW[[#This Row],[Total PoP ]]</f>
        <v>0</v>
      </c>
      <c r="CZ71" s="761">
        <f>IF(WWWW[[#This Row],[Total required water points]]-WWWW[[#This Row],['#Water points coverage]]&lt;0,0,WWWW[[#This Row],[Total required water points]]-WWWW[[#This Row],['#Water points coverage]])</f>
        <v>0.44799999999999995</v>
      </c>
      <c r="DA71" s="761">
        <f>ROUND(IF(WWWW[[#This Row],[Total PoP ]]&lt;500,1,WWWW[[#This Row],[Total PoP ]]/500),0)</f>
        <v>4</v>
      </c>
      <c r="DB71" s="761">
        <f>(WWWW[[#This Row],['#_Constructed latrines_by_WASHAgencies]]+WWWW[[#This Row],['#_Non Cluster partner latrines]])-WWWW[[#This Row],['#_Non-functional latrines]]</f>
        <v>97</v>
      </c>
      <c r="DC71" s="634">
        <f>WWWW[[#This Row],[HRP2]]/WWWW[[#This Row],[Total PoP ]]</f>
        <v>1</v>
      </c>
      <c r="DD7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1776</v>
      </c>
      <c r="DE7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1" s="425">
        <f>IF(WWWW[[#This Row],['# of functional latrines in THF supported by WASH partners during the reporting period2]]="",0,WWWW[[#This Row],['# of functional latrines in THF supported by WASH partners during the reporting period2]]*50)</f>
        <v>0</v>
      </c>
      <c r="DH71" s="761">
        <f>ROUND(IF(WWWW[[#This Row],[Location Type 1]]="camp",WWWW[[#This Row],[Total PoP ]]/20,IF(WWWW[[#This Row],[Location Type 1]]="Temporary Location",WWWW[[#This Row],[Total PoP ]]/50,(WWWW[[#This Row],[Total PoP ]]/6))),0)</f>
        <v>89</v>
      </c>
      <c r="DI71" s="761">
        <f>IF(WWWW[[#This Row],[Total required Latrines]]-(WWWW[[#This Row],['#_Constructed latrines_by_WASHAgencies]]+WWWW[[#This Row],['#_Non Cluster partner latrines]])&lt;0,0,WWWW[[#This Row],[Total required Latrines]]-(WWWW[[#This Row],['#_Constructed latrines_by_WASHAgencies]]+WWWW[[#This Row],['#_Non Cluster partner latrines]]))</f>
        <v>0</v>
      </c>
      <c r="DJ71" s="763">
        <f>1-WWWW[[#This Row],[% people access to functioning Latrine]]</f>
        <v>0</v>
      </c>
      <c r="DK71" s="762">
        <f>IF(OR(WWWW[[#This Row],['#_Non-functional latrines]]="",WWWW[[#This Row],['#_Non-functional latrines]]=0),0,WWWW[[#This Row],['#_Non-functional latrines]]/(WWWW[[#This Row],['#_Constructed latrines_by_WASHAgencies]]+WWWW[[#This Row],['#_Non Cluster partner latrines]]))</f>
        <v>0</v>
      </c>
      <c r="DL71" s="758">
        <f>IF(500*(WWWW[[#This Row],['#_male hygiene promoters]]+WWWW[[#This Row],['#_female hygiene promoters]])&gt;WWWW[[#This Row],[Total PoP ]],WWWW[[#This Row],[Total PoP ]],500*(WWWW[[#This Row],['#_male hygiene promoters]]+WWWW[[#This Row],['#_female hygiene promoters]]))</f>
        <v>0</v>
      </c>
      <c r="DM7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1" s="761">
        <f>IF(WWWW[[#This Row],['# People with access to soap]]&gt;WWWW[[#This Row],['# People with access to Sanity Pads]],WWWW[[#This Row],['# People with access to soap]],WWWW[[#This Row],['# People with access to Sanity Pads]])</f>
        <v>30</v>
      </c>
      <c r="DP71"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71" s="763">
        <f>IF(WWWW[[#This Row],[HRP3]]/WWWW[[#This Row],[Total PoP ]]&gt;1,1,WWWW[[#This Row],[HRP3]]/WWWW[[#This Row],[Total PoP ]])</f>
        <v>1.6891891891891893E-2</v>
      </c>
      <c r="DR71" s="762">
        <f>1-WWWW[[#This Row],[Hygiene Coverage%]]</f>
        <v>0.98310810810810811</v>
      </c>
      <c r="DS71" s="760">
        <f>WWWW[[#This Row],['# people reached by regular dedicated hygiene promotion_5]]/WWWW[[#This Row],[Total PoP ]]</f>
        <v>0</v>
      </c>
      <c r="DT7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7.3170731707317069E-2</v>
      </c>
      <c r="DU7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1.524390243902439E-2</v>
      </c>
      <c r="DV71" s="761">
        <f>WWWW[[#This Row],['#_Constructed/Existing hand washing stations]]-WWWW[[#This Row],['#_Non-Functional_hand_washing_stations]]</f>
        <v>1</v>
      </c>
      <c r="DW71" s="758">
        <f>IF(WWWW[[#This Row],['# Functional hand washing stations during reporting period]]*20&gt;WWWW[[#This Row],[Total HH]],WWWW[[#This Row],[Total HH]],WWWW[[#This Row],['# Functional hand washing stations during reporting period]]*20)</f>
        <v>20</v>
      </c>
      <c r="DX71" s="758">
        <f>IF(WWWW[[#This Row],[Is sufficient soap available for TLS? (Yes/No)]]="yes",WWWW[[#This Row],['#_Constructed/Existing hand washing stations at TLS/CFS/THF]],0)</f>
        <v>0</v>
      </c>
      <c r="DY71" s="429">
        <f>IF(WWWW[[#This Row],['# Functional hand washing stations during reporting period]]*100&gt;WWWW[[#This Row],[Total PoP ]],WWWW[[#This Row],[Total PoP ]],WWWW[[#This Row],['# Functional hand washing stations during reporting period]]*100)</f>
        <v>100</v>
      </c>
      <c r="DZ71" s="429" t="str">
        <f>IF(OR(WWWW[[#This Row],['#_students at TLS_CFS]]="",WWWW[[#This Row],['#_students at TLS_CFS]]=0),"No","Yes")</f>
        <v>No</v>
      </c>
      <c r="EA7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1" s="754" t="str">
        <f>VLOOKUP(WWWW[[#This Row],[Site Name]],SiteDB6[[Site Name]:[CCCM Management]],6,FALSE)</f>
        <v>Yes</v>
      </c>
      <c r="EF71" s="754" t="str">
        <f>VLOOKUP(WWWW[[#This Row],[Site Name]],SiteDB6[[Site Name]:[CCCM Focal Agency]],7,FALSE)</f>
        <v>KMSS-MYT</v>
      </c>
      <c r="EG71" s="754" t="str">
        <f>VLOOKUP(WWWW[[#This Row],[Site Name]],SiteDB6[[Site Name]:[Location Type 1]],9,FALSE)</f>
        <v>Camp</v>
      </c>
      <c r="EH71" s="754" t="str">
        <f>VLOOKUP(WWWW[[#This Row],[Site Name]],SiteDB6[[Site Name]:[Type of Accommodation]],10,FALSE)</f>
        <v>Camp</v>
      </c>
      <c r="EI71" s="754" t="str">
        <f>VLOOKUP(WWWW[[#This Row],[Site Name]],SiteDB6[[Site Name]:[Ethnic or GCA/NGCA]],11,FALSE)</f>
        <v>GCA</v>
      </c>
      <c r="EJ71" s="754">
        <f>VLOOKUP(WWWW[[#This Row],[Site Name]],SiteDB6[[Site Name]:[Lat]],12,FALSE)</f>
        <v>25.415667500000001</v>
      </c>
      <c r="EK71" s="754">
        <f>VLOOKUP(WWWW[[#This Row],[Site Name]],SiteDB6[[Site Name]:[Long]],13,FALSE)</f>
        <v>97.437782499999997</v>
      </c>
      <c r="EL71" s="754" t="str">
        <f>VLOOKUP(WWWW[[#This Row],[Site Name]],SiteDB6[[Site Name]:[Pcode]],3,FALSE)</f>
        <v>MMR001CMP029</v>
      </c>
      <c r="EM71" s="759" t="str">
        <f t="shared" ref="EM71:EM134" si="1">IF(C71="none","Notcovered","Covered")</f>
        <v>Covered</v>
      </c>
      <c r="EN71" s="759"/>
      <c r="EO71" s="754">
        <f>VLOOKUP(WWWW[[#This Row],[Site Name]],SiteDB6[[Site Name]:[Pop
(Kachin/Shan-CCCM as of July 2021)]],16,FALSE)</f>
        <v>276</v>
      </c>
      <c r="EP71" s="754">
        <f>VLOOKUP(WWWW[[#This Row],[Site Name]],SiteDB6[[Site Name]:[Pop
(Kachin/Shan-CCCM as of July 2021)]],17,FALSE)</f>
        <v>1492</v>
      </c>
    </row>
    <row r="72" spans="1:146" hidden="1">
      <c r="A72" s="752" t="s">
        <v>2785</v>
      </c>
      <c r="B72" s="752" t="s">
        <v>36</v>
      </c>
      <c r="C72" s="753" t="s">
        <v>36</v>
      </c>
      <c r="D72" s="753" t="s">
        <v>241</v>
      </c>
      <c r="E72" s="753" t="s">
        <v>37</v>
      </c>
      <c r="F72" s="753" t="s">
        <v>142</v>
      </c>
      <c r="G72" s="594" t="str">
        <f>VLOOKUP(WWWW[[#This Row],[Site Name]],SiteDB6[[Site Name]:[Location Type]],8,FALSE)</f>
        <v>Camp</v>
      </c>
      <c r="H72" s="753" t="s">
        <v>3024</v>
      </c>
      <c r="I72" s="755">
        <v>51</v>
      </c>
      <c r="J72" s="755">
        <v>319</v>
      </c>
      <c r="K72" s="828">
        <v>44414</v>
      </c>
      <c r="L72" s="829">
        <v>44778</v>
      </c>
      <c r="M72" s="755"/>
      <c r="N72" s="755"/>
      <c r="O72" s="755"/>
      <c r="P72" s="755"/>
      <c r="Q72" s="758" t="s">
        <v>41</v>
      </c>
      <c r="R72" s="755">
        <v>3</v>
      </c>
      <c r="S72" s="755">
        <v>4</v>
      </c>
      <c r="T72" s="449">
        <v>2</v>
      </c>
      <c r="U72" s="755"/>
      <c r="V72" s="755"/>
      <c r="W72" s="755"/>
      <c r="X72" s="755"/>
      <c r="Y72" s="755"/>
      <c r="Z72" s="755"/>
      <c r="AA72" s="755"/>
      <c r="AB72" s="755"/>
      <c r="AC72" s="755"/>
      <c r="AD72" s="755"/>
      <c r="AE72" s="755"/>
      <c r="AF72" s="755"/>
      <c r="AG72" s="755"/>
      <c r="AH72" s="755"/>
      <c r="AI72" s="755"/>
      <c r="AJ72" s="755"/>
      <c r="AK72" s="755"/>
      <c r="AL72" s="755"/>
      <c r="AM72" s="755">
        <v>4</v>
      </c>
      <c r="AN72" s="755"/>
      <c r="AO72" s="755"/>
      <c r="AP72" s="759"/>
      <c r="AQ72" s="755">
        <v>98</v>
      </c>
      <c r="AR72" s="755"/>
      <c r="AS72" s="760"/>
      <c r="AT72" s="755"/>
      <c r="AU72" s="755"/>
      <c r="AV72" s="755"/>
      <c r="AW72" s="755"/>
      <c r="AX72" s="755"/>
      <c r="AY72" s="754" t="s">
        <v>41</v>
      </c>
      <c r="AZ72" s="759" t="s">
        <v>137</v>
      </c>
      <c r="BA72" s="755">
        <v>3</v>
      </c>
      <c r="BB72" s="755"/>
      <c r="BC72" s="755"/>
      <c r="BD72" s="449"/>
      <c r="BE72" s="449"/>
      <c r="BF72" s="754"/>
      <c r="BG72" s="755">
        <v>1</v>
      </c>
      <c r="BH72" s="755"/>
      <c r="BI72" s="755"/>
      <c r="BJ72" s="755">
        <v>1</v>
      </c>
      <c r="BK72" s="755"/>
      <c r="BL72" s="755">
        <v>1</v>
      </c>
      <c r="BM72" s="755">
        <v>1</v>
      </c>
      <c r="BN72" s="755">
        <v>6</v>
      </c>
      <c r="BO72" s="755">
        <v>5</v>
      </c>
      <c r="BP72" s="754"/>
      <c r="BQ72" s="761"/>
      <c r="BR72" s="760"/>
      <c r="BS72" s="754"/>
      <c r="BT72" s="424"/>
      <c r="BU72" s="424"/>
      <c r="BV72" s="426"/>
      <c r="BW72" s="424"/>
      <c r="BX72" s="449"/>
      <c r="BY72" s="449"/>
      <c r="BZ72" s="449"/>
      <c r="CA72" s="449"/>
      <c r="CB72" s="449"/>
      <c r="CC72" s="807"/>
      <c r="CD72" s="449"/>
      <c r="CE72" s="762" t="str">
        <f>IFERROR(WWWW[[#This Row],['#_Water sources passed]]/WWWW[[#This Row],['#_Water sources tested for fecal coliform ]],"no test")</f>
        <v>no test</v>
      </c>
      <c r="CF72" s="760" t="str">
        <f>IFERROR(WWWW[[#This Row],['#_Household passed]]/WWWW[[#This Row],['#_Household water samples tested for fecal coliform]],"no test")</f>
        <v>no test</v>
      </c>
      <c r="CG72" s="761" t="str">
        <f>IF(AND(WWWW[[#This Row],[% of water sources passed]]="no test",WWWW[[#This Row],[% Household passed]]="no test"),"No Test","Tested")</f>
        <v>No Test</v>
      </c>
      <c r="CH72" s="761">
        <f>WWWW[[#This Row],['#_Constructed/existing protected hand dug well]]-WWWW[[#This Row],['#_Non-functional protected hand dug well]]</f>
        <v>2</v>
      </c>
      <c r="CI72" s="761">
        <f>(WWWW[[#This Row],['#_Constructed/Existing tube wells/boreholes/handpumps_WASH_agency]]+WWWW[[#This Row],['#_Non-Cluster partner water tube-wells/boreholes/handpumps]])-WWWW[[#This Row],['#_Non-functional tube wells/boreholes/handpumps]]</f>
        <v>0</v>
      </c>
      <c r="CJ72" s="761">
        <f>WWWW[[#This Row],['#_Constructed/Existingwater storage tank with gravity fed reticulation system]]-WWWW[[#This Row],['#_Non-functional storage tank gravity fed reticulation system]]</f>
        <v>0</v>
      </c>
      <c r="CK72" s="761">
        <f>(WWWW[[#This Row],['#_Water_Liters_supplied_by_Water boating or water trucking]]/90)/15</f>
        <v>0</v>
      </c>
      <c r="CL72" s="761">
        <f>WWWW[[#This Row],['#_Water_Liters_from_Constructed/Existing water distribution system from river or natural spring]]/90/15</f>
        <v>0</v>
      </c>
      <c r="CM72" s="425">
        <f>IF(WWWW[[#This Row],['#_of water points in TLS/CFS]]*500&gt;WWWW[[#This Row],[Total PoP ]],WWWW[[#This Row],[Total PoP ]],WWWW[[#This Row],['#_of water points in TLS/CFS]]*500)</f>
        <v>0</v>
      </c>
      <c r="CN72" s="425">
        <f>IF(WWWW[[#This Row],['#_of water points in THF]]*500&gt;WWWW[[#This Row],[Total PoP ]],WWWW[[#This Row],[Total PoP ]],WWWW[[#This Row],['#_of water points in THF]]*500)</f>
        <v>0</v>
      </c>
      <c r="CO7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2" s="760">
        <f>IF(WWWW[[#This Row],[Location Type 1]]="Village",WWWW[[#This Row],[Access to safe drinking water for Village]],WWWW[[#This Row],[Access to safe drinking water for Camp]])</f>
        <v>1</v>
      </c>
      <c r="CR72" s="758">
        <f>WWWW[[#This Row],[%Equitable and continuous access to sufficient quantity of safe drinking water]]*WWWW[[#This Row],[Total PoP ]]</f>
        <v>319</v>
      </c>
      <c r="CS72" s="760">
        <f>IF((WWWW[[#This Row],['#_Constructed/Existing protected/fenced ponds]]*250)/WWWW[[#This Row],[Total PoP ]]&gt;1,1,(WWWW[[#This Row],['#_Constructed/Existing protected/fenced ponds]]*250)/WWWW[[#This Row],[Total PoP ]])</f>
        <v>0</v>
      </c>
      <c r="CT72" s="758">
        <f>WWWW[[#This Row],[% Access to unimproved water points]]*WWWW[[#This Row],[Total PoP ]]</f>
        <v>0</v>
      </c>
      <c r="CU7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W72" s="758">
        <f>WWWW[[#This Row],[HRP1]]/500</f>
        <v>0.63800000000000001</v>
      </c>
      <c r="CX72" s="763">
        <f>1-WWWW[[#This Row],[% Equitable and continuous access to sufficient quantity of domestic water]]</f>
        <v>0</v>
      </c>
      <c r="CY72" s="758">
        <f>WWWW[[#This Row],[%equitable and continuous access to sufficient quantity of safe drinking and domestic water''s GAP]]*WWWW[[#This Row],[Total PoP ]]</f>
        <v>0</v>
      </c>
      <c r="CZ72" s="761">
        <f>IF(WWWW[[#This Row],[Total required water points]]-WWWW[[#This Row],['#Water points coverage]]&lt;0,0,WWWW[[#This Row],[Total required water points]]-WWWW[[#This Row],['#Water points coverage]])</f>
        <v>0.36199999999999999</v>
      </c>
      <c r="DA72" s="761">
        <f>ROUND(IF(WWWW[[#This Row],[Total PoP ]]&lt;500,1,WWWW[[#This Row],[Total PoP ]]/500),0)</f>
        <v>1</v>
      </c>
      <c r="DB72" s="761">
        <f>(WWWW[[#This Row],['#_Constructed latrines_by_WASHAgencies]]+WWWW[[#This Row],['#_Non Cluster partner latrines]])-WWWW[[#This Row],['#_Non-functional latrines]]</f>
        <v>98</v>
      </c>
      <c r="DC72" s="634">
        <f>WWWW[[#This Row],[HRP2]]/WWWW[[#This Row],[Total PoP ]]</f>
        <v>1</v>
      </c>
      <c r="DD7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319</v>
      </c>
      <c r="DE7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2" s="425">
        <f>IF(WWWW[[#This Row],['# of functional latrines in THF supported by WASH partners during the reporting period2]]="",0,WWWW[[#This Row],['# of functional latrines in THF supported by WASH partners during the reporting period2]]*50)</f>
        <v>0</v>
      </c>
      <c r="DH72" s="761">
        <f>ROUND(IF(WWWW[[#This Row],[Location Type 1]]="camp",WWWW[[#This Row],[Total PoP ]]/20,IF(WWWW[[#This Row],[Location Type 1]]="Temporary Location",WWWW[[#This Row],[Total PoP ]]/50,(WWWW[[#This Row],[Total PoP ]]/6))),0)</f>
        <v>16</v>
      </c>
      <c r="DI72" s="761">
        <f>IF(WWWW[[#This Row],[Total required Latrines]]-(WWWW[[#This Row],['#_Constructed latrines_by_WASHAgencies]]+WWWW[[#This Row],['#_Non Cluster partner latrines]])&lt;0,0,WWWW[[#This Row],[Total required Latrines]]-(WWWW[[#This Row],['#_Constructed latrines_by_WASHAgencies]]+WWWW[[#This Row],['#_Non Cluster partner latrines]]))</f>
        <v>0</v>
      </c>
      <c r="DJ72" s="763">
        <f>1-WWWW[[#This Row],[% people access to functioning Latrine]]</f>
        <v>0</v>
      </c>
      <c r="DK72" s="762">
        <f>IF(OR(WWWW[[#This Row],['#_Non-functional latrines]]="",WWWW[[#This Row],['#_Non-functional latrines]]=0),0,WWWW[[#This Row],['#_Non-functional latrines]]/(WWWW[[#This Row],['#_Constructed latrines_by_WASHAgencies]]+WWWW[[#This Row],['#_Non Cluster partner latrines]]))</f>
        <v>0</v>
      </c>
      <c r="DL72" s="758">
        <f>IF(500*(WWWW[[#This Row],['#_male hygiene promoters]]+WWWW[[#This Row],['#_female hygiene promoters]])&gt;WWWW[[#This Row],[Total PoP ]],WWWW[[#This Row],[Total PoP ]],500*(WWWW[[#This Row],['#_male hygiene promoters]]+WWWW[[#This Row],['#_female hygiene promoters]]))</f>
        <v>319</v>
      </c>
      <c r="DM7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2" s="761">
        <f>IF(WWWW[[#This Row],['# People with access to soap]]&gt;WWWW[[#This Row],['# People with access to Sanity Pads]],WWWW[[#This Row],['# People with access to soap]],WWWW[[#This Row],['# People with access to Sanity Pads]])</f>
        <v>30</v>
      </c>
      <c r="DP72" s="761">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Q72" s="763">
        <f>IF(WWWW[[#This Row],[HRP3]]/WWWW[[#This Row],[Total PoP ]]&gt;1,1,WWWW[[#This Row],[HRP3]]/WWWW[[#This Row],[Total PoP ]])</f>
        <v>1</v>
      </c>
      <c r="DR72" s="762">
        <f>1-WWWW[[#This Row],[Hygiene Coverage%]]</f>
        <v>0</v>
      </c>
      <c r="DS72" s="760">
        <f>WWWW[[#This Row],['# people reached by regular dedicated hygiene promotion_5]]/WWWW[[#This Row],[Total PoP ]]</f>
        <v>1</v>
      </c>
      <c r="DT7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0.47058823529411764</v>
      </c>
      <c r="DU7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9.8039215686274508E-2</v>
      </c>
      <c r="DV72" s="761">
        <f>WWWW[[#This Row],['#_Constructed/Existing hand washing stations]]-WWWW[[#This Row],['#_Non-Functional_hand_washing_stations]]</f>
        <v>1</v>
      </c>
      <c r="DW72" s="758">
        <f>IF(WWWW[[#This Row],['# Functional hand washing stations during reporting period]]*20&gt;WWWW[[#This Row],[Total HH]],WWWW[[#This Row],[Total HH]],WWWW[[#This Row],['# Functional hand washing stations during reporting period]]*20)</f>
        <v>20</v>
      </c>
      <c r="DX72" s="758">
        <f>IF(WWWW[[#This Row],[Is sufficient soap available for TLS? (Yes/No)]]="yes",WWWW[[#This Row],['#_Constructed/Existing hand washing stations at TLS/CFS/THF]],0)</f>
        <v>0</v>
      </c>
      <c r="DY72" s="429">
        <f>IF(WWWW[[#This Row],['# Functional hand washing stations during reporting period]]*100&gt;WWWW[[#This Row],[Total PoP ]],WWWW[[#This Row],[Total PoP ]],WWWW[[#This Row],['# Functional hand washing stations during reporting period]]*100)</f>
        <v>100</v>
      </c>
      <c r="DZ72" s="429" t="str">
        <f>IF(OR(WWWW[[#This Row],['#_students at TLS_CFS]]="",WWWW[[#This Row],['#_students at TLS_CFS]]=0),"No","Yes")</f>
        <v>No</v>
      </c>
      <c r="EA7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2" s="754">
        <f>VLOOKUP(WWWW[[#This Row],[Site Name]],SiteDB6[[Site Name]:[CCCM Management]],6,FALSE)</f>
        <v>0</v>
      </c>
      <c r="EF72" s="754">
        <f>VLOOKUP(WWWW[[#This Row],[Site Name]],SiteDB6[[Site Name]:[CCCM Focal Agency]],7,FALSE)</f>
        <v>0</v>
      </c>
      <c r="EG72" s="754" t="str">
        <f>VLOOKUP(WWWW[[#This Row],[Site Name]],SiteDB6[[Site Name]:[Location Type 1]],9,FALSE)</f>
        <v>Camp</v>
      </c>
      <c r="EH72" s="754" t="str">
        <f>VLOOKUP(WWWW[[#This Row],[Site Name]],SiteDB6[[Site Name]:[Type of Accommodation]],10,FALSE)</f>
        <v>Camp</v>
      </c>
      <c r="EI72" s="754" t="str">
        <f>VLOOKUP(WWWW[[#This Row],[Site Name]],SiteDB6[[Site Name]:[Ethnic or GCA/NGCA]],11,FALSE)</f>
        <v>GCA</v>
      </c>
      <c r="EJ72" s="754">
        <f>VLOOKUP(WWWW[[#This Row],[Site Name]],SiteDB6[[Site Name]:[Lat]],12,FALSE)</f>
        <v>25.428995</v>
      </c>
      <c r="EK72" s="754">
        <f>VLOOKUP(WWWW[[#This Row],[Site Name]],SiteDB6[[Site Name]:[Long]],13,FALSE)</f>
        <v>97.957487999999998</v>
      </c>
      <c r="EL72" s="754" t="str">
        <f>VLOOKUP(WWWW[[#This Row],[Site Name]],SiteDB6[[Site Name]:[Pcode]],3,FALSE)</f>
        <v>MMR001CMP279</v>
      </c>
      <c r="EM72" s="759" t="str">
        <f t="shared" si="1"/>
        <v>Covered</v>
      </c>
      <c r="EN72" s="759"/>
      <c r="EO72" s="754">
        <f>VLOOKUP(WWWW[[#This Row],[Site Name]],SiteDB6[[Site Name]:[Pop
(Kachin/Shan-CCCM as of July 2021)]],16,FALSE)</f>
        <v>55</v>
      </c>
      <c r="EP72" s="754">
        <f>VLOOKUP(WWWW[[#This Row],[Site Name]],SiteDB6[[Site Name]:[Pop
(Kachin/Shan-CCCM as of July 2021)]],17,FALSE)</f>
        <v>320</v>
      </c>
    </row>
    <row r="73" spans="1:146" hidden="1">
      <c r="A73" s="752" t="s">
        <v>2785</v>
      </c>
      <c r="B73" s="729" t="s">
        <v>2752</v>
      </c>
      <c r="C73" s="729" t="s">
        <v>2752</v>
      </c>
      <c r="D73" s="370" t="s">
        <v>2753</v>
      </c>
      <c r="E73" s="753" t="s">
        <v>37</v>
      </c>
      <c r="F73" s="753" t="s">
        <v>38</v>
      </c>
      <c r="G73" s="594" t="str">
        <f>VLOOKUP(WWWW[[#This Row],[Site Name]],SiteDB6[[Site Name]:[Location Type]],8,FALSE)</f>
        <v>Camp</v>
      </c>
      <c r="H73" s="753" t="s">
        <v>298</v>
      </c>
      <c r="I73" s="818">
        <v>155</v>
      </c>
      <c r="J73" s="818">
        <v>655</v>
      </c>
      <c r="K73" s="828">
        <v>44409</v>
      </c>
      <c r="L73" s="829">
        <v>44774</v>
      </c>
      <c r="M73" s="755"/>
      <c r="N73" s="755">
        <v>1</v>
      </c>
      <c r="O73" s="755"/>
      <c r="P73" s="755"/>
      <c r="Q73" s="758" t="s">
        <v>41</v>
      </c>
      <c r="R73" s="755"/>
      <c r="S73" s="755"/>
      <c r="T73" s="449"/>
      <c r="U73" s="755"/>
      <c r="V73" s="755"/>
      <c r="W73" s="755"/>
      <c r="X73" s="755">
        <v>1</v>
      </c>
      <c r="Y73" s="755"/>
      <c r="Z73" s="755"/>
      <c r="AA73" s="755"/>
      <c r="AB73" s="755"/>
      <c r="AC73" s="755">
        <v>2</v>
      </c>
      <c r="AD73" s="755"/>
      <c r="AE73" s="755"/>
      <c r="AF73" s="755"/>
      <c r="AG73" s="755"/>
      <c r="AH73" s="755"/>
      <c r="AI73" s="755"/>
      <c r="AJ73" s="755"/>
      <c r="AK73" s="755"/>
      <c r="AL73" s="755"/>
      <c r="AM73" s="755"/>
      <c r="AN73" s="755"/>
      <c r="AO73" s="755"/>
      <c r="AP73" s="759"/>
      <c r="AQ73" s="449">
        <v>18</v>
      </c>
      <c r="AR73" s="755"/>
      <c r="AS73" s="760"/>
      <c r="AT73" s="755"/>
      <c r="AU73" s="755"/>
      <c r="AV73" s="755"/>
      <c r="AW73" s="755"/>
      <c r="AX73" s="755"/>
      <c r="AY73" s="754" t="s">
        <v>140</v>
      </c>
      <c r="AZ73" s="759" t="s">
        <v>140</v>
      </c>
      <c r="BA73" s="755"/>
      <c r="BB73" s="755"/>
      <c r="BC73" s="755"/>
      <c r="BD73" s="449"/>
      <c r="BE73" s="449"/>
      <c r="BF73" s="754"/>
      <c r="BG73" s="449">
        <v>3</v>
      </c>
      <c r="BH73" s="449"/>
      <c r="BI73" s="449"/>
      <c r="BJ73" s="449">
        <v>2</v>
      </c>
      <c r="BK73" s="449"/>
      <c r="BL73" s="755"/>
      <c r="BM73" s="755">
        <v>1</v>
      </c>
      <c r="BN73" s="449">
        <v>88</v>
      </c>
      <c r="BO73" s="755">
        <v>100</v>
      </c>
      <c r="BP73" s="754"/>
      <c r="BQ73" s="761"/>
      <c r="BR73" s="424"/>
      <c r="BS73" s="754"/>
      <c r="BT73" s="424"/>
      <c r="BU73" s="424"/>
      <c r="BV73" s="426"/>
      <c r="BW73" s="424"/>
      <c r="BX73" s="449"/>
      <c r="BY73" s="449"/>
      <c r="BZ73" s="449"/>
      <c r="CA73" s="449"/>
      <c r="CB73" s="449"/>
      <c r="CC73" s="807"/>
      <c r="CD73" s="449"/>
      <c r="CE73" s="762" t="str">
        <f>IFERROR(WWWW[[#This Row],['#_Water sources passed]]/WWWW[[#This Row],['#_Water sources tested for fecal coliform ]],"no test")</f>
        <v>no test</v>
      </c>
      <c r="CF73" s="760" t="str">
        <f>IFERROR(WWWW[[#This Row],['#_Household passed]]/WWWW[[#This Row],['#_Household water samples tested for fecal coliform]],"no test")</f>
        <v>no test</v>
      </c>
      <c r="CG73" s="761" t="str">
        <f>IF(AND(WWWW[[#This Row],[% of water sources passed]]="no test",WWWW[[#This Row],[% Household passed]]="no test"),"No Test","Tested")</f>
        <v>No Test</v>
      </c>
      <c r="CH73" s="761">
        <f>WWWW[[#This Row],['#_Constructed/existing protected hand dug well]]-WWWW[[#This Row],['#_Non-functional protected hand dug well]]</f>
        <v>0</v>
      </c>
      <c r="CI73" s="761">
        <f>(WWWW[[#This Row],['#_Constructed/Existing tube wells/boreholes/handpumps_WASH_agency]]+WWWW[[#This Row],['#_Non-Cluster partner water tube-wells/boreholes/handpumps]])-WWWW[[#This Row],['#_Non-functional tube wells/boreholes/handpumps]]</f>
        <v>1</v>
      </c>
      <c r="CJ73" s="761">
        <f>WWWW[[#This Row],['#_Constructed/Existingwater storage tank with gravity fed reticulation system]]-WWWW[[#This Row],['#_Non-functional storage tank gravity fed reticulation system]]</f>
        <v>0</v>
      </c>
      <c r="CK73" s="761">
        <f>(WWWW[[#This Row],['#_Water_Liters_supplied_by_Water boating or water trucking]]/90)/15</f>
        <v>0</v>
      </c>
      <c r="CL73" s="761">
        <f>WWWW[[#This Row],['#_Water_Liters_from_Constructed/Existing water distribution system from river or natural spring]]/90/15</f>
        <v>0</v>
      </c>
      <c r="CM73" s="425">
        <f>IF(WWWW[[#This Row],['#_of water points in TLS/CFS]]*500&gt;WWWW[[#This Row],[Total PoP ]],WWWW[[#This Row],[Total PoP ]],WWWW[[#This Row],['#_of water points in TLS/CFS]]*500)</f>
        <v>0</v>
      </c>
      <c r="CN73" s="425">
        <f>IF(WWWW[[#This Row],['#_of water points in THF]]*500&gt;WWWW[[#This Row],[Total PoP ]],WWWW[[#This Row],[Total PoP ]],WWWW[[#This Row],['#_of water points in THF]]*500)</f>
        <v>0</v>
      </c>
      <c r="CO7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0.76335877862595425</v>
      </c>
      <c r="CP7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0.38167938931297712</v>
      </c>
      <c r="CQ73" s="760">
        <f>IF(WWWW[[#This Row],[Location Type 1]]="Village",WWWW[[#This Row],[Access to safe drinking water for Village]],WWWW[[#This Row],[Access to safe drinking water for Camp]])</f>
        <v>0.76335877862595425</v>
      </c>
      <c r="CR73" s="758">
        <f>WWWW[[#This Row],[%Equitable and continuous access to sufficient quantity of safe drinking water]]*WWWW[[#This Row],[Total PoP ]]</f>
        <v>500.00000000000006</v>
      </c>
      <c r="CS73" s="760">
        <f>IF((WWWW[[#This Row],['#_Constructed/Existing protected/fenced ponds]]*250)/WWWW[[#This Row],[Total PoP ]]&gt;1,1,(WWWW[[#This Row],['#_Constructed/Existing protected/fenced ponds]]*250)/WWWW[[#This Row],[Total PoP ]])</f>
        <v>0</v>
      </c>
      <c r="CT73" s="758">
        <f>WWWW[[#This Row],[% Access to unimproved water points]]*WWWW[[#This Row],[Total PoP ]]</f>
        <v>0</v>
      </c>
      <c r="CU7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0.76335877862595425</v>
      </c>
      <c r="CV7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W73" s="758">
        <f>WWWW[[#This Row],[HRP1]]/500</f>
        <v>1.0000000000000002</v>
      </c>
      <c r="CX73" s="763">
        <f>1-WWWW[[#This Row],[% Equitable and continuous access to sufficient quantity of domestic water]]</f>
        <v>0.23664122137404575</v>
      </c>
      <c r="CY73" s="758">
        <f>WWWW[[#This Row],[%equitable and continuous access to sufficient quantity of safe drinking and domestic water''s GAP]]*WWWW[[#This Row],[Total PoP ]]</f>
        <v>154.99999999999997</v>
      </c>
      <c r="CZ73" s="761">
        <f>IF(WWWW[[#This Row],[Total required water points]]-WWWW[[#This Row],['#Water points coverage]]&lt;0,0,WWWW[[#This Row],[Total required water points]]-WWWW[[#This Row],['#Water points coverage]])</f>
        <v>0</v>
      </c>
      <c r="DA73" s="761">
        <f>ROUND(IF(WWWW[[#This Row],[Total PoP ]]&lt;500,1,WWWW[[#This Row],[Total PoP ]]/500),0)</f>
        <v>1</v>
      </c>
      <c r="DB73" s="761">
        <f>(WWWW[[#This Row],['#_Constructed latrines_by_WASHAgencies]]+WWWW[[#This Row],['#_Non Cluster partner latrines]])-WWWW[[#This Row],['#_Non-functional latrines]]</f>
        <v>18</v>
      </c>
      <c r="DC73" s="634">
        <f>WWWW[[#This Row],[HRP2]]/WWWW[[#This Row],[Total PoP ]]</f>
        <v>0.54961832061068705</v>
      </c>
      <c r="DD7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7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3" s="425">
        <f>IF(WWWW[[#This Row],['# of functional latrines in THF supported by WASH partners during the reporting period2]]="",0,WWWW[[#This Row],['# of functional latrines in THF supported by WASH partners during the reporting period2]]*50)</f>
        <v>0</v>
      </c>
      <c r="DH73" s="761">
        <f>ROUND(IF(WWWW[[#This Row],[Location Type 1]]="camp",WWWW[[#This Row],[Total PoP ]]/20,IF(WWWW[[#This Row],[Location Type 1]]="Temporary Location",WWWW[[#This Row],[Total PoP ]]/50,(WWWW[[#This Row],[Total PoP ]]/6))),0)</f>
        <v>33</v>
      </c>
      <c r="DI73" s="761">
        <f>IF(WWWW[[#This Row],[Total required Latrines]]-(WWWW[[#This Row],['#_Constructed latrines_by_WASHAgencies]]+WWWW[[#This Row],['#_Non Cluster partner latrines]])&lt;0,0,WWWW[[#This Row],[Total required Latrines]]-(WWWW[[#This Row],['#_Constructed latrines_by_WASHAgencies]]+WWWW[[#This Row],['#_Non Cluster partner latrines]]))</f>
        <v>15</v>
      </c>
      <c r="DJ73" s="763">
        <f>1-WWWW[[#This Row],[% people access to functioning Latrine]]</f>
        <v>0.45038167938931295</v>
      </c>
      <c r="DK73" s="762">
        <f>IF(OR(WWWW[[#This Row],['#_Non-functional latrines]]="",WWWW[[#This Row],['#_Non-functional latrines]]=0),0,WWWW[[#This Row],['#_Non-functional latrines]]/(WWWW[[#This Row],['#_Constructed latrines_by_WASHAgencies]]+WWWW[[#This Row],['#_Non Cluster partner latrines]]))</f>
        <v>0</v>
      </c>
      <c r="DL73" s="758">
        <f>IF(500*(WWWW[[#This Row],['#_male hygiene promoters]]+WWWW[[#This Row],['#_female hygiene promoters]])&gt;WWWW[[#This Row],[Total PoP ]],WWWW[[#This Row],[Total PoP ]],500*(WWWW[[#This Row],['#_male hygiene promoters]]+WWWW[[#This Row],['#_female hygiene promoters]]))</f>
        <v>500</v>
      </c>
      <c r="DM7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7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3" s="761">
        <f>IF(WWWW[[#This Row],['# People with access to soap]]&gt;WWWW[[#This Row],['# People with access to Sanity Pads]],WWWW[[#This Row],['# People with access to soap]],WWWW[[#This Row],['# People with access to Sanity Pads]])</f>
        <v>440</v>
      </c>
      <c r="DP73"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3" s="763">
        <f>IF(WWWW[[#This Row],[HRP3]]/WWWW[[#This Row],[Total PoP ]]&gt;1,1,WWWW[[#This Row],[HRP3]]/WWWW[[#This Row],[Total PoP ]])</f>
        <v>0.76335877862595425</v>
      </c>
      <c r="DR73" s="762">
        <f>1-WWWW[[#This Row],[Hygiene Coverage%]]</f>
        <v>0.23664122137404575</v>
      </c>
      <c r="DS73" s="760">
        <f>WWWW[[#This Row],['# people reached by regular dedicated hygiene promotion_5]]/WWWW[[#This Row],[Total PoP ]]</f>
        <v>0.76335877862595425</v>
      </c>
      <c r="DT7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0.64516129032258063</v>
      </c>
      <c r="DV73" s="761">
        <f>WWWW[[#This Row],['#_Constructed/Existing hand washing stations]]-WWWW[[#This Row],['#_Non-Functional_hand_washing_stations]]</f>
        <v>3</v>
      </c>
      <c r="DW73" s="758">
        <f>IF(WWWW[[#This Row],['# Functional hand washing stations during reporting period]]*20&gt;WWWW[[#This Row],[Total HH]],WWWW[[#This Row],[Total HH]],WWWW[[#This Row],['# Functional hand washing stations during reporting period]]*20)</f>
        <v>60</v>
      </c>
      <c r="DX73" s="758">
        <f>IF(WWWW[[#This Row],[Is sufficient soap available for TLS? (Yes/No)]]="yes",WWWW[[#This Row],['#_Constructed/Existing hand washing stations at TLS/CFS/THF]],0)</f>
        <v>0</v>
      </c>
      <c r="DY73" s="429">
        <f>IF(WWWW[[#This Row],['# Functional hand washing stations during reporting period]]*100&gt;WWWW[[#This Row],[Total PoP ]],WWWW[[#This Row],[Total PoP ]],WWWW[[#This Row],['# Functional hand washing stations during reporting period]]*100)</f>
        <v>300</v>
      </c>
      <c r="DZ73" s="429" t="str">
        <f>IF(OR(WWWW[[#This Row],['#_students at TLS_CFS]]="",WWWW[[#This Row],['#_students at TLS_CFS]]=0),"No","Yes")</f>
        <v>No</v>
      </c>
      <c r="EA7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3" s="754" t="str">
        <f>VLOOKUP(WWWW[[#This Row],[Site Name]],SiteDB6[[Site Name]:[CCCM Management]],6,FALSE)</f>
        <v>Yes</v>
      </c>
      <c r="EF73" s="754" t="str">
        <f>VLOOKUP(WWWW[[#This Row],[Site Name]],SiteDB6[[Site Name]:[CCCM Focal Agency]],7,FALSE)</f>
        <v>KBC-NSS</v>
      </c>
      <c r="EG73" s="754" t="str">
        <f>VLOOKUP(WWWW[[#This Row],[Site Name]],SiteDB6[[Site Name]:[Location Type 1]],9,FALSE)</f>
        <v>Camp</v>
      </c>
      <c r="EH73" s="754" t="str">
        <f>VLOOKUP(WWWW[[#This Row],[Site Name]],SiteDB6[[Site Name]:[Type of Accommodation]],10,FALSE)</f>
        <v>Camp</v>
      </c>
      <c r="EI73" s="754" t="str">
        <f>VLOOKUP(WWWW[[#This Row],[Site Name]],SiteDB6[[Site Name]:[Ethnic or GCA/NGCA]],11,FALSE)</f>
        <v>GCA</v>
      </c>
      <c r="EJ73" s="754">
        <f>VLOOKUP(WWWW[[#This Row],[Site Name]],SiteDB6[[Site Name]:[Lat]],12,FALSE)</f>
        <v>23.83013</v>
      </c>
      <c r="EK73" s="754">
        <f>VLOOKUP(WWWW[[#This Row],[Site Name]],SiteDB6[[Site Name]:[Long]],13,FALSE)</f>
        <v>97.589979999999997</v>
      </c>
      <c r="EL73" s="754" t="str">
        <f>VLOOKUP(WWWW[[#This Row],[Site Name]],SiteDB6[[Site Name]:[Pcode]],3,FALSE)</f>
        <v>MMR001CMP133</v>
      </c>
      <c r="EM73" s="759" t="str">
        <f t="shared" si="1"/>
        <v>Covered</v>
      </c>
      <c r="EN73" s="759"/>
      <c r="EO73" s="754">
        <f>VLOOKUP(WWWW[[#This Row],[Site Name]],SiteDB6[[Site Name]:[Pop
(Kachin/Shan-CCCM as of July 2021)]],16,FALSE)</f>
        <v>132</v>
      </c>
      <c r="EP73" s="754">
        <f>VLOOKUP(WWWW[[#This Row],[Site Name]],SiteDB6[[Site Name]:[Pop
(Kachin/Shan-CCCM as of July 2021)]],17,FALSE)</f>
        <v>630</v>
      </c>
    </row>
    <row r="74" spans="1:146" hidden="1">
      <c r="A74" s="752" t="s">
        <v>2785</v>
      </c>
      <c r="B74" s="729" t="s">
        <v>2752</v>
      </c>
      <c r="C74" s="729" t="s">
        <v>2752</v>
      </c>
      <c r="D74" s="370" t="s">
        <v>2753</v>
      </c>
      <c r="E74" s="753" t="s">
        <v>37</v>
      </c>
      <c r="F74" s="753" t="s">
        <v>38</v>
      </c>
      <c r="G74" s="594" t="str">
        <f>VLOOKUP(WWWW[[#This Row],[Site Name]],SiteDB6[[Site Name]:[Location Type]],8,FALSE)</f>
        <v>Camp</v>
      </c>
      <c r="H74" s="753" t="s">
        <v>300</v>
      </c>
      <c r="I74" s="818">
        <v>119</v>
      </c>
      <c r="J74" s="818">
        <v>538</v>
      </c>
      <c r="K74" s="828">
        <v>44409</v>
      </c>
      <c r="L74" s="829">
        <v>44774</v>
      </c>
      <c r="M74" s="755"/>
      <c r="N74" s="755"/>
      <c r="O74" s="755"/>
      <c r="P74" s="755"/>
      <c r="Q74" s="758"/>
      <c r="R74" s="755"/>
      <c r="S74" s="755"/>
      <c r="T74" s="449"/>
      <c r="U74" s="755"/>
      <c r="V74" s="755"/>
      <c r="W74" s="755"/>
      <c r="X74" s="755">
        <v>2</v>
      </c>
      <c r="Y74" s="755"/>
      <c r="Z74" s="755"/>
      <c r="AA74" s="755">
        <v>2</v>
      </c>
      <c r="AB74" s="755"/>
      <c r="AC74" s="755">
        <v>2</v>
      </c>
      <c r="AD74" s="755"/>
      <c r="AE74" s="755"/>
      <c r="AF74" s="755"/>
      <c r="AG74" s="755"/>
      <c r="AH74" s="755"/>
      <c r="AI74" s="755"/>
      <c r="AJ74" s="755"/>
      <c r="AK74" s="755"/>
      <c r="AL74" s="755"/>
      <c r="AM74" s="755"/>
      <c r="AN74" s="755">
        <v>4</v>
      </c>
      <c r="AO74" s="755"/>
      <c r="AP74" s="759"/>
      <c r="AQ74" s="449">
        <v>29</v>
      </c>
      <c r="AR74" s="755"/>
      <c r="AS74" s="760"/>
      <c r="AT74" s="755"/>
      <c r="AU74" s="755"/>
      <c r="AV74" s="755"/>
      <c r="AW74" s="755"/>
      <c r="AX74" s="755"/>
      <c r="AY74" s="754" t="s">
        <v>140</v>
      </c>
      <c r="AZ74" s="759" t="s">
        <v>140</v>
      </c>
      <c r="BA74" s="755"/>
      <c r="BB74" s="755"/>
      <c r="BC74" s="755"/>
      <c r="BD74" s="449"/>
      <c r="BE74" s="449"/>
      <c r="BF74" s="754"/>
      <c r="BG74" s="449">
        <v>3</v>
      </c>
      <c r="BH74" s="449"/>
      <c r="BI74" s="449"/>
      <c r="BJ74" s="449">
        <v>2</v>
      </c>
      <c r="BK74" s="449"/>
      <c r="BL74" s="755"/>
      <c r="BM74" s="755"/>
      <c r="BN74" s="449">
        <v>10</v>
      </c>
      <c r="BO74" s="755">
        <v>18</v>
      </c>
      <c r="BP74" s="754"/>
      <c r="BQ74" s="761"/>
      <c r="BR74" s="424"/>
      <c r="BS74" s="754"/>
      <c r="BT74" s="424"/>
      <c r="BU74" s="424"/>
      <c r="BV74" s="426"/>
      <c r="BW74" s="424"/>
      <c r="BX74" s="449"/>
      <c r="BY74" s="449"/>
      <c r="BZ74" s="449"/>
      <c r="CA74" s="449"/>
      <c r="CB74" s="449"/>
      <c r="CC74" s="807"/>
      <c r="CD74" s="449"/>
      <c r="CE74" s="762" t="str">
        <f>IFERROR(WWWW[[#This Row],['#_Water sources passed]]/WWWW[[#This Row],['#_Water sources tested for fecal coliform ]],"no test")</f>
        <v>no test</v>
      </c>
      <c r="CF74" s="760" t="str">
        <f>IFERROR(WWWW[[#This Row],['#_Household passed]]/WWWW[[#This Row],['#_Household water samples tested for fecal coliform]],"no test")</f>
        <v>no test</v>
      </c>
      <c r="CG74" s="761" t="str">
        <f>IF(AND(WWWW[[#This Row],[% of water sources passed]]="no test",WWWW[[#This Row],[% Household passed]]="no test"),"No Test","Tested")</f>
        <v>No Test</v>
      </c>
      <c r="CH74" s="761">
        <f>WWWW[[#This Row],['#_Constructed/existing protected hand dug well]]-WWWW[[#This Row],['#_Non-functional protected hand dug well]]</f>
        <v>0</v>
      </c>
      <c r="CI74" s="761">
        <f>(WWWW[[#This Row],['#_Constructed/Existing tube wells/boreholes/handpumps_WASH_agency]]+WWWW[[#This Row],['#_Non-Cluster partner water tube-wells/boreholes/handpumps]])-WWWW[[#This Row],['#_Non-functional tube wells/boreholes/handpumps]]</f>
        <v>2</v>
      </c>
      <c r="CJ74" s="761">
        <f>WWWW[[#This Row],['#_Constructed/Existingwater storage tank with gravity fed reticulation system]]-WWWW[[#This Row],['#_Non-functional storage tank gravity fed reticulation system]]</f>
        <v>2</v>
      </c>
      <c r="CK74" s="761">
        <f>(WWWW[[#This Row],['#_Water_Liters_supplied_by_Water boating or water trucking]]/90)/15</f>
        <v>0</v>
      </c>
      <c r="CL74" s="761">
        <f>WWWW[[#This Row],['#_Water_Liters_from_Constructed/Existing water distribution system from river or natural spring]]/90/15</f>
        <v>0</v>
      </c>
      <c r="CM74" s="425">
        <f>IF(WWWW[[#This Row],['#_of water points in TLS/CFS]]*500&gt;WWWW[[#This Row],[Total PoP ]],WWWW[[#This Row],[Total PoP ]],WWWW[[#This Row],['#_of water points in TLS/CFS]]*500)</f>
        <v>538</v>
      </c>
      <c r="CN74" s="425">
        <f>IF(WWWW[[#This Row],['#_of water points in THF]]*500&gt;WWWW[[#This Row],[Total PoP ]],WWWW[[#This Row],[Total PoP ]],WWWW[[#This Row],['#_of water points in THF]]*500)</f>
        <v>0</v>
      </c>
      <c r="CO7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4" s="760">
        <f>IF(WWWW[[#This Row],[Location Type 1]]="Village",WWWW[[#This Row],[Access to safe drinking water for Village]],WWWW[[#This Row],[Access to safe drinking water for Camp]])</f>
        <v>1</v>
      </c>
      <c r="CR74" s="758">
        <f>WWWW[[#This Row],[%Equitable and continuous access to sufficient quantity of safe drinking water]]*WWWW[[#This Row],[Total PoP ]]</f>
        <v>538</v>
      </c>
      <c r="CS74" s="760">
        <f>IF((WWWW[[#This Row],['#_Constructed/Existing protected/fenced ponds]]*250)/WWWW[[#This Row],[Total PoP ]]&gt;1,1,(WWWW[[#This Row],['#_Constructed/Existing protected/fenced ponds]]*250)/WWWW[[#This Row],[Total PoP ]])</f>
        <v>0</v>
      </c>
      <c r="CT74" s="758">
        <f>WWWW[[#This Row],[% Access to unimproved water points]]*WWWW[[#This Row],[Total PoP ]]</f>
        <v>0</v>
      </c>
      <c r="CU7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74" s="758">
        <f>WWWW[[#This Row],[HRP1]]/500</f>
        <v>1.0760000000000001</v>
      </c>
      <c r="CX74" s="763">
        <f>1-WWWW[[#This Row],[% Equitable and continuous access to sufficient quantity of domestic water]]</f>
        <v>0</v>
      </c>
      <c r="CY74" s="758">
        <f>WWWW[[#This Row],[%equitable and continuous access to sufficient quantity of safe drinking and domestic water''s GAP]]*WWWW[[#This Row],[Total PoP ]]</f>
        <v>0</v>
      </c>
      <c r="CZ74" s="761">
        <f>IF(WWWW[[#This Row],[Total required water points]]-WWWW[[#This Row],['#Water points coverage]]&lt;0,0,WWWW[[#This Row],[Total required water points]]-WWWW[[#This Row],['#Water points coverage]])</f>
        <v>0</v>
      </c>
      <c r="DA74" s="761">
        <f>ROUND(IF(WWWW[[#This Row],[Total PoP ]]&lt;500,1,WWWW[[#This Row],[Total PoP ]]/500),0)</f>
        <v>1</v>
      </c>
      <c r="DB74" s="761">
        <f>(WWWW[[#This Row],['#_Constructed latrines_by_WASHAgencies]]+WWWW[[#This Row],['#_Non Cluster partner latrines]])-WWWW[[#This Row],['#_Non-functional latrines]]</f>
        <v>29</v>
      </c>
      <c r="DC74" s="634">
        <f>WWWW[[#This Row],[HRP2]]/WWWW[[#This Row],[Total PoP ]]</f>
        <v>1</v>
      </c>
      <c r="DD7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7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4" s="425">
        <f>IF(WWWW[[#This Row],['# of functional latrines in THF supported by WASH partners during the reporting period2]]="",0,WWWW[[#This Row],['# of functional latrines in THF supported by WASH partners during the reporting period2]]*50)</f>
        <v>0</v>
      </c>
      <c r="DH74" s="761">
        <f>ROUND(IF(WWWW[[#This Row],[Location Type 1]]="camp",WWWW[[#This Row],[Total PoP ]]/20,IF(WWWW[[#This Row],[Location Type 1]]="Temporary Location",WWWW[[#This Row],[Total PoP ]]/50,(WWWW[[#This Row],[Total PoP ]]/6))),0)</f>
        <v>27</v>
      </c>
      <c r="DI74" s="761">
        <f>IF(WWWW[[#This Row],[Total required Latrines]]-(WWWW[[#This Row],['#_Constructed latrines_by_WASHAgencies]]+WWWW[[#This Row],['#_Non Cluster partner latrines]])&lt;0,0,WWWW[[#This Row],[Total required Latrines]]-(WWWW[[#This Row],['#_Constructed latrines_by_WASHAgencies]]+WWWW[[#This Row],['#_Non Cluster partner latrines]]))</f>
        <v>0</v>
      </c>
      <c r="DJ74" s="763">
        <f>1-WWWW[[#This Row],[% people access to functioning Latrine]]</f>
        <v>0</v>
      </c>
      <c r="DK74" s="762">
        <f>IF(OR(WWWW[[#This Row],['#_Non-functional latrines]]="",WWWW[[#This Row],['#_Non-functional latrines]]=0),0,WWWW[[#This Row],['#_Non-functional latrines]]/(WWWW[[#This Row],['#_Constructed latrines_by_WASHAgencies]]+WWWW[[#This Row],['#_Non Cluster partner latrines]]))</f>
        <v>0</v>
      </c>
      <c r="DL74" s="758">
        <f>IF(500*(WWWW[[#This Row],['#_male hygiene promoters]]+WWWW[[#This Row],['#_female hygiene promoters]])&gt;WWWW[[#This Row],[Total PoP ]],WWWW[[#This Row],[Total PoP ]],500*(WWWW[[#This Row],['#_male hygiene promoters]]+WWWW[[#This Row],['#_female hygiene promoters]]))</f>
        <v>0</v>
      </c>
      <c r="DM7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7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74" s="761">
        <f>IF(WWWW[[#This Row],['# People with access to soap]]&gt;WWWW[[#This Row],['# People with access to Sanity Pads]],WWWW[[#This Row],['# People with access to soap]],WWWW[[#This Row],['# People with access to Sanity Pads]])</f>
        <v>50</v>
      </c>
      <c r="DP74" s="761">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74" s="763">
        <f>IF(WWWW[[#This Row],[HRP3]]/WWWW[[#This Row],[Total PoP ]]&gt;1,1,WWWW[[#This Row],[HRP3]]/WWWW[[#This Row],[Total PoP ]])</f>
        <v>9.2936802973977689E-2</v>
      </c>
      <c r="DR74" s="762">
        <f>1-WWWW[[#This Row],[Hygiene Coverage%]]</f>
        <v>0.90706319702602234</v>
      </c>
      <c r="DS74" s="760">
        <f>WWWW[[#This Row],['# people reached by regular dedicated hygiene promotion_5]]/WWWW[[#This Row],[Total PoP ]]</f>
        <v>0</v>
      </c>
      <c r="DT7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0.33613445378151263</v>
      </c>
      <c r="DU7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0.15126050420168066</v>
      </c>
      <c r="DV74" s="761">
        <f>WWWW[[#This Row],['#_Constructed/Existing hand washing stations]]-WWWW[[#This Row],['#_Non-Functional_hand_washing_stations]]</f>
        <v>3</v>
      </c>
      <c r="DW74" s="758">
        <f>IF(WWWW[[#This Row],['# Functional hand washing stations during reporting period]]*20&gt;WWWW[[#This Row],[Total HH]],WWWW[[#This Row],[Total HH]],WWWW[[#This Row],['# Functional hand washing stations during reporting period]]*20)</f>
        <v>60</v>
      </c>
      <c r="DX74" s="758">
        <f>IF(WWWW[[#This Row],[Is sufficient soap available for TLS? (Yes/No)]]="yes",WWWW[[#This Row],['#_Constructed/Existing hand washing stations at TLS/CFS/THF]],0)</f>
        <v>0</v>
      </c>
      <c r="DY74" s="429">
        <f>IF(WWWW[[#This Row],['# Functional hand washing stations during reporting period]]*100&gt;WWWW[[#This Row],[Total PoP ]],WWWW[[#This Row],[Total PoP ]],WWWW[[#This Row],['# Functional hand washing stations during reporting period]]*100)</f>
        <v>300</v>
      </c>
      <c r="DZ74" s="429" t="str">
        <f>IF(OR(WWWW[[#This Row],['#_students at TLS_CFS]]="",WWWW[[#This Row],['#_students at TLS_CFS]]=0),"No","Yes")</f>
        <v>No</v>
      </c>
      <c r="EA7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538</v>
      </c>
      <c r="ED7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4" s="754" t="str">
        <f>VLOOKUP(WWWW[[#This Row],[Site Name]],SiteDB6[[Site Name]:[CCCM Management]],6,FALSE)</f>
        <v>Yes</v>
      </c>
      <c r="EF74" s="754" t="str">
        <f>VLOOKUP(WWWW[[#This Row],[Site Name]],SiteDB6[[Site Name]:[CCCM Focal Agency]],7,FALSE)</f>
        <v>KBC-NSS</v>
      </c>
      <c r="EG74" s="754" t="str">
        <f>VLOOKUP(WWWW[[#This Row],[Site Name]],SiteDB6[[Site Name]:[Location Type 1]],9,FALSE)</f>
        <v>Camp</v>
      </c>
      <c r="EH74" s="754" t="str">
        <f>VLOOKUP(WWWW[[#This Row],[Site Name]],SiteDB6[[Site Name]:[Type of Accommodation]],10,FALSE)</f>
        <v>Camp</v>
      </c>
      <c r="EI74" s="754" t="str">
        <f>VLOOKUP(WWWW[[#This Row],[Site Name]],SiteDB6[[Site Name]:[Ethnic or GCA/NGCA]],11,FALSE)</f>
        <v>GCA</v>
      </c>
      <c r="EJ74" s="754">
        <f>VLOOKUP(WWWW[[#This Row],[Site Name]],SiteDB6[[Site Name]:[Lat]],12,FALSE)</f>
        <v>23.829599000000002</v>
      </c>
      <c r="EK74" s="754">
        <f>VLOOKUP(WWWW[[#This Row],[Site Name]],SiteDB6[[Site Name]:[Long]],13,FALSE)</f>
        <v>97.590767</v>
      </c>
      <c r="EL74" s="754" t="str">
        <f>VLOOKUP(WWWW[[#This Row],[Site Name]],SiteDB6[[Site Name]:[Pcode]],3,FALSE)</f>
        <v>MMR001CMP230</v>
      </c>
      <c r="EM74" s="759" t="str">
        <f t="shared" si="1"/>
        <v>Covered</v>
      </c>
      <c r="EN74" s="759"/>
      <c r="EO74" s="754">
        <f>VLOOKUP(WWWW[[#This Row],[Site Name]],SiteDB6[[Site Name]:[Pop
(Kachin/Shan-CCCM as of July 2021)]],16,FALSE)</f>
        <v>155</v>
      </c>
      <c r="EP74" s="754">
        <f>VLOOKUP(WWWW[[#This Row],[Site Name]],SiteDB6[[Site Name]:[Pop
(Kachin/Shan-CCCM as of July 2021)]],17,FALSE)</f>
        <v>677</v>
      </c>
    </row>
    <row r="75" spans="1:146" hidden="1">
      <c r="A75" s="752" t="s">
        <v>2785</v>
      </c>
      <c r="B75" s="729" t="s">
        <v>2752</v>
      </c>
      <c r="C75" s="729" t="s">
        <v>2752</v>
      </c>
      <c r="D75" s="370" t="s">
        <v>2753</v>
      </c>
      <c r="E75" s="753" t="s">
        <v>37</v>
      </c>
      <c r="F75" s="753" t="s">
        <v>38</v>
      </c>
      <c r="G75" s="594" t="str">
        <f>VLOOKUP(WWWW[[#This Row],[Site Name]],SiteDB6[[Site Name]:[Location Type]],8,FALSE)</f>
        <v>Camp</v>
      </c>
      <c r="H75" s="753" t="s">
        <v>301</v>
      </c>
      <c r="I75" s="818">
        <v>454</v>
      </c>
      <c r="J75" s="818">
        <v>2354</v>
      </c>
      <c r="K75" s="828">
        <v>44409</v>
      </c>
      <c r="L75" s="829">
        <v>44774</v>
      </c>
      <c r="M75" s="755"/>
      <c r="N75" s="755"/>
      <c r="O75" s="755"/>
      <c r="P75" s="755"/>
      <c r="Q75" s="758"/>
      <c r="R75" s="755"/>
      <c r="S75" s="755"/>
      <c r="T75" s="449"/>
      <c r="U75" s="755"/>
      <c r="V75" s="755"/>
      <c r="W75" s="755"/>
      <c r="X75" s="755">
        <v>1</v>
      </c>
      <c r="Y75" s="755"/>
      <c r="Z75" s="755"/>
      <c r="AA75" s="755">
        <v>2</v>
      </c>
      <c r="AB75" s="755">
        <v>2</v>
      </c>
      <c r="AC75" s="755"/>
      <c r="AD75" s="755"/>
      <c r="AE75" s="755"/>
      <c r="AF75" s="755"/>
      <c r="AG75" s="755"/>
      <c r="AH75" s="755"/>
      <c r="AI75" s="755"/>
      <c r="AJ75" s="755"/>
      <c r="AK75" s="755"/>
      <c r="AL75" s="755"/>
      <c r="AM75" s="755"/>
      <c r="AN75" s="755">
        <v>12</v>
      </c>
      <c r="AO75" s="755"/>
      <c r="AP75" s="759"/>
      <c r="AQ75" s="449">
        <v>147</v>
      </c>
      <c r="AR75" s="755"/>
      <c r="AS75" s="760"/>
      <c r="AT75" s="449"/>
      <c r="AU75" s="755"/>
      <c r="AV75" s="755"/>
      <c r="AW75" s="755"/>
      <c r="AX75" s="755"/>
      <c r="AY75" s="754" t="s">
        <v>140</v>
      </c>
      <c r="AZ75" s="759" t="s">
        <v>140</v>
      </c>
      <c r="BA75" s="755"/>
      <c r="BB75" s="755"/>
      <c r="BC75" s="755"/>
      <c r="BD75" s="449"/>
      <c r="BE75" s="449"/>
      <c r="BF75" s="754"/>
      <c r="BG75" s="449">
        <v>1</v>
      </c>
      <c r="BH75" s="449"/>
      <c r="BI75" s="449"/>
      <c r="BJ75" s="449">
        <v>3</v>
      </c>
      <c r="BK75" s="449"/>
      <c r="BL75" s="755"/>
      <c r="BM75" s="755">
        <v>1</v>
      </c>
      <c r="BN75" s="755">
        <v>41</v>
      </c>
      <c r="BO75" s="755">
        <v>85</v>
      </c>
      <c r="BP75" s="754"/>
      <c r="BQ75" s="761"/>
      <c r="BR75" s="424"/>
      <c r="BS75" s="754"/>
      <c r="BT75" s="424"/>
      <c r="BU75" s="424"/>
      <c r="BV75" s="426"/>
      <c r="BW75" s="424"/>
      <c r="BX75" s="449"/>
      <c r="BY75" s="449"/>
      <c r="BZ75" s="449"/>
      <c r="CA75" s="449"/>
      <c r="CB75" s="449"/>
      <c r="CC75" s="807"/>
      <c r="CD75" s="449"/>
      <c r="CE75" s="762" t="str">
        <f>IFERROR(WWWW[[#This Row],['#_Water sources passed]]/WWWW[[#This Row],['#_Water sources tested for fecal coliform ]],"no test")</f>
        <v>no test</v>
      </c>
      <c r="CF75" s="760" t="str">
        <f>IFERROR(WWWW[[#This Row],['#_Household passed]]/WWWW[[#This Row],['#_Household water samples tested for fecal coliform]],"no test")</f>
        <v>no test</v>
      </c>
      <c r="CG75" s="761" t="str">
        <f>IF(AND(WWWW[[#This Row],[% of water sources passed]]="no test",WWWW[[#This Row],[% Household passed]]="no test"),"No Test","Tested")</f>
        <v>No Test</v>
      </c>
      <c r="CH75" s="761">
        <f>WWWW[[#This Row],['#_Constructed/existing protected hand dug well]]-WWWW[[#This Row],['#_Non-functional protected hand dug well]]</f>
        <v>0</v>
      </c>
      <c r="CI75" s="761">
        <f>(WWWW[[#This Row],['#_Constructed/Existing tube wells/boreholes/handpumps_WASH_agency]]+WWWW[[#This Row],['#_Non-Cluster partner water tube-wells/boreholes/handpumps]])-WWWW[[#This Row],['#_Non-functional tube wells/boreholes/handpumps]]</f>
        <v>1</v>
      </c>
      <c r="CJ75" s="761">
        <f>WWWW[[#This Row],['#_Constructed/Existingwater storage tank with gravity fed reticulation system]]-WWWW[[#This Row],['#_Non-functional storage tank gravity fed reticulation system]]</f>
        <v>0</v>
      </c>
      <c r="CK75" s="761">
        <f>(WWWW[[#This Row],['#_Water_Liters_supplied_by_Water boating or water trucking]]/90)/15</f>
        <v>0</v>
      </c>
      <c r="CL75" s="761">
        <f>WWWW[[#This Row],['#_Water_Liters_from_Constructed/Existing water distribution system from river or natural spring]]/90/15</f>
        <v>0</v>
      </c>
      <c r="CM75" s="425">
        <f>IF(WWWW[[#This Row],['#_of water points in TLS/CFS]]*500&gt;WWWW[[#This Row],[Total PoP ]],WWWW[[#This Row],[Total PoP ]],WWWW[[#This Row],['#_of water points in TLS/CFS]]*500)</f>
        <v>2354</v>
      </c>
      <c r="CN75" s="425">
        <f>IF(WWWW[[#This Row],['#_of water points in THF]]*500&gt;WWWW[[#This Row],[Total PoP ]],WWWW[[#This Row],[Total PoP ]],WWWW[[#This Row],['#_of water points in THF]]*500)</f>
        <v>0</v>
      </c>
      <c r="CO7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0.21240441801189464</v>
      </c>
      <c r="CP7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0.10620220900594732</v>
      </c>
      <c r="CQ75" s="760">
        <f>IF(WWWW[[#This Row],[Location Type 1]]="Village",WWWW[[#This Row],[Access to safe drinking water for Village]],WWWW[[#This Row],[Access to safe drinking water for Camp]])</f>
        <v>0.21240441801189464</v>
      </c>
      <c r="CR75" s="758">
        <f>WWWW[[#This Row],[%Equitable and continuous access to sufficient quantity of safe drinking water]]*WWWW[[#This Row],[Total PoP ]]</f>
        <v>500</v>
      </c>
      <c r="CS75" s="760">
        <f>IF((WWWW[[#This Row],['#_Constructed/Existing protected/fenced ponds]]*250)/WWWW[[#This Row],[Total PoP ]]&gt;1,1,(WWWW[[#This Row],['#_Constructed/Existing protected/fenced ponds]]*250)/WWWW[[#This Row],[Total PoP ]])</f>
        <v>0</v>
      </c>
      <c r="CT75" s="758">
        <f>WWWW[[#This Row],[% Access to unimproved water points]]*WWWW[[#This Row],[Total PoP ]]</f>
        <v>0</v>
      </c>
      <c r="CU7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0.21240441801189464</v>
      </c>
      <c r="CV7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75" s="758">
        <f>WWWW[[#This Row],[HRP1]]/500</f>
        <v>1</v>
      </c>
      <c r="CX75" s="763">
        <f>1-WWWW[[#This Row],[% Equitable and continuous access to sufficient quantity of domestic water]]</f>
        <v>0.78759558198810531</v>
      </c>
      <c r="CY75" s="758">
        <f>WWWW[[#This Row],[%equitable and continuous access to sufficient quantity of safe drinking and domestic water''s GAP]]*WWWW[[#This Row],[Total PoP ]]</f>
        <v>1854</v>
      </c>
      <c r="CZ75" s="761">
        <f>IF(WWWW[[#This Row],[Total required water points]]-WWWW[[#This Row],['#Water points coverage]]&lt;0,0,WWWW[[#This Row],[Total required water points]]-WWWW[[#This Row],['#Water points coverage]])</f>
        <v>4</v>
      </c>
      <c r="DA75" s="761">
        <f>ROUND(IF(WWWW[[#This Row],[Total PoP ]]&lt;500,1,WWWW[[#This Row],[Total PoP ]]/500),0)</f>
        <v>5</v>
      </c>
      <c r="DB75" s="761">
        <f>(WWWW[[#This Row],['#_Constructed latrines_by_WASHAgencies]]+WWWW[[#This Row],['#_Non Cluster partner latrines]])-WWWW[[#This Row],['#_Non-functional latrines]]</f>
        <v>147</v>
      </c>
      <c r="DC75" s="634">
        <f>WWWW[[#This Row],[HRP2]]/WWWW[[#This Row],[Total PoP ]]</f>
        <v>1</v>
      </c>
      <c r="DD7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2354</v>
      </c>
      <c r="DE7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5" s="425">
        <f>IF(WWWW[[#This Row],['# of functional latrines in THF supported by WASH partners during the reporting period2]]="",0,WWWW[[#This Row],['# of functional latrines in THF supported by WASH partners during the reporting period2]]*50)</f>
        <v>0</v>
      </c>
      <c r="DH75" s="761">
        <f>ROUND(IF(WWWW[[#This Row],[Location Type 1]]="camp",WWWW[[#This Row],[Total PoP ]]/20,IF(WWWW[[#This Row],[Location Type 1]]="Temporary Location",WWWW[[#This Row],[Total PoP ]]/50,(WWWW[[#This Row],[Total PoP ]]/6))),0)</f>
        <v>118</v>
      </c>
      <c r="DI75" s="761">
        <f>IF(WWWW[[#This Row],[Total required Latrines]]-(WWWW[[#This Row],['#_Constructed latrines_by_WASHAgencies]]+WWWW[[#This Row],['#_Non Cluster partner latrines]])&lt;0,0,WWWW[[#This Row],[Total required Latrines]]-(WWWW[[#This Row],['#_Constructed latrines_by_WASHAgencies]]+WWWW[[#This Row],['#_Non Cluster partner latrines]]))</f>
        <v>0</v>
      </c>
      <c r="DJ75" s="763">
        <f>1-WWWW[[#This Row],[% people access to functioning Latrine]]</f>
        <v>0</v>
      </c>
      <c r="DK75" s="762">
        <f>IF(OR(WWWW[[#This Row],['#_Non-functional latrines]]="",WWWW[[#This Row],['#_Non-functional latrines]]=0),0,WWWW[[#This Row],['#_Non-functional latrines]]/(WWWW[[#This Row],['#_Constructed latrines_by_WASHAgencies]]+WWWW[[#This Row],['#_Non Cluster partner latrines]]))</f>
        <v>0</v>
      </c>
      <c r="DL75" s="758">
        <f>IF(500*(WWWW[[#This Row],['#_male hygiene promoters]]+WWWW[[#This Row],['#_female hygiene promoters]])&gt;WWWW[[#This Row],[Total PoP ]],WWWW[[#This Row],[Total PoP ]],500*(WWWW[[#This Row],['#_male hygiene promoters]]+WWWW[[#This Row],['#_female hygiene promoters]]))</f>
        <v>500</v>
      </c>
      <c r="DM7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7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75" s="761">
        <f>IF(WWWW[[#This Row],['# People with access to soap]]&gt;WWWW[[#This Row],['# People with access to Sanity Pads]],WWWW[[#This Row],['# People with access to soap]],WWWW[[#This Row],['# People with access to Sanity Pads]])</f>
        <v>205</v>
      </c>
      <c r="DP75"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75" s="763">
        <f>IF(WWWW[[#This Row],[HRP3]]/WWWW[[#This Row],[Total PoP ]]&gt;1,1,WWWW[[#This Row],[HRP3]]/WWWW[[#This Row],[Total PoP ]])</f>
        <v>0.21240441801189464</v>
      </c>
      <c r="DR75" s="762">
        <f>1-WWWW[[#This Row],[Hygiene Coverage%]]</f>
        <v>0.78759558198810531</v>
      </c>
      <c r="DS75" s="760">
        <f>WWWW[[#This Row],['# people reached by regular dedicated hygiene promotion_5]]/WWWW[[#This Row],[Total PoP ]]</f>
        <v>0.21240441801189464</v>
      </c>
      <c r="DT7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0.36123348017621143</v>
      </c>
      <c r="DU7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0.18722466960352424</v>
      </c>
      <c r="DV75" s="761">
        <f>WWWW[[#This Row],['#_Constructed/Existing hand washing stations]]-WWWW[[#This Row],['#_Non-Functional_hand_washing_stations]]</f>
        <v>1</v>
      </c>
      <c r="DW75" s="758">
        <f>IF(WWWW[[#This Row],['# Functional hand washing stations during reporting period]]*20&gt;WWWW[[#This Row],[Total HH]],WWWW[[#This Row],[Total HH]],WWWW[[#This Row],['# Functional hand washing stations during reporting period]]*20)</f>
        <v>20</v>
      </c>
      <c r="DX75" s="758">
        <f>IF(WWWW[[#This Row],[Is sufficient soap available for TLS? (Yes/No)]]="yes",WWWW[[#This Row],['#_Constructed/Existing hand washing stations at TLS/CFS/THF]],0)</f>
        <v>0</v>
      </c>
      <c r="DY75" s="429">
        <f>IF(WWWW[[#This Row],['# Functional hand washing stations during reporting period]]*100&gt;WWWW[[#This Row],[Total PoP ]],WWWW[[#This Row],[Total PoP ]],WWWW[[#This Row],['# Functional hand washing stations during reporting period]]*100)</f>
        <v>100</v>
      </c>
      <c r="DZ75" s="429" t="str">
        <f>IF(OR(WWWW[[#This Row],['#_students at TLS_CFS]]="",WWWW[[#This Row],['#_students at TLS_CFS]]=0),"No","Yes")</f>
        <v>No</v>
      </c>
      <c r="EA7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2354</v>
      </c>
      <c r="ED7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5" s="754" t="str">
        <f>VLOOKUP(WWWW[[#This Row],[Site Name]],SiteDB6[[Site Name]:[CCCM Management]],6,FALSE)</f>
        <v>Yes</v>
      </c>
      <c r="EF75" s="754" t="str">
        <f>VLOOKUP(WWWW[[#This Row],[Site Name]],SiteDB6[[Site Name]:[CCCM Focal Agency]],7,FALSE)</f>
        <v>KMSS-BMO</v>
      </c>
      <c r="EG75" s="754" t="str">
        <f>VLOOKUP(WWWW[[#This Row],[Site Name]],SiteDB6[[Site Name]:[Location Type 1]],9,FALSE)</f>
        <v>Camp</v>
      </c>
      <c r="EH75" s="754" t="str">
        <f>VLOOKUP(WWWW[[#This Row],[Site Name]],SiteDB6[[Site Name]:[Type of Accommodation]],10,FALSE)</f>
        <v>Camp</v>
      </c>
      <c r="EI75" s="754" t="str">
        <f>VLOOKUP(WWWW[[#This Row],[Site Name]],SiteDB6[[Site Name]:[Ethnic or GCA/NGCA]],11,FALSE)</f>
        <v>GCA</v>
      </c>
      <c r="EJ75" s="754">
        <f>VLOOKUP(WWWW[[#This Row],[Site Name]],SiteDB6[[Site Name]:[Lat]],12,FALSE)</f>
        <v>23.835319999999999</v>
      </c>
      <c r="EK75" s="754">
        <f>VLOOKUP(WWWW[[#This Row],[Site Name]],SiteDB6[[Site Name]:[Long]],13,FALSE)</f>
        <v>97.578490000000002</v>
      </c>
      <c r="EL75" s="754" t="str">
        <f>VLOOKUP(WWWW[[#This Row],[Site Name]],SiteDB6[[Site Name]:[Pcode]],3,FALSE)</f>
        <v>MMR001CMP132</v>
      </c>
      <c r="EM75" s="759" t="str">
        <f t="shared" si="1"/>
        <v>Covered</v>
      </c>
      <c r="EN75" s="759"/>
      <c r="EO75" s="754">
        <f>VLOOKUP(WWWW[[#This Row],[Site Name]],SiteDB6[[Site Name]:[Pop
(Kachin/Shan-CCCM as of July 2021)]],16,FALSE)</f>
        <v>622</v>
      </c>
      <c r="EP75" s="754">
        <f>VLOOKUP(WWWW[[#This Row],[Site Name]],SiteDB6[[Site Name]:[Pop
(Kachin/Shan-CCCM as of July 2021)]],17,FALSE)</f>
        <v>3302</v>
      </c>
    </row>
    <row r="76" spans="1:146" hidden="1">
      <c r="A76" s="752" t="s">
        <v>2785</v>
      </c>
      <c r="B76" s="729" t="s">
        <v>2752</v>
      </c>
      <c r="C76" s="729" t="s">
        <v>2752</v>
      </c>
      <c r="D76" s="370" t="s">
        <v>2753</v>
      </c>
      <c r="E76" s="753" t="s">
        <v>37</v>
      </c>
      <c r="F76" s="753" t="s">
        <v>38</v>
      </c>
      <c r="G76" s="594" t="str">
        <f>VLOOKUP(WWWW[[#This Row],[Site Name]],SiteDB6[[Site Name]:[Location Type]],8,FALSE)</f>
        <v>Camp</v>
      </c>
      <c r="H76" s="753" t="s">
        <v>302</v>
      </c>
      <c r="I76" s="818">
        <v>142</v>
      </c>
      <c r="J76" s="818">
        <v>737</v>
      </c>
      <c r="K76" s="828">
        <v>44409</v>
      </c>
      <c r="L76" s="829">
        <v>44774</v>
      </c>
      <c r="M76" s="755"/>
      <c r="N76" s="755"/>
      <c r="O76" s="755"/>
      <c r="P76" s="755"/>
      <c r="Q76" s="758"/>
      <c r="R76" s="755"/>
      <c r="S76" s="755"/>
      <c r="T76" s="449">
        <v>1</v>
      </c>
      <c r="U76" s="755"/>
      <c r="V76" s="755"/>
      <c r="W76" s="755"/>
      <c r="X76" s="755">
        <v>1</v>
      </c>
      <c r="Y76" s="755"/>
      <c r="Z76" s="755"/>
      <c r="AA76" s="755"/>
      <c r="AB76" s="755"/>
      <c r="AC76" s="755"/>
      <c r="AD76" s="755"/>
      <c r="AE76" s="755"/>
      <c r="AF76" s="755"/>
      <c r="AG76" s="755"/>
      <c r="AH76" s="755"/>
      <c r="AI76" s="755"/>
      <c r="AJ76" s="755"/>
      <c r="AK76" s="755"/>
      <c r="AL76" s="755"/>
      <c r="AM76" s="755"/>
      <c r="AN76" s="755"/>
      <c r="AO76" s="755"/>
      <c r="AP76" s="759"/>
      <c r="AQ76" s="449">
        <v>48</v>
      </c>
      <c r="AR76" s="755"/>
      <c r="AS76" s="760"/>
      <c r="AT76" s="755"/>
      <c r="AU76" s="755"/>
      <c r="AV76" s="755"/>
      <c r="AW76" s="755"/>
      <c r="AX76" s="755"/>
      <c r="AY76" s="754" t="s">
        <v>140</v>
      </c>
      <c r="AZ76" s="759" t="s">
        <v>140</v>
      </c>
      <c r="BA76" s="755"/>
      <c r="BB76" s="755"/>
      <c r="BC76" s="755"/>
      <c r="BD76" s="449"/>
      <c r="BE76" s="449"/>
      <c r="BF76" s="754"/>
      <c r="BG76" s="449">
        <v>1</v>
      </c>
      <c r="BH76" s="449"/>
      <c r="BI76" s="449"/>
      <c r="BJ76" s="449">
        <v>1</v>
      </c>
      <c r="BK76" s="449"/>
      <c r="BL76" s="755"/>
      <c r="BM76" s="755"/>
      <c r="BN76" s="755">
        <v>6</v>
      </c>
      <c r="BO76" s="755">
        <v>5</v>
      </c>
      <c r="BP76" s="754"/>
      <c r="BQ76" s="761"/>
      <c r="BR76" s="424"/>
      <c r="BS76" s="754"/>
      <c r="BT76" s="424"/>
      <c r="BU76" s="424"/>
      <c r="BV76" s="426"/>
      <c r="BW76" s="424"/>
      <c r="BX76" s="449"/>
      <c r="BY76" s="449"/>
      <c r="BZ76" s="449"/>
      <c r="CA76" s="449"/>
      <c r="CB76" s="449"/>
      <c r="CC76" s="807"/>
      <c r="CD76" s="449"/>
      <c r="CE76" s="762" t="str">
        <f>IFERROR(WWWW[[#This Row],['#_Water sources passed]]/WWWW[[#This Row],['#_Water sources tested for fecal coliform ]],"no test")</f>
        <v>no test</v>
      </c>
      <c r="CF76" s="760" t="str">
        <f>IFERROR(WWWW[[#This Row],['#_Household passed]]/WWWW[[#This Row],['#_Household water samples tested for fecal coliform]],"no test")</f>
        <v>no test</v>
      </c>
      <c r="CG76" s="761" t="str">
        <f>IF(AND(WWWW[[#This Row],[% of water sources passed]]="no test",WWWW[[#This Row],[% Household passed]]="no test"),"No Test","Tested")</f>
        <v>No Test</v>
      </c>
      <c r="CH76" s="761">
        <f>WWWW[[#This Row],['#_Constructed/existing protected hand dug well]]-WWWW[[#This Row],['#_Non-functional protected hand dug well]]</f>
        <v>1</v>
      </c>
      <c r="CI76" s="761">
        <f>(WWWW[[#This Row],['#_Constructed/Existing tube wells/boreholes/handpumps_WASH_agency]]+WWWW[[#This Row],['#_Non-Cluster partner water tube-wells/boreholes/handpumps]])-WWWW[[#This Row],['#_Non-functional tube wells/boreholes/handpumps]]</f>
        <v>1</v>
      </c>
      <c r="CJ76" s="761">
        <f>WWWW[[#This Row],['#_Constructed/Existingwater storage tank with gravity fed reticulation system]]-WWWW[[#This Row],['#_Non-functional storage tank gravity fed reticulation system]]</f>
        <v>0</v>
      </c>
      <c r="CK76" s="761">
        <f>(WWWW[[#This Row],['#_Water_Liters_supplied_by_Water boating or water trucking]]/90)/15</f>
        <v>0</v>
      </c>
      <c r="CL76" s="761">
        <f>WWWW[[#This Row],['#_Water_Liters_from_Constructed/Existing water distribution system from river or natural spring]]/90/15</f>
        <v>0</v>
      </c>
      <c r="CM76" s="425">
        <f>IF(WWWW[[#This Row],['#_of water points in TLS/CFS]]*500&gt;WWWW[[#This Row],[Total PoP ]],WWWW[[#This Row],[Total PoP ]],WWWW[[#This Row],['#_of water points in TLS/CFS]]*500)</f>
        <v>0</v>
      </c>
      <c r="CN76" s="425">
        <f>IF(WWWW[[#This Row],['#_of water points in THF]]*500&gt;WWWW[[#This Row],[Total PoP ]],WWWW[[#This Row],[Total PoP ]],WWWW[[#This Row],['#_of water points in THF]]*500)</f>
        <v>0</v>
      </c>
      <c r="CO7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0.67842605156037994</v>
      </c>
      <c r="CQ76" s="760">
        <f>IF(WWWW[[#This Row],[Location Type 1]]="Village",WWWW[[#This Row],[Access to safe drinking water for Village]],WWWW[[#This Row],[Access to safe drinking water for Camp]])</f>
        <v>1</v>
      </c>
      <c r="CR76" s="758">
        <f>WWWW[[#This Row],[%Equitable and continuous access to sufficient quantity of safe drinking water]]*WWWW[[#This Row],[Total PoP ]]</f>
        <v>737</v>
      </c>
      <c r="CS76" s="760">
        <f>IF((WWWW[[#This Row],['#_Constructed/Existing protected/fenced ponds]]*250)/WWWW[[#This Row],[Total PoP ]]&gt;1,1,(WWWW[[#This Row],['#_Constructed/Existing protected/fenced ponds]]*250)/WWWW[[#This Row],[Total PoP ]])</f>
        <v>0</v>
      </c>
      <c r="CT76" s="758">
        <f>WWWW[[#This Row],[% Access to unimproved water points]]*WWWW[[#This Row],[Total PoP ]]</f>
        <v>0</v>
      </c>
      <c r="CU7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W76" s="758">
        <f>WWWW[[#This Row],[HRP1]]/500</f>
        <v>1.474</v>
      </c>
      <c r="CX76" s="763">
        <f>1-WWWW[[#This Row],[% Equitable and continuous access to sufficient quantity of domestic water]]</f>
        <v>0</v>
      </c>
      <c r="CY76" s="758">
        <f>WWWW[[#This Row],[%equitable and continuous access to sufficient quantity of safe drinking and domestic water''s GAP]]*WWWW[[#This Row],[Total PoP ]]</f>
        <v>0</v>
      </c>
      <c r="CZ76" s="761">
        <f>IF(WWWW[[#This Row],[Total required water points]]-WWWW[[#This Row],['#Water points coverage]]&lt;0,0,WWWW[[#This Row],[Total required water points]]-WWWW[[#This Row],['#Water points coverage]])</f>
        <v>0</v>
      </c>
      <c r="DA76" s="761">
        <f>ROUND(IF(WWWW[[#This Row],[Total PoP ]]&lt;500,1,WWWW[[#This Row],[Total PoP ]]/500),0)</f>
        <v>1</v>
      </c>
      <c r="DB76" s="761">
        <f>(WWWW[[#This Row],['#_Constructed latrines_by_WASHAgencies]]+WWWW[[#This Row],['#_Non Cluster partner latrines]])-WWWW[[#This Row],['#_Non-functional latrines]]</f>
        <v>48</v>
      </c>
      <c r="DC76" s="634">
        <f>WWWW[[#This Row],[HRP2]]/WWWW[[#This Row],[Total PoP ]]</f>
        <v>1</v>
      </c>
      <c r="DD7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7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6" s="425">
        <f>IF(WWWW[[#This Row],['# of functional latrines in THF supported by WASH partners during the reporting period2]]="",0,WWWW[[#This Row],['# of functional latrines in THF supported by WASH partners during the reporting period2]]*50)</f>
        <v>0</v>
      </c>
      <c r="DH76" s="761">
        <f>ROUND(IF(WWWW[[#This Row],[Location Type 1]]="camp",WWWW[[#This Row],[Total PoP ]]/20,IF(WWWW[[#This Row],[Location Type 1]]="Temporary Location",WWWW[[#This Row],[Total PoP ]]/50,(WWWW[[#This Row],[Total PoP ]]/6))),0)</f>
        <v>37</v>
      </c>
      <c r="DI76" s="761">
        <f>IF(WWWW[[#This Row],[Total required Latrines]]-(WWWW[[#This Row],['#_Constructed latrines_by_WASHAgencies]]+WWWW[[#This Row],['#_Non Cluster partner latrines]])&lt;0,0,WWWW[[#This Row],[Total required Latrines]]-(WWWW[[#This Row],['#_Constructed latrines_by_WASHAgencies]]+WWWW[[#This Row],['#_Non Cluster partner latrines]]))</f>
        <v>0</v>
      </c>
      <c r="DJ76" s="763">
        <f>1-WWWW[[#This Row],[% people access to functioning Latrine]]</f>
        <v>0</v>
      </c>
      <c r="DK76" s="762">
        <f>IF(OR(WWWW[[#This Row],['#_Non-functional latrines]]="",WWWW[[#This Row],['#_Non-functional latrines]]=0),0,WWWW[[#This Row],['#_Non-functional latrines]]/(WWWW[[#This Row],['#_Constructed latrines_by_WASHAgencies]]+WWWW[[#This Row],['#_Non Cluster partner latrines]]))</f>
        <v>0</v>
      </c>
      <c r="DL76" s="758">
        <f>IF(500*(WWWW[[#This Row],['#_male hygiene promoters]]+WWWW[[#This Row],['#_female hygiene promoters]])&gt;WWWW[[#This Row],[Total PoP ]],WWWW[[#This Row],[Total PoP ]],500*(WWWW[[#This Row],['#_male hygiene promoters]]+WWWW[[#This Row],['#_female hygiene promoters]]))</f>
        <v>0</v>
      </c>
      <c r="DM7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7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76" s="761">
        <f>IF(WWWW[[#This Row],['# People with access to soap]]&gt;WWWW[[#This Row],['# People with access to Sanity Pads]],WWWW[[#This Row],['# People with access to soap]],WWWW[[#This Row],['# People with access to Sanity Pads]])</f>
        <v>30</v>
      </c>
      <c r="DP76"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76" s="763">
        <f>IF(WWWW[[#This Row],[HRP3]]/WWWW[[#This Row],[Total PoP ]]&gt;1,1,WWWW[[#This Row],[HRP3]]/WWWW[[#This Row],[Total PoP ]])</f>
        <v>4.0705563093622797E-2</v>
      </c>
      <c r="DR76" s="762">
        <f>1-WWWW[[#This Row],[Hygiene Coverage%]]</f>
        <v>0.95929443690637717</v>
      </c>
      <c r="DS76" s="760">
        <f>WWWW[[#This Row],['# people reached by regular dedicated hygiene promotion_5]]/WWWW[[#This Row],[Total PoP ]]</f>
        <v>0</v>
      </c>
      <c r="DT7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0.16901408450704225</v>
      </c>
      <c r="DU7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3.5211267605633804E-2</v>
      </c>
      <c r="DV76" s="761">
        <f>WWWW[[#This Row],['#_Constructed/Existing hand washing stations]]-WWWW[[#This Row],['#_Non-Functional_hand_washing_stations]]</f>
        <v>1</v>
      </c>
      <c r="DW76" s="758">
        <f>IF(WWWW[[#This Row],['# Functional hand washing stations during reporting period]]*20&gt;WWWW[[#This Row],[Total HH]],WWWW[[#This Row],[Total HH]],WWWW[[#This Row],['# Functional hand washing stations during reporting period]]*20)</f>
        <v>20</v>
      </c>
      <c r="DX76" s="758">
        <f>IF(WWWW[[#This Row],[Is sufficient soap available for TLS? (Yes/No)]]="yes",WWWW[[#This Row],['#_Constructed/Existing hand washing stations at TLS/CFS/THF]],0)</f>
        <v>0</v>
      </c>
      <c r="DY76" s="429">
        <f>IF(WWWW[[#This Row],['# Functional hand washing stations during reporting period]]*100&gt;WWWW[[#This Row],[Total PoP ]],WWWW[[#This Row],[Total PoP ]],WWWW[[#This Row],['# Functional hand washing stations during reporting period]]*100)</f>
        <v>100</v>
      </c>
      <c r="DZ76" s="429" t="str">
        <f>IF(OR(WWWW[[#This Row],['#_students at TLS_CFS]]="",WWWW[[#This Row],['#_students at TLS_CFS]]=0),"No","Yes")</f>
        <v>No</v>
      </c>
      <c r="EA7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6" s="754" t="str">
        <f>VLOOKUP(WWWW[[#This Row],[Site Name]],SiteDB6[[Site Name]:[CCCM Management]],6,FALSE)</f>
        <v>Yes</v>
      </c>
      <c r="EF76" s="754" t="str">
        <f>VLOOKUP(WWWW[[#This Row],[Site Name]],SiteDB6[[Site Name]:[CCCM Focal Agency]],7,FALSE)</f>
        <v>KMSS-BMO</v>
      </c>
      <c r="EG76" s="754" t="str">
        <f>VLOOKUP(WWWW[[#This Row],[Site Name]],SiteDB6[[Site Name]:[Location Type 1]],9,FALSE)</f>
        <v>Camp</v>
      </c>
      <c r="EH76" s="754" t="str">
        <f>VLOOKUP(WWWW[[#This Row],[Site Name]],SiteDB6[[Site Name]:[Type of Accommodation]],10,FALSE)</f>
        <v>Camp</v>
      </c>
      <c r="EI76" s="754" t="str">
        <f>VLOOKUP(WWWW[[#This Row],[Site Name]],SiteDB6[[Site Name]:[Ethnic or GCA/NGCA]],11,FALSE)</f>
        <v>GCA</v>
      </c>
      <c r="EJ76" s="754">
        <f>VLOOKUP(WWWW[[#This Row],[Site Name]],SiteDB6[[Site Name]:[Lat]],12,FALSE)</f>
        <v>23.833477999999999</v>
      </c>
      <c r="EK76" s="754">
        <f>VLOOKUP(WWWW[[#This Row],[Site Name]],SiteDB6[[Site Name]:[Long]],13,FALSE)</f>
        <v>97.578367</v>
      </c>
      <c r="EL76" s="754" t="str">
        <f>VLOOKUP(WWWW[[#This Row],[Site Name]],SiteDB6[[Site Name]:[Pcode]],3,FALSE)</f>
        <v>MMR001CMP228</v>
      </c>
      <c r="EM76" s="759" t="str">
        <f t="shared" si="1"/>
        <v>Covered</v>
      </c>
      <c r="EN76" s="759"/>
      <c r="EO76" s="754">
        <f>VLOOKUP(WWWW[[#This Row],[Site Name]],SiteDB6[[Site Name]:[Pop
(Kachin/Shan-CCCM as of July 2021)]],16,FALSE)</f>
        <v>142</v>
      </c>
      <c r="EP76" s="754">
        <f>VLOOKUP(WWWW[[#This Row],[Site Name]],SiteDB6[[Site Name]:[Pop
(Kachin/Shan-CCCM as of July 2021)]],17,FALSE)</f>
        <v>830</v>
      </c>
    </row>
    <row r="77" spans="1:146" hidden="1">
      <c r="A77" s="752" t="s">
        <v>2785</v>
      </c>
      <c r="B77" s="752" t="s">
        <v>192</v>
      </c>
      <c r="C77" s="753" t="s">
        <v>192</v>
      </c>
      <c r="D77" s="753" t="s">
        <v>2701</v>
      </c>
      <c r="E77" s="753" t="s">
        <v>37</v>
      </c>
      <c r="F77" s="753" t="s">
        <v>195</v>
      </c>
      <c r="G77" s="594" t="str">
        <f>VLOOKUP(WWWW[[#This Row],[Site Name]],SiteDB6[[Site Name]:[Location Type]],8,FALSE)</f>
        <v>Camp</v>
      </c>
      <c r="H77" s="753" t="s">
        <v>196</v>
      </c>
      <c r="I77" s="755">
        <v>11</v>
      </c>
      <c r="J77" s="755">
        <v>51</v>
      </c>
      <c r="K77" s="756" t="s">
        <v>2692</v>
      </c>
      <c r="L77" s="757" t="s">
        <v>2702</v>
      </c>
      <c r="M77" s="755"/>
      <c r="N77" s="755"/>
      <c r="O77" s="755"/>
      <c r="P77" s="755"/>
      <c r="Q77" s="758" t="s">
        <v>136</v>
      </c>
      <c r="R77" s="755"/>
      <c r="S77" s="755">
        <v>1</v>
      </c>
      <c r="T77" s="449"/>
      <c r="U77" s="755"/>
      <c r="V77" s="755"/>
      <c r="W77" s="755"/>
      <c r="X77" s="755">
        <v>1</v>
      </c>
      <c r="Y77" s="755"/>
      <c r="Z77" s="755"/>
      <c r="AA77" s="755"/>
      <c r="AB77" s="755"/>
      <c r="AC77" s="755"/>
      <c r="AD77" s="755"/>
      <c r="AE77" s="755"/>
      <c r="AF77" s="755"/>
      <c r="AG77" s="755"/>
      <c r="AH77" s="755"/>
      <c r="AI77" s="755"/>
      <c r="AJ77" s="755"/>
      <c r="AK77" s="755"/>
      <c r="AL77" s="755"/>
      <c r="AM77" s="755"/>
      <c r="AN77" s="755"/>
      <c r="AO77" s="755"/>
      <c r="AP77" s="759"/>
      <c r="AQ77" s="755">
        <v>2</v>
      </c>
      <c r="AR77" s="755"/>
      <c r="AS77" s="760"/>
      <c r="AT77" s="755"/>
      <c r="AU77" s="755"/>
      <c r="AV77" s="755"/>
      <c r="AW77" s="755"/>
      <c r="AX77" s="755"/>
      <c r="AY77" s="754" t="s">
        <v>41</v>
      </c>
      <c r="AZ77" s="759" t="s">
        <v>140</v>
      </c>
      <c r="BA77" s="755"/>
      <c r="BB77" s="755"/>
      <c r="BC77" s="755"/>
      <c r="BD77" s="449"/>
      <c r="BE77" s="449"/>
      <c r="BF77" s="754"/>
      <c r="BG77" s="755">
        <v>7</v>
      </c>
      <c r="BH77" s="755"/>
      <c r="BI77" s="755"/>
      <c r="BJ77" s="755">
        <v>7</v>
      </c>
      <c r="BK77" s="755"/>
      <c r="BL77" s="755"/>
      <c r="BM77" s="755"/>
      <c r="BN77" s="755">
        <v>104</v>
      </c>
      <c r="BO77" s="755">
        <v>148</v>
      </c>
      <c r="BP77" s="754"/>
      <c r="BQ77" s="761"/>
      <c r="BR77" s="760"/>
      <c r="BS77" s="754"/>
      <c r="BT77" s="424"/>
      <c r="BU77" s="424"/>
      <c r="BV77" s="426"/>
      <c r="BW77" s="424"/>
      <c r="BX77" s="449"/>
      <c r="BY77" s="449"/>
      <c r="BZ77" s="449"/>
      <c r="CA77" s="449"/>
      <c r="CB77" s="449"/>
      <c r="CC77" s="807"/>
      <c r="CD77" s="449"/>
      <c r="CE77" s="762" t="str">
        <f>IFERROR(WWWW[[#This Row],['#_Water sources passed]]/WWWW[[#This Row],['#_Water sources tested for fecal coliform ]],"no test")</f>
        <v>no test</v>
      </c>
      <c r="CF77" s="760" t="str">
        <f>IFERROR(WWWW[[#This Row],['#_Household passed]]/WWWW[[#This Row],['#_Household water samples tested for fecal coliform]],"no test")</f>
        <v>no test</v>
      </c>
      <c r="CG77" s="761" t="str">
        <f>IF(AND(WWWW[[#This Row],[% of water sources passed]]="no test",WWWW[[#This Row],[% Household passed]]="no test"),"No Test","Tested")</f>
        <v>No Test</v>
      </c>
      <c r="CH77" s="761">
        <f>WWWW[[#This Row],['#_Constructed/existing protected hand dug well]]-WWWW[[#This Row],['#_Non-functional protected hand dug well]]</f>
        <v>0</v>
      </c>
      <c r="CI77" s="761">
        <f>(WWWW[[#This Row],['#_Constructed/Existing tube wells/boreholes/handpumps_WASH_agency]]+WWWW[[#This Row],['#_Non-Cluster partner water tube-wells/boreholes/handpumps]])-WWWW[[#This Row],['#_Non-functional tube wells/boreholes/handpumps]]</f>
        <v>1</v>
      </c>
      <c r="CJ77" s="761">
        <f>WWWW[[#This Row],['#_Constructed/Existingwater storage tank with gravity fed reticulation system]]-WWWW[[#This Row],['#_Non-functional storage tank gravity fed reticulation system]]</f>
        <v>0</v>
      </c>
      <c r="CK77" s="761">
        <f>(WWWW[[#This Row],['#_Water_Liters_supplied_by_Water boating or water trucking]]/90)/15</f>
        <v>0</v>
      </c>
      <c r="CL77" s="761">
        <f>WWWW[[#This Row],['#_Water_Liters_from_Constructed/Existing water distribution system from river or natural spring]]/90/15</f>
        <v>0</v>
      </c>
      <c r="CM77" s="425">
        <f>IF(WWWW[[#This Row],['#_of water points in TLS/CFS]]*500&gt;WWWW[[#This Row],[Total PoP ]],WWWW[[#This Row],[Total PoP ]],WWWW[[#This Row],['#_of water points in TLS/CFS]]*500)</f>
        <v>0</v>
      </c>
      <c r="CN77" s="425">
        <f>IF(WWWW[[#This Row],['#_of water points in THF]]*500&gt;WWWW[[#This Row],[Total PoP ]],WWWW[[#This Row],[Total PoP ]],WWWW[[#This Row],['#_of water points in THF]]*500)</f>
        <v>0</v>
      </c>
      <c r="CO7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7" s="760">
        <f>IF(WWWW[[#This Row],[Location Type 1]]="Village",WWWW[[#This Row],[Access to safe drinking water for Village]],WWWW[[#This Row],[Access to safe drinking water for Camp]])</f>
        <v>1</v>
      </c>
      <c r="CR77" s="758">
        <f>WWWW[[#This Row],[%Equitable and continuous access to sufficient quantity of safe drinking water]]*WWWW[[#This Row],[Total PoP ]]</f>
        <v>51</v>
      </c>
      <c r="CS77" s="760">
        <f>IF((WWWW[[#This Row],['#_Constructed/Existing protected/fenced ponds]]*250)/WWWW[[#This Row],[Total PoP ]]&gt;1,1,(WWWW[[#This Row],['#_Constructed/Existing protected/fenced ponds]]*250)/WWWW[[#This Row],[Total PoP ]])</f>
        <v>0</v>
      </c>
      <c r="CT77" s="758">
        <f>WWWW[[#This Row],[% Access to unimproved water points]]*WWWW[[#This Row],[Total PoP ]]</f>
        <v>0</v>
      </c>
      <c r="CU7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W77" s="758">
        <f>WWWW[[#This Row],[HRP1]]/500</f>
        <v>0.10199999999999999</v>
      </c>
      <c r="CX77" s="763">
        <f>1-WWWW[[#This Row],[% Equitable and continuous access to sufficient quantity of domestic water]]</f>
        <v>0</v>
      </c>
      <c r="CY77" s="758">
        <f>WWWW[[#This Row],[%equitable and continuous access to sufficient quantity of safe drinking and domestic water''s GAP]]*WWWW[[#This Row],[Total PoP ]]</f>
        <v>0</v>
      </c>
      <c r="CZ77" s="761">
        <f>IF(WWWW[[#This Row],[Total required water points]]-WWWW[[#This Row],['#Water points coverage]]&lt;0,0,WWWW[[#This Row],[Total required water points]]-WWWW[[#This Row],['#Water points coverage]])</f>
        <v>0.89800000000000002</v>
      </c>
      <c r="DA77" s="761">
        <f>ROUND(IF(WWWW[[#This Row],[Total PoP ]]&lt;500,1,WWWW[[#This Row],[Total PoP ]]/500),0)</f>
        <v>1</v>
      </c>
      <c r="DB77" s="761">
        <f>(WWWW[[#This Row],['#_Constructed latrines_by_WASHAgencies]]+WWWW[[#This Row],['#_Non Cluster partner latrines]])-WWWW[[#This Row],['#_Non-functional latrines]]</f>
        <v>2</v>
      </c>
      <c r="DC77" s="634">
        <f>WWWW[[#This Row],[HRP2]]/WWWW[[#This Row],[Total PoP ]]</f>
        <v>0.78431372549019607</v>
      </c>
      <c r="DD7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7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7" s="425">
        <f>IF(WWWW[[#This Row],['# of functional latrines in THF supported by WASH partners during the reporting period2]]="",0,WWWW[[#This Row],['# of functional latrines in THF supported by WASH partners during the reporting period2]]*50)</f>
        <v>0</v>
      </c>
      <c r="DH77" s="761">
        <f>ROUND(IF(WWWW[[#This Row],[Location Type 1]]="camp",WWWW[[#This Row],[Total PoP ]]/20,IF(WWWW[[#This Row],[Location Type 1]]="Temporary Location",WWWW[[#This Row],[Total PoP ]]/50,(WWWW[[#This Row],[Total PoP ]]/6))),0)</f>
        <v>3</v>
      </c>
      <c r="DI77" s="761">
        <f>IF(WWWW[[#This Row],[Total required Latrines]]-(WWWW[[#This Row],['#_Constructed latrines_by_WASHAgencies]]+WWWW[[#This Row],['#_Non Cluster partner latrines]])&lt;0,0,WWWW[[#This Row],[Total required Latrines]]-(WWWW[[#This Row],['#_Constructed latrines_by_WASHAgencies]]+WWWW[[#This Row],['#_Non Cluster partner latrines]]))</f>
        <v>1</v>
      </c>
      <c r="DJ77" s="763">
        <f>1-WWWW[[#This Row],[% people access to functioning Latrine]]</f>
        <v>0.21568627450980393</v>
      </c>
      <c r="DK77" s="762">
        <f>IF(OR(WWWW[[#This Row],['#_Non-functional latrines]]="",WWWW[[#This Row],['#_Non-functional latrines]]=0),0,WWWW[[#This Row],['#_Non-functional latrines]]/(WWWW[[#This Row],['#_Constructed latrines_by_WASHAgencies]]+WWWW[[#This Row],['#_Non Cluster partner latrines]]))</f>
        <v>0</v>
      </c>
      <c r="DL77" s="758">
        <f>IF(500*(WWWW[[#This Row],['#_male hygiene promoters]]+WWWW[[#This Row],['#_female hygiene promoters]])&gt;WWWW[[#This Row],[Total PoP ]],WWWW[[#This Row],[Total PoP ]],500*(WWWW[[#This Row],['#_male hygiene promoters]]+WWWW[[#This Row],['#_female hygiene promoters]]))</f>
        <v>0</v>
      </c>
      <c r="DM7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v>
      </c>
      <c r="DN7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51</v>
      </c>
      <c r="DO77" s="761">
        <f>IF(WWWW[[#This Row],['# People with access to soap]]&gt;WWWW[[#This Row],['# People with access to Sanity Pads]],WWWW[[#This Row],['# People with access to soap]],WWWW[[#This Row],['# People with access to Sanity Pads]])</f>
        <v>51</v>
      </c>
      <c r="DP77" s="761">
        <f>IF(WWWW[[#This Row],['# people reached by regular dedicated hygiene promotion_5]]&gt;WWWW[[#This Row],['# People received regular supply of hygiene items_6]],WWWW[[#This Row],['# people reached by regular dedicated hygiene promotion_5]],WWWW[[#This Row],['# People received regular supply of hygiene items_6]])</f>
        <v>51</v>
      </c>
      <c r="DQ77" s="763">
        <f>IF(WWWW[[#This Row],[HRP3]]/WWWW[[#This Row],[Total PoP ]]&gt;1,1,WWWW[[#This Row],[HRP3]]/WWWW[[#This Row],[Total PoP ]])</f>
        <v>1</v>
      </c>
      <c r="DR77" s="762">
        <f>1-WWWW[[#This Row],[Hygiene Coverage%]]</f>
        <v>0</v>
      </c>
      <c r="DS77" s="760">
        <f>WWWW[[#This Row],['# people reached by regular dedicated hygiene promotion_5]]/WWWW[[#This Row],[Total PoP ]]</f>
        <v>0</v>
      </c>
      <c r="DT7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7" s="761">
        <f>WWWW[[#This Row],['#_Constructed/Existing hand washing stations]]-WWWW[[#This Row],['#_Non-Functional_hand_washing_stations]]</f>
        <v>7</v>
      </c>
      <c r="DW77" s="758">
        <f>IF(WWWW[[#This Row],['# Functional hand washing stations during reporting period]]*20&gt;WWWW[[#This Row],[Total HH]],WWWW[[#This Row],[Total HH]],WWWW[[#This Row],['# Functional hand washing stations during reporting period]]*20)</f>
        <v>11</v>
      </c>
      <c r="DX77" s="758">
        <f>IF(WWWW[[#This Row],[Is sufficient soap available for TLS? (Yes/No)]]="yes",WWWW[[#This Row],['#_Constructed/Existing hand washing stations at TLS/CFS/THF]],0)</f>
        <v>0</v>
      </c>
      <c r="DY77" s="429">
        <f>IF(WWWW[[#This Row],['# Functional hand washing stations during reporting period]]*100&gt;WWWW[[#This Row],[Total PoP ]],WWWW[[#This Row],[Total PoP ]],WWWW[[#This Row],['# Functional hand washing stations during reporting period]]*100)</f>
        <v>51</v>
      </c>
      <c r="DZ77" s="429" t="str">
        <f>IF(OR(WWWW[[#This Row],['#_students at TLS_CFS]]="",WWWW[[#This Row],['#_students at TLS_CFS]]=0),"No","Yes")</f>
        <v>No</v>
      </c>
      <c r="EA7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7" s="754" t="str">
        <f>VLOOKUP(WWWW[[#This Row],[Site Name]],SiteDB6[[Site Name]:[CCCM Management]],6,FALSE)</f>
        <v>Yes</v>
      </c>
      <c r="EF77" s="754" t="str">
        <f>VLOOKUP(WWWW[[#This Row],[Site Name]],SiteDB6[[Site Name]:[CCCM Focal Agency]],7,FALSE)</f>
        <v>KBC-BMO</v>
      </c>
      <c r="EG77" s="754" t="str">
        <f>VLOOKUP(WWWW[[#This Row],[Site Name]],SiteDB6[[Site Name]:[Location Type 1]],9,FALSE)</f>
        <v>Camp</v>
      </c>
      <c r="EH77" s="754" t="str">
        <f>VLOOKUP(WWWW[[#This Row],[Site Name]],SiteDB6[[Site Name]:[Type of Accommodation]],10,FALSE)</f>
        <v>Camp</v>
      </c>
      <c r="EI77" s="754" t="str">
        <f>VLOOKUP(WWWW[[#This Row],[Site Name]],SiteDB6[[Site Name]:[Ethnic or GCA/NGCA]],11,FALSE)</f>
        <v>GCA</v>
      </c>
      <c r="EJ77" s="754">
        <f>VLOOKUP(WWWW[[#This Row],[Site Name]],SiteDB6[[Site Name]:[Lat]],12,FALSE)</f>
        <v>24.260466999999998</v>
      </c>
      <c r="EK77" s="754">
        <f>VLOOKUP(WWWW[[#This Row],[Site Name]],SiteDB6[[Site Name]:[Long]],13,FALSE)</f>
        <v>97.252650000000003</v>
      </c>
      <c r="EL77" s="754" t="str">
        <f>VLOOKUP(WWWW[[#This Row],[Site Name]],SiteDB6[[Site Name]:[Pcode]],3,FALSE)</f>
        <v>MMR001CMP194</v>
      </c>
      <c r="EM77" s="759" t="str">
        <f t="shared" si="1"/>
        <v>Covered</v>
      </c>
      <c r="EN77" s="759"/>
      <c r="EO77" s="754">
        <f>VLOOKUP(WWWW[[#This Row],[Site Name]],SiteDB6[[Site Name]:[Pop
(Kachin/Shan-CCCM as of July 2021)]],16,FALSE)</f>
        <v>9</v>
      </c>
      <c r="EP77" s="754">
        <f>VLOOKUP(WWWW[[#This Row],[Site Name]],SiteDB6[[Site Name]:[Pop
(Kachin/Shan-CCCM as of July 2021)]],17,FALSE)</f>
        <v>37</v>
      </c>
    </row>
    <row r="78" spans="1:146" hidden="1">
      <c r="A78" s="752" t="s">
        <v>2785</v>
      </c>
      <c r="B78" s="752" t="s">
        <v>192</v>
      </c>
      <c r="C78" s="753" t="s">
        <v>192</v>
      </c>
      <c r="D78" s="753" t="s">
        <v>2701</v>
      </c>
      <c r="E78" s="753" t="s">
        <v>37</v>
      </c>
      <c r="F78" s="753" t="s">
        <v>195</v>
      </c>
      <c r="G78" s="594" t="str">
        <f>VLOOKUP(WWWW[[#This Row],[Site Name]],SiteDB6[[Site Name]:[Location Type]],8,FALSE)</f>
        <v>Camp</v>
      </c>
      <c r="H78" s="753" t="s">
        <v>198</v>
      </c>
      <c r="I78" s="755">
        <v>36</v>
      </c>
      <c r="J78" s="755">
        <v>222</v>
      </c>
      <c r="K78" s="756" t="s">
        <v>2692</v>
      </c>
      <c r="L78" s="757" t="s">
        <v>2702</v>
      </c>
      <c r="M78" s="755"/>
      <c r="N78" s="755"/>
      <c r="O78" s="755"/>
      <c r="P78" s="755"/>
      <c r="Q78" s="758" t="s">
        <v>41</v>
      </c>
      <c r="R78" s="755">
        <v>1</v>
      </c>
      <c r="S78" s="755">
        <v>2</v>
      </c>
      <c r="T78" s="449">
        <v>1</v>
      </c>
      <c r="U78" s="755"/>
      <c r="V78" s="755"/>
      <c r="W78" s="755"/>
      <c r="X78" s="755">
        <v>2</v>
      </c>
      <c r="Y78" s="755"/>
      <c r="Z78" s="755"/>
      <c r="AA78" s="755"/>
      <c r="AB78" s="755"/>
      <c r="AC78" s="755"/>
      <c r="AD78" s="755"/>
      <c r="AE78" s="755"/>
      <c r="AF78" s="755"/>
      <c r="AG78" s="755"/>
      <c r="AH78" s="755"/>
      <c r="AI78" s="755"/>
      <c r="AJ78" s="755"/>
      <c r="AK78" s="755"/>
      <c r="AL78" s="755"/>
      <c r="AM78" s="755"/>
      <c r="AN78" s="755"/>
      <c r="AO78" s="755"/>
      <c r="AP78" s="759"/>
      <c r="AQ78" s="755">
        <v>7</v>
      </c>
      <c r="AR78" s="755"/>
      <c r="AS78" s="760"/>
      <c r="AT78" s="755"/>
      <c r="AU78" s="755"/>
      <c r="AV78" s="755"/>
      <c r="AW78" s="755"/>
      <c r="AX78" s="755"/>
      <c r="AY78" s="754" t="s">
        <v>41</v>
      </c>
      <c r="AZ78" s="759" t="s">
        <v>137</v>
      </c>
      <c r="BA78" s="755"/>
      <c r="BB78" s="755"/>
      <c r="BC78" s="755"/>
      <c r="BD78" s="449"/>
      <c r="BE78" s="449"/>
      <c r="BF78" s="754"/>
      <c r="BG78" s="755">
        <v>7</v>
      </c>
      <c r="BH78" s="755"/>
      <c r="BI78" s="755"/>
      <c r="BJ78" s="755">
        <v>7</v>
      </c>
      <c r="BK78" s="755"/>
      <c r="BL78" s="755"/>
      <c r="BM78" s="755">
        <v>1</v>
      </c>
      <c r="BN78" s="755">
        <v>104</v>
      </c>
      <c r="BO78" s="755">
        <v>148</v>
      </c>
      <c r="BP78" s="754"/>
      <c r="BQ78" s="761"/>
      <c r="BR78" s="760"/>
      <c r="BS78" s="754"/>
      <c r="BT78" s="424"/>
      <c r="BU78" s="424"/>
      <c r="BV78" s="426"/>
      <c r="BW78" s="424"/>
      <c r="BX78" s="449"/>
      <c r="BY78" s="449"/>
      <c r="BZ78" s="449"/>
      <c r="CA78" s="449"/>
      <c r="CB78" s="449"/>
      <c r="CC78" s="807"/>
      <c r="CD78" s="449"/>
      <c r="CE78" s="762" t="str">
        <f>IFERROR(WWWW[[#This Row],['#_Water sources passed]]/WWWW[[#This Row],['#_Water sources tested for fecal coliform ]],"no test")</f>
        <v>no test</v>
      </c>
      <c r="CF78" s="760" t="str">
        <f>IFERROR(WWWW[[#This Row],['#_Household passed]]/WWWW[[#This Row],['#_Household water samples tested for fecal coliform]],"no test")</f>
        <v>no test</v>
      </c>
      <c r="CG78" s="761" t="str">
        <f>IF(AND(WWWW[[#This Row],[% of water sources passed]]="no test",WWWW[[#This Row],[% Household passed]]="no test"),"No Test","Tested")</f>
        <v>No Test</v>
      </c>
      <c r="CH78" s="761">
        <f>WWWW[[#This Row],['#_Constructed/existing protected hand dug well]]-WWWW[[#This Row],['#_Non-functional protected hand dug well]]</f>
        <v>1</v>
      </c>
      <c r="CI78" s="761">
        <f>(WWWW[[#This Row],['#_Constructed/Existing tube wells/boreholes/handpumps_WASH_agency]]+WWWW[[#This Row],['#_Non-Cluster partner water tube-wells/boreholes/handpumps]])-WWWW[[#This Row],['#_Non-functional tube wells/boreholes/handpumps]]</f>
        <v>2</v>
      </c>
      <c r="CJ78" s="761">
        <f>WWWW[[#This Row],['#_Constructed/Existingwater storage tank with gravity fed reticulation system]]-WWWW[[#This Row],['#_Non-functional storage tank gravity fed reticulation system]]</f>
        <v>0</v>
      </c>
      <c r="CK78" s="761">
        <f>(WWWW[[#This Row],['#_Water_Liters_supplied_by_Water boating or water trucking]]/90)/15</f>
        <v>0</v>
      </c>
      <c r="CL78" s="761">
        <f>WWWW[[#This Row],['#_Water_Liters_from_Constructed/Existing water distribution system from river or natural spring]]/90/15</f>
        <v>0</v>
      </c>
      <c r="CM78" s="425">
        <f>IF(WWWW[[#This Row],['#_of water points in TLS/CFS]]*500&gt;WWWW[[#This Row],[Total PoP ]],WWWW[[#This Row],[Total PoP ]],WWWW[[#This Row],['#_of water points in TLS/CFS]]*500)</f>
        <v>0</v>
      </c>
      <c r="CN78" s="425">
        <f>IF(WWWW[[#This Row],['#_of water points in THF]]*500&gt;WWWW[[#This Row],[Total PoP ]],WWWW[[#This Row],[Total PoP ]],WWWW[[#This Row],['#_of water points in THF]]*500)</f>
        <v>0</v>
      </c>
      <c r="CO7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8" s="760">
        <f>IF(WWWW[[#This Row],[Location Type 1]]="Village",WWWW[[#This Row],[Access to safe drinking water for Village]],WWWW[[#This Row],[Access to safe drinking water for Camp]])</f>
        <v>1</v>
      </c>
      <c r="CR78" s="758">
        <f>WWWW[[#This Row],[%Equitable and continuous access to sufficient quantity of safe drinking water]]*WWWW[[#This Row],[Total PoP ]]</f>
        <v>222</v>
      </c>
      <c r="CS78" s="760">
        <f>IF((WWWW[[#This Row],['#_Constructed/Existing protected/fenced ponds]]*250)/WWWW[[#This Row],[Total PoP ]]&gt;1,1,(WWWW[[#This Row],['#_Constructed/Existing protected/fenced ponds]]*250)/WWWW[[#This Row],[Total PoP ]])</f>
        <v>0</v>
      </c>
      <c r="CT78" s="758">
        <f>WWWW[[#This Row],[% Access to unimproved water points]]*WWWW[[#This Row],[Total PoP ]]</f>
        <v>0</v>
      </c>
      <c r="CU7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78" s="758">
        <f>WWWW[[#This Row],[HRP1]]/500</f>
        <v>0.44400000000000001</v>
      </c>
      <c r="CX78" s="763">
        <f>1-WWWW[[#This Row],[% Equitable and continuous access to sufficient quantity of domestic water]]</f>
        <v>0</v>
      </c>
      <c r="CY78" s="758">
        <f>WWWW[[#This Row],[%equitable and continuous access to sufficient quantity of safe drinking and domestic water''s GAP]]*WWWW[[#This Row],[Total PoP ]]</f>
        <v>0</v>
      </c>
      <c r="CZ78" s="761">
        <f>IF(WWWW[[#This Row],[Total required water points]]-WWWW[[#This Row],['#Water points coverage]]&lt;0,0,WWWW[[#This Row],[Total required water points]]-WWWW[[#This Row],['#Water points coverage]])</f>
        <v>0.55600000000000005</v>
      </c>
      <c r="DA78" s="761">
        <f>ROUND(IF(WWWW[[#This Row],[Total PoP ]]&lt;500,1,WWWW[[#This Row],[Total PoP ]]/500),0)</f>
        <v>1</v>
      </c>
      <c r="DB78" s="761">
        <f>(WWWW[[#This Row],['#_Constructed latrines_by_WASHAgencies]]+WWWW[[#This Row],['#_Non Cluster partner latrines]])-WWWW[[#This Row],['#_Non-functional latrines]]</f>
        <v>7</v>
      </c>
      <c r="DC78" s="634">
        <f>WWWW[[#This Row],[HRP2]]/WWWW[[#This Row],[Total PoP ]]</f>
        <v>0.63063063063063063</v>
      </c>
      <c r="DD7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7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8" s="425">
        <f>IF(WWWW[[#This Row],['# of functional latrines in THF supported by WASH partners during the reporting period2]]="",0,WWWW[[#This Row],['# of functional latrines in THF supported by WASH partners during the reporting period2]]*50)</f>
        <v>0</v>
      </c>
      <c r="DH78" s="761">
        <f>ROUND(IF(WWWW[[#This Row],[Location Type 1]]="camp",WWWW[[#This Row],[Total PoP ]]/20,IF(WWWW[[#This Row],[Location Type 1]]="Temporary Location",WWWW[[#This Row],[Total PoP ]]/50,(WWWW[[#This Row],[Total PoP ]]/6))),0)</f>
        <v>11</v>
      </c>
      <c r="DI78" s="761">
        <f>IF(WWWW[[#This Row],[Total required Latrines]]-(WWWW[[#This Row],['#_Constructed latrines_by_WASHAgencies]]+WWWW[[#This Row],['#_Non Cluster partner latrines]])&lt;0,0,WWWW[[#This Row],[Total required Latrines]]-(WWWW[[#This Row],['#_Constructed latrines_by_WASHAgencies]]+WWWW[[#This Row],['#_Non Cluster partner latrines]]))</f>
        <v>4</v>
      </c>
      <c r="DJ78" s="763">
        <f>1-WWWW[[#This Row],[% people access to functioning Latrine]]</f>
        <v>0.36936936936936937</v>
      </c>
      <c r="DK78" s="762">
        <f>IF(OR(WWWW[[#This Row],['#_Non-functional latrines]]="",WWWW[[#This Row],['#_Non-functional latrines]]=0),0,WWWW[[#This Row],['#_Non-functional latrines]]/(WWWW[[#This Row],['#_Constructed latrines_by_WASHAgencies]]+WWWW[[#This Row],['#_Non Cluster partner latrines]]))</f>
        <v>0</v>
      </c>
      <c r="DL78" s="758">
        <f>IF(500*(WWWW[[#This Row],['#_male hygiene promoters]]+WWWW[[#This Row],['#_female hygiene promoters]])&gt;WWWW[[#This Row],[Total PoP ]],WWWW[[#This Row],[Total PoP ]],500*(WWWW[[#This Row],['#_male hygiene promoters]]+WWWW[[#This Row],['#_female hygiene promoters]]))</f>
        <v>222</v>
      </c>
      <c r="DM7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222</v>
      </c>
      <c r="DN7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78" s="761">
        <f>IF(WWWW[[#This Row],['# People with access to soap]]&gt;WWWW[[#This Row],['# People with access to Sanity Pads]],WWWW[[#This Row],['# People with access to soap]],WWWW[[#This Row],['# People with access to Sanity Pads]])</f>
        <v>222</v>
      </c>
      <c r="DP78" s="761">
        <f>IF(WWWW[[#This Row],['# people reached by regular dedicated hygiene promotion_5]]&gt;WWWW[[#This Row],['# People received regular supply of hygiene items_6]],WWWW[[#This Row],['# people reached by regular dedicated hygiene promotion_5]],WWWW[[#This Row],['# People received regular supply of hygiene items_6]])</f>
        <v>222</v>
      </c>
      <c r="DQ78" s="763">
        <f>IF(WWWW[[#This Row],[HRP3]]/WWWW[[#This Row],[Total PoP ]]&gt;1,1,WWWW[[#This Row],[HRP3]]/WWWW[[#This Row],[Total PoP ]])</f>
        <v>1</v>
      </c>
      <c r="DR78" s="762">
        <f>1-WWWW[[#This Row],[Hygiene Coverage%]]</f>
        <v>0</v>
      </c>
      <c r="DS78" s="760">
        <f>WWWW[[#This Row],['# people reached by regular dedicated hygiene promotion_5]]/WWWW[[#This Row],[Total PoP ]]</f>
        <v>1</v>
      </c>
      <c r="DT7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78" s="761">
        <f>WWWW[[#This Row],['#_Constructed/Existing hand washing stations]]-WWWW[[#This Row],['#_Non-Functional_hand_washing_stations]]</f>
        <v>7</v>
      </c>
      <c r="DW78" s="758">
        <f>IF(WWWW[[#This Row],['# Functional hand washing stations during reporting period]]*20&gt;WWWW[[#This Row],[Total HH]],WWWW[[#This Row],[Total HH]],WWWW[[#This Row],['# Functional hand washing stations during reporting period]]*20)</f>
        <v>36</v>
      </c>
      <c r="DX78" s="758">
        <f>IF(WWWW[[#This Row],[Is sufficient soap available for TLS? (Yes/No)]]="yes",WWWW[[#This Row],['#_Constructed/Existing hand washing stations at TLS/CFS/THF]],0)</f>
        <v>0</v>
      </c>
      <c r="DY78" s="429">
        <f>IF(WWWW[[#This Row],['# Functional hand washing stations during reporting period]]*100&gt;WWWW[[#This Row],[Total PoP ]],WWWW[[#This Row],[Total PoP ]],WWWW[[#This Row],['# Functional hand washing stations during reporting period]]*100)</f>
        <v>222</v>
      </c>
      <c r="DZ78" s="429" t="str">
        <f>IF(OR(WWWW[[#This Row],['#_students at TLS_CFS]]="",WWWW[[#This Row],['#_students at TLS_CFS]]=0),"No","Yes")</f>
        <v>No</v>
      </c>
      <c r="EA7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8" s="754" t="str">
        <f>VLOOKUP(WWWW[[#This Row],[Site Name]],SiteDB6[[Site Name]:[CCCM Management]],6,FALSE)</f>
        <v>Yes</v>
      </c>
      <c r="EF78" s="754" t="str">
        <f>VLOOKUP(WWWW[[#This Row],[Site Name]],SiteDB6[[Site Name]:[CCCM Focal Agency]],7,FALSE)</f>
        <v>KBC-BMO</v>
      </c>
      <c r="EG78" s="754" t="str">
        <f>VLOOKUP(WWWW[[#This Row],[Site Name]],SiteDB6[[Site Name]:[Location Type 1]],9,FALSE)</f>
        <v>Camp</v>
      </c>
      <c r="EH78" s="754" t="str">
        <f>VLOOKUP(WWWW[[#This Row],[Site Name]],SiteDB6[[Site Name]:[Type of Accommodation]],10,FALSE)</f>
        <v>Camp</v>
      </c>
      <c r="EI78" s="754" t="str">
        <f>VLOOKUP(WWWW[[#This Row],[Site Name]],SiteDB6[[Site Name]:[Ethnic or GCA/NGCA]],11,FALSE)</f>
        <v>GCA</v>
      </c>
      <c r="EJ78" s="754">
        <f>VLOOKUP(WWWW[[#This Row],[Site Name]],SiteDB6[[Site Name]:[Lat]],12,FALSE)</f>
        <v>24.24766</v>
      </c>
      <c r="EK78" s="754">
        <f>VLOOKUP(WWWW[[#This Row],[Site Name]],SiteDB6[[Site Name]:[Long]],13,FALSE)</f>
        <v>97.236919999999998</v>
      </c>
      <c r="EL78" s="754" t="str">
        <f>VLOOKUP(WWWW[[#This Row],[Site Name]],SiteDB6[[Site Name]:[Pcode]],3,FALSE)</f>
        <v>MMR001CMP052</v>
      </c>
      <c r="EM78" s="759" t="str">
        <f t="shared" si="1"/>
        <v>Covered</v>
      </c>
      <c r="EN78" s="759"/>
      <c r="EO78" s="754">
        <f>VLOOKUP(WWWW[[#This Row],[Site Name]],SiteDB6[[Site Name]:[Pop
(Kachin/Shan-CCCM as of July 2021)]],16,FALSE)</f>
        <v>37</v>
      </c>
      <c r="EP78" s="754">
        <f>VLOOKUP(WWWW[[#This Row],[Site Name]],SiteDB6[[Site Name]:[Pop
(Kachin/Shan-CCCM as of July 2021)]],17,FALSE)</f>
        <v>226</v>
      </c>
    </row>
    <row r="79" spans="1:146" hidden="1">
      <c r="A79" s="752" t="s">
        <v>2785</v>
      </c>
      <c r="B79" s="752" t="s">
        <v>192</v>
      </c>
      <c r="C79" s="753" t="s">
        <v>192</v>
      </c>
      <c r="D79" s="753" t="s">
        <v>2701</v>
      </c>
      <c r="E79" s="753" t="s">
        <v>37</v>
      </c>
      <c r="F79" s="753" t="s">
        <v>195</v>
      </c>
      <c r="G79" s="594" t="str">
        <f>VLOOKUP(WWWW[[#This Row],[Site Name]],SiteDB6[[Site Name]:[Location Type]],8,FALSE)</f>
        <v>Camp</v>
      </c>
      <c r="H79" s="753" t="s">
        <v>200</v>
      </c>
      <c r="I79" s="755">
        <v>122</v>
      </c>
      <c r="J79" s="755">
        <v>689</v>
      </c>
      <c r="K79" s="756" t="s">
        <v>2692</v>
      </c>
      <c r="L79" s="757" t="s">
        <v>2702</v>
      </c>
      <c r="M79" s="755"/>
      <c r="N79" s="755"/>
      <c r="O79" s="755"/>
      <c r="P79" s="755"/>
      <c r="Q79" s="758" t="s">
        <v>41</v>
      </c>
      <c r="R79" s="755">
        <v>2</v>
      </c>
      <c r="S79" s="755">
        <v>2</v>
      </c>
      <c r="T79" s="449">
        <v>1</v>
      </c>
      <c r="U79" s="755"/>
      <c r="V79" s="755"/>
      <c r="W79" s="755">
        <v>1</v>
      </c>
      <c r="X79" s="755">
        <v>1</v>
      </c>
      <c r="Y79" s="755"/>
      <c r="Z79" s="755"/>
      <c r="AA79" s="755"/>
      <c r="AB79" s="755"/>
      <c r="AC79" s="755"/>
      <c r="AD79" s="755"/>
      <c r="AE79" s="755"/>
      <c r="AF79" s="755"/>
      <c r="AG79" s="755"/>
      <c r="AH79" s="755"/>
      <c r="AI79" s="755"/>
      <c r="AJ79" s="755"/>
      <c r="AK79" s="755"/>
      <c r="AL79" s="755"/>
      <c r="AM79" s="755"/>
      <c r="AN79" s="755"/>
      <c r="AO79" s="755"/>
      <c r="AP79" s="759"/>
      <c r="AQ79" s="755">
        <v>21</v>
      </c>
      <c r="AR79" s="755"/>
      <c r="AS79" s="760"/>
      <c r="AT79" s="755"/>
      <c r="AU79" s="755"/>
      <c r="AV79" s="755"/>
      <c r="AW79" s="755"/>
      <c r="AX79" s="755"/>
      <c r="AY79" s="754" t="s">
        <v>41</v>
      </c>
      <c r="AZ79" s="759" t="s">
        <v>137</v>
      </c>
      <c r="BA79" s="755"/>
      <c r="BB79" s="755"/>
      <c r="BC79" s="755">
        <v>5</v>
      </c>
      <c r="BD79" s="449"/>
      <c r="BE79" s="449"/>
      <c r="BF79" s="754" t="s">
        <v>2703</v>
      </c>
      <c r="BG79" s="755">
        <v>3</v>
      </c>
      <c r="BH79" s="755"/>
      <c r="BI79" s="755"/>
      <c r="BJ79" s="755">
        <v>2</v>
      </c>
      <c r="BK79" s="755"/>
      <c r="BL79" s="755"/>
      <c r="BM79" s="755"/>
      <c r="BN79" s="755">
        <v>88</v>
      </c>
      <c r="BO79" s="755">
        <v>100</v>
      </c>
      <c r="BP79" s="754"/>
      <c r="BQ79" s="761"/>
      <c r="BR79" s="760"/>
      <c r="BS79" s="754"/>
      <c r="BT79" s="424"/>
      <c r="BU79" s="424"/>
      <c r="BV79" s="426"/>
      <c r="BW79" s="424"/>
      <c r="BX79" s="449"/>
      <c r="BY79" s="449"/>
      <c r="BZ79" s="449"/>
      <c r="CA79" s="449"/>
      <c r="CB79" s="449"/>
      <c r="CC79" s="807"/>
      <c r="CD79" s="449"/>
      <c r="CE79" s="762" t="str">
        <f>IFERROR(WWWW[[#This Row],['#_Water sources passed]]/WWWW[[#This Row],['#_Water sources tested for fecal coliform ]],"no test")</f>
        <v>no test</v>
      </c>
      <c r="CF79" s="760" t="str">
        <f>IFERROR(WWWW[[#This Row],['#_Household passed]]/WWWW[[#This Row],['#_Household water samples tested for fecal coliform]],"no test")</f>
        <v>no test</v>
      </c>
      <c r="CG79" s="761" t="str">
        <f>IF(AND(WWWW[[#This Row],[% of water sources passed]]="no test",WWWW[[#This Row],[% Household passed]]="no test"),"No Test","Tested")</f>
        <v>No Test</v>
      </c>
      <c r="CH79" s="761">
        <f>WWWW[[#This Row],['#_Constructed/existing protected hand dug well]]-WWWW[[#This Row],['#_Non-functional protected hand dug well]]</f>
        <v>1</v>
      </c>
      <c r="CI79" s="761">
        <f>(WWWW[[#This Row],['#_Constructed/Existing tube wells/boreholes/handpumps_WASH_agency]]+WWWW[[#This Row],['#_Non-Cluster partner water tube-wells/boreholes/handpumps]])-WWWW[[#This Row],['#_Non-functional tube wells/boreholes/handpumps]]</f>
        <v>2</v>
      </c>
      <c r="CJ79" s="761">
        <f>WWWW[[#This Row],['#_Constructed/Existingwater storage tank with gravity fed reticulation system]]-WWWW[[#This Row],['#_Non-functional storage tank gravity fed reticulation system]]</f>
        <v>0</v>
      </c>
      <c r="CK79" s="761">
        <f>(WWWW[[#This Row],['#_Water_Liters_supplied_by_Water boating or water trucking]]/90)/15</f>
        <v>0</v>
      </c>
      <c r="CL79" s="761">
        <f>WWWW[[#This Row],['#_Water_Liters_from_Constructed/Existing water distribution system from river or natural spring]]/90/15</f>
        <v>0</v>
      </c>
      <c r="CM79" s="425">
        <f>IF(WWWW[[#This Row],['#_of water points in TLS/CFS]]*500&gt;WWWW[[#This Row],[Total PoP ]],WWWW[[#This Row],[Total PoP ]],WWWW[[#This Row],['#_of water points in TLS/CFS]]*500)</f>
        <v>0</v>
      </c>
      <c r="CN79" s="425">
        <f>IF(WWWW[[#This Row],['#_of water points in THF]]*500&gt;WWWW[[#This Row],[Total PoP ]],WWWW[[#This Row],[Total PoP ]],WWWW[[#This Row],['#_of water points in THF]]*500)</f>
        <v>0</v>
      </c>
      <c r="CO7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7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79" s="760">
        <f>IF(WWWW[[#This Row],[Location Type 1]]="Village",WWWW[[#This Row],[Access to safe drinking water for Village]],WWWW[[#This Row],[Access to safe drinking water for Camp]])</f>
        <v>1</v>
      </c>
      <c r="CR79" s="758">
        <f>WWWW[[#This Row],[%Equitable and continuous access to sufficient quantity of safe drinking water]]*WWWW[[#This Row],[Total PoP ]]</f>
        <v>689</v>
      </c>
      <c r="CS79" s="760">
        <f>IF((WWWW[[#This Row],['#_Constructed/Existing protected/fenced ponds]]*250)/WWWW[[#This Row],[Total PoP ]]&gt;1,1,(WWWW[[#This Row],['#_Constructed/Existing protected/fenced ponds]]*250)/WWWW[[#This Row],[Total PoP ]])</f>
        <v>0</v>
      </c>
      <c r="CT79" s="758">
        <f>WWWW[[#This Row],[% Access to unimproved water points]]*WWWW[[#This Row],[Total PoP ]]</f>
        <v>0</v>
      </c>
      <c r="CU7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7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689</v>
      </c>
      <c r="CW79" s="758">
        <f>WWWW[[#This Row],[HRP1]]/500</f>
        <v>1.3779999999999999</v>
      </c>
      <c r="CX79" s="763">
        <f>1-WWWW[[#This Row],[% Equitable and continuous access to sufficient quantity of domestic water]]</f>
        <v>0</v>
      </c>
      <c r="CY79" s="758">
        <f>WWWW[[#This Row],[%equitable and continuous access to sufficient quantity of safe drinking and domestic water''s GAP]]*WWWW[[#This Row],[Total PoP ]]</f>
        <v>0</v>
      </c>
      <c r="CZ79" s="761">
        <f>IF(WWWW[[#This Row],[Total required water points]]-WWWW[[#This Row],['#Water points coverage]]&lt;0,0,WWWW[[#This Row],[Total required water points]]-WWWW[[#This Row],['#Water points coverage]])</f>
        <v>0</v>
      </c>
      <c r="DA79" s="761">
        <f>ROUND(IF(WWWW[[#This Row],[Total PoP ]]&lt;500,1,WWWW[[#This Row],[Total PoP ]]/500),0)</f>
        <v>1</v>
      </c>
      <c r="DB79" s="761">
        <f>(WWWW[[#This Row],['#_Constructed latrines_by_WASHAgencies]]+WWWW[[#This Row],['#_Non Cluster partner latrines]])-WWWW[[#This Row],['#_Non-functional latrines]]</f>
        <v>21</v>
      </c>
      <c r="DC79" s="634">
        <f>WWWW[[#This Row],[HRP2]]/WWWW[[#This Row],[Total PoP ]]</f>
        <v>0.60957910014513783</v>
      </c>
      <c r="DD7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7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7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79" s="425">
        <f>IF(WWWW[[#This Row],['# of functional latrines in THF supported by WASH partners during the reporting period2]]="",0,WWWW[[#This Row],['# of functional latrines in THF supported by WASH partners during the reporting period2]]*50)</f>
        <v>0</v>
      </c>
      <c r="DH79" s="761">
        <f>ROUND(IF(WWWW[[#This Row],[Location Type 1]]="camp",WWWW[[#This Row],[Total PoP ]]/20,IF(WWWW[[#This Row],[Location Type 1]]="Temporary Location",WWWW[[#This Row],[Total PoP ]]/50,(WWWW[[#This Row],[Total PoP ]]/6))),0)</f>
        <v>34</v>
      </c>
      <c r="DI79" s="761">
        <f>IF(WWWW[[#This Row],[Total required Latrines]]-(WWWW[[#This Row],['#_Constructed latrines_by_WASHAgencies]]+WWWW[[#This Row],['#_Non Cluster partner latrines]])&lt;0,0,WWWW[[#This Row],[Total required Latrines]]-(WWWW[[#This Row],['#_Constructed latrines_by_WASHAgencies]]+WWWW[[#This Row],['#_Non Cluster partner latrines]]))</f>
        <v>13</v>
      </c>
      <c r="DJ79" s="763">
        <f>1-WWWW[[#This Row],[% people access to functioning Latrine]]</f>
        <v>0.39042089985486217</v>
      </c>
      <c r="DK79" s="762">
        <f>IF(OR(WWWW[[#This Row],['#_Non-functional latrines]]="",WWWW[[#This Row],['#_Non-functional latrines]]=0),0,WWWW[[#This Row],['#_Non-functional latrines]]/(WWWW[[#This Row],['#_Constructed latrines_by_WASHAgencies]]+WWWW[[#This Row],['#_Non Cluster partner latrines]]))</f>
        <v>0</v>
      </c>
      <c r="DL79" s="758">
        <f>IF(500*(WWWW[[#This Row],['#_male hygiene promoters]]+WWWW[[#This Row],['#_female hygiene promoters]])&gt;WWWW[[#This Row],[Total PoP ]],WWWW[[#This Row],[Total PoP ]],500*(WWWW[[#This Row],['#_male hygiene promoters]]+WWWW[[#This Row],['#_female hygiene promoters]]))</f>
        <v>0</v>
      </c>
      <c r="DM7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7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79" s="761">
        <f>IF(WWWW[[#This Row],['# People with access to soap]]&gt;WWWW[[#This Row],['# People with access to Sanity Pads]],WWWW[[#This Row],['# People with access to soap]],WWWW[[#This Row],['# People with access to Sanity Pads]])</f>
        <v>440</v>
      </c>
      <c r="DP79" s="761">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79" s="763">
        <f>IF(WWWW[[#This Row],[HRP3]]/WWWW[[#This Row],[Total PoP ]]&gt;1,1,WWWW[[#This Row],[HRP3]]/WWWW[[#This Row],[Total PoP ]])</f>
        <v>0.63860667634252544</v>
      </c>
      <c r="DR79" s="762">
        <f>1-WWWW[[#This Row],[Hygiene Coverage%]]</f>
        <v>0.36139332365747456</v>
      </c>
      <c r="DS79" s="760">
        <f>WWWW[[#This Row],['# people reached by regular dedicated hygiene promotion_5]]/WWWW[[#This Row],[Total PoP ]]</f>
        <v>0</v>
      </c>
      <c r="DT7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7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0.81967213114754101</v>
      </c>
      <c r="DV79" s="761">
        <f>WWWW[[#This Row],['#_Constructed/Existing hand washing stations]]-WWWW[[#This Row],['#_Non-Functional_hand_washing_stations]]</f>
        <v>3</v>
      </c>
      <c r="DW79" s="758">
        <f>IF(WWWW[[#This Row],['# Functional hand washing stations during reporting period]]*20&gt;WWWW[[#This Row],[Total HH]],WWWW[[#This Row],[Total HH]],WWWW[[#This Row],['# Functional hand washing stations during reporting period]]*20)</f>
        <v>60</v>
      </c>
      <c r="DX79" s="758">
        <f>IF(WWWW[[#This Row],[Is sufficient soap available for TLS? (Yes/No)]]="yes",WWWW[[#This Row],['#_Constructed/Existing hand washing stations at TLS/CFS/THF]],0)</f>
        <v>0</v>
      </c>
      <c r="DY79" s="429">
        <f>IF(WWWW[[#This Row],['# Functional hand washing stations during reporting period]]*100&gt;WWWW[[#This Row],[Total PoP ]],WWWW[[#This Row],[Total PoP ]],WWWW[[#This Row],['# Functional hand washing stations during reporting period]]*100)</f>
        <v>300</v>
      </c>
      <c r="DZ79" s="429" t="str">
        <f>IF(OR(WWWW[[#This Row],['#_students at TLS_CFS]]="",WWWW[[#This Row],['#_students at TLS_CFS]]=0),"No","Yes")</f>
        <v>No</v>
      </c>
      <c r="EA7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7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7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7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79" s="754" t="str">
        <f>VLOOKUP(WWWW[[#This Row],[Site Name]],SiteDB6[[Site Name]:[CCCM Management]],6,FALSE)</f>
        <v>Yes</v>
      </c>
      <c r="EF79" s="754" t="str">
        <f>VLOOKUP(WWWW[[#This Row],[Site Name]],SiteDB6[[Site Name]:[CCCM Focal Agency]],7,FALSE)</f>
        <v>Shalom</v>
      </c>
      <c r="EG79" s="754" t="str">
        <f>VLOOKUP(WWWW[[#This Row],[Site Name]],SiteDB6[[Site Name]:[Location Type 1]],9,FALSE)</f>
        <v>Camp</v>
      </c>
      <c r="EH79" s="754" t="str">
        <f>VLOOKUP(WWWW[[#This Row],[Site Name]],SiteDB6[[Site Name]:[Type of Accommodation]],10,FALSE)</f>
        <v>Camp</v>
      </c>
      <c r="EI79" s="754" t="str">
        <f>VLOOKUP(WWWW[[#This Row],[Site Name]],SiteDB6[[Site Name]:[Ethnic or GCA/NGCA]],11,FALSE)</f>
        <v>GCA</v>
      </c>
      <c r="EJ79" s="754">
        <f>VLOOKUP(WWWW[[#This Row],[Site Name]],SiteDB6[[Site Name]:[Lat]],12,FALSE)</f>
        <v>24.2631743589744</v>
      </c>
      <c r="EK79" s="754">
        <f>VLOOKUP(WWWW[[#This Row],[Site Name]],SiteDB6[[Site Name]:[Long]],13,FALSE)</f>
        <v>97.240183461538507</v>
      </c>
      <c r="EL79" s="754" t="str">
        <f>VLOOKUP(WWWW[[#This Row],[Site Name]],SiteDB6[[Site Name]:[Pcode]],3,FALSE)</f>
        <v>MMR001CMP049</v>
      </c>
      <c r="EM79" s="759" t="str">
        <f t="shared" si="1"/>
        <v>Covered</v>
      </c>
      <c r="EN79" s="759"/>
      <c r="EO79" s="754">
        <f>VLOOKUP(WWWW[[#This Row],[Site Name]],SiteDB6[[Site Name]:[Pop
(Kachin/Shan-CCCM as of July 2021)]],16,FALSE)</f>
        <v>134</v>
      </c>
      <c r="EP79" s="754">
        <f>VLOOKUP(WWWW[[#This Row],[Site Name]],SiteDB6[[Site Name]:[Pop
(Kachin/Shan-CCCM as of July 2021)]],17,FALSE)</f>
        <v>767</v>
      </c>
    </row>
    <row r="80" spans="1:146" hidden="1">
      <c r="A80" s="752" t="s">
        <v>2785</v>
      </c>
      <c r="B80" s="752" t="s">
        <v>192</v>
      </c>
      <c r="C80" s="753" t="s">
        <v>192</v>
      </c>
      <c r="D80" s="753" t="s">
        <v>2701</v>
      </c>
      <c r="E80" s="753" t="s">
        <v>37</v>
      </c>
      <c r="F80" s="753" t="s">
        <v>195</v>
      </c>
      <c r="G80" s="594" t="str">
        <f>VLOOKUP(WWWW[[#This Row],[Site Name]],SiteDB6[[Site Name]:[Location Type]],8,FALSE)</f>
        <v>Camp</v>
      </c>
      <c r="H80" s="753" t="s">
        <v>279</v>
      </c>
      <c r="I80" s="755">
        <v>65</v>
      </c>
      <c r="J80" s="755">
        <v>334</v>
      </c>
      <c r="K80" s="756" t="s">
        <v>2692</v>
      </c>
      <c r="L80" s="757" t="s">
        <v>2702</v>
      </c>
      <c r="M80" s="755"/>
      <c r="N80" s="755"/>
      <c r="O80" s="755"/>
      <c r="P80" s="755"/>
      <c r="Q80" s="758" t="s">
        <v>41</v>
      </c>
      <c r="R80" s="755">
        <v>8</v>
      </c>
      <c r="S80" s="755">
        <v>15</v>
      </c>
      <c r="T80" s="449">
        <v>1</v>
      </c>
      <c r="U80" s="755"/>
      <c r="V80" s="755"/>
      <c r="W80" s="755">
        <v>3</v>
      </c>
      <c r="X80" s="755"/>
      <c r="Y80" s="755"/>
      <c r="Z80" s="755"/>
      <c r="AA80" s="755"/>
      <c r="AB80" s="755"/>
      <c r="AC80" s="755"/>
      <c r="AD80" s="755"/>
      <c r="AE80" s="755"/>
      <c r="AF80" s="755"/>
      <c r="AG80" s="755">
        <v>3</v>
      </c>
      <c r="AH80" s="755"/>
      <c r="AI80" s="755"/>
      <c r="AJ80" s="755"/>
      <c r="AK80" s="755"/>
      <c r="AL80" s="755"/>
      <c r="AM80" s="755">
        <v>14</v>
      </c>
      <c r="AN80" s="755"/>
      <c r="AO80" s="755"/>
      <c r="AP80" s="759"/>
      <c r="AQ80" s="755">
        <v>48</v>
      </c>
      <c r="AR80" s="755"/>
      <c r="AS80" s="760"/>
      <c r="AT80" s="755"/>
      <c r="AU80" s="755"/>
      <c r="AV80" s="755"/>
      <c r="AW80" s="755"/>
      <c r="AX80" s="755"/>
      <c r="AY80" s="754" t="s">
        <v>41</v>
      </c>
      <c r="AZ80" s="759" t="s">
        <v>137</v>
      </c>
      <c r="BA80" s="755"/>
      <c r="BB80" s="755"/>
      <c r="BC80" s="755">
        <v>2</v>
      </c>
      <c r="BD80" s="449"/>
      <c r="BE80" s="449"/>
      <c r="BF80" s="754"/>
      <c r="BG80" s="755">
        <v>3</v>
      </c>
      <c r="BH80" s="755"/>
      <c r="BI80" s="755"/>
      <c r="BJ80" s="755">
        <v>2</v>
      </c>
      <c r="BK80" s="755"/>
      <c r="BL80" s="755"/>
      <c r="BM80" s="755">
        <v>1</v>
      </c>
      <c r="BN80" s="755">
        <v>88</v>
      </c>
      <c r="BO80" s="755">
        <v>100</v>
      </c>
      <c r="BP80" s="754"/>
      <c r="BQ80" s="761"/>
      <c r="BR80" s="760"/>
      <c r="BS80" s="754"/>
      <c r="BT80" s="424"/>
      <c r="BU80" s="424"/>
      <c r="BV80" s="426"/>
      <c r="BW80" s="424"/>
      <c r="BX80" s="449"/>
      <c r="BY80" s="449"/>
      <c r="BZ80" s="449"/>
      <c r="CA80" s="449"/>
      <c r="CB80" s="449"/>
      <c r="CC80" s="807"/>
      <c r="CD80" s="449"/>
      <c r="CE80" s="762" t="str">
        <f>IFERROR(WWWW[[#This Row],['#_Water sources passed]]/WWWW[[#This Row],['#_Water sources tested for fecal coliform ]],"no test")</f>
        <v>no test</v>
      </c>
      <c r="CF80" s="760" t="str">
        <f>IFERROR(WWWW[[#This Row],['#_Household passed]]/WWWW[[#This Row],['#_Household water samples tested for fecal coliform]],"no test")</f>
        <v>no test</v>
      </c>
      <c r="CG80" s="761" t="str">
        <f>IF(AND(WWWW[[#This Row],[% of water sources passed]]="no test",WWWW[[#This Row],[% Household passed]]="no test"),"No Test","Tested")</f>
        <v>No Test</v>
      </c>
      <c r="CH80" s="761">
        <f>WWWW[[#This Row],['#_Constructed/existing protected hand dug well]]-WWWW[[#This Row],['#_Non-functional protected hand dug well]]</f>
        <v>1</v>
      </c>
      <c r="CI80" s="761">
        <f>(WWWW[[#This Row],['#_Constructed/Existing tube wells/boreholes/handpumps_WASH_agency]]+WWWW[[#This Row],['#_Non-Cluster partner water tube-wells/boreholes/handpumps]])-WWWW[[#This Row],['#_Non-functional tube wells/boreholes/handpumps]]</f>
        <v>3</v>
      </c>
      <c r="CJ80" s="761">
        <f>WWWW[[#This Row],['#_Constructed/Existingwater storage tank with gravity fed reticulation system]]-WWWW[[#This Row],['#_Non-functional storage tank gravity fed reticulation system]]</f>
        <v>0</v>
      </c>
      <c r="CK80" s="761">
        <f>(WWWW[[#This Row],['#_Water_Liters_supplied_by_Water boating or water trucking]]/90)/15</f>
        <v>0</v>
      </c>
      <c r="CL80" s="761">
        <f>WWWW[[#This Row],['#_Water_Liters_from_Constructed/Existing water distribution system from river or natural spring]]/90/15</f>
        <v>0</v>
      </c>
      <c r="CM80" s="425">
        <f>IF(WWWW[[#This Row],['#_of water points in TLS/CFS]]*500&gt;WWWW[[#This Row],[Total PoP ]],WWWW[[#This Row],[Total PoP ]],WWWW[[#This Row],['#_of water points in TLS/CFS]]*500)</f>
        <v>0</v>
      </c>
      <c r="CN80" s="425">
        <f>IF(WWWW[[#This Row],['#_of water points in THF]]*500&gt;WWWW[[#This Row],[Total PoP ]],WWWW[[#This Row],[Total PoP ]],WWWW[[#This Row],['#_of water points in THF]]*500)</f>
        <v>0</v>
      </c>
      <c r="CO8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0" s="760">
        <f>IF(WWWW[[#This Row],[Location Type 1]]="Village",WWWW[[#This Row],[Access to safe drinking water for Village]],WWWW[[#This Row],[Access to safe drinking water for Camp]])</f>
        <v>1</v>
      </c>
      <c r="CR80" s="758">
        <f>WWWW[[#This Row],[%Equitable and continuous access to sufficient quantity of safe drinking water]]*WWWW[[#This Row],[Total PoP ]]</f>
        <v>334</v>
      </c>
      <c r="CS80" s="760">
        <f>IF((WWWW[[#This Row],['#_Constructed/Existing protected/fenced ponds]]*250)/WWWW[[#This Row],[Total PoP ]]&gt;1,1,(WWWW[[#This Row],['#_Constructed/Existing protected/fenced ponds]]*250)/WWWW[[#This Row],[Total PoP ]])</f>
        <v>0</v>
      </c>
      <c r="CT80" s="758">
        <f>WWWW[[#This Row],[% Access to unimproved water points]]*WWWW[[#This Row],[Total PoP ]]</f>
        <v>0</v>
      </c>
      <c r="CU8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80" s="758">
        <f>WWWW[[#This Row],[HRP1]]/500</f>
        <v>0.66800000000000004</v>
      </c>
      <c r="CX80" s="763">
        <f>1-WWWW[[#This Row],[% Equitable and continuous access to sufficient quantity of domestic water]]</f>
        <v>0</v>
      </c>
      <c r="CY80" s="758">
        <f>WWWW[[#This Row],[%equitable and continuous access to sufficient quantity of safe drinking and domestic water''s GAP]]*WWWW[[#This Row],[Total PoP ]]</f>
        <v>0</v>
      </c>
      <c r="CZ80" s="761">
        <f>IF(WWWW[[#This Row],[Total required water points]]-WWWW[[#This Row],['#Water points coverage]]&lt;0,0,WWWW[[#This Row],[Total required water points]]-WWWW[[#This Row],['#Water points coverage]])</f>
        <v>0.33199999999999996</v>
      </c>
      <c r="DA80" s="761">
        <f>ROUND(IF(WWWW[[#This Row],[Total PoP ]]&lt;500,1,WWWW[[#This Row],[Total PoP ]]/500),0)</f>
        <v>1</v>
      </c>
      <c r="DB80" s="761">
        <f>(WWWW[[#This Row],['#_Constructed latrines_by_WASHAgencies]]+WWWW[[#This Row],['#_Non Cluster partner latrines]])-WWWW[[#This Row],['#_Non-functional latrines]]</f>
        <v>48</v>
      </c>
      <c r="DC80" s="634">
        <f>WWWW[[#This Row],[HRP2]]/WWWW[[#This Row],[Total PoP ]]</f>
        <v>1</v>
      </c>
      <c r="DD8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8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0" s="425">
        <f>IF(WWWW[[#This Row],['# of functional latrines in THF supported by WASH partners during the reporting period2]]="",0,WWWW[[#This Row],['# of functional latrines in THF supported by WASH partners during the reporting period2]]*50)</f>
        <v>0</v>
      </c>
      <c r="DH80" s="761">
        <f>ROUND(IF(WWWW[[#This Row],[Location Type 1]]="camp",WWWW[[#This Row],[Total PoP ]]/20,IF(WWWW[[#This Row],[Location Type 1]]="Temporary Location",WWWW[[#This Row],[Total PoP ]]/50,(WWWW[[#This Row],[Total PoP ]]/6))),0)</f>
        <v>17</v>
      </c>
      <c r="DI80" s="761">
        <f>IF(WWWW[[#This Row],[Total required Latrines]]-(WWWW[[#This Row],['#_Constructed latrines_by_WASHAgencies]]+WWWW[[#This Row],['#_Non Cluster partner latrines]])&lt;0,0,WWWW[[#This Row],[Total required Latrines]]-(WWWW[[#This Row],['#_Constructed latrines_by_WASHAgencies]]+WWWW[[#This Row],['#_Non Cluster partner latrines]]))</f>
        <v>0</v>
      </c>
      <c r="DJ80" s="763">
        <f>1-WWWW[[#This Row],[% people access to functioning Latrine]]</f>
        <v>0</v>
      </c>
      <c r="DK80" s="762">
        <f>IF(OR(WWWW[[#This Row],['#_Non-functional latrines]]="",WWWW[[#This Row],['#_Non-functional latrines]]=0),0,WWWW[[#This Row],['#_Non-functional latrines]]/(WWWW[[#This Row],['#_Constructed latrines_by_WASHAgencies]]+WWWW[[#This Row],['#_Non Cluster partner latrines]]))</f>
        <v>0</v>
      </c>
      <c r="DL80" s="758">
        <f>IF(500*(WWWW[[#This Row],['#_male hygiene promoters]]+WWWW[[#This Row],['#_female hygiene promoters]])&gt;WWWW[[#This Row],[Total PoP ]],WWWW[[#This Row],[Total PoP ]],500*(WWWW[[#This Row],['#_male hygiene promoters]]+WWWW[[#This Row],['#_female hygiene promoters]]))</f>
        <v>334</v>
      </c>
      <c r="DM8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334</v>
      </c>
      <c r="DN8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80" s="761">
        <f>IF(WWWW[[#This Row],['# People with access to soap]]&gt;WWWW[[#This Row],['# People with access to Sanity Pads]],WWWW[[#This Row],['# People with access to soap]],WWWW[[#This Row],['# People with access to Sanity Pads]])</f>
        <v>334</v>
      </c>
      <c r="DP80" s="761">
        <f>IF(WWWW[[#This Row],['# people reached by regular dedicated hygiene promotion_5]]&gt;WWWW[[#This Row],['# People received regular supply of hygiene items_6]],WWWW[[#This Row],['# people reached by regular dedicated hygiene promotion_5]],WWWW[[#This Row],['# People received regular supply of hygiene items_6]])</f>
        <v>334</v>
      </c>
      <c r="DQ80" s="763">
        <f>IF(WWWW[[#This Row],[HRP3]]/WWWW[[#This Row],[Total PoP ]]&gt;1,1,WWWW[[#This Row],[HRP3]]/WWWW[[#This Row],[Total PoP ]])</f>
        <v>1</v>
      </c>
      <c r="DR80" s="762">
        <f>1-WWWW[[#This Row],[Hygiene Coverage%]]</f>
        <v>0</v>
      </c>
      <c r="DS80" s="760">
        <f>WWWW[[#This Row],['# people reached by regular dedicated hygiene promotion_5]]/WWWW[[#This Row],[Total PoP ]]</f>
        <v>1</v>
      </c>
      <c r="DT8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0" s="761">
        <f>WWWW[[#This Row],['#_Constructed/Existing hand washing stations]]-WWWW[[#This Row],['#_Non-Functional_hand_washing_stations]]</f>
        <v>3</v>
      </c>
      <c r="DW80" s="758">
        <f>IF(WWWW[[#This Row],['# Functional hand washing stations during reporting period]]*20&gt;WWWW[[#This Row],[Total HH]],WWWW[[#This Row],[Total HH]],WWWW[[#This Row],['# Functional hand washing stations during reporting period]]*20)</f>
        <v>60</v>
      </c>
      <c r="DX80" s="758">
        <f>IF(WWWW[[#This Row],[Is sufficient soap available for TLS? (Yes/No)]]="yes",WWWW[[#This Row],['#_Constructed/Existing hand washing stations at TLS/CFS/THF]],0)</f>
        <v>0</v>
      </c>
      <c r="DY80" s="429">
        <f>IF(WWWW[[#This Row],['# Functional hand washing stations during reporting period]]*100&gt;WWWW[[#This Row],[Total PoP ]],WWWW[[#This Row],[Total PoP ]],WWWW[[#This Row],['# Functional hand washing stations during reporting period]]*100)</f>
        <v>300</v>
      </c>
      <c r="DZ80" s="429" t="str">
        <f>IF(OR(WWWW[[#This Row],['#_students at TLS_CFS]]="",WWWW[[#This Row],['#_students at TLS_CFS]]=0),"No","Yes")</f>
        <v>No</v>
      </c>
      <c r="EA8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0" s="754" t="str">
        <f>VLOOKUP(WWWW[[#This Row],[Site Name]],SiteDB6[[Site Name]:[CCCM Management]],6,FALSE)</f>
        <v>Yes</v>
      </c>
      <c r="EF80" s="754" t="str">
        <f>VLOOKUP(WWWW[[#This Row],[Site Name]],SiteDB6[[Site Name]:[CCCM Focal Agency]],7,FALSE)</f>
        <v>KBC-BMO</v>
      </c>
      <c r="EG80" s="754" t="str">
        <f>VLOOKUP(WWWW[[#This Row],[Site Name]],SiteDB6[[Site Name]:[Location Type 1]],9,FALSE)</f>
        <v>Camp</v>
      </c>
      <c r="EH80" s="754" t="str">
        <f>VLOOKUP(WWWW[[#This Row],[Site Name]],SiteDB6[[Site Name]:[Type of Accommodation]],10,FALSE)</f>
        <v>Camp</v>
      </c>
      <c r="EI80" s="754" t="str">
        <f>VLOOKUP(WWWW[[#This Row],[Site Name]],SiteDB6[[Site Name]:[Ethnic or GCA/NGCA]],11,FALSE)</f>
        <v>GCA</v>
      </c>
      <c r="EJ80" s="754">
        <f>VLOOKUP(WWWW[[#This Row],[Site Name]],SiteDB6[[Site Name]:[Lat]],12,FALSE)</f>
        <v>24.222349999999999</v>
      </c>
      <c r="EK80" s="754">
        <f>VLOOKUP(WWWW[[#This Row],[Site Name]],SiteDB6[[Site Name]:[Long]],13,FALSE)</f>
        <v>97.252650000000003</v>
      </c>
      <c r="EL80" s="754" t="str">
        <f>VLOOKUP(WWWW[[#This Row],[Site Name]],SiteDB6[[Site Name]:[Pcode]],3,FALSE)</f>
        <v>MMR001CMP193</v>
      </c>
      <c r="EM80" s="759" t="str">
        <f t="shared" si="1"/>
        <v>Covered</v>
      </c>
      <c r="EN80" s="759"/>
      <c r="EO80" s="754">
        <f>VLOOKUP(WWWW[[#This Row],[Site Name]],SiteDB6[[Site Name]:[Pop
(Kachin/Shan-CCCM as of July 2021)]],16,FALSE)</f>
        <v>64</v>
      </c>
      <c r="EP80" s="754">
        <f>VLOOKUP(WWWW[[#This Row],[Site Name]],SiteDB6[[Site Name]:[Pop
(Kachin/Shan-CCCM as of July 2021)]],17,FALSE)</f>
        <v>339</v>
      </c>
    </row>
    <row r="81" spans="1:146" hidden="1">
      <c r="A81" s="752" t="s">
        <v>2785</v>
      </c>
      <c r="B81" s="752" t="s">
        <v>192</v>
      </c>
      <c r="C81" s="753" t="s">
        <v>192</v>
      </c>
      <c r="D81" s="753" t="s">
        <v>2695</v>
      </c>
      <c r="E81" s="753" t="s">
        <v>515</v>
      </c>
      <c r="F81" s="753" t="s">
        <v>534</v>
      </c>
      <c r="G81" s="594" t="str">
        <f>VLOOKUP(WWWW[[#This Row],[Site Name]],SiteDB6[[Site Name]:[Location Type]],8,FALSE)</f>
        <v>Camp</v>
      </c>
      <c r="H81" s="753" t="s">
        <v>535</v>
      </c>
      <c r="I81" s="755">
        <v>40</v>
      </c>
      <c r="J81" s="755">
        <v>206</v>
      </c>
      <c r="K81" s="591" t="s">
        <v>2789</v>
      </c>
      <c r="L81" s="592" t="s">
        <v>2790</v>
      </c>
      <c r="M81" s="755"/>
      <c r="N81" s="755"/>
      <c r="O81" s="755">
        <v>1</v>
      </c>
      <c r="P81" s="755"/>
      <c r="Q81" s="758" t="s">
        <v>41</v>
      </c>
      <c r="R81" s="755"/>
      <c r="S81" s="755">
        <v>5</v>
      </c>
      <c r="T81" s="449">
        <v>4</v>
      </c>
      <c r="U81" s="755"/>
      <c r="V81" s="755"/>
      <c r="W81" s="755">
        <v>1</v>
      </c>
      <c r="X81" s="755"/>
      <c r="Y81" s="755"/>
      <c r="Z81" s="755"/>
      <c r="AA81" s="755"/>
      <c r="AB81" s="755"/>
      <c r="AC81" s="755"/>
      <c r="AD81" s="755"/>
      <c r="AE81" s="755"/>
      <c r="AF81" s="755"/>
      <c r="AG81" s="755"/>
      <c r="AH81" s="755"/>
      <c r="AI81" s="755"/>
      <c r="AJ81" s="755"/>
      <c r="AK81" s="755"/>
      <c r="AL81" s="755"/>
      <c r="AM81" s="755"/>
      <c r="AN81" s="755"/>
      <c r="AO81" s="755"/>
      <c r="AP81" s="759"/>
      <c r="AQ81" s="755"/>
      <c r="AR81" s="755">
        <v>10</v>
      </c>
      <c r="AS81" s="760"/>
      <c r="AT81" s="755"/>
      <c r="AU81" s="755"/>
      <c r="AV81" s="755"/>
      <c r="AW81" s="755"/>
      <c r="AX81" s="755"/>
      <c r="AY81" s="754" t="s">
        <v>41</v>
      </c>
      <c r="AZ81" s="759" t="s">
        <v>137</v>
      </c>
      <c r="BA81" s="755"/>
      <c r="BB81" s="755"/>
      <c r="BC81" s="755"/>
      <c r="BD81" s="449"/>
      <c r="BE81" s="449"/>
      <c r="BF81" s="754"/>
      <c r="BG81" s="755">
        <v>1</v>
      </c>
      <c r="BH81" s="755"/>
      <c r="BI81" s="755"/>
      <c r="BJ81" s="755">
        <v>3</v>
      </c>
      <c r="BK81" s="755"/>
      <c r="BL81" s="755"/>
      <c r="BM81" s="755">
        <v>1</v>
      </c>
      <c r="BN81" s="755">
        <v>41</v>
      </c>
      <c r="BO81" s="755">
        <v>85</v>
      </c>
      <c r="BP81" s="754"/>
      <c r="BQ81" s="761"/>
      <c r="BR81" s="760"/>
      <c r="BS81" s="754"/>
      <c r="BT81" s="424"/>
      <c r="BU81" s="424"/>
      <c r="BV81" s="426"/>
      <c r="BW81" s="424"/>
      <c r="BX81" s="449"/>
      <c r="BY81" s="449"/>
      <c r="BZ81" s="449"/>
      <c r="CA81" s="449"/>
      <c r="CB81" s="449"/>
      <c r="CC81" s="807"/>
      <c r="CD81" s="449"/>
      <c r="CE81" s="762" t="str">
        <f>IFERROR(WWWW[[#This Row],['#_Water sources passed]]/WWWW[[#This Row],['#_Water sources tested for fecal coliform ]],"no test")</f>
        <v>no test</v>
      </c>
      <c r="CF81" s="760" t="str">
        <f>IFERROR(WWWW[[#This Row],['#_Household passed]]/WWWW[[#This Row],['#_Household water samples tested for fecal coliform]],"no test")</f>
        <v>no test</v>
      </c>
      <c r="CG81" s="761" t="str">
        <f>IF(AND(WWWW[[#This Row],[% of water sources passed]]="no test",WWWW[[#This Row],[% Household passed]]="no test"),"No Test","Tested")</f>
        <v>No Test</v>
      </c>
      <c r="CH81" s="761">
        <f>WWWW[[#This Row],['#_Constructed/existing protected hand dug well]]-WWWW[[#This Row],['#_Non-functional protected hand dug well]]</f>
        <v>4</v>
      </c>
      <c r="CI81" s="761">
        <f>(WWWW[[#This Row],['#_Constructed/Existing tube wells/boreholes/handpumps_WASH_agency]]+WWWW[[#This Row],['#_Non-Cluster partner water tube-wells/boreholes/handpumps]])-WWWW[[#This Row],['#_Non-functional tube wells/boreholes/handpumps]]</f>
        <v>1</v>
      </c>
      <c r="CJ81" s="761">
        <f>WWWW[[#This Row],['#_Constructed/Existingwater storage tank with gravity fed reticulation system]]-WWWW[[#This Row],['#_Non-functional storage tank gravity fed reticulation system]]</f>
        <v>0</v>
      </c>
      <c r="CK81" s="761">
        <f>(WWWW[[#This Row],['#_Water_Liters_supplied_by_Water boating or water trucking]]/90)/15</f>
        <v>0</v>
      </c>
      <c r="CL81" s="761">
        <f>WWWW[[#This Row],['#_Water_Liters_from_Constructed/Existing water distribution system from river or natural spring]]/90/15</f>
        <v>0</v>
      </c>
      <c r="CM81" s="425">
        <f>IF(WWWW[[#This Row],['#_of water points in TLS/CFS]]*500&gt;WWWW[[#This Row],[Total PoP ]],WWWW[[#This Row],[Total PoP ]],WWWW[[#This Row],['#_of water points in TLS/CFS]]*500)</f>
        <v>0</v>
      </c>
      <c r="CN81" s="425">
        <f>IF(WWWW[[#This Row],['#_of water points in THF]]*500&gt;WWWW[[#This Row],[Total PoP ]],WWWW[[#This Row],[Total PoP ]],WWWW[[#This Row],['#_of water points in THF]]*500)</f>
        <v>0</v>
      </c>
      <c r="CO8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1" s="760">
        <f>IF(WWWW[[#This Row],[Location Type 1]]="Village",WWWW[[#This Row],[Access to safe drinking water for Village]],WWWW[[#This Row],[Access to safe drinking water for Camp]])</f>
        <v>1</v>
      </c>
      <c r="CR81" s="758">
        <f>WWWW[[#This Row],[%Equitable and continuous access to sufficient quantity of safe drinking water]]*WWWW[[#This Row],[Total PoP ]]</f>
        <v>206</v>
      </c>
      <c r="CS81" s="760">
        <f>IF((WWWW[[#This Row],['#_Constructed/Existing protected/fenced ponds]]*250)/WWWW[[#This Row],[Total PoP ]]&gt;1,1,(WWWW[[#This Row],['#_Constructed/Existing protected/fenced ponds]]*250)/WWWW[[#This Row],[Total PoP ]])</f>
        <v>0</v>
      </c>
      <c r="CT81" s="758">
        <f>WWWW[[#This Row],[% Access to unimproved water points]]*WWWW[[#This Row],[Total PoP ]]</f>
        <v>0</v>
      </c>
      <c r="CU8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81" s="758">
        <f>WWWW[[#This Row],[HRP1]]/500</f>
        <v>0.41199999999999998</v>
      </c>
      <c r="CX81" s="763">
        <f>1-WWWW[[#This Row],[% Equitable and continuous access to sufficient quantity of domestic water]]</f>
        <v>0</v>
      </c>
      <c r="CY81" s="758">
        <f>WWWW[[#This Row],[%equitable and continuous access to sufficient quantity of safe drinking and domestic water''s GAP]]*WWWW[[#This Row],[Total PoP ]]</f>
        <v>0</v>
      </c>
      <c r="CZ81" s="761">
        <f>IF(WWWW[[#This Row],[Total required water points]]-WWWW[[#This Row],['#Water points coverage]]&lt;0,0,WWWW[[#This Row],[Total required water points]]-WWWW[[#This Row],['#Water points coverage]])</f>
        <v>0.58800000000000008</v>
      </c>
      <c r="DA81" s="761">
        <f>ROUND(IF(WWWW[[#This Row],[Total PoP ]]&lt;500,1,WWWW[[#This Row],[Total PoP ]]/500),0)</f>
        <v>1</v>
      </c>
      <c r="DB81" s="761">
        <f>(WWWW[[#This Row],['#_Constructed latrines_by_WASHAgencies]]+WWWW[[#This Row],['#_Non Cluster partner latrines]])-WWWW[[#This Row],['#_Non-functional latrines]]</f>
        <v>10</v>
      </c>
      <c r="DC81" s="634">
        <f>WWWW[[#This Row],[HRP2]]/WWWW[[#This Row],[Total PoP ]]</f>
        <v>0.970873786407767</v>
      </c>
      <c r="DD8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8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1" s="425">
        <f>IF(WWWW[[#This Row],['# of functional latrines in THF supported by WASH partners during the reporting period2]]="",0,WWWW[[#This Row],['# of functional latrines in THF supported by WASH partners during the reporting period2]]*50)</f>
        <v>0</v>
      </c>
      <c r="DH81" s="761">
        <f>ROUND(IF(WWWW[[#This Row],[Location Type 1]]="camp",WWWW[[#This Row],[Total PoP ]]/20,IF(WWWW[[#This Row],[Location Type 1]]="Temporary Location",WWWW[[#This Row],[Total PoP ]]/50,(WWWW[[#This Row],[Total PoP ]]/6))),0)</f>
        <v>10</v>
      </c>
      <c r="DI81" s="761">
        <f>IF(WWWW[[#This Row],[Total required Latrines]]-(WWWW[[#This Row],['#_Constructed latrines_by_WASHAgencies]]+WWWW[[#This Row],['#_Non Cluster partner latrines]])&lt;0,0,WWWW[[#This Row],[Total required Latrines]]-(WWWW[[#This Row],['#_Constructed latrines_by_WASHAgencies]]+WWWW[[#This Row],['#_Non Cluster partner latrines]]))</f>
        <v>0</v>
      </c>
      <c r="DJ81" s="763">
        <f>1-WWWW[[#This Row],[% people access to functioning Latrine]]</f>
        <v>2.9126213592232997E-2</v>
      </c>
      <c r="DK81" s="762">
        <f>IF(OR(WWWW[[#This Row],['#_Non-functional latrines]]="",WWWW[[#This Row],['#_Non-functional latrines]]=0),0,WWWW[[#This Row],['#_Non-functional latrines]]/(WWWW[[#This Row],['#_Constructed latrines_by_WASHAgencies]]+WWWW[[#This Row],['#_Non Cluster partner latrines]]))</f>
        <v>0</v>
      </c>
      <c r="DL81" s="758">
        <f>IF(500*(WWWW[[#This Row],['#_male hygiene promoters]]+WWWW[[#This Row],['#_female hygiene promoters]])&gt;WWWW[[#This Row],[Total PoP ]],WWWW[[#This Row],[Total PoP ]],500*(WWWW[[#This Row],['#_male hygiene promoters]]+WWWW[[#This Row],['#_female hygiene promoters]]))</f>
        <v>206</v>
      </c>
      <c r="DM8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8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81" s="761">
        <f>IF(WWWW[[#This Row],['# People with access to soap]]&gt;WWWW[[#This Row],['# People with access to Sanity Pads]],WWWW[[#This Row],['# People with access to soap]],WWWW[[#This Row],['# People with access to Sanity Pads]])</f>
        <v>205</v>
      </c>
      <c r="DP81" s="761">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81" s="763">
        <f>IF(WWWW[[#This Row],[HRP3]]/WWWW[[#This Row],[Total PoP ]]&gt;1,1,WWWW[[#This Row],[HRP3]]/WWWW[[#This Row],[Total PoP ]])</f>
        <v>1</v>
      </c>
      <c r="DR81" s="762">
        <f>1-WWWW[[#This Row],[Hygiene Coverage%]]</f>
        <v>0</v>
      </c>
      <c r="DS81" s="760">
        <f>WWWW[[#This Row],['# people reached by regular dedicated hygiene promotion_5]]/WWWW[[#This Row],[Total PoP ]]</f>
        <v>1</v>
      </c>
      <c r="DT8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1" s="761">
        <f>WWWW[[#This Row],['#_Constructed/Existing hand washing stations]]-WWWW[[#This Row],['#_Non-Functional_hand_washing_stations]]</f>
        <v>1</v>
      </c>
      <c r="DW81" s="758">
        <f>IF(WWWW[[#This Row],['# Functional hand washing stations during reporting period]]*20&gt;WWWW[[#This Row],[Total HH]],WWWW[[#This Row],[Total HH]],WWWW[[#This Row],['# Functional hand washing stations during reporting period]]*20)</f>
        <v>20</v>
      </c>
      <c r="DX81" s="758">
        <f>IF(WWWW[[#This Row],[Is sufficient soap available for TLS? (Yes/No)]]="yes",WWWW[[#This Row],['#_Constructed/Existing hand washing stations at TLS/CFS/THF]],0)</f>
        <v>0</v>
      </c>
      <c r="DY81" s="429">
        <f>IF(WWWW[[#This Row],['# Functional hand washing stations during reporting period]]*100&gt;WWWW[[#This Row],[Total PoP ]],WWWW[[#This Row],[Total PoP ]],WWWW[[#This Row],['# Functional hand washing stations during reporting period]]*100)</f>
        <v>100</v>
      </c>
      <c r="DZ81" s="429" t="str">
        <f>IF(OR(WWWW[[#This Row],['#_students at TLS_CFS]]="",WWWW[[#This Row],['#_students at TLS_CFS]]=0),"No","Yes")</f>
        <v>No</v>
      </c>
      <c r="EA8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1" s="754" t="str">
        <f>VLOOKUP(WWWW[[#This Row],[Site Name]],SiteDB6[[Site Name]:[CCCM Management]],6,FALSE)</f>
        <v>Yes</v>
      </c>
      <c r="EF81" s="754" t="str">
        <f>VLOOKUP(WWWW[[#This Row],[Site Name]],SiteDB6[[Site Name]:[CCCM Focal Agency]],7,FALSE)</f>
        <v>KBC-NSS</v>
      </c>
      <c r="EG81" s="754" t="str">
        <f>VLOOKUP(WWWW[[#This Row],[Site Name]],SiteDB6[[Site Name]:[Location Type 1]],9,FALSE)</f>
        <v>Camp</v>
      </c>
      <c r="EH81" s="754" t="str">
        <f>VLOOKUP(WWWW[[#This Row],[Site Name]],SiteDB6[[Site Name]:[Type of Accommodation]],10,FALSE)</f>
        <v>Camp</v>
      </c>
      <c r="EI81" s="754" t="str">
        <f>VLOOKUP(WWWW[[#This Row],[Site Name]],SiteDB6[[Site Name]:[Ethnic or GCA/NGCA]],11,FALSE)</f>
        <v>GCA</v>
      </c>
      <c r="EJ81" s="754">
        <f>VLOOKUP(WWWW[[#This Row],[Site Name]],SiteDB6[[Site Name]:[Lat]],12,FALSE)</f>
        <v>23.354268999999999</v>
      </c>
      <c r="EK81" s="754">
        <f>VLOOKUP(WWWW[[#This Row],[Site Name]],SiteDB6[[Site Name]:[Long]],13,FALSE)</f>
        <v>98.218626999999998</v>
      </c>
      <c r="EL81" s="754" t="str">
        <f>VLOOKUP(WWWW[[#This Row],[Site Name]],SiteDB6[[Site Name]:[Pcode]],3,FALSE)</f>
        <v>MMR015CMP036</v>
      </c>
      <c r="EM81" s="759" t="str">
        <f t="shared" si="1"/>
        <v>Covered</v>
      </c>
      <c r="EN81" s="759"/>
      <c r="EO81" s="754">
        <f>VLOOKUP(WWWW[[#This Row],[Site Name]],SiteDB6[[Site Name]:[Pop
(Kachin/Shan-CCCM as of July 2021)]],16,FALSE)</f>
        <v>36</v>
      </c>
      <c r="EP81" s="754">
        <f>VLOOKUP(WWWW[[#This Row],[Site Name]],SiteDB6[[Site Name]:[Pop
(Kachin/Shan-CCCM as of July 2021)]],17,FALSE)</f>
        <v>180</v>
      </c>
    </row>
    <row r="82" spans="1:146" hidden="1">
      <c r="A82" s="752" t="s">
        <v>2785</v>
      </c>
      <c r="B82" s="752" t="s">
        <v>192</v>
      </c>
      <c r="C82" s="753" t="s">
        <v>192</v>
      </c>
      <c r="D82" s="753" t="s">
        <v>2695</v>
      </c>
      <c r="E82" s="753" t="s">
        <v>515</v>
      </c>
      <c r="F82" s="753" t="s">
        <v>534</v>
      </c>
      <c r="G82" s="594" t="str">
        <f>VLOOKUP(WWWW[[#This Row],[Site Name]],SiteDB6[[Site Name]:[Location Type]],8,FALSE)</f>
        <v>Camp</v>
      </c>
      <c r="H82" s="753" t="s">
        <v>563</v>
      </c>
      <c r="I82" s="755">
        <v>42</v>
      </c>
      <c r="J82" s="755">
        <v>195</v>
      </c>
      <c r="K82" s="591" t="s">
        <v>2789</v>
      </c>
      <c r="L82" s="592" t="s">
        <v>2790</v>
      </c>
      <c r="M82" s="755"/>
      <c r="N82" s="755"/>
      <c r="O82" s="755"/>
      <c r="P82" s="755"/>
      <c r="Q82" s="758"/>
      <c r="R82" s="755">
        <v>4</v>
      </c>
      <c r="S82" s="755">
        <v>4</v>
      </c>
      <c r="T82" s="449"/>
      <c r="U82" s="755"/>
      <c r="V82" s="755"/>
      <c r="W82" s="755">
        <v>1</v>
      </c>
      <c r="X82" s="755"/>
      <c r="Y82" s="755"/>
      <c r="Z82" s="755"/>
      <c r="AA82" s="755">
        <v>1</v>
      </c>
      <c r="AB82" s="755"/>
      <c r="AC82" s="755"/>
      <c r="AD82" s="755"/>
      <c r="AE82" s="755"/>
      <c r="AF82" s="755"/>
      <c r="AG82" s="755"/>
      <c r="AH82" s="755">
        <v>1</v>
      </c>
      <c r="AI82" s="755"/>
      <c r="AJ82" s="755"/>
      <c r="AK82" s="755"/>
      <c r="AL82" s="755"/>
      <c r="AM82" s="755">
        <v>1</v>
      </c>
      <c r="AN82" s="755"/>
      <c r="AO82" s="755"/>
      <c r="AP82" s="759"/>
      <c r="AQ82" s="755">
        <v>38</v>
      </c>
      <c r="AR82" s="755"/>
      <c r="AS82" s="760"/>
      <c r="AT82" s="755"/>
      <c r="AU82" s="755"/>
      <c r="AV82" s="755"/>
      <c r="AW82" s="755"/>
      <c r="AX82" s="755"/>
      <c r="AY82" s="754" t="s">
        <v>136</v>
      </c>
      <c r="AZ82" s="759" t="s">
        <v>136</v>
      </c>
      <c r="BA82" s="755"/>
      <c r="BB82" s="755"/>
      <c r="BC82" s="755"/>
      <c r="BD82" s="449"/>
      <c r="BE82" s="449"/>
      <c r="BF82" s="754"/>
      <c r="BG82" s="755">
        <v>1</v>
      </c>
      <c r="BH82" s="755"/>
      <c r="BI82" s="755"/>
      <c r="BJ82" s="755">
        <v>3</v>
      </c>
      <c r="BK82" s="755"/>
      <c r="BL82" s="755"/>
      <c r="BM82" s="755">
        <v>1</v>
      </c>
      <c r="BN82" s="755">
        <v>41</v>
      </c>
      <c r="BO82" s="755">
        <v>85</v>
      </c>
      <c r="BP82" s="754"/>
      <c r="BQ82" s="761"/>
      <c r="BR82" s="760"/>
      <c r="BS82" s="754"/>
      <c r="BT82" s="424"/>
      <c r="BU82" s="424"/>
      <c r="BV82" s="426"/>
      <c r="BW82" s="424"/>
      <c r="BX82" s="449"/>
      <c r="BY82" s="449"/>
      <c r="BZ82" s="449"/>
      <c r="CA82" s="449"/>
      <c r="CB82" s="449"/>
      <c r="CC82" s="807"/>
      <c r="CD82" s="449"/>
      <c r="CE82" s="762" t="str">
        <f>IFERROR(WWWW[[#This Row],['#_Water sources passed]]/WWWW[[#This Row],['#_Water sources tested for fecal coliform ]],"no test")</f>
        <v>no test</v>
      </c>
      <c r="CF82" s="760" t="str">
        <f>IFERROR(WWWW[[#This Row],['#_Household passed]]/WWWW[[#This Row],['#_Household water samples tested for fecal coliform]],"no test")</f>
        <v>no test</v>
      </c>
      <c r="CG82" s="761" t="str">
        <f>IF(AND(WWWW[[#This Row],[% of water sources passed]]="no test",WWWW[[#This Row],[% Household passed]]="no test"),"No Test","Tested")</f>
        <v>No Test</v>
      </c>
      <c r="CH82" s="761">
        <f>WWWW[[#This Row],['#_Constructed/existing protected hand dug well]]-WWWW[[#This Row],['#_Non-functional protected hand dug well]]</f>
        <v>0</v>
      </c>
      <c r="CI82" s="761">
        <f>(WWWW[[#This Row],['#_Constructed/Existing tube wells/boreholes/handpumps_WASH_agency]]+WWWW[[#This Row],['#_Non-Cluster partner water tube-wells/boreholes/handpumps]])-WWWW[[#This Row],['#_Non-functional tube wells/boreholes/handpumps]]</f>
        <v>1</v>
      </c>
      <c r="CJ82" s="761">
        <f>WWWW[[#This Row],['#_Constructed/Existingwater storage tank with gravity fed reticulation system]]-WWWW[[#This Row],['#_Non-functional storage tank gravity fed reticulation system]]</f>
        <v>1</v>
      </c>
      <c r="CK82" s="761">
        <f>(WWWW[[#This Row],['#_Water_Liters_supplied_by_Water boating or water trucking]]/90)/15</f>
        <v>0</v>
      </c>
      <c r="CL82" s="761">
        <f>WWWW[[#This Row],['#_Water_Liters_from_Constructed/Existing water distribution system from river or natural spring]]/90/15</f>
        <v>0</v>
      </c>
      <c r="CM82" s="425">
        <f>IF(WWWW[[#This Row],['#_of water points in TLS/CFS]]*500&gt;WWWW[[#This Row],[Total PoP ]],WWWW[[#This Row],[Total PoP ]],WWWW[[#This Row],['#_of water points in TLS/CFS]]*500)</f>
        <v>0</v>
      </c>
      <c r="CN82" s="425">
        <f>IF(WWWW[[#This Row],['#_of water points in THF]]*500&gt;WWWW[[#This Row],[Total PoP ]],WWWW[[#This Row],[Total PoP ]],WWWW[[#This Row],['#_of water points in THF]]*500)</f>
        <v>0</v>
      </c>
      <c r="CO8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2" s="760">
        <f>IF(WWWW[[#This Row],[Location Type 1]]="Village",WWWW[[#This Row],[Access to safe drinking water for Village]],WWWW[[#This Row],[Access to safe drinking water for Camp]])</f>
        <v>1</v>
      </c>
      <c r="CR82" s="758">
        <f>WWWW[[#This Row],[%Equitable and continuous access to sufficient quantity of safe drinking water]]*WWWW[[#This Row],[Total PoP ]]</f>
        <v>195</v>
      </c>
      <c r="CS82" s="760">
        <f>IF((WWWW[[#This Row],['#_Constructed/Existing protected/fenced ponds]]*250)/WWWW[[#This Row],[Total PoP ]]&gt;1,1,(WWWW[[#This Row],['#_Constructed/Existing protected/fenced ponds]]*250)/WWWW[[#This Row],[Total PoP ]])</f>
        <v>0</v>
      </c>
      <c r="CT82" s="758">
        <f>WWWW[[#This Row],[% Access to unimproved water points]]*WWWW[[#This Row],[Total PoP ]]</f>
        <v>0</v>
      </c>
      <c r="CU8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82" s="758">
        <f>WWWW[[#This Row],[HRP1]]/500</f>
        <v>0.39</v>
      </c>
      <c r="CX82" s="763">
        <f>1-WWWW[[#This Row],[% Equitable and continuous access to sufficient quantity of domestic water]]</f>
        <v>0</v>
      </c>
      <c r="CY82" s="758">
        <f>WWWW[[#This Row],[%equitable and continuous access to sufficient quantity of safe drinking and domestic water''s GAP]]*WWWW[[#This Row],[Total PoP ]]</f>
        <v>0</v>
      </c>
      <c r="CZ82" s="761">
        <f>IF(WWWW[[#This Row],[Total required water points]]-WWWW[[#This Row],['#Water points coverage]]&lt;0,0,WWWW[[#This Row],[Total required water points]]-WWWW[[#This Row],['#Water points coverage]])</f>
        <v>0.61</v>
      </c>
      <c r="DA82" s="761">
        <f>ROUND(IF(WWWW[[#This Row],[Total PoP ]]&lt;500,1,WWWW[[#This Row],[Total PoP ]]/500),0)</f>
        <v>1</v>
      </c>
      <c r="DB82" s="761">
        <f>(WWWW[[#This Row],['#_Constructed latrines_by_WASHAgencies]]+WWWW[[#This Row],['#_Non Cluster partner latrines]])-WWWW[[#This Row],['#_Non-functional latrines]]</f>
        <v>38</v>
      </c>
      <c r="DC82" s="634">
        <f>WWWW[[#This Row],[HRP2]]/WWWW[[#This Row],[Total PoP ]]</f>
        <v>1</v>
      </c>
      <c r="DD8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8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2" s="425">
        <f>IF(WWWW[[#This Row],['# of functional latrines in THF supported by WASH partners during the reporting period2]]="",0,WWWW[[#This Row],['# of functional latrines in THF supported by WASH partners during the reporting period2]]*50)</f>
        <v>0</v>
      </c>
      <c r="DH82" s="761">
        <f>ROUND(IF(WWWW[[#This Row],[Location Type 1]]="camp",WWWW[[#This Row],[Total PoP ]]/20,IF(WWWW[[#This Row],[Location Type 1]]="Temporary Location",WWWW[[#This Row],[Total PoP ]]/50,(WWWW[[#This Row],[Total PoP ]]/6))),0)</f>
        <v>10</v>
      </c>
      <c r="DI82" s="761">
        <f>IF(WWWW[[#This Row],[Total required Latrines]]-(WWWW[[#This Row],['#_Constructed latrines_by_WASHAgencies]]+WWWW[[#This Row],['#_Non Cluster partner latrines]])&lt;0,0,WWWW[[#This Row],[Total required Latrines]]-(WWWW[[#This Row],['#_Constructed latrines_by_WASHAgencies]]+WWWW[[#This Row],['#_Non Cluster partner latrines]]))</f>
        <v>0</v>
      </c>
      <c r="DJ82" s="763">
        <f>1-WWWW[[#This Row],[% people access to functioning Latrine]]</f>
        <v>0</v>
      </c>
      <c r="DK82" s="762">
        <f>IF(OR(WWWW[[#This Row],['#_Non-functional latrines]]="",WWWW[[#This Row],['#_Non-functional latrines]]=0),0,WWWW[[#This Row],['#_Non-functional latrines]]/(WWWW[[#This Row],['#_Constructed latrines_by_WASHAgencies]]+WWWW[[#This Row],['#_Non Cluster partner latrines]]))</f>
        <v>0</v>
      </c>
      <c r="DL82" s="758">
        <f>IF(500*(WWWW[[#This Row],['#_male hygiene promoters]]+WWWW[[#This Row],['#_female hygiene promoters]])&gt;WWWW[[#This Row],[Total PoP ]],WWWW[[#This Row],[Total PoP ]],500*(WWWW[[#This Row],['#_male hygiene promoters]]+WWWW[[#This Row],['#_female hygiene promoters]]))</f>
        <v>195</v>
      </c>
      <c r="DM8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195</v>
      </c>
      <c r="DN8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82" s="761">
        <f>IF(WWWW[[#This Row],['# People with access to soap]]&gt;WWWW[[#This Row],['# People with access to Sanity Pads]],WWWW[[#This Row],['# People with access to soap]],WWWW[[#This Row],['# People with access to Sanity Pads]])</f>
        <v>195</v>
      </c>
      <c r="DP82" s="761">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82" s="763">
        <f>IF(WWWW[[#This Row],[HRP3]]/WWWW[[#This Row],[Total PoP ]]&gt;1,1,WWWW[[#This Row],[HRP3]]/WWWW[[#This Row],[Total PoP ]])</f>
        <v>1</v>
      </c>
      <c r="DR82" s="762">
        <f>1-WWWW[[#This Row],[Hygiene Coverage%]]</f>
        <v>0</v>
      </c>
      <c r="DS82" s="760">
        <f>WWWW[[#This Row],['# people reached by regular dedicated hygiene promotion_5]]/WWWW[[#This Row],[Total PoP ]]</f>
        <v>1</v>
      </c>
      <c r="DT8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2" s="761">
        <f>WWWW[[#This Row],['#_Constructed/Existing hand washing stations]]-WWWW[[#This Row],['#_Non-Functional_hand_washing_stations]]</f>
        <v>1</v>
      </c>
      <c r="DW82" s="758">
        <f>IF(WWWW[[#This Row],['# Functional hand washing stations during reporting period]]*20&gt;WWWW[[#This Row],[Total HH]],WWWW[[#This Row],[Total HH]],WWWW[[#This Row],['# Functional hand washing stations during reporting period]]*20)</f>
        <v>20</v>
      </c>
      <c r="DX82" s="758">
        <f>IF(WWWW[[#This Row],[Is sufficient soap available for TLS? (Yes/No)]]="yes",WWWW[[#This Row],['#_Constructed/Existing hand washing stations at TLS/CFS/THF]],0)</f>
        <v>0</v>
      </c>
      <c r="DY82" s="429">
        <f>IF(WWWW[[#This Row],['# Functional hand washing stations during reporting period]]*100&gt;WWWW[[#This Row],[Total PoP ]],WWWW[[#This Row],[Total PoP ]],WWWW[[#This Row],['# Functional hand washing stations during reporting period]]*100)</f>
        <v>100</v>
      </c>
      <c r="DZ82" s="429" t="str">
        <f>IF(OR(WWWW[[#This Row],['#_students at TLS_CFS]]="",WWWW[[#This Row],['#_students at TLS_CFS]]=0),"No","Yes")</f>
        <v>No</v>
      </c>
      <c r="EA8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2" s="754">
        <f>VLOOKUP(WWWW[[#This Row],[Site Name]],SiteDB6[[Site Name]:[CCCM Management]],6,FALSE)</f>
        <v>0</v>
      </c>
      <c r="EF82" s="754">
        <f>VLOOKUP(WWWW[[#This Row],[Site Name]],SiteDB6[[Site Name]:[CCCM Focal Agency]],7,FALSE)</f>
        <v>0</v>
      </c>
      <c r="EG82" s="754" t="str">
        <f>VLOOKUP(WWWW[[#This Row],[Site Name]],SiteDB6[[Site Name]:[Location Type 1]],9,FALSE)</f>
        <v>Camp</v>
      </c>
      <c r="EH82" s="754" t="str">
        <f>VLOOKUP(WWWW[[#This Row],[Site Name]],SiteDB6[[Site Name]:[Type of Accommodation]],10,FALSE)</f>
        <v>Closed Camp</v>
      </c>
      <c r="EI82" s="754" t="str">
        <f>VLOOKUP(WWWW[[#This Row],[Site Name]],SiteDB6[[Site Name]:[Ethnic or GCA/NGCA]],11,FALSE)</f>
        <v>GCA</v>
      </c>
      <c r="EJ82" s="754">
        <f>VLOOKUP(WWWW[[#This Row],[Site Name]],SiteDB6[[Site Name]:[Lat]],12,FALSE)</f>
        <v>23.353999999999999</v>
      </c>
      <c r="EK82" s="754">
        <f>VLOOKUP(WWWW[[#This Row],[Site Name]],SiteDB6[[Site Name]:[Long]],13,FALSE)</f>
        <v>98.221000000000004</v>
      </c>
      <c r="EL82" s="754" t="str">
        <f>VLOOKUP(WWWW[[#This Row],[Site Name]],SiteDB6[[Site Name]:[Pcode]],3,FALSE)</f>
        <v>MMR015CMP226</v>
      </c>
      <c r="EM82" s="759" t="str">
        <f t="shared" si="1"/>
        <v>Covered</v>
      </c>
      <c r="EN82" s="759"/>
      <c r="EO82" s="754">
        <f>VLOOKUP(WWWW[[#This Row],[Site Name]],SiteDB6[[Site Name]:[Pop
(Kachin/Shan-CCCM as of July 2021)]],16,FALSE)</f>
        <v>0</v>
      </c>
      <c r="EP82" s="754">
        <f>VLOOKUP(WWWW[[#This Row],[Site Name]],SiteDB6[[Site Name]:[Pop
(Kachin/Shan-CCCM as of July 2021)]],17,FALSE)</f>
        <v>0</v>
      </c>
    </row>
    <row r="83" spans="1:146" hidden="1">
      <c r="A83" s="752" t="s">
        <v>2785</v>
      </c>
      <c r="B83" s="752" t="s">
        <v>192</v>
      </c>
      <c r="C83" s="753" t="s">
        <v>192</v>
      </c>
      <c r="D83" s="753" t="s">
        <v>241</v>
      </c>
      <c r="E83" s="753" t="s">
        <v>515</v>
      </c>
      <c r="F83" s="753" t="s">
        <v>519</v>
      </c>
      <c r="G83" s="594" t="str">
        <f>VLOOKUP(WWWW[[#This Row],[Site Name]],SiteDB6[[Site Name]:[Location Type]],8,FALSE)</f>
        <v>Camp</v>
      </c>
      <c r="H83" s="753" t="s">
        <v>3055</v>
      </c>
      <c r="I83" s="755">
        <v>27</v>
      </c>
      <c r="J83" s="755">
        <v>162</v>
      </c>
      <c r="K83" s="756">
        <v>44511</v>
      </c>
      <c r="L83" s="757">
        <v>44845</v>
      </c>
      <c r="M83" s="755"/>
      <c r="N83" s="755"/>
      <c r="O83" s="755"/>
      <c r="P83" s="755"/>
      <c r="Q83" s="758"/>
      <c r="R83" s="755"/>
      <c r="S83" s="755"/>
      <c r="T83" s="449"/>
      <c r="U83" s="755"/>
      <c r="V83" s="755"/>
      <c r="W83" s="755"/>
      <c r="X83" s="755"/>
      <c r="Y83" s="755"/>
      <c r="Z83" s="755"/>
      <c r="AA83" s="755"/>
      <c r="AB83" s="755"/>
      <c r="AC83" s="755"/>
      <c r="AD83" s="755"/>
      <c r="AE83" s="755"/>
      <c r="AF83" s="755"/>
      <c r="AG83" s="755"/>
      <c r="AH83" s="755"/>
      <c r="AI83" s="755"/>
      <c r="AJ83" s="755"/>
      <c r="AK83" s="755"/>
      <c r="AL83" s="755"/>
      <c r="AM83" s="755"/>
      <c r="AN83" s="755"/>
      <c r="AO83" s="755"/>
      <c r="AP83" s="759"/>
      <c r="AQ83" s="755"/>
      <c r="AR83" s="755"/>
      <c r="AS83" s="760"/>
      <c r="AT83" s="755"/>
      <c r="AU83" s="755"/>
      <c r="AV83" s="755"/>
      <c r="AW83" s="755"/>
      <c r="AX83" s="755"/>
      <c r="AY83" s="426" t="s">
        <v>140</v>
      </c>
      <c r="AZ83" s="891" t="s">
        <v>140</v>
      </c>
      <c r="BA83" s="755"/>
      <c r="BB83" s="755"/>
      <c r="BC83" s="755"/>
      <c r="BD83" s="449"/>
      <c r="BE83" s="449"/>
      <c r="BF83" s="754"/>
      <c r="BG83" s="755">
        <v>7</v>
      </c>
      <c r="BH83" s="755"/>
      <c r="BI83" s="755"/>
      <c r="BJ83" s="755">
        <v>4</v>
      </c>
      <c r="BK83" s="755"/>
      <c r="BL83" s="755"/>
      <c r="BM83" s="755"/>
      <c r="BN83" s="755">
        <v>124</v>
      </c>
      <c r="BO83" s="755">
        <v>198</v>
      </c>
      <c r="BP83" s="754"/>
      <c r="BQ83" s="761"/>
      <c r="BR83" s="760"/>
      <c r="BS83" s="754"/>
      <c r="BT83" s="424"/>
      <c r="BU83" s="424"/>
      <c r="BV83" s="426"/>
      <c r="BW83" s="424"/>
      <c r="BX83" s="449"/>
      <c r="BY83" s="449"/>
      <c r="BZ83" s="449"/>
      <c r="CA83" s="449"/>
      <c r="CB83" s="449"/>
      <c r="CC83" s="807"/>
      <c r="CD83" s="449"/>
      <c r="CE83" s="762" t="str">
        <f>IFERROR(WWWW[[#This Row],['#_Water sources passed]]/WWWW[[#This Row],['#_Water sources tested for fecal coliform ]],"no test")</f>
        <v>no test</v>
      </c>
      <c r="CF83" s="760" t="str">
        <f>IFERROR(WWWW[[#This Row],['#_Household passed]]/WWWW[[#This Row],['#_Household water samples tested for fecal coliform]],"no test")</f>
        <v>no test</v>
      </c>
      <c r="CG83" s="761" t="str">
        <f>IF(AND(WWWW[[#This Row],[% of water sources passed]]="no test",WWWW[[#This Row],[% Household passed]]="no test"),"No Test","Tested")</f>
        <v>No Test</v>
      </c>
      <c r="CH83" s="761">
        <f>WWWW[[#This Row],['#_Constructed/existing protected hand dug well]]-WWWW[[#This Row],['#_Non-functional protected hand dug well]]</f>
        <v>0</v>
      </c>
      <c r="CI83" s="761">
        <f>(WWWW[[#This Row],['#_Constructed/Existing tube wells/boreholes/handpumps_WASH_agency]]+WWWW[[#This Row],['#_Non-Cluster partner water tube-wells/boreholes/handpumps]])-WWWW[[#This Row],['#_Non-functional tube wells/boreholes/handpumps]]</f>
        <v>0</v>
      </c>
      <c r="CJ83" s="761">
        <f>WWWW[[#This Row],['#_Constructed/Existingwater storage tank with gravity fed reticulation system]]-WWWW[[#This Row],['#_Non-functional storage tank gravity fed reticulation system]]</f>
        <v>0</v>
      </c>
      <c r="CK83" s="761">
        <f>(WWWW[[#This Row],['#_Water_Liters_supplied_by_Water boating or water trucking]]/90)/15</f>
        <v>0</v>
      </c>
      <c r="CL83" s="761">
        <f>WWWW[[#This Row],['#_Water_Liters_from_Constructed/Existing water distribution system from river or natural spring]]/90/15</f>
        <v>0</v>
      </c>
      <c r="CM83" s="425">
        <f>IF(WWWW[[#This Row],['#_of water points in TLS/CFS]]*500&gt;WWWW[[#This Row],[Total PoP ]],WWWW[[#This Row],[Total PoP ]],WWWW[[#This Row],['#_of water points in TLS/CFS]]*500)</f>
        <v>0</v>
      </c>
      <c r="CN83" s="425">
        <f>IF(WWWW[[#This Row],['#_of water points in THF]]*500&gt;WWWW[[#This Row],[Total PoP ]],WWWW[[#This Row],[Total PoP ]],WWWW[[#This Row],['#_of water points in THF]]*500)</f>
        <v>0</v>
      </c>
      <c r="CO8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8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83" s="760">
        <f>IF(WWWW[[#This Row],[Location Type 1]]="Village",WWWW[[#This Row],[Access to safe drinking water for Village]],WWWW[[#This Row],[Access to safe drinking water for Camp]])</f>
        <v>0</v>
      </c>
      <c r="CR83" s="758">
        <f>WWWW[[#This Row],[%Equitable and continuous access to sufficient quantity of safe drinking water]]*WWWW[[#This Row],[Total PoP ]]</f>
        <v>0</v>
      </c>
      <c r="CS83" s="760">
        <f>IF((WWWW[[#This Row],['#_Constructed/Existing protected/fenced ponds]]*250)/WWWW[[#This Row],[Total PoP ]]&gt;1,1,(WWWW[[#This Row],['#_Constructed/Existing protected/fenced ponds]]*250)/WWWW[[#This Row],[Total PoP ]])</f>
        <v>0</v>
      </c>
      <c r="CT83" s="758">
        <f>WWWW[[#This Row],[% Access to unimproved water points]]*WWWW[[#This Row],[Total PoP ]]</f>
        <v>0</v>
      </c>
      <c r="CU8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8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83" s="758">
        <f>WWWW[[#This Row],[HRP1]]/500</f>
        <v>0</v>
      </c>
      <c r="CX83" s="763">
        <f>1-WWWW[[#This Row],[% Equitable and continuous access to sufficient quantity of domestic water]]</f>
        <v>1</v>
      </c>
      <c r="CY83" s="758">
        <f>WWWW[[#This Row],[%equitable and continuous access to sufficient quantity of safe drinking and domestic water''s GAP]]*WWWW[[#This Row],[Total PoP ]]</f>
        <v>162</v>
      </c>
      <c r="CZ83" s="761">
        <f>IF(WWWW[[#This Row],[Total required water points]]-WWWW[[#This Row],['#Water points coverage]]&lt;0,0,WWWW[[#This Row],[Total required water points]]-WWWW[[#This Row],['#Water points coverage]])</f>
        <v>1</v>
      </c>
      <c r="DA83" s="761">
        <f>ROUND(IF(WWWW[[#This Row],[Total PoP ]]&lt;500,1,WWWW[[#This Row],[Total PoP ]]/500),0)</f>
        <v>1</v>
      </c>
      <c r="DB83" s="761">
        <f>(WWWW[[#This Row],['#_Constructed latrines_by_WASHAgencies]]+WWWW[[#This Row],['#_Non Cluster partner latrines]])-WWWW[[#This Row],['#_Non-functional latrines]]</f>
        <v>0</v>
      </c>
      <c r="DC83" s="634">
        <f>WWWW[[#This Row],[HRP2]]/WWWW[[#This Row],[Total PoP ]]</f>
        <v>0</v>
      </c>
      <c r="DD8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8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3" s="425">
        <f>IF(WWWW[[#This Row],['# of functional latrines in THF supported by WASH partners during the reporting period2]]="",0,WWWW[[#This Row],['# of functional latrines in THF supported by WASH partners during the reporting period2]]*50)</f>
        <v>0</v>
      </c>
      <c r="DH83" s="761">
        <f>ROUND(IF(WWWW[[#This Row],[Location Type 1]]="camp",WWWW[[#This Row],[Total PoP ]]/20,IF(WWWW[[#This Row],[Location Type 1]]="Temporary Location",WWWW[[#This Row],[Total PoP ]]/50,(WWWW[[#This Row],[Total PoP ]]/6))),0)</f>
        <v>8</v>
      </c>
      <c r="DI83" s="761">
        <f>IF(WWWW[[#This Row],[Total required Latrines]]-(WWWW[[#This Row],['#_Constructed latrines_by_WASHAgencies]]+WWWW[[#This Row],['#_Non Cluster partner latrines]])&lt;0,0,WWWW[[#This Row],[Total required Latrines]]-(WWWW[[#This Row],['#_Constructed latrines_by_WASHAgencies]]+WWWW[[#This Row],['#_Non Cluster partner latrines]]))</f>
        <v>8</v>
      </c>
      <c r="DJ83" s="763">
        <f>1-WWWW[[#This Row],[% people access to functioning Latrine]]</f>
        <v>1</v>
      </c>
      <c r="DK83" s="762">
        <f>IF(OR(WWWW[[#This Row],['#_Non-functional latrines]]="",WWWW[[#This Row],['#_Non-functional latrines]]=0),0,WWWW[[#This Row],['#_Non-functional latrines]]/(WWWW[[#This Row],['#_Constructed latrines_by_WASHAgencies]]+WWWW[[#This Row],['#_Non Cluster partner latrines]]))</f>
        <v>0</v>
      </c>
      <c r="DL83" s="758">
        <f>IF(500*(WWWW[[#This Row],['#_male hygiene promoters]]+WWWW[[#This Row],['#_female hygiene promoters]])&gt;WWWW[[#This Row],[Total PoP ]],WWWW[[#This Row],[Total PoP ]],500*(WWWW[[#This Row],['#_male hygiene promoters]]+WWWW[[#This Row],['#_female hygiene promoters]]))</f>
        <v>0</v>
      </c>
      <c r="DM8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162</v>
      </c>
      <c r="DN8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162</v>
      </c>
      <c r="DO83" s="761">
        <f>IF(WWWW[[#This Row],['# People with access to soap]]&gt;WWWW[[#This Row],['# People with access to Sanity Pads]],WWWW[[#This Row],['# People with access to soap]],WWWW[[#This Row],['# People with access to Sanity Pads]])</f>
        <v>162</v>
      </c>
      <c r="DP83" s="761">
        <f>IF(WWWW[[#This Row],['# people reached by regular dedicated hygiene promotion_5]]&gt;WWWW[[#This Row],['# People received regular supply of hygiene items_6]],WWWW[[#This Row],['# people reached by regular dedicated hygiene promotion_5]],WWWW[[#This Row],['# People received regular supply of hygiene items_6]])</f>
        <v>162</v>
      </c>
      <c r="DQ83" s="763">
        <f>IF(WWWW[[#This Row],[HRP3]]/WWWW[[#This Row],[Total PoP ]]&gt;1,1,WWWW[[#This Row],[HRP3]]/WWWW[[#This Row],[Total PoP ]])</f>
        <v>1</v>
      </c>
      <c r="DR83" s="762">
        <f>1-WWWW[[#This Row],[Hygiene Coverage%]]</f>
        <v>0</v>
      </c>
      <c r="DS83" s="760">
        <f>WWWW[[#This Row],['# people reached by regular dedicated hygiene promotion_5]]/WWWW[[#This Row],[Total PoP ]]</f>
        <v>0</v>
      </c>
      <c r="DT8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3" s="761">
        <f>WWWW[[#This Row],['#_Constructed/Existing hand washing stations]]-WWWW[[#This Row],['#_Non-Functional_hand_washing_stations]]</f>
        <v>7</v>
      </c>
      <c r="DW83" s="758">
        <f>IF(WWWW[[#This Row],['# Functional hand washing stations during reporting period]]*20&gt;WWWW[[#This Row],[Total HH]],WWWW[[#This Row],[Total HH]],WWWW[[#This Row],['# Functional hand washing stations during reporting period]]*20)</f>
        <v>27</v>
      </c>
      <c r="DX83" s="758">
        <f>IF(WWWW[[#This Row],[Is sufficient soap available for TLS? (Yes/No)]]="yes",WWWW[[#This Row],['#_Constructed/Existing hand washing stations at TLS/CFS/THF]],0)</f>
        <v>0</v>
      </c>
      <c r="DY83" s="429">
        <f>IF(WWWW[[#This Row],['# Functional hand washing stations during reporting period]]*100&gt;WWWW[[#This Row],[Total PoP ]],WWWW[[#This Row],[Total PoP ]],WWWW[[#This Row],['# Functional hand washing stations during reporting period]]*100)</f>
        <v>162</v>
      </c>
      <c r="DZ83" s="429" t="str">
        <f>IF(OR(WWWW[[#This Row],['#_students at TLS_CFS]]="",WWWW[[#This Row],['#_students at TLS_CFS]]=0),"No","Yes")</f>
        <v>No</v>
      </c>
      <c r="EA8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3" s="754">
        <f>VLOOKUP(WWWW[[#This Row],[Site Name]],SiteDB6[[Site Name]:[CCCM Management]],6,FALSE)</f>
        <v>0</v>
      </c>
      <c r="EF83" s="754">
        <f>VLOOKUP(WWWW[[#This Row],[Site Name]],SiteDB6[[Site Name]:[CCCM Focal Agency]],7,FALSE)</f>
        <v>0</v>
      </c>
      <c r="EG83" s="754" t="str">
        <f>VLOOKUP(WWWW[[#This Row],[Site Name]],SiteDB6[[Site Name]:[Location Type 1]],9,FALSE)</f>
        <v>Camp</v>
      </c>
      <c r="EH83" s="754" t="str">
        <f>VLOOKUP(WWWW[[#This Row],[Site Name]],SiteDB6[[Site Name]:[Type of Accommodation]],10,FALSE)</f>
        <v>IDPs in host</v>
      </c>
      <c r="EI83" s="754" t="str">
        <f>VLOOKUP(WWWW[[#This Row],[Site Name]],SiteDB6[[Site Name]:[Ethnic or GCA/NGCA]],11,FALSE)</f>
        <v>GCA</v>
      </c>
      <c r="EJ83" s="754">
        <f>VLOOKUP(WWWW[[#This Row],[Site Name]],SiteDB6[[Site Name]:[Lat]],12,FALSE)</f>
        <v>23.400155999999999</v>
      </c>
      <c r="EK83" s="754">
        <f>VLOOKUP(WWWW[[#This Row],[Site Name]],SiteDB6[[Site Name]:[Long]],13,FALSE)</f>
        <v>98.220614999999995</v>
      </c>
      <c r="EL83" s="754" t="str">
        <f>VLOOKUP(WWWW[[#This Row],[Site Name]],SiteDB6[[Site Name]:[Pcode]],3,FALSE)</f>
        <v>MMR015CMP071</v>
      </c>
      <c r="EM83" s="759" t="str">
        <f t="shared" si="1"/>
        <v>Covered</v>
      </c>
      <c r="EN83" s="759"/>
      <c r="EO83" s="754">
        <f>VLOOKUP(WWWW[[#This Row],[Site Name]],SiteDB6[[Site Name]:[Pop
(Kachin/Shan-CCCM as of July 2021)]],16,FALSE)</f>
        <v>27</v>
      </c>
      <c r="EP83" s="754">
        <f>VLOOKUP(WWWW[[#This Row],[Site Name]],SiteDB6[[Site Name]:[Pop
(Kachin/Shan-CCCM as of July 2021)]],17,FALSE)</f>
        <v>162</v>
      </c>
    </row>
    <row r="84" spans="1:146" hidden="1">
      <c r="A84" s="752" t="s">
        <v>2785</v>
      </c>
      <c r="B84" s="752" t="s">
        <v>192</v>
      </c>
      <c r="C84" s="753" t="s">
        <v>192</v>
      </c>
      <c r="D84" s="753" t="s">
        <v>2695</v>
      </c>
      <c r="E84" s="753" t="s">
        <v>515</v>
      </c>
      <c r="F84" s="753" t="s">
        <v>519</v>
      </c>
      <c r="G84" s="594" t="str">
        <f>VLOOKUP(WWWW[[#This Row],[Site Name]],SiteDB6[[Site Name]:[Location Type]],8,FALSE)</f>
        <v>Camp</v>
      </c>
      <c r="H84" s="753" t="s">
        <v>1721</v>
      </c>
      <c r="I84" s="755">
        <v>74</v>
      </c>
      <c r="J84" s="755">
        <v>439</v>
      </c>
      <c r="K84" s="756" t="s">
        <v>2789</v>
      </c>
      <c r="L84" s="757" t="s">
        <v>2790</v>
      </c>
      <c r="M84" s="755"/>
      <c r="N84" s="755">
        <v>1</v>
      </c>
      <c r="O84" s="755"/>
      <c r="P84" s="755"/>
      <c r="Q84" s="758" t="s">
        <v>41</v>
      </c>
      <c r="R84" s="755">
        <v>5</v>
      </c>
      <c r="S84" s="755">
        <v>1</v>
      </c>
      <c r="T84" s="449"/>
      <c r="U84" s="755"/>
      <c r="V84" s="755"/>
      <c r="W84" s="755"/>
      <c r="X84" s="755"/>
      <c r="Y84" s="755"/>
      <c r="Z84" s="755"/>
      <c r="AA84" s="755">
        <v>14</v>
      </c>
      <c r="AB84" s="755"/>
      <c r="AC84" s="755"/>
      <c r="AD84" s="755"/>
      <c r="AE84" s="755"/>
      <c r="AF84" s="755"/>
      <c r="AG84" s="755"/>
      <c r="AH84" s="755"/>
      <c r="AI84" s="755"/>
      <c r="AJ84" s="755"/>
      <c r="AK84" s="755"/>
      <c r="AL84" s="755"/>
      <c r="AM84" s="755"/>
      <c r="AN84" s="755"/>
      <c r="AO84" s="755"/>
      <c r="AP84" s="759"/>
      <c r="AQ84" s="755">
        <v>40</v>
      </c>
      <c r="AR84" s="755"/>
      <c r="AS84" s="760"/>
      <c r="AT84" s="755"/>
      <c r="AU84" s="755"/>
      <c r="AV84" s="755"/>
      <c r="AW84" s="755"/>
      <c r="AX84" s="755"/>
      <c r="AY84" s="754" t="s">
        <v>140</v>
      </c>
      <c r="AZ84" s="759" t="s">
        <v>140</v>
      </c>
      <c r="BA84" s="755"/>
      <c r="BB84" s="755"/>
      <c r="BC84" s="755"/>
      <c r="BD84" s="449"/>
      <c r="BE84" s="449"/>
      <c r="BF84" s="754"/>
      <c r="BG84" s="755">
        <v>3</v>
      </c>
      <c r="BH84" s="755"/>
      <c r="BI84" s="755"/>
      <c r="BJ84" s="755">
        <v>2</v>
      </c>
      <c r="BK84" s="755"/>
      <c r="BL84" s="755"/>
      <c r="BM84" s="755">
        <v>1</v>
      </c>
      <c r="BN84" s="755">
        <v>10</v>
      </c>
      <c r="BO84" s="755">
        <v>18</v>
      </c>
      <c r="BP84" s="754"/>
      <c r="BQ84" s="761"/>
      <c r="BR84" s="760"/>
      <c r="BS84" s="754"/>
      <c r="BT84" s="424"/>
      <c r="BU84" s="424"/>
      <c r="BV84" s="426"/>
      <c r="BW84" s="424"/>
      <c r="BX84" s="449"/>
      <c r="BY84" s="449"/>
      <c r="BZ84" s="449"/>
      <c r="CA84" s="449"/>
      <c r="CB84" s="449"/>
      <c r="CC84" s="807"/>
      <c r="CD84" s="449"/>
      <c r="CE84" s="762" t="str">
        <f>IFERROR(WWWW[[#This Row],['#_Water sources passed]]/WWWW[[#This Row],['#_Water sources tested for fecal coliform ]],"no test")</f>
        <v>no test</v>
      </c>
      <c r="CF84" s="760" t="str">
        <f>IFERROR(WWWW[[#This Row],['#_Household passed]]/WWWW[[#This Row],['#_Household water samples tested for fecal coliform]],"no test")</f>
        <v>no test</v>
      </c>
      <c r="CG84" s="761" t="str">
        <f>IF(AND(WWWW[[#This Row],[% of water sources passed]]="no test",WWWW[[#This Row],[% Household passed]]="no test"),"No Test","Tested")</f>
        <v>No Test</v>
      </c>
      <c r="CH84" s="761">
        <f>WWWW[[#This Row],['#_Constructed/existing protected hand dug well]]-WWWW[[#This Row],['#_Non-functional protected hand dug well]]</f>
        <v>0</v>
      </c>
      <c r="CI84" s="761">
        <f>(WWWW[[#This Row],['#_Constructed/Existing tube wells/boreholes/handpumps_WASH_agency]]+WWWW[[#This Row],['#_Non-Cluster partner water tube-wells/boreholes/handpumps]])-WWWW[[#This Row],['#_Non-functional tube wells/boreholes/handpumps]]</f>
        <v>0</v>
      </c>
      <c r="CJ84" s="761">
        <f>WWWW[[#This Row],['#_Constructed/Existingwater storage tank with gravity fed reticulation system]]-WWWW[[#This Row],['#_Non-functional storage tank gravity fed reticulation system]]</f>
        <v>14</v>
      </c>
      <c r="CK84" s="761">
        <f>(WWWW[[#This Row],['#_Water_Liters_supplied_by_Water boating or water trucking]]/90)/15</f>
        <v>0</v>
      </c>
      <c r="CL84" s="761">
        <f>WWWW[[#This Row],['#_Water_Liters_from_Constructed/Existing water distribution system from river or natural spring]]/90/15</f>
        <v>0</v>
      </c>
      <c r="CM84" s="425">
        <f>IF(WWWW[[#This Row],['#_of water points in TLS/CFS]]*500&gt;WWWW[[#This Row],[Total PoP ]],WWWW[[#This Row],[Total PoP ]],WWWW[[#This Row],['#_of water points in TLS/CFS]]*500)</f>
        <v>0</v>
      </c>
      <c r="CN84" s="425">
        <f>IF(WWWW[[#This Row],['#_of water points in THF]]*500&gt;WWWW[[#This Row],[Total PoP ]],WWWW[[#This Row],[Total PoP ]],WWWW[[#This Row],['#_of water points in THF]]*500)</f>
        <v>0</v>
      </c>
      <c r="CO8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4" s="760">
        <f>IF(WWWW[[#This Row],[Location Type 1]]="Village",WWWW[[#This Row],[Access to safe drinking water for Village]],WWWW[[#This Row],[Access to safe drinking water for Camp]])</f>
        <v>1</v>
      </c>
      <c r="CR84" s="758">
        <f>WWWW[[#This Row],[%Equitable and continuous access to sufficient quantity of safe drinking water]]*WWWW[[#This Row],[Total PoP ]]</f>
        <v>439</v>
      </c>
      <c r="CS84" s="760">
        <f>IF((WWWW[[#This Row],['#_Constructed/Existing protected/fenced ponds]]*250)/WWWW[[#This Row],[Total PoP ]]&gt;1,1,(WWWW[[#This Row],['#_Constructed/Existing protected/fenced ponds]]*250)/WWWW[[#This Row],[Total PoP ]])</f>
        <v>0</v>
      </c>
      <c r="CT84" s="758">
        <f>WWWW[[#This Row],[% Access to unimproved water points]]*WWWW[[#This Row],[Total PoP ]]</f>
        <v>0</v>
      </c>
      <c r="CU8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84" s="758">
        <f>WWWW[[#This Row],[HRP1]]/500</f>
        <v>0.878</v>
      </c>
      <c r="CX84" s="763">
        <f>1-WWWW[[#This Row],[% Equitable and continuous access to sufficient quantity of domestic water]]</f>
        <v>0</v>
      </c>
      <c r="CY84" s="758">
        <f>WWWW[[#This Row],[%equitable and continuous access to sufficient quantity of safe drinking and domestic water''s GAP]]*WWWW[[#This Row],[Total PoP ]]</f>
        <v>0</v>
      </c>
      <c r="CZ84" s="761">
        <f>IF(WWWW[[#This Row],[Total required water points]]-WWWW[[#This Row],['#Water points coverage]]&lt;0,0,WWWW[[#This Row],[Total required water points]]-WWWW[[#This Row],['#Water points coverage]])</f>
        <v>0.122</v>
      </c>
      <c r="DA84" s="761">
        <f>ROUND(IF(WWWW[[#This Row],[Total PoP ]]&lt;500,1,WWWW[[#This Row],[Total PoP ]]/500),0)</f>
        <v>1</v>
      </c>
      <c r="DB84" s="761">
        <f>(WWWW[[#This Row],['#_Constructed latrines_by_WASHAgencies]]+WWWW[[#This Row],['#_Non Cluster partner latrines]])-WWWW[[#This Row],['#_Non-functional latrines]]</f>
        <v>40</v>
      </c>
      <c r="DC84" s="634">
        <f>WWWW[[#This Row],[HRP2]]/WWWW[[#This Row],[Total PoP ]]</f>
        <v>1</v>
      </c>
      <c r="DD8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8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4" s="425">
        <f>IF(WWWW[[#This Row],['# of functional latrines in THF supported by WASH partners during the reporting period2]]="",0,WWWW[[#This Row],['# of functional latrines in THF supported by WASH partners during the reporting period2]]*50)</f>
        <v>0</v>
      </c>
      <c r="DH84" s="761">
        <f>ROUND(IF(WWWW[[#This Row],[Location Type 1]]="camp",WWWW[[#This Row],[Total PoP ]]/20,IF(WWWW[[#This Row],[Location Type 1]]="Temporary Location",WWWW[[#This Row],[Total PoP ]]/50,(WWWW[[#This Row],[Total PoP ]]/6))),0)</f>
        <v>22</v>
      </c>
      <c r="DI84" s="761">
        <f>IF(WWWW[[#This Row],[Total required Latrines]]-(WWWW[[#This Row],['#_Constructed latrines_by_WASHAgencies]]+WWWW[[#This Row],['#_Non Cluster partner latrines]])&lt;0,0,WWWW[[#This Row],[Total required Latrines]]-(WWWW[[#This Row],['#_Constructed latrines_by_WASHAgencies]]+WWWW[[#This Row],['#_Non Cluster partner latrines]]))</f>
        <v>0</v>
      </c>
      <c r="DJ84" s="763">
        <f>1-WWWW[[#This Row],[% people access to functioning Latrine]]</f>
        <v>0</v>
      </c>
      <c r="DK84" s="762">
        <f>IF(OR(WWWW[[#This Row],['#_Non-functional latrines]]="",WWWW[[#This Row],['#_Non-functional latrines]]=0),0,WWWW[[#This Row],['#_Non-functional latrines]]/(WWWW[[#This Row],['#_Constructed latrines_by_WASHAgencies]]+WWWW[[#This Row],['#_Non Cluster partner latrines]]))</f>
        <v>0</v>
      </c>
      <c r="DL84" s="758">
        <f>IF(500*(WWWW[[#This Row],['#_male hygiene promoters]]+WWWW[[#This Row],['#_female hygiene promoters]])&gt;WWWW[[#This Row],[Total PoP ]],WWWW[[#This Row],[Total PoP ]],500*(WWWW[[#This Row],['#_male hygiene promoters]]+WWWW[[#This Row],['#_female hygiene promoters]]))</f>
        <v>439</v>
      </c>
      <c r="DM8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8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84" s="761">
        <f>IF(WWWW[[#This Row],['# People with access to soap]]&gt;WWWW[[#This Row],['# People with access to Sanity Pads]],WWWW[[#This Row],['# People with access to soap]],WWWW[[#This Row],['# People with access to Sanity Pads]])</f>
        <v>50</v>
      </c>
      <c r="DP84" s="761">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84" s="763">
        <f>IF(WWWW[[#This Row],[HRP3]]/WWWW[[#This Row],[Total PoP ]]&gt;1,1,WWWW[[#This Row],[HRP3]]/WWWW[[#This Row],[Total PoP ]])</f>
        <v>1</v>
      </c>
      <c r="DR84" s="762">
        <f>1-WWWW[[#This Row],[Hygiene Coverage%]]</f>
        <v>0</v>
      </c>
      <c r="DS84" s="760">
        <f>WWWW[[#This Row],['# people reached by regular dedicated hygiene promotion_5]]/WWWW[[#This Row],[Total PoP ]]</f>
        <v>1</v>
      </c>
      <c r="DT8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0.54054054054054057</v>
      </c>
      <c r="DU8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0.24324324324324326</v>
      </c>
      <c r="DV84" s="761">
        <f>WWWW[[#This Row],['#_Constructed/Existing hand washing stations]]-WWWW[[#This Row],['#_Non-Functional_hand_washing_stations]]</f>
        <v>3</v>
      </c>
      <c r="DW84" s="758">
        <f>IF(WWWW[[#This Row],['# Functional hand washing stations during reporting period]]*20&gt;WWWW[[#This Row],[Total HH]],WWWW[[#This Row],[Total HH]],WWWW[[#This Row],['# Functional hand washing stations during reporting period]]*20)</f>
        <v>60</v>
      </c>
      <c r="DX84" s="758">
        <f>IF(WWWW[[#This Row],[Is sufficient soap available for TLS? (Yes/No)]]="yes",WWWW[[#This Row],['#_Constructed/Existing hand washing stations at TLS/CFS/THF]],0)</f>
        <v>0</v>
      </c>
      <c r="DY84" s="429">
        <f>IF(WWWW[[#This Row],['# Functional hand washing stations during reporting period]]*100&gt;WWWW[[#This Row],[Total PoP ]],WWWW[[#This Row],[Total PoP ]],WWWW[[#This Row],['# Functional hand washing stations during reporting period]]*100)</f>
        <v>300</v>
      </c>
      <c r="DZ84" s="429" t="str">
        <f>IF(OR(WWWW[[#This Row],['#_students at TLS_CFS]]="",WWWW[[#This Row],['#_students at TLS_CFS]]=0),"No","Yes")</f>
        <v>No</v>
      </c>
      <c r="EA8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4" s="754">
        <f>VLOOKUP(WWWW[[#This Row],[Site Name]],SiteDB6[[Site Name]:[CCCM Management]],6,FALSE)</f>
        <v>0</v>
      </c>
      <c r="EF84" s="754" t="str">
        <f>VLOOKUP(WWWW[[#This Row],[Site Name]],SiteDB6[[Site Name]:[CCCM Focal Agency]],7,FALSE)</f>
        <v>uncovered</v>
      </c>
      <c r="EG84" s="754" t="str">
        <f>VLOOKUP(WWWW[[#This Row],[Site Name]],SiteDB6[[Site Name]:[Location Type 1]],9,FALSE)</f>
        <v>Camp</v>
      </c>
      <c r="EH84" s="754" t="str">
        <f>VLOOKUP(WWWW[[#This Row],[Site Name]],SiteDB6[[Site Name]:[Type of Accommodation]],10,FALSE)</f>
        <v>Camp like setting</v>
      </c>
      <c r="EI84" s="754" t="str">
        <f>VLOOKUP(WWWW[[#This Row],[Site Name]],SiteDB6[[Site Name]:[Ethnic or GCA/NGCA]],11,FALSE)</f>
        <v>GCA</v>
      </c>
      <c r="EJ84" s="754">
        <f>VLOOKUP(WWWW[[#This Row],[Site Name]],SiteDB6[[Site Name]:[Lat]],12,FALSE)</f>
        <v>23.234137</v>
      </c>
      <c r="EK84" s="754">
        <f>VLOOKUP(WWWW[[#This Row],[Site Name]],SiteDB6[[Site Name]:[Long]],13,FALSE)</f>
        <v>97.505339000000006</v>
      </c>
      <c r="EL84" s="754" t="str">
        <f>VLOOKUP(WWWW[[#This Row],[Site Name]],SiteDB6[[Site Name]:[Pcode]],3,FALSE)</f>
        <v>MMR015CMP030</v>
      </c>
      <c r="EM84" s="759" t="str">
        <f t="shared" si="1"/>
        <v>Covered</v>
      </c>
      <c r="EN84" s="759"/>
      <c r="EO84" s="754">
        <f>VLOOKUP(WWWW[[#This Row],[Site Name]],SiteDB6[[Site Name]:[Pop
(Kachin/Shan-CCCM as of July 2021)]],16,FALSE)</f>
        <v>86</v>
      </c>
      <c r="EP84" s="754">
        <f>VLOOKUP(WWWW[[#This Row],[Site Name]],SiteDB6[[Site Name]:[Pop
(Kachin/Shan-CCCM as of July 2021)]],17,FALSE)</f>
        <v>525</v>
      </c>
    </row>
    <row r="85" spans="1:146" hidden="1">
      <c r="A85" s="752" t="s">
        <v>2785</v>
      </c>
      <c r="B85" s="752" t="s">
        <v>192</v>
      </c>
      <c r="C85" s="753" t="s">
        <v>192</v>
      </c>
      <c r="D85" s="753" t="s">
        <v>2695</v>
      </c>
      <c r="E85" s="753" t="s">
        <v>515</v>
      </c>
      <c r="F85" s="753" t="s">
        <v>519</v>
      </c>
      <c r="G85" s="594" t="str">
        <f>VLOOKUP(WWWW[[#This Row],[Site Name]],SiteDB6[[Site Name]:[Location Type]],8,FALSE)</f>
        <v>Camp</v>
      </c>
      <c r="H85" s="753" t="s">
        <v>3056</v>
      </c>
      <c r="I85" s="755">
        <v>26</v>
      </c>
      <c r="J85" s="755">
        <v>132</v>
      </c>
      <c r="K85" s="756" t="s">
        <v>2789</v>
      </c>
      <c r="L85" s="757" t="s">
        <v>2790</v>
      </c>
      <c r="M85" s="755"/>
      <c r="N85" s="755"/>
      <c r="O85" s="755"/>
      <c r="P85" s="755"/>
      <c r="Q85" s="758"/>
      <c r="R85" s="755">
        <v>3</v>
      </c>
      <c r="S85" s="755">
        <v>2</v>
      </c>
      <c r="T85" s="449"/>
      <c r="U85" s="755"/>
      <c r="V85" s="755"/>
      <c r="W85" s="755"/>
      <c r="X85" s="755"/>
      <c r="Y85" s="755"/>
      <c r="Z85" s="755"/>
      <c r="AA85" s="755">
        <v>8</v>
      </c>
      <c r="AB85" s="755"/>
      <c r="AC85" s="755"/>
      <c r="AD85" s="755"/>
      <c r="AE85" s="755"/>
      <c r="AF85" s="755"/>
      <c r="AG85" s="755"/>
      <c r="AH85" s="755"/>
      <c r="AI85" s="755"/>
      <c r="AJ85" s="755"/>
      <c r="AK85" s="755"/>
      <c r="AL85" s="755"/>
      <c r="AM85" s="755"/>
      <c r="AN85" s="755"/>
      <c r="AO85" s="755"/>
      <c r="AP85" s="759"/>
      <c r="AQ85" s="755">
        <v>27</v>
      </c>
      <c r="AR85" s="755"/>
      <c r="AS85" s="760"/>
      <c r="AT85" s="755"/>
      <c r="AU85" s="755"/>
      <c r="AV85" s="755"/>
      <c r="AW85" s="755"/>
      <c r="AX85" s="755">
        <v>2</v>
      </c>
      <c r="AY85" s="754" t="s">
        <v>41</v>
      </c>
      <c r="AZ85" s="759" t="s">
        <v>136</v>
      </c>
      <c r="BA85" s="755"/>
      <c r="BB85" s="755"/>
      <c r="BC85" s="755"/>
      <c r="BD85" s="449"/>
      <c r="BE85" s="449"/>
      <c r="BF85" s="754"/>
      <c r="BG85" s="755">
        <v>7</v>
      </c>
      <c r="BH85" s="755"/>
      <c r="BI85" s="755"/>
      <c r="BJ85" s="755">
        <v>7</v>
      </c>
      <c r="BK85" s="755"/>
      <c r="BL85" s="755"/>
      <c r="BM85" s="755">
        <v>1</v>
      </c>
      <c r="BN85" s="755">
        <v>104</v>
      </c>
      <c r="BO85" s="755">
        <v>148</v>
      </c>
      <c r="BP85" s="754"/>
      <c r="BQ85" s="761"/>
      <c r="BR85" s="760"/>
      <c r="BS85" s="754"/>
      <c r="BT85" s="424"/>
      <c r="BU85" s="424"/>
      <c r="BV85" s="426"/>
      <c r="BW85" s="424"/>
      <c r="BX85" s="449"/>
      <c r="BY85" s="449"/>
      <c r="BZ85" s="449"/>
      <c r="CA85" s="449"/>
      <c r="CB85" s="449"/>
      <c r="CC85" s="807"/>
      <c r="CD85" s="449"/>
      <c r="CE85" s="762" t="str">
        <f>IFERROR(WWWW[[#This Row],['#_Water sources passed]]/WWWW[[#This Row],['#_Water sources tested for fecal coliform ]],"no test")</f>
        <v>no test</v>
      </c>
      <c r="CF85" s="760" t="str">
        <f>IFERROR(WWWW[[#This Row],['#_Household passed]]/WWWW[[#This Row],['#_Household water samples tested for fecal coliform]],"no test")</f>
        <v>no test</v>
      </c>
      <c r="CG85" s="761" t="str">
        <f>IF(AND(WWWW[[#This Row],[% of water sources passed]]="no test",WWWW[[#This Row],[% Household passed]]="no test"),"No Test","Tested")</f>
        <v>No Test</v>
      </c>
      <c r="CH85" s="761">
        <f>WWWW[[#This Row],['#_Constructed/existing protected hand dug well]]-WWWW[[#This Row],['#_Non-functional protected hand dug well]]</f>
        <v>0</v>
      </c>
      <c r="CI85" s="761">
        <f>(WWWW[[#This Row],['#_Constructed/Existing tube wells/boreholes/handpumps_WASH_agency]]+WWWW[[#This Row],['#_Non-Cluster partner water tube-wells/boreholes/handpumps]])-WWWW[[#This Row],['#_Non-functional tube wells/boreholes/handpumps]]</f>
        <v>0</v>
      </c>
      <c r="CJ85" s="761">
        <f>WWWW[[#This Row],['#_Constructed/Existingwater storage tank with gravity fed reticulation system]]-WWWW[[#This Row],['#_Non-functional storage tank gravity fed reticulation system]]</f>
        <v>8</v>
      </c>
      <c r="CK85" s="761">
        <f>(WWWW[[#This Row],['#_Water_Liters_supplied_by_Water boating or water trucking]]/90)/15</f>
        <v>0</v>
      </c>
      <c r="CL85" s="761">
        <f>WWWW[[#This Row],['#_Water_Liters_from_Constructed/Existing water distribution system from river or natural spring]]/90/15</f>
        <v>0</v>
      </c>
      <c r="CM85" s="425">
        <f>IF(WWWW[[#This Row],['#_of water points in TLS/CFS]]*500&gt;WWWW[[#This Row],[Total PoP ]],WWWW[[#This Row],[Total PoP ]],WWWW[[#This Row],['#_of water points in TLS/CFS]]*500)</f>
        <v>0</v>
      </c>
      <c r="CN85" s="425">
        <f>IF(WWWW[[#This Row],['#_of water points in THF]]*500&gt;WWWW[[#This Row],[Total PoP ]],WWWW[[#This Row],[Total PoP ]],WWWW[[#This Row],['#_of water points in THF]]*500)</f>
        <v>0</v>
      </c>
      <c r="CO8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5" s="760">
        <f>IF(WWWW[[#This Row],[Location Type 1]]="Village",WWWW[[#This Row],[Access to safe drinking water for Village]],WWWW[[#This Row],[Access to safe drinking water for Camp]])</f>
        <v>1</v>
      </c>
      <c r="CR85" s="758">
        <f>WWWW[[#This Row],[%Equitable and continuous access to sufficient quantity of safe drinking water]]*WWWW[[#This Row],[Total PoP ]]</f>
        <v>132</v>
      </c>
      <c r="CS85" s="760">
        <f>IF((WWWW[[#This Row],['#_Constructed/Existing protected/fenced ponds]]*250)/WWWW[[#This Row],[Total PoP ]]&gt;1,1,(WWWW[[#This Row],['#_Constructed/Existing protected/fenced ponds]]*250)/WWWW[[#This Row],[Total PoP ]])</f>
        <v>0</v>
      </c>
      <c r="CT85" s="758">
        <f>WWWW[[#This Row],[% Access to unimproved water points]]*WWWW[[#This Row],[Total PoP ]]</f>
        <v>0</v>
      </c>
      <c r="CU8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85" s="758">
        <f>WWWW[[#This Row],[HRP1]]/500</f>
        <v>0.26400000000000001</v>
      </c>
      <c r="CX85" s="763">
        <f>1-WWWW[[#This Row],[% Equitable and continuous access to sufficient quantity of domestic water]]</f>
        <v>0</v>
      </c>
      <c r="CY85" s="758">
        <f>WWWW[[#This Row],[%equitable and continuous access to sufficient quantity of safe drinking and domestic water''s GAP]]*WWWW[[#This Row],[Total PoP ]]</f>
        <v>0</v>
      </c>
      <c r="CZ85" s="761">
        <f>IF(WWWW[[#This Row],[Total required water points]]-WWWW[[#This Row],['#Water points coverage]]&lt;0,0,WWWW[[#This Row],[Total required water points]]-WWWW[[#This Row],['#Water points coverage]])</f>
        <v>0.73599999999999999</v>
      </c>
      <c r="DA85" s="761">
        <f>ROUND(IF(WWWW[[#This Row],[Total PoP ]]&lt;500,1,WWWW[[#This Row],[Total PoP ]]/500),0)</f>
        <v>1</v>
      </c>
      <c r="DB85" s="761">
        <f>(WWWW[[#This Row],['#_Constructed latrines_by_WASHAgencies]]+WWWW[[#This Row],['#_Non Cluster partner latrines]])-WWWW[[#This Row],['#_Non-functional latrines]]</f>
        <v>27</v>
      </c>
      <c r="DC85" s="634">
        <f>WWWW[[#This Row],[HRP2]]/WWWW[[#This Row],[Total PoP ]]</f>
        <v>1</v>
      </c>
      <c r="DD8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8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5" s="425">
        <f>IF(WWWW[[#This Row],['# of functional latrines in THF supported by WASH partners during the reporting period2]]="",0,WWWW[[#This Row],['# of functional latrines in THF supported by WASH partners during the reporting period2]]*50)</f>
        <v>0</v>
      </c>
      <c r="DH85" s="761">
        <f>ROUND(IF(WWWW[[#This Row],[Location Type 1]]="camp",WWWW[[#This Row],[Total PoP ]]/20,IF(WWWW[[#This Row],[Location Type 1]]="Temporary Location",WWWW[[#This Row],[Total PoP ]]/50,(WWWW[[#This Row],[Total PoP ]]/6))),0)</f>
        <v>7</v>
      </c>
      <c r="DI85" s="761">
        <f>IF(WWWW[[#This Row],[Total required Latrines]]-(WWWW[[#This Row],['#_Constructed latrines_by_WASHAgencies]]+WWWW[[#This Row],['#_Non Cluster partner latrines]])&lt;0,0,WWWW[[#This Row],[Total required Latrines]]-(WWWW[[#This Row],['#_Constructed latrines_by_WASHAgencies]]+WWWW[[#This Row],['#_Non Cluster partner latrines]]))</f>
        <v>0</v>
      </c>
      <c r="DJ85" s="763">
        <f>1-WWWW[[#This Row],[% people access to functioning Latrine]]</f>
        <v>0</v>
      </c>
      <c r="DK85" s="762">
        <f>IF(OR(WWWW[[#This Row],['#_Non-functional latrines]]="",WWWW[[#This Row],['#_Non-functional latrines]]=0),0,WWWW[[#This Row],['#_Non-functional latrines]]/(WWWW[[#This Row],['#_Constructed latrines_by_WASHAgencies]]+WWWW[[#This Row],['#_Non Cluster partner latrines]]))</f>
        <v>0</v>
      </c>
      <c r="DL85" s="758">
        <f>IF(500*(WWWW[[#This Row],['#_male hygiene promoters]]+WWWW[[#This Row],['#_female hygiene promoters]])&gt;WWWW[[#This Row],[Total PoP ]],WWWW[[#This Row],[Total PoP ]],500*(WWWW[[#This Row],['#_male hygiene promoters]]+WWWW[[#This Row],['#_female hygiene promoters]]))</f>
        <v>132</v>
      </c>
      <c r="DM8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132</v>
      </c>
      <c r="DN8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132</v>
      </c>
      <c r="DO85" s="761">
        <f>IF(WWWW[[#This Row],['# People with access to soap]]&gt;WWWW[[#This Row],['# People with access to Sanity Pads]],WWWW[[#This Row],['# People with access to soap]],WWWW[[#This Row],['# People with access to Sanity Pads]])</f>
        <v>132</v>
      </c>
      <c r="DP85" s="76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85" s="763">
        <f>IF(WWWW[[#This Row],[HRP3]]/WWWW[[#This Row],[Total PoP ]]&gt;1,1,WWWW[[#This Row],[HRP3]]/WWWW[[#This Row],[Total PoP ]])</f>
        <v>1</v>
      </c>
      <c r="DR85" s="762">
        <f>1-WWWW[[#This Row],[Hygiene Coverage%]]</f>
        <v>0</v>
      </c>
      <c r="DS85" s="760">
        <f>WWWW[[#This Row],['# people reached by regular dedicated hygiene promotion_5]]/WWWW[[#This Row],[Total PoP ]]</f>
        <v>1</v>
      </c>
      <c r="DT8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5" s="761">
        <f>WWWW[[#This Row],['#_Constructed/Existing hand washing stations]]-WWWW[[#This Row],['#_Non-Functional_hand_washing_stations]]</f>
        <v>7</v>
      </c>
      <c r="DW85" s="758">
        <f>IF(WWWW[[#This Row],['# Functional hand washing stations during reporting period]]*20&gt;WWWW[[#This Row],[Total HH]],WWWW[[#This Row],[Total HH]],WWWW[[#This Row],['# Functional hand washing stations during reporting period]]*20)</f>
        <v>26</v>
      </c>
      <c r="DX85" s="758">
        <f>IF(WWWW[[#This Row],[Is sufficient soap available for TLS? (Yes/No)]]="yes",WWWW[[#This Row],['#_Constructed/Existing hand washing stations at TLS/CFS/THF]],0)</f>
        <v>0</v>
      </c>
      <c r="DY85" s="429">
        <f>IF(WWWW[[#This Row],['# Functional hand washing stations during reporting period]]*100&gt;WWWW[[#This Row],[Total PoP ]],WWWW[[#This Row],[Total PoP ]],WWWW[[#This Row],['# Functional hand washing stations during reporting period]]*100)</f>
        <v>132</v>
      </c>
      <c r="DZ85" s="429" t="str">
        <f>IF(OR(WWWW[[#This Row],['#_students at TLS_CFS]]="",WWWW[[#This Row],['#_students at TLS_CFS]]=0),"No","Yes")</f>
        <v>No</v>
      </c>
      <c r="EA8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5" s="754" t="str">
        <f>VLOOKUP(WWWW[[#This Row],[Site Name]],SiteDB6[[Site Name]:[CCCM Management]],6,FALSE)</f>
        <v>Yes</v>
      </c>
      <c r="EF85" s="754" t="str">
        <f>VLOOKUP(WWWW[[#This Row],[Site Name]],SiteDB6[[Site Name]:[CCCM Focal Agency]],7,FALSE)</f>
        <v>KMSS-LSO</v>
      </c>
      <c r="EG85" s="754" t="str">
        <f>VLOOKUP(WWWW[[#This Row],[Site Name]],SiteDB6[[Site Name]:[Location Type 1]],9,FALSE)</f>
        <v>Camp</v>
      </c>
      <c r="EH85" s="754" t="str">
        <f>VLOOKUP(WWWW[[#This Row],[Site Name]],SiteDB6[[Site Name]:[Type of Accommodation]],10,FALSE)</f>
        <v>Camp</v>
      </c>
      <c r="EI85" s="754" t="str">
        <f>VLOOKUP(WWWW[[#This Row],[Site Name]],SiteDB6[[Site Name]:[Ethnic or GCA/NGCA]],11,FALSE)</f>
        <v>GCA</v>
      </c>
      <c r="EJ85" s="754">
        <f>VLOOKUP(WWWW[[#This Row],[Site Name]],SiteDB6[[Site Name]:[Lat]],12,FALSE)</f>
        <v>23.38503</v>
      </c>
      <c r="EK85" s="754">
        <f>VLOOKUP(WWWW[[#This Row],[Site Name]],SiteDB6[[Site Name]:[Long]],13,FALSE)</f>
        <v>97.837040000000002</v>
      </c>
      <c r="EL85" s="754" t="str">
        <f>VLOOKUP(WWWW[[#This Row],[Site Name]],SiteDB6[[Site Name]:[Pcode]],3,FALSE)</f>
        <v>MMR015CMP017</v>
      </c>
      <c r="EM85" s="759" t="str">
        <f t="shared" si="1"/>
        <v>Covered</v>
      </c>
      <c r="EN85" s="759"/>
      <c r="EO85" s="754">
        <f>VLOOKUP(WWWW[[#This Row],[Site Name]],SiteDB6[[Site Name]:[Pop
(Kachin/Shan-CCCM as of July 2021)]],16,FALSE)</f>
        <v>26</v>
      </c>
      <c r="EP85" s="754">
        <f>VLOOKUP(WWWW[[#This Row],[Site Name]],SiteDB6[[Site Name]:[Pop
(Kachin/Shan-CCCM as of July 2021)]],17,FALSE)</f>
        <v>133</v>
      </c>
    </row>
    <row r="86" spans="1:146" hidden="1">
      <c r="A86" s="752" t="s">
        <v>2785</v>
      </c>
      <c r="B86" s="752" t="s">
        <v>192</v>
      </c>
      <c r="C86" s="753" t="s">
        <v>192</v>
      </c>
      <c r="D86" s="753" t="s">
        <v>2695</v>
      </c>
      <c r="E86" s="753" t="s">
        <v>515</v>
      </c>
      <c r="F86" s="753" t="s">
        <v>519</v>
      </c>
      <c r="G86" s="594" t="str">
        <f>VLOOKUP(WWWW[[#This Row],[Site Name]],SiteDB6[[Site Name]:[Location Type]],8,FALSE)</f>
        <v>Camp</v>
      </c>
      <c r="H86" s="753" t="s">
        <v>1727</v>
      </c>
      <c r="I86" s="755">
        <v>29</v>
      </c>
      <c r="J86" s="755">
        <v>130</v>
      </c>
      <c r="K86" s="756" t="s">
        <v>2789</v>
      </c>
      <c r="L86" s="757" t="s">
        <v>2790</v>
      </c>
      <c r="M86" s="755"/>
      <c r="N86" s="755">
        <v>1</v>
      </c>
      <c r="O86" s="755"/>
      <c r="P86" s="755"/>
      <c r="Q86" s="758" t="s">
        <v>41</v>
      </c>
      <c r="R86" s="755">
        <v>4</v>
      </c>
      <c r="S86" s="755">
        <v>5</v>
      </c>
      <c r="T86" s="449"/>
      <c r="U86" s="755"/>
      <c r="V86" s="755"/>
      <c r="W86" s="755"/>
      <c r="X86" s="755"/>
      <c r="Y86" s="755"/>
      <c r="Z86" s="755"/>
      <c r="AA86" s="755">
        <v>13</v>
      </c>
      <c r="AB86" s="755"/>
      <c r="AC86" s="755"/>
      <c r="AD86" s="755"/>
      <c r="AE86" s="755"/>
      <c r="AF86" s="755"/>
      <c r="AG86" s="755"/>
      <c r="AH86" s="755"/>
      <c r="AI86" s="755"/>
      <c r="AJ86" s="755"/>
      <c r="AK86" s="755"/>
      <c r="AL86" s="755"/>
      <c r="AM86" s="755"/>
      <c r="AN86" s="755"/>
      <c r="AO86" s="755"/>
      <c r="AP86" s="759"/>
      <c r="AQ86" s="755">
        <v>30</v>
      </c>
      <c r="AR86" s="755"/>
      <c r="AS86" s="760"/>
      <c r="AT86" s="755"/>
      <c r="AU86" s="755"/>
      <c r="AV86" s="755"/>
      <c r="AW86" s="755"/>
      <c r="AX86" s="755"/>
      <c r="AY86" s="754" t="s">
        <v>41</v>
      </c>
      <c r="AZ86" s="759" t="s">
        <v>137</v>
      </c>
      <c r="BA86" s="755"/>
      <c r="BB86" s="755"/>
      <c r="BC86" s="755"/>
      <c r="BD86" s="449"/>
      <c r="BE86" s="449"/>
      <c r="BF86" s="754"/>
      <c r="BG86" s="755">
        <v>7</v>
      </c>
      <c r="BH86" s="755"/>
      <c r="BI86" s="755"/>
      <c r="BJ86" s="755">
        <v>4</v>
      </c>
      <c r="BK86" s="755"/>
      <c r="BL86" s="755"/>
      <c r="BM86" s="755">
        <v>1</v>
      </c>
      <c r="BN86" s="755">
        <v>124</v>
      </c>
      <c r="BO86" s="755">
        <v>198</v>
      </c>
      <c r="BP86" s="754"/>
      <c r="BQ86" s="761"/>
      <c r="BR86" s="760"/>
      <c r="BS86" s="754"/>
      <c r="BT86" s="424"/>
      <c r="BU86" s="424"/>
      <c r="BV86" s="426"/>
      <c r="BW86" s="424"/>
      <c r="BX86" s="449"/>
      <c r="BY86" s="449"/>
      <c r="BZ86" s="449"/>
      <c r="CA86" s="449"/>
      <c r="CB86" s="449"/>
      <c r="CC86" s="807"/>
      <c r="CD86" s="449"/>
      <c r="CE86" s="762" t="str">
        <f>IFERROR(WWWW[[#This Row],['#_Water sources passed]]/WWWW[[#This Row],['#_Water sources tested for fecal coliform ]],"no test")</f>
        <v>no test</v>
      </c>
      <c r="CF86" s="760" t="str">
        <f>IFERROR(WWWW[[#This Row],['#_Household passed]]/WWWW[[#This Row],['#_Household water samples tested for fecal coliform]],"no test")</f>
        <v>no test</v>
      </c>
      <c r="CG86" s="761" t="str">
        <f>IF(AND(WWWW[[#This Row],[% of water sources passed]]="no test",WWWW[[#This Row],[% Household passed]]="no test"),"No Test","Tested")</f>
        <v>No Test</v>
      </c>
      <c r="CH86" s="761">
        <f>WWWW[[#This Row],['#_Constructed/existing protected hand dug well]]-WWWW[[#This Row],['#_Non-functional protected hand dug well]]</f>
        <v>0</v>
      </c>
      <c r="CI86" s="761">
        <f>(WWWW[[#This Row],['#_Constructed/Existing tube wells/boreholes/handpumps_WASH_agency]]+WWWW[[#This Row],['#_Non-Cluster partner water tube-wells/boreholes/handpumps]])-WWWW[[#This Row],['#_Non-functional tube wells/boreholes/handpumps]]</f>
        <v>0</v>
      </c>
      <c r="CJ86" s="761">
        <f>WWWW[[#This Row],['#_Constructed/Existingwater storage tank with gravity fed reticulation system]]-WWWW[[#This Row],['#_Non-functional storage tank gravity fed reticulation system]]</f>
        <v>13</v>
      </c>
      <c r="CK86" s="761">
        <f>(WWWW[[#This Row],['#_Water_Liters_supplied_by_Water boating or water trucking]]/90)/15</f>
        <v>0</v>
      </c>
      <c r="CL86" s="761">
        <f>WWWW[[#This Row],['#_Water_Liters_from_Constructed/Existing water distribution system from river or natural spring]]/90/15</f>
        <v>0</v>
      </c>
      <c r="CM86" s="425">
        <f>IF(WWWW[[#This Row],['#_of water points in TLS/CFS]]*500&gt;WWWW[[#This Row],[Total PoP ]],WWWW[[#This Row],[Total PoP ]],WWWW[[#This Row],['#_of water points in TLS/CFS]]*500)</f>
        <v>0</v>
      </c>
      <c r="CN86" s="425">
        <f>IF(WWWW[[#This Row],['#_of water points in THF]]*500&gt;WWWW[[#This Row],[Total PoP ]],WWWW[[#This Row],[Total PoP ]],WWWW[[#This Row],['#_of water points in THF]]*500)</f>
        <v>0</v>
      </c>
      <c r="CO8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6" s="760">
        <f>IF(WWWW[[#This Row],[Location Type 1]]="Village",WWWW[[#This Row],[Access to safe drinking water for Village]],WWWW[[#This Row],[Access to safe drinking water for Camp]])</f>
        <v>1</v>
      </c>
      <c r="CR86" s="758">
        <f>WWWW[[#This Row],[%Equitable and continuous access to sufficient quantity of safe drinking water]]*WWWW[[#This Row],[Total PoP ]]</f>
        <v>130</v>
      </c>
      <c r="CS86" s="760">
        <f>IF((WWWW[[#This Row],['#_Constructed/Existing protected/fenced ponds]]*250)/WWWW[[#This Row],[Total PoP ]]&gt;1,1,(WWWW[[#This Row],['#_Constructed/Existing protected/fenced ponds]]*250)/WWWW[[#This Row],[Total PoP ]])</f>
        <v>0</v>
      </c>
      <c r="CT86" s="758">
        <f>WWWW[[#This Row],[% Access to unimproved water points]]*WWWW[[#This Row],[Total PoP ]]</f>
        <v>0</v>
      </c>
      <c r="CU8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86" s="758">
        <f>WWWW[[#This Row],[HRP1]]/500</f>
        <v>0.26</v>
      </c>
      <c r="CX86" s="763">
        <f>1-WWWW[[#This Row],[% Equitable and continuous access to sufficient quantity of domestic water]]</f>
        <v>0</v>
      </c>
      <c r="CY86" s="758">
        <f>WWWW[[#This Row],[%equitable and continuous access to sufficient quantity of safe drinking and domestic water''s GAP]]*WWWW[[#This Row],[Total PoP ]]</f>
        <v>0</v>
      </c>
      <c r="CZ86" s="761">
        <f>IF(WWWW[[#This Row],[Total required water points]]-WWWW[[#This Row],['#Water points coverage]]&lt;0,0,WWWW[[#This Row],[Total required water points]]-WWWW[[#This Row],['#Water points coverage]])</f>
        <v>0.74</v>
      </c>
      <c r="DA86" s="761">
        <f>ROUND(IF(WWWW[[#This Row],[Total PoP ]]&lt;500,1,WWWW[[#This Row],[Total PoP ]]/500),0)</f>
        <v>1</v>
      </c>
      <c r="DB86" s="761">
        <f>(WWWW[[#This Row],['#_Constructed latrines_by_WASHAgencies]]+WWWW[[#This Row],['#_Non Cluster partner latrines]])-WWWW[[#This Row],['#_Non-functional latrines]]</f>
        <v>30</v>
      </c>
      <c r="DC86" s="634">
        <f>WWWW[[#This Row],[HRP2]]/WWWW[[#This Row],[Total PoP ]]</f>
        <v>1</v>
      </c>
      <c r="DD8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8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6" s="425">
        <f>IF(WWWW[[#This Row],['# of functional latrines in THF supported by WASH partners during the reporting period2]]="",0,WWWW[[#This Row],['# of functional latrines in THF supported by WASH partners during the reporting period2]]*50)</f>
        <v>0</v>
      </c>
      <c r="DH86" s="761">
        <f>ROUND(IF(WWWW[[#This Row],[Location Type 1]]="camp",WWWW[[#This Row],[Total PoP ]]/20,IF(WWWW[[#This Row],[Location Type 1]]="Temporary Location",WWWW[[#This Row],[Total PoP ]]/50,(WWWW[[#This Row],[Total PoP ]]/6))),0)</f>
        <v>7</v>
      </c>
      <c r="DI86" s="761">
        <f>IF(WWWW[[#This Row],[Total required Latrines]]-(WWWW[[#This Row],['#_Constructed latrines_by_WASHAgencies]]+WWWW[[#This Row],['#_Non Cluster partner latrines]])&lt;0,0,WWWW[[#This Row],[Total required Latrines]]-(WWWW[[#This Row],['#_Constructed latrines_by_WASHAgencies]]+WWWW[[#This Row],['#_Non Cluster partner latrines]]))</f>
        <v>0</v>
      </c>
      <c r="DJ86" s="763">
        <f>1-WWWW[[#This Row],[% people access to functioning Latrine]]</f>
        <v>0</v>
      </c>
      <c r="DK86" s="762">
        <f>IF(OR(WWWW[[#This Row],['#_Non-functional latrines]]="",WWWW[[#This Row],['#_Non-functional latrines]]=0),0,WWWW[[#This Row],['#_Non-functional latrines]]/(WWWW[[#This Row],['#_Constructed latrines_by_WASHAgencies]]+WWWW[[#This Row],['#_Non Cluster partner latrines]]))</f>
        <v>0</v>
      </c>
      <c r="DL86" s="758">
        <f>IF(500*(WWWW[[#This Row],['#_male hygiene promoters]]+WWWW[[#This Row],['#_female hygiene promoters]])&gt;WWWW[[#This Row],[Total PoP ]],WWWW[[#This Row],[Total PoP ]],500*(WWWW[[#This Row],['#_male hygiene promoters]]+WWWW[[#This Row],['#_female hygiene promoters]]))</f>
        <v>130</v>
      </c>
      <c r="DM8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130</v>
      </c>
      <c r="DN8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v>
      </c>
      <c r="DO86" s="761">
        <f>IF(WWWW[[#This Row],['# People with access to soap]]&gt;WWWW[[#This Row],['# People with access to Sanity Pads]],WWWW[[#This Row],['# People with access to soap]],WWWW[[#This Row],['# People with access to Sanity Pads]])</f>
        <v>130</v>
      </c>
      <c r="DP86" s="761">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86" s="763">
        <f>IF(WWWW[[#This Row],[HRP3]]/WWWW[[#This Row],[Total PoP ]]&gt;1,1,WWWW[[#This Row],[HRP3]]/WWWW[[#This Row],[Total PoP ]])</f>
        <v>1</v>
      </c>
      <c r="DR86" s="762">
        <f>1-WWWW[[#This Row],[Hygiene Coverage%]]</f>
        <v>0</v>
      </c>
      <c r="DS86" s="760">
        <f>WWWW[[#This Row],['# people reached by regular dedicated hygiene promotion_5]]/WWWW[[#This Row],[Total PoP ]]</f>
        <v>1</v>
      </c>
      <c r="DT8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6" s="761">
        <f>WWWW[[#This Row],['#_Constructed/Existing hand washing stations]]-WWWW[[#This Row],['#_Non-Functional_hand_washing_stations]]</f>
        <v>7</v>
      </c>
      <c r="DW86" s="758">
        <f>IF(WWWW[[#This Row],['# Functional hand washing stations during reporting period]]*20&gt;WWWW[[#This Row],[Total HH]],WWWW[[#This Row],[Total HH]],WWWW[[#This Row],['# Functional hand washing stations during reporting period]]*20)</f>
        <v>29</v>
      </c>
      <c r="DX86" s="758">
        <f>IF(WWWW[[#This Row],[Is sufficient soap available for TLS? (Yes/No)]]="yes",WWWW[[#This Row],['#_Constructed/Existing hand washing stations at TLS/CFS/THF]],0)</f>
        <v>0</v>
      </c>
      <c r="DY86" s="429">
        <f>IF(WWWW[[#This Row],['# Functional hand washing stations during reporting period]]*100&gt;WWWW[[#This Row],[Total PoP ]],WWWW[[#This Row],[Total PoP ]],WWWW[[#This Row],['# Functional hand washing stations during reporting period]]*100)</f>
        <v>130</v>
      </c>
      <c r="DZ86" s="429" t="str">
        <f>IF(OR(WWWW[[#This Row],['#_students at TLS_CFS]]="",WWWW[[#This Row],['#_students at TLS_CFS]]=0),"No","Yes")</f>
        <v>No</v>
      </c>
      <c r="EA8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6" s="754" t="str">
        <f>VLOOKUP(WWWW[[#This Row],[Site Name]],SiteDB6[[Site Name]:[CCCM Management]],6,FALSE)</f>
        <v>Yes</v>
      </c>
      <c r="EF86" s="754" t="str">
        <f>VLOOKUP(WWWW[[#This Row],[Site Name]],SiteDB6[[Site Name]:[CCCM Focal Agency]],7,FALSE)</f>
        <v>KMSS-LSO</v>
      </c>
      <c r="EG86" s="754" t="str">
        <f>VLOOKUP(WWWW[[#This Row],[Site Name]],SiteDB6[[Site Name]:[Location Type 1]],9,FALSE)</f>
        <v>Camp</v>
      </c>
      <c r="EH86" s="754" t="str">
        <f>VLOOKUP(WWWW[[#This Row],[Site Name]],SiteDB6[[Site Name]:[Type of Accommodation]],10,FALSE)</f>
        <v>Camp</v>
      </c>
      <c r="EI86" s="754" t="str">
        <f>VLOOKUP(WWWW[[#This Row],[Site Name]],SiteDB6[[Site Name]:[Ethnic or GCA/NGCA]],11,FALSE)</f>
        <v>GCA</v>
      </c>
      <c r="EJ86" s="754">
        <f>VLOOKUP(WWWW[[#This Row],[Site Name]],SiteDB6[[Site Name]:[Lat]],12,FALSE)</f>
        <v>23.638999999999999</v>
      </c>
      <c r="EK86" s="754">
        <f>VLOOKUP(WWWW[[#This Row],[Site Name]],SiteDB6[[Site Name]:[Long]],13,FALSE)</f>
        <v>97.861999999999995</v>
      </c>
      <c r="EL86" s="754" t="str">
        <f>VLOOKUP(WWWW[[#This Row],[Site Name]],SiteDB6[[Site Name]:[Pcode]],3,FALSE)</f>
        <v>MMR015CMP068</v>
      </c>
      <c r="EM86" s="759" t="str">
        <f t="shared" si="1"/>
        <v>Covered</v>
      </c>
      <c r="EN86" s="759"/>
      <c r="EO86" s="754">
        <f>VLOOKUP(WWWW[[#This Row],[Site Name]],SiteDB6[[Site Name]:[Pop
(Kachin/Shan-CCCM as of July 2021)]],16,FALSE)</f>
        <v>31</v>
      </c>
      <c r="EP86" s="754">
        <f>VLOOKUP(WWWW[[#This Row],[Site Name]],SiteDB6[[Site Name]:[Pop
(Kachin/Shan-CCCM as of July 2021)]],17,FALSE)</f>
        <v>133</v>
      </c>
    </row>
    <row r="87" spans="1:146" hidden="1">
      <c r="A87" s="752" t="s">
        <v>2785</v>
      </c>
      <c r="B87" s="752" t="s">
        <v>192</v>
      </c>
      <c r="C87" s="753" t="s">
        <v>192</v>
      </c>
      <c r="D87" s="753" t="s">
        <v>2695</v>
      </c>
      <c r="E87" s="753" t="s">
        <v>515</v>
      </c>
      <c r="F87" s="753" t="s">
        <v>519</v>
      </c>
      <c r="G87" s="594" t="str">
        <f>VLOOKUP(WWWW[[#This Row],[Site Name]],SiteDB6[[Site Name]:[Location Type]],8,FALSE)</f>
        <v>Camp</v>
      </c>
      <c r="H87" s="753" t="s">
        <v>541</v>
      </c>
      <c r="I87" s="755">
        <v>40</v>
      </c>
      <c r="J87" s="755">
        <v>244</v>
      </c>
      <c r="K87" s="756" t="s">
        <v>2789</v>
      </c>
      <c r="L87" s="757" t="s">
        <v>2790</v>
      </c>
      <c r="M87" s="755"/>
      <c r="N87" s="755">
        <v>1</v>
      </c>
      <c r="O87" s="755"/>
      <c r="P87" s="755"/>
      <c r="Q87" s="758" t="s">
        <v>41</v>
      </c>
      <c r="R87" s="755">
        <v>3</v>
      </c>
      <c r="S87" s="755">
        <v>3</v>
      </c>
      <c r="T87" s="449">
        <v>1</v>
      </c>
      <c r="U87" s="755"/>
      <c r="V87" s="755"/>
      <c r="W87" s="755">
        <v>1</v>
      </c>
      <c r="X87" s="755">
        <v>2</v>
      </c>
      <c r="Y87" s="755"/>
      <c r="Z87" s="755"/>
      <c r="AA87" s="755"/>
      <c r="AB87" s="755"/>
      <c r="AC87" s="755"/>
      <c r="AD87" s="755"/>
      <c r="AE87" s="755"/>
      <c r="AF87" s="755"/>
      <c r="AG87" s="755"/>
      <c r="AH87" s="755"/>
      <c r="AI87" s="755"/>
      <c r="AJ87" s="755"/>
      <c r="AK87" s="755"/>
      <c r="AL87" s="755"/>
      <c r="AM87" s="755"/>
      <c r="AN87" s="755"/>
      <c r="AO87" s="755"/>
      <c r="AP87" s="759"/>
      <c r="AQ87" s="755">
        <v>12</v>
      </c>
      <c r="AR87" s="755"/>
      <c r="AS87" s="760"/>
      <c r="AT87" s="755"/>
      <c r="AU87" s="755"/>
      <c r="AV87" s="755"/>
      <c r="AW87" s="755"/>
      <c r="AX87" s="755"/>
      <c r="AY87" s="754" t="s">
        <v>41</v>
      </c>
      <c r="AZ87" s="759" t="s">
        <v>136</v>
      </c>
      <c r="BA87" s="755"/>
      <c r="BB87" s="755"/>
      <c r="BC87" s="755">
        <v>1</v>
      </c>
      <c r="BD87" s="449"/>
      <c r="BE87" s="449"/>
      <c r="BF87" s="754"/>
      <c r="BG87" s="755">
        <v>1</v>
      </c>
      <c r="BH87" s="755"/>
      <c r="BI87" s="755"/>
      <c r="BJ87" s="755">
        <v>1</v>
      </c>
      <c r="BK87" s="755"/>
      <c r="BL87" s="755"/>
      <c r="BM87" s="755">
        <v>1</v>
      </c>
      <c r="BN87" s="755">
        <v>6</v>
      </c>
      <c r="BO87" s="755">
        <v>5</v>
      </c>
      <c r="BP87" s="754"/>
      <c r="BQ87" s="761"/>
      <c r="BR87" s="760"/>
      <c r="BS87" s="754"/>
      <c r="BT87" s="424"/>
      <c r="BU87" s="424"/>
      <c r="BV87" s="426"/>
      <c r="BW87" s="424"/>
      <c r="BX87" s="449"/>
      <c r="BY87" s="449"/>
      <c r="BZ87" s="449"/>
      <c r="CA87" s="449"/>
      <c r="CB87" s="449"/>
      <c r="CC87" s="807"/>
      <c r="CD87" s="449"/>
      <c r="CE87" s="762" t="str">
        <f>IFERROR(WWWW[[#This Row],['#_Water sources passed]]/WWWW[[#This Row],['#_Water sources tested for fecal coliform ]],"no test")</f>
        <v>no test</v>
      </c>
      <c r="CF87" s="760" t="str">
        <f>IFERROR(WWWW[[#This Row],['#_Household passed]]/WWWW[[#This Row],['#_Household water samples tested for fecal coliform]],"no test")</f>
        <v>no test</v>
      </c>
      <c r="CG87" s="761" t="str">
        <f>IF(AND(WWWW[[#This Row],[% of water sources passed]]="no test",WWWW[[#This Row],[% Household passed]]="no test"),"No Test","Tested")</f>
        <v>No Test</v>
      </c>
      <c r="CH87" s="761">
        <f>WWWW[[#This Row],['#_Constructed/existing protected hand dug well]]-WWWW[[#This Row],['#_Non-functional protected hand dug well]]</f>
        <v>1</v>
      </c>
      <c r="CI87" s="761">
        <f>(WWWW[[#This Row],['#_Constructed/Existing tube wells/boreholes/handpumps_WASH_agency]]+WWWW[[#This Row],['#_Non-Cluster partner water tube-wells/boreholes/handpumps]])-WWWW[[#This Row],['#_Non-functional tube wells/boreholes/handpumps]]</f>
        <v>3</v>
      </c>
      <c r="CJ87" s="761">
        <f>WWWW[[#This Row],['#_Constructed/Existingwater storage tank with gravity fed reticulation system]]-WWWW[[#This Row],['#_Non-functional storage tank gravity fed reticulation system]]</f>
        <v>0</v>
      </c>
      <c r="CK87" s="761">
        <f>(WWWW[[#This Row],['#_Water_Liters_supplied_by_Water boating or water trucking]]/90)/15</f>
        <v>0</v>
      </c>
      <c r="CL87" s="761">
        <f>WWWW[[#This Row],['#_Water_Liters_from_Constructed/Existing water distribution system from river or natural spring]]/90/15</f>
        <v>0</v>
      </c>
      <c r="CM87" s="425">
        <f>IF(WWWW[[#This Row],['#_of water points in TLS/CFS]]*500&gt;WWWW[[#This Row],[Total PoP ]],WWWW[[#This Row],[Total PoP ]],WWWW[[#This Row],['#_of water points in TLS/CFS]]*500)</f>
        <v>0</v>
      </c>
      <c r="CN87" s="425">
        <f>IF(WWWW[[#This Row],['#_of water points in THF]]*500&gt;WWWW[[#This Row],[Total PoP ]],WWWW[[#This Row],[Total PoP ]],WWWW[[#This Row],['#_of water points in THF]]*500)</f>
        <v>0</v>
      </c>
      <c r="CO8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7" s="760">
        <f>IF(WWWW[[#This Row],[Location Type 1]]="Village",WWWW[[#This Row],[Access to safe drinking water for Village]],WWWW[[#This Row],[Access to safe drinking water for Camp]])</f>
        <v>1</v>
      </c>
      <c r="CR87" s="758">
        <f>WWWW[[#This Row],[%Equitable and continuous access to sufficient quantity of safe drinking water]]*WWWW[[#This Row],[Total PoP ]]</f>
        <v>244</v>
      </c>
      <c r="CS87" s="760">
        <f>IF((WWWW[[#This Row],['#_Constructed/Existing protected/fenced ponds]]*250)/WWWW[[#This Row],[Total PoP ]]&gt;1,1,(WWWW[[#This Row],['#_Constructed/Existing protected/fenced ponds]]*250)/WWWW[[#This Row],[Total PoP ]])</f>
        <v>0</v>
      </c>
      <c r="CT87" s="758">
        <f>WWWW[[#This Row],[% Access to unimproved water points]]*WWWW[[#This Row],[Total PoP ]]</f>
        <v>0</v>
      </c>
      <c r="CU8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87" s="758">
        <f>WWWW[[#This Row],[HRP1]]/500</f>
        <v>0.48799999999999999</v>
      </c>
      <c r="CX87" s="763">
        <f>1-WWWW[[#This Row],[% Equitable and continuous access to sufficient quantity of domestic water]]</f>
        <v>0</v>
      </c>
      <c r="CY87" s="758">
        <f>WWWW[[#This Row],[%equitable and continuous access to sufficient quantity of safe drinking and domestic water''s GAP]]*WWWW[[#This Row],[Total PoP ]]</f>
        <v>0</v>
      </c>
      <c r="CZ87" s="761">
        <f>IF(WWWW[[#This Row],[Total required water points]]-WWWW[[#This Row],['#Water points coverage]]&lt;0,0,WWWW[[#This Row],[Total required water points]]-WWWW[[#This Row],['#Water points coverage]])</f>
        <v>0.51200000000000001</v>
      </c>
      <c r="DA87" s="761">
        <f>ROUND(IF(WWWW[[#This Row],[Total PoP ]]&lt;500,1,WWWW[[#This Row],[Total PoP ]]/500),0)</f>
        <v>1</v>
      </c>
      <c r="DB87" s="761">
        <f>(WWWW[[#This Row],['#_Constructed latrines_by_WASHAgencies]]+WWWW[[#This Row],['#_Non Cluster partner latrines]])-WWWW[[#This Row],['#_Non-functional latrines]]</f>
        <v>12</v>
      </c>
      <c r="DC87" s="634">
        <f>WWWW[[#This Row],[HRP2]]/WWWW[[#This Row],[Total PoP ]]</f>
        <v>0.98360655737704916</v>
      </c>
      <c r="DD8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8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7" s="425">
        <f>IF(WWWW[[#This Row],['# of functional latrines in THF supported by WASH partners during the reporting period2]]="",0,WWWW[[#This Row],['# of functional latrines in THF supported by WASH partners during the reporting period2]]*50)</f>
        <v>0</v>
      </c>
      <c r="DH87" s="761">
        <f>ROUND(IF(WWWW[[#This Row],[Location Type 1]]="camp",WWWW[[#This Row],[Total PoP ]]/20,IF(WWWW[[#This Row],[Location Type 1]]="Temporary Location",WWWW[[#This Row],[Total PoP ]]/50,(WWWW[[#This Row],[Total PoP ]]/6))),0)</f>
        <v>12</v>
      </c>
      <c r="DI87" s="761">
        <f>IF(WWWW[[#This Row],[Total required Latrines]]-(WWWW[[#This Row],['#_Constructed latrines_by_WASHAgencies]]+WWWW[[#This Row],['#_Non Cluster partner latrines]])&lt;0,0,WWWW[[#This Row],[Total required Latrines]]-(WWWW[[#This Row],['#_Constructed latrines_by_WASHAgencies]]+WWWW[[#This Row],['#_Non Cluster partner latrines]]))</f>
        <v>0</v>
      </c>
      <c r="DJ87" s="763">
        <f>1-WWWW[[#This Row],[% people access to functioning Latrine]]</f>
        <v>1.6393442622950838E-2</v>
      </c>
      <c r="DK87" s="762">
        <f>IF(OR(WWWW[[#This Row],['#_Non-functional latrines]]="",WWWW[[#This Row],['#_Non-functional latrines]]=0),0,WWWW[[#This Row],['#_Non-functional latrines]]/(WWWW[[#This Row],['#_Constructed latrines_by_WASHAgencies]]+WWWW[[#This Row],['#_Non Cluster partner latrines]]))</f>
        <v>0</v>
      </c>
      <c r="DL87" s="758">
        <f>IF(500*(WWWW[[#This Row],['#_male hygiene promoters]]+WWWW[[#This Row],['#_female hygiene promoters]])&gt;WWWW[[#This Row],[Total PoP ]],WWWW[[#This Row],[Total PoP ]],500*(WWWW[[#This Row],['#_male hygiene promoters]]+WWWW[[#This Row],['#_female hygiene promoters]]))</f>
        <v>244</v>
      </c>
      <c r="DM8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8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87" s="761">
        <f>IF(WWWW[[#This Row],['# People with access to soap]]&gt;WWWW[[#This Row],['# People with access to Sanity Pads]],WWWW[[#This Row],['# People with access to soap]],WWWW[[#This Row],['# People with access to Sanity Pads]])</f>
        <v>30</v>
      </c>
      <c r="DP87" s="761">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87" s="763">
        <f>IF(WWWW[[#This Row],[HRP3]]/WWWW[[#This Row],[Total PoP ]]&gt;1,1,WWWW[[#This Row],[HRP3]]/WWWW[[#This Row],[Total PoP ]])</f>
        <v>1</v>
      </c>
      <c r="DR87" s="762">
        <f>1-WWWW[[#This Row],[Hygiene Coverage%]]</f>
        <v>0</v>
      </c>
      <c r="DS87" s="760">
        <f>WWWW[[#This Row],['# people reached by regular dedicated hygiene promotion_5]]/WWWW[[#This Row],[Total PoP ]]</f>
        <v>1</v>
      </c>
      <c r="DT8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v>
      </c>
      <c r="DU8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0.125</v>
      </c>
      <c r="DV87" s="761">
        <f>WWWW[[#This Row],['#_Constructed/Existing hand washing stations]]-WWWW[[#This Row],['#_Non-Functional_hand_washing_stations]]</f>
        <v>1</v>
      </c>
      <c r="DW87" s="758">
        <f>IF(WWWW[[#This Row],['# Functional hand washing stations during reporting period]]*20&gt;WWWW[[#This Row],[Total HH]],WWWW[[#This Row],[Total HH]],WWWW[[#This Row],['# Functional hand washing stations during reporting period]]*20)</f>
        <v>20</v>
      </c>
      <c r="DX87" s="758">
        <f>IF(WWWW[[#This Row],[Is sufficient soap available for TLS? (Yes/No)]]="yes",WWWW[[#This Row],['#_Constructed/Existing hand washing stations at TLS/CFS/THF]],0)</f>
        <v>0</v>
      </c>
      <c r="DY87" s="429">
        <f>IF(WWWW[[#This Row],['# Functional hand washing stations during reporting period]]*100&gt;WWWW[[#This Row],[Total PoP ]],WWWW[[#This Row],[Total PoP ]],WWWW[[#This Row],['# Functional hand washing stations during reporting period]]*100)</f>
        <v>100</v>
      </c>
      <c r="DZ87" s="429" t="str">
        <f>IF(OR(WWWW[[#This Row],['#_students at TLS_CFS]]="",WWWW[[#This Row],['#_students at TLS_CFS]]=0),"No","Yes")</f>
        <v>No</v>
      </c>
      <c r="EA8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7" s="754" t="str">
        <f>VLOOKUP(WWWW[[#This Row],[Site Name]],SiteDB6[[Site Name]:[CCCM Management]],6,FALSE)</f>
        <v>Yes</v>
      </c>
      <c r="EF87" s="754" t="str">
        <f>VLOOKUP(WWWW[[#This Row],[Site Name]],SiteDB6[[Site Name]:[CCCM Focal Agency]],7,FALSE)</f>
        <v>KBC-NSS</v>
      </c>
      <c r="EG87" s="754" t="str">
        <f>VLOOKUP(WWWW[[#This Row],[Site Name]],SiteDB6[[Site Name]:[Location Type 1]],9,FALSE)</f>
        <v>Camp</v>
      </c>
      <c r="EH87" s="754" t="str">
        <f>VLOOKUP(WWWW[[#This Row],[Site Name]],SiteDB6[[Site Name]:[Type of Accommodation]],10,FALSE)</f>
        <v>Camp</v>
      </c>
      <c r="EI87" s="754" t="str">
        <f>VLOOKUP(WWWW[[#This Row],[Site Name]],SiteDB6[[Site Name]:[Ethnic or GCA/NGCA]],11,FALSE)</f>
        <v>GCA</v>
      </c>
      <c r="EJ87" s="754">
        <f>VLOOKUP(WWWW[[#This Row],[Site Name]],SiteDB6[[Site Name]:[Lat]],12,FALSE)</f>
        <v>23.450914000000001</v>
      </c>
      <c r="EK87" s="754">
        <f>VLOOKUP(WWWW[[#This Row],[Site Name]],SiteDB6[[Site Name]:[Long]],13,FALSE)</f>
        <v>97.926813999999993</v>
      </c>
      <c r="EL87" s="754" t="str">
        <f>VLOOKUP(WWWW[[#This Row],[Site Name]],SiteDB6[[Site Name]:[Pcode]],3,FALSE)</f>
        <v>MMR015CMP016</v>
      </c>
      <c r="EM87" s="759" t="str">
        <f t="shared" si="1"/>
        <v>Covered</v>
      </c>
      <c r="EN87" s="759"/>
      <c r="EO87" s="754">
        <f>VLOOKUP(WWWW[[#This Row],[Site Name]],SiteDB6[[Site Name]:[Pop
(Kachin/Shan-CCCM as of July 2021)]],16,FALSE)</f>
        <v>40</v>
      </c>
      <c r="EP87" s="754">
        <f>VLOOKUP(WWWW[[#This Row],[Site Name]],SiteDB6[[Site Name]:[Pop
(Kachin/Shan-CCCM as of July 2021)]],17,FALSE)</f>
        <v>251</v>
      </c>
    </row>
    <row r="88" spans="1:146" hidden="1">
      <c r="A88" s="752" t="s">
        <v>2785</v>
      </c>
      <c r="B88" s="752" t="s">
        <v>192</v>
      </c>
      <c r="C88" s="753" t="s">
        <v>192</v>
      </c>
      <c r="D88" s="753" t="s">
        <v>2695</v>
      </c>
      <c r="E88" s="753" t="s">
        <v>515</v>
      </c>
      <c r="F88" s="753" t="s">
        <v>519</v>
      </c>
      <c r="G88" s="594" t="str">
        <f>VLOOKUP(WWWW[[#This Row],[Site Name]],SiteDB6[[Site Name]:[Location Type]],8,FALSE)</f>
        <v>Camp</v>
      </c>
      <c r="H88" s="753" t="s">
        <v>546</v>
      </c>
      <c r="I88" s="755">
        <v>38</v>
      </c>
      <c r="J88" s="755">
        <v>180</v>
      </c>
      <c r="K88" s="756" t="s">
        <v>2789</v>
      </c>
      <c r="L88" s="757" t="s">
        <v>2790</v>
      </c>
      <c r="M88" s="755"/>
      <c r="N88" s="755"/>
      <c r="O88" s="755"/>
      <c r="P88" s="755"/>
      <c r="Q88" s="758"/>
      <c r="R88" s="755">
        <v>4</v>
      </c>
      <c r="S88" s="755">
        <v>5</v>
      </c>
      <c r="T88" s="449">
        <v>1</v>
      </c>
      <c r="U88" s="755"/>
      <c r="V88" s="755"/>
      <c r="W88" s="755">
        <v>1</v>
      </c>
      <c r="X88" s="755"/>
      <c r="Y88" s="755"/>
      <c r="Z88" s="755"/>
      <c r="AA88" s="755"/>
      <c r="AB88" s="755"/>
      <c r="AC88" s="755"/>
      <c r="AD88" s="755"/>
      <c r="AE88" s="755"/>
      <c r="AF88" s="755"/>
      <c r="AG88" s="755"/>
      <c r="AH88" s="755"/>
      <c r="AI88" s="755"/>
      <c r="AJ88" s="755"/>
      <c r="AK88" s="755"/>
      <c r="AL88" s="755"/>
      <c r="AM88" s="755"/>
      <c r="AN88" s="755"/>
      <c r="AO88" s="755"/>
      <c r="AP88" s="759"/>
      <c r="AQ88" s="755">
        <v>9</v>
      </c>
      <c r="AR88" s="755"/>
      <c r="AS88" s="760"/>
      <c r="AT88" s="755"/>
      <c r="AU88" s="755"/>
      <c r="AV88" s="755"/>
      <c r="AW88" s="755"/>
      <c r="AX88" s="755"/>
      <c r="AY88" s="754" t="s">
        <v>41</v>
      </c>
      <c r="AZ88" s="759" t="s">
        <v>137</v>
      </c>
      <c r="BA88" s="755"/>
      <c r="BB88" s="755"/>
      <c r="BC88" s="755"/>
      <c r="BD88" s="449"/>
      <c r="BE88" s="449"/>
      <c r="BF88" s="754"/>
      <c r="BG88" s="755">
        <v>8</v>
      </c>
      <c r="BH88" s="755"/>
      <c r="BI88" s="755"/>
      <c r="BJ88" s="755">
        <v>3</v>
      </c>
      <c r="BK88" s="755"/>
      <c r="BL88" s="755"/>
      <c r="BM88" s="755">
        <v>1</v>
      </c>
      <c r="BN88" s="755">
        <v>91</v>
      </c>
      <c r="BO88" s="755">
        <v>124</v>
      </c>
      <c r="BP88" s="754"/>
      <c r="BQ88" s="761"/>
      <c r="BR88" s="760"/>
      <c r="BS88" s="754"/>
      <c r="BT88" s="424"/>
      <c r="BU88" s="424"/>
      <c r="BV88" s="426"/>
      <c r="BW88" s="424"/>
      <c r="BX88" s="449"/>
      <c r="BY88" s="449"/>
      <c r="BZ88" s="449"/>
      <c r="CA88" s="449"/>
      <c r="CB88" s="449"/>
      <c r="CC88" s="807"/>
      <c r="CD88" s="449"/>
      <c r="CE88" s="762" t="str">
        <f>IFERROR(WWWW[[#This Row],['#_Water sources passed]]/WWWW[[#This Row],['#_Water sources tested for fecal coliform ]],"no test")</f>
        <v>no test</v>
      </c>
      <c r="CF88" s="760" t="str">
        <f>IFERROR(WWWW[[#This Row],['#_Household passed]]/WWWW[[#This Row],['#_Household water samples tested for fecal coliform]],"no test")</f>
        <v>no test</v>
      </c>
      <c r="CG88" s="761" t="str">
        <f>IF(AND(WWWW[[#This Row],[% of water sources passed]]="no test",WWWW[[#This Row],[% Household passed]]="no test"),"No Test","Tested")</f>
        <v>No Test</v>
      </c>
      <c r="CH88" s="761">
        <f>WWWW[[#This Row],['#_Constructed/existing protected hand dug well]]-WWWW[[#This Row],['#_Non-functional protected hand dug well]]</f>
        <v>1</v>
      </c>
      <c r="CI88" s="761">
        <f>(WWWW[[#This Row],['#_Constructed/Existing tube wells/boreholes/handpumps_WASH_agency]]+WWWW[[#This Row],['#_Non-Cluster partner water tube-wells/boreholes/handpumps]])-WWWW[[#This Row],['#_Non-functional tube wells/boreholes/handpumps]]</f>
        <v>1</v>
      </c>
      <c r="CJ88" s="761">
        <f>WWWW[[#This Row],['#_Constructed/Existingwater storage tank with gravity fed reticulation system]]-WWWW[[#This Row],['#_Non-functional storage tank gravity fed reticulation system]]</f>
        <v>0</v>
      </c>
      <c r="CK88" s="761">
        <f>(WWWW[[#This Row],['#_Water_Liters_supplied_by_Water boating or water trucking]]/90)/15</f>
        <v>0</v>
      </c>
      <c r="CL88" s="761">
        <f>WWWW[[#This Row],['#_Water_Liters_from_Constructed/Existing water distribution system from river or natural spring]]/90/15</f>
        <v>0</v>
      </c>
      <c r="CM88" s="425">
        <f>IF(WWWW[[#This Row],['#_of water points in TLS/CFS]]*500&gt;WWWW[[#This Row],[Total PoP ]],WWWW[[#This Row],[Total PoP ]],WWWW[[#This Row],['#_of water points in TLS/CFS]]*500)</f>
        <v>0</v>
      </c>
      <c r="CN88" s="425">
        <f>IF(WWWW[[#This Row],['#_of water points in THF]]*500&gt;WWWW[[#This Row],[Total PoP ]],WWWW[[#This Row],[Total PoP ]],WWWW[[#This Row],['#_of water points in THF]]*500)</f>
        <v>0</v>
      </c>
      <c r="CO8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8" s="760">
        <f>IF(WWWW[[#This Row],[Location Type 1]]="Village",WWWW[[#This Row],[Access to safe drinking water for Village]],WWWW[[#This Row],[Access to safe drinking water for Camp]])</f>
        <v>1</v>
      </c>
      <c r="CR88" s="758">
        <f>WWWW[[#This Row],[%Equitable and continuous access to sufficient quantity of safe drinking water]]*WWWW[[#This Row],[Total PoP ]]</f>
        <v>180</v>
      </c>
      <c r="CS88" s="760">
        <f>IF((WWWW[[#This Row],['#_Constructed/Existing protected/fenced ponds]]*250)/WWWW[[#This Row],[Total PoP ]]&gt;1,1,(WWWW[[#This Row],['#_Constructed/Existing protected/fenced ponds]]*250)/WWWW[[#This Row],[Total PoP ]])</f>
        <v>0</v>
      </c>
      <c r="CT88" s="758">
        <f>WWWW[[#This Row],[% Access to unimproved water points]]*WWWW[[#This Row],[Total PoP ]]</f>
        <v>0</v>
      </c>
      <c r="CU8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88" s="758">
        <f>WWWW[[#This Row],[HRP1]]/500</f>
        <v>0.36</v>
      </c>
      <c r="CX88" s="763">
        <f>1-WWWW[[#This Row],[% Equitable and continuous access to sufficient quantity of domestic water]]</f>
        <v>0</v>
      </c>
      <c r="CY88" s="758">
        <f>WWWW[[#This Row],[%equitable and continuous access to sufficient quantity of safe drinking and domestic water''s GAP]]*WWWW[[#This Row],[Total PoP ]]</f>
        <v>0</v>
      </c>
      <c r="CZ88" s="761">
        <f>IF(WWWW[[#This Row],[Total required water points]]-WWWW[[#This Row],['#Water points coverage]]&lt;0,0,WWWW[[#This Row],[Total required water points]]-WWWW[[#This Row],['#Water points coverage]])</f>
        <v>0.64</v>
      </c>
      <c r="DA88" s="761">
        <f>ROUND(IF(WWWW[[#This Row],[Total PoP ]]&lt;500,1,WWWW[[#This Row],[Total PoP ]]/500),0)</f>
        <v>1</v>
      </c>
      <c r="DB88" s="761">
        <f>(WWWW[[#This Row],['#_Constructed latrines_by_WASHAgencies]]+WWWW[[#This Row],['#_Non Cluster partner latrines]])-WWWW[[#This Row],['#_Non-functional latrines]]</f>
        <v>9</v>
      </c>
      <c r="DC88" s="634">
        <f>WWWW[[#This Row],[HRP2]]/WWWW[[#This Row],[Total PoP ]]</f>
        <v>1</v>
      </c>
      <c r="DD8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8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8" s="425">
        <f>IF(WWWW[[#This Row],['# of functional latrines in THF supported by WASH partners during the reporting period2]]="",0,WWWW[[#This Row],['# of functional latrines in THF supported by WASH partners during the reporting period2]]*50)</f>
        <v>0</v>
      </c>
      <c r="DH88" s="761">
        <f>ROUND(IF(WWWW[[#This Row],[Location Type 1]]="camp",WWWW[[#This Row],[Total PoP ]]/20,IF(WWWW[[#This Row],[Location Type 1]]="Temporary Location",WWWW[[#This Row],[Total PoP ]]/50,(WWWW[[#This Row],[Total PoP ]]/6))),0)</f>
        <v>9</v>
      </c>
      <c r="DI88" s="761">
        <f>IF(WWWW[[#This Row],[Total required Latrines]]-(WWWW[[#This Row],['#_Constructed latrines_by_WASHAgencies]]+WWWW[[#This Row],['#_Non Cluster partner latrines]])&lt;0,0,WWWW[[#This Row],[Total required Latrines]]-(WWWW[[#This Row],['#_Constructed latrines_by_WASHAgencies]]+WWWW[[#This Row],['#_Non Cluster partner latrines]]))</f>
        <v>0</v>
      </c>
      <c r="DJ88" s="763">
        <f>1-WWWW[[#This Row],[% people access to functioning Latrine]]</f>
        <v>0</v>
      </c>
      <c r="DK88" s="762">
        <f>IF(OR(WWWW[[#This Row],['#_Non-functional latrines]]="",WWWW[[#This Row],['#_Non-functional latrines]]=0),0,WWWW[[#This Row],['#_Non-functional latrines]]/(WWWW[[#This Row],['#_Constructed latrines_by_WASHAgencies]]+WWWW[[#This Row],['#_Non Cluster partner latrines]]))</f>
        <v>0</v>
      </c>
      <c r="DL88" s="758">
        <f>IF(500*(WWWW[[#This Row],['#_male hygiene promoters]]+WWWW[[#This Row],['#_female hygiene promoters]])&gt;WWWW[[#This Row],[Total PoP ]],WWWW[[#This Row],[Total PoP ]],500*(WWWW[[#This Row],['#_male hygiene promoters]]+WWWW[[#This Row],['#_female hygiene promoters]]))</f>
        <v>180</v>
      </c>
      <c r="DM8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N8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88" s="761">
        <f>IF(WWWW[[#This Row],['# People with access to soap]]&gt;WWWW[[#This Row],['# People with access to Sanity Pads]],WWWW[[#This Row],['# People with access to soap]],WWWW[[#This Row],['# People with access to Sanity Pads]])</f>
        <v>180</v>
      </c>
      <c r="DP88" s="761">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88" s="763">
        <f>IF(WWWW[[#This Row],[HRP3]]/WWWW[[#This Row],[Total PoP ]]&gt;1,1,WWWW[[#This Row],[HRP3]]/WWWW[[#This Row],[Total PoP ]])</f>
        <v>1</v>
      </c>
      <c r="DR88" s="762">
        <f>1-WWWW[[#This Row],[Hygiene Coverage%]]</f>
        <v>0</v>
      </c>
      <c r="DS88" s="760">
        <f>WWWW[[#This Row],['# people reached by regular dedicated hygiene promotion_5]]/WWWW[[#This Row],[Total PoP ]]</f>
        <v>1</v>
      </c>
      <c r="DT8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8" s="761">
        <f>WWWW[[#This Row],['#_Constructed/Existing hand washing stations]]-WWWW[[#This Row],['#_Non-Functional_hand_washing_stations]]</f>
        <v>8</v>
      </c>
      <c r="DW88" s="758">
        <f>IF(WWWW[[#This Row],['# Functional hand washing stations during reporting period]]*20&gt;WWWW[[#This Row],[Total HH]],WWWW[[#This Row],[Total HH]],WWWW[[#This Row],['# Functional hand washing stations during reporting period]]*20)</f>
        <v>38</v>
      </c>
      <c r="DX88" s="758">
        <f>IF(WWWW[[#This Row],[Is sufficient soap available for TLS? (Yes/No)]]="yes",WWWW[[#This Row],['#_Constructed/Existing hand washing stations at TLS/CFS/THF]],0)</f>
        <v>0</v>
      </c>
      <c r="DY88" s="429">
        <f>IF(WWWW[[#This Row],['# Functional hand washing stations during reporting period]]*100&gt;WWWW[[#This Row],[Total PoP ]],WWWW[[#This Row],[Total PoP ]],WWWW[[#This Row],['# Functional hand washing stations during reporting period]]*100)</f>
        <v>180</v>
      </c>
      <c r="DZ88" s="429" t="str">
        <f>IF(OR(WWWW[[#This Row],['#_students at TLS_CFS]]="",WWWW[[#This Row],['#_students at TLS_CFS]]=0),"No","Yes")</f>
        <v>No</v>
      </c>
      <c r="EA8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8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8" s="754" t="str">
        <f>VLOOKUP(WWWW[[#This Row],[Site Name]],SiteDB6[[Site Name]:[CCCM Management]],6,FALSE)</f>
        <v>Yes</v>
      </c>
      <c r="EF88" s="754" t="str">
        <f>VLOOKUP(WWWW[[#This Row],[Site Name]],SiteDB6[[Site Name]:[CCCM Focal Agency]],7,FALSE)</f>
        <v>KBC-NSS</v>
      </c>
      <c r="EG88" s="754" t="str">
        <f>VLOOKUP(WWWW[[#This Row],[Site Name]],SiteDB6[[Site Name]:[Location Type 1]],9,FALSE)</f>
        <v>Camp</v>
      </c>
      <c r="EH88" s="754" t="str">
        <f>VLOOKUP(WWWW[[#This Row],[Site Name]],SiteDB6[[Site Name]:[Type of Accommodation]],10,FALSE)</f>
        <v>Camp</v>
      </c>
      <c r="EI88" s="754" t="str">
        <f>VLOOKUP(WWWW[[#This Row],[Site Name]],SiteDB6[[Site Name]:[Ethnic or GCA/NGCA]],11,FALSE)</f>
        <v>GCA</v>
      </c>
      <c r="EJ88" s="754">
        <f>VLOOKUP(WWWW[[#This Row],[Site Name]],SiteDB6[[Site Name]:[Lat]],12,FALSE)</f>
        <v>23.460349999999998</v>
      </c>
      <c r="EK88" s="754">
        <f>VLOOKUP(WWWW[[#This Row],[Site Name]],SiteDB6[[Site Name]:[Long]],13,FALSE)</f>
        <v>97.947360000000003</v>
      </c>
      <c r="EL88" s="754" t="str">
        <f>VLOOKUP(WWWW[[#This Row],[Site Name]],SiteDB6[[Site Name]:[Pcode]],3,FALSE)</f>
        <v>MMR015CMP063</v>
      </c>
      <c r="EM88" s="759" t="str">
        <f t="shared" si="1"/>
        <v>Covered</v>
      </c>
      <c r="EN88" s="759"/>
      <c r="EO88" s="754">
        <f>VLOOKUP(WWWW[[#This Row],[Site Name]],SiteDB6[[Site Name]:[Pop
(Kachin/Shan-CCCM as of July 2021)]],16,FALSE)</f>
        <v>36</v>
      </c>
      <c r="EP88" s="754">
        <f>VLOOKUP(WWWW[[#This Row],[Site Name]],SiteDB6[[Site Name]:[Pop
(Kachin/Shan-CCCM as of July 2021)]],17,FALSE)</f>
        <v>158</v>
      </c>
    </row>
    <row r="89" spans="1:146" hidden="1">
      <c r="A89" s="752" t="s">
        <v>2785</v>
      </c>
      <c r="B89" s="752" t="s">
        <v>192</v>
      </c>
      <c r="C89" s="753" t="s">
        <v>192</v>
      </c>
      <c r="D89" s="753" t="s">
        <v>2695</v>
      </c>
      <c r="E89" s="753" t="s">
        <v>515</v>
      </c>
      <c r="F89" s="753" t="s">
        <v>519</v>
      </c>
      <c r="G89" s="594" t="str">
        <f>VLOOKUP(WWWW[[#This Row],[Site Name]],SiteDB6[[Site Name]:[Location Type]],8,FALSE)</f>
        <v>Camp</v>
      </c>
      <c r="H89" s="753" t="s">
        <v>1617</v>
      </c>
      <c r="I89" s="755">
        <v>74</v>
      </c>
      <c r="J89" s="755">
        <v>502</v>
      </c>
      <c r="K89" s="756" t="s">
        <v>2789</v>
      </c>
      <c r="L89" s="757" t="s">
        <v>2790</v>
      </c>
      <c r="M89" s="755"/>
      <c r="N89" s="755"/>
      <c r="O89" s="755"/>
      <c r="P89" s="755"/>
      <c r="Q89" s="758"/>
      <c r="R89" s="755">
        <v>6</v>
      </c>
      <c r="S89" s="755">
        <v>3</v>
      </c>
      <c r="T89" s="449"/>
      <c r="U89" s="755"/>
      <c r="V89" s="755"/>
      <c r="W89" s="755"/>
      <c r="X89" s="755"/>
      <c r="Y89" s="755"/>
      <c r="Z89" s="755"/>
      <c r="AA89" s="755">
        <v>8</v>
      </c>
      <c r="AB89" s="755"/>
      <c r="AC89" s="755"/>
      <c r="AD89" s="755"/>
      <c r="AE89" s="755"/>
      <c r="AF89" s="755"/>
      <c r="AG89" s="755"/>
      <c r="AH89" s="755"/>
      <c r="AI89" s="755"/>
      <c r="AJ89" s="755"/>
      <c r="AK89" s="755"/>
      <c r="AL89" s="755"/>
      <c r="AM89" s="755">
        <v>1</v>
      </c>
      <c r="AN89" s="755">
        <v>2</v>
      </c>
      <c r="AO89" s="755"/>
      <c r="AP89" s="759"/>
      <c r="AQ89" s="755">
        <v>85</v>
      </c>
      <c r="AR89" s="755"/>
      <c r="AS89" s="760"/>
      <c r="AT89" s="755"/>
      <c r="AU89" s="755"/>
      <c r="AV89" s="755"/>
      <c r="AW89" s="755"/>
      <c r="AX89" s="755">
        <v>5</v>
      </c>
      <c r="AY89" s="754" t="s">
        <v>41</v>
      </c>
      <c r="AZ89" s="759" t="s">
        <v>904</v>
      </c>
      <c r="BA89" s="755"/>
      <c r="BB89" s="755"/>
      <c r="BC89" s="755"/>
      <c r="BD89" s="449"/>
      <c r="BE89" s="449"/>
      <c r="BF89" s="754"/>
      <c r="BG89" s="755">
        <v>1</v>
      </c>
      <c r="BH89" s="755"/>
      <c r="BI89" s="755"/>
      <c r="BJ89" s="755">
        <v>3</v>
      </c>
      <c r="BK89" s="755"/>
      <c r="BL89" s="755">
        <v>1</v>
      </c>
      <c r="BM89" s="755"/>
      <c r="BN89" s="755">
        <v>41</v>
      </c>
      <c r="BO89" s="755">
        <v>85</v>
      </c>
      <c r="BP89" s="754"/>
      <c r="BQ89" s="761"/>
      <c r="BR89" s="760"/>
      <c r="BS89" s="754"/>
      <c r="BT89" s="424"/>
      <c r="BU89" s="424"/>
      <c r="BV89" s="426"/>
      <c r="BW89" s="424"/>
      <c r="BX89" s="449"/>
      <c r="BY89" s="449"/>
      <c r="BZ89" s="449"/>
      <c r="CA89" s="449"/>
      <c r="CB89" s="449"/>
      <c r="CC89" s="807"/>
      <c r="CD89" s="449"/>
      <c r="CE89" s="762" t="str">
        <f>IFERROR(WWWW[[#This Row],['#_Water sources passed]]/WWWW[[#This Row],['#_Water sources tested for fecal coliform ]],"no test")</f>
        <v>no test</v>
      </c>
      <c r="CF89" s="760" t="str">
        <f>IFERROR(WWWW[[#This Row],['#_Household passed]]/WWWW[[#This Row],['#_Household water samples tested for fecal coliform]],"no test")</f>
        <v>no test</v>
      </c>
      <c r="CG89" s="761" t="str">
        <f>IF(AND(WWWW[[#This Row],[% of water sources passed]]="no test",WWWW[[#This Row],[% Household passed]]="no test"),"No Test","Tested")</f>
        <v>No Test</v>
      </c>
      <c r="CH89" s="761">
        <f>WWWW[[#This Row],['#_Constructed/existing protected hand dug well]]-WWWW[[#This Row],['#_Non-functional protected hand dug well]]</f>
        <v>0</v>
      </c>
      <c r="CI89" s="761">
        <f>(WWWW[[#This Row],['#_Constructed/Existing tube wells/boreholes/handpumps_WASH_agency]]+WWWW[[#This Row],['#_Non-Cluster partner water tube-wells/boreholes/handpumps]])-WWWW[[#This Row],['#_Non-functional tube wells/boreholes/handpumps]]</f>
        <v>0</v>
      </c>
      <c r="CJ89" s="761">
        <f>WWWW[[#This Row],['#_Constructed/Existingwater storage tank with gravity fed reticulation system]]-WWWW[[#This Row],['#_Non-functional storage tank gravity fed reticulation system]]</f>
        <v>8</v>
      </c>
      <c r="CK89" s="761">
        <f>(WWWW[[#This Row],['#_Water_Liters_supplied_by_Water boating or water trucking]]/90)/15</f>
        <v>0</v>
      </c>
      <c r="CL89" s="761">
        <f>WWWW[[#This Row],['#_Water_Liters_from_Constructed/Existing water distribution system from river or natural spring]]/90/15</f>
        <v>0</v>
      </c>
      <c r="CM89" s="425">
        <f>IF(WWWW[[#This Row],['#_of water points in TLS/CFS]]*500&gt;WWWW[[#This Row],[Total PoP ]],WWWW[[#This Row],[Total PoP ]],WWWW[[#This Row],['#_of water points in TLS/CFS]]*500)</f>
        <v>502</v>
      </c>
      <c r="CN89" s="425">
        <f>IF(WWWW[[#This Row],['#_of water points in THF]]*500&gt;WWWW[[#This Row],[Total PoP ]],WWWW[[#This Row],[Total PoP ]],WWWW[[#This Row],['#_of water points in THF]]*500)</f>
        <v>0</v>
      </c>
      <c r="CO8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8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89" s="760">
        <f>IF(WWWW[[#This Row],[Location Type 1]]="Village",WWWW[[#This Row],[Access to safe drinking water for Village]],WWWW[[#This Row],[Access to safe drinking water for Camp]])</f>
        <v>1</v>
      </c>
      <c r="CR89" s="758">
        <f>WWWW[[#This Row],[%Equitable and continuous access to sufficient quantity of safe drinking water]]*WWWW[[#This Row],[Total PoP ]]</f>
        <v>502</v>
      </c>
      <c r="CS89" s="760">
        <f>IF((WWWW[[#This Row],['#_Constructed/Existing protected/fenced ponds]]*250)/WWWW[[#This Row],[Total PoP ]]&gt;1,1,(WWWW[[#This Row],['#_Constructed/Existing protected/fenced ponds]]*250)/WWWW[[#This Row],[Total PoP ]])</f>
        <v>0</v>
      </c>
      <c r="CT89" s="758">
        <f>WWWW[[#This Row],[% Access to unimproved water points]]*WWWW[[#This Row],[Total PoP ]]</f>
        <v>0</v>
      </c>
      <c r="CU8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8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89" s="758">
        <f>WWWW[[#This Row],[HRP1]]/500</f>
        <v>1.004</v>
      </c>
      <c r="CX89" s="763">
        <f>1-WWWW[[#This Row],[% Equitable and continuous access to sufficient quantity of domestic water]]</f>
        <v>0</v>
      </c>
      <c r="CY89" s="758">
        <f>WWWW[[#This Row],[%equitable and continuous access to sufficient quantity of safe drinking and domestic water''s GAP]]*WWWW[[#This Row],[Total PoP ]]</f>
        <v>0</v>
      </c>
      <c r="CZ89" s="761">
        <f>IF(WWWW[[#This Row],[Total required water points]]-WWWW[[#This Row],['#Water points coverage]]&lt;0,0,WWWW[[#This Row],[Total required water points]]-WWWW[[#This Row],['#Water points coverage]])</f>
        <v>0</v>
      </c>
      <c r="DA89" s="761">
        <f>ROUND(IF(WWWW[[#This Row],[Total PoP ]]&lt;500,1,WWWW[[#This Row],[Total PoP ]]/500),0)</f>
        <v>1</v>
      </c>
      <c r="DB89" s="761">
        <f>(WWWW[[#This Row],['#_Constructed latrines_by_WASHAgencies]]+WWWW[[#This Row],['#_Non Cluster partner latrines]])-WWWW[[#This Row],['#_Non-functional latrines]]</f>
        <v>85</v>
      </c>
      <c r="DC89" s="634">
        <f>WWWW[[#This Row],[HRP2]]/WWWW[[#This Row],[Total PoP ]]</f>
        <v>1</v>
      </c>
      <c r="DD8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8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8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89" s="425">
        <f>IF(WWWW[[#This Row],['# of functional latrines in THF supported by WASH partners during the reporting period2]]="",0,WWWW[[#This Row],['# of functional latrines in THF supported by WASH partners during the reporting period2]]*50)</f>
        <v>0</v>
      </c>
      <c r="DH89" s="761">
        <f>ROUND(IF(WWWW[[#This Row],[Location Type 1]]="camp",WWWW[[#This Row],[Total PoP ]]/20,IF(WWWW[[#This Row],[Location Type 1]]="Temporary Location",WWWW[[#This Row],[Total PoP ]]/50,(WWWW[[#This Row],[Total PoP ]]/6))),0)</f>
        <v>25</v>
      </c>
      <c r="DI89" s="761">
        <f>IF(WWWW[[#This Row],[Total required Latrines]]-(WWWW[[#This Row],['#_Constructed latrines_by_WASHAgencies]]+WWWW[[#This Row],['#_Non Cluster partner latrines]])&lt;0,0,WWWW[[#This Row],[Total required Latrines]]-(WWWW[[#This Row],['#_Constructed latrines_by_WASHAgencies]]+WWWW[[#This Row],['#_Non Cluster partner latrines]]))</f>
        <v>0</v>
      </c>
      <c r="DJ89" s="763">
        <f>1-WWWW[[#This Row],[% people access to functioning Latrine]]</f>
        <v>0</v>
      </c>
      <c r="DK89" s="762">
        <f>IF(OR(WWWW[[#This Row],['#_Non-functional latrines]]="",WWWW[[#This Row],['#_Non-functional latrines]]=0),0,WWWW[[#This Row],['#_Non-functional latrines]]/(WWWW[[#This Row],['#_Constructed latrines_by_WASHAgencies]]+WWWW[[#This Row],['#_Non Cluster partner latrines]]))</f>
        <v>0</v>
      </c>
      <c r="DL89" s="758">
        <f>IF(500*(WWWW[[#This Row],['#_male hygiene promoters]]+WWWW[[#This Row],['#_female hygiene promoters]])&gt;WWWW[[#This Row],[Total PoP ]],WWWW[[#This Row],[Total PoP ]],500*(WWWW[[#This Row],['#_male hygiene promoters]]+WWWW[[#This Row],['#_female hygiene promoters]]))</f>
        <v>500</v>
      </c>
      <c r="DM8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8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89" s="761">
        <f>IF(WWWW[[#This Row],['# People with access to soap]]&gt;WWWW[[#This Row],['# People with access to Sanity Pads]],WWWW[[#This Row],['# People with access to soap]],WWWW[[#This Row],['# People with access to Sanity Pads]])</f>
        <v>205</v>
      </c>
      <c r="DP89"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89" s="763">
        <f>IF(WWWW[[#This Row],[HRP3]]/WWWW[[#This Row],[Total PoP ]]&gt;1,1,WWWW[[#This Row],[HRP3]]/WWWW[[#This Row],[Total PoP ]])</f>
        <v>0.99601593625498008</v>
      </c>
      <c r="DR89" s="762">
        <f>1-WWWW[[#This Row],[Hygiene Coverage%]]</f>
        <v>3.9840637450199168E-3</v>
      </c>
      <c r="DS89" s="760">
        <f>WWWW[[#This Row],['# people reached by regular dedicated hygiene promotion_5]]/WWWW[[#This Row],[Total PoP ]]</f>
        <v>0.99601593625498008</v>
      </c>
      <c r="DT8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8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89" s="761">
        <f>WWWW[[#This Row],['#_Constructed/Existing hand washing stations]]-WWWW[[#This Row],['#_Non-Functional_hand_washing_stations]]</f>
        <v>1</v>
      </c>
      <c r="DW89" s="758">
        <f>IF(WWWW[[#This Row],['# Functional hand washing stations during reporting period]]*20&gt;WWWW[[#This Row],[Total HH]],WWWW[[#This Row],[Total HH]],WWWW[[#This Row],['# Functional hand washing stations during reporting period]]*20)</f>
        <v>20</v>
      </c>
      <c r="DX89" s="758">
        <f>IF(WWWW[[#This Row],[Is sufficient soap available for TLS? (Yes/No)]]="yes",WWWW[[#This Row],['#_Constructed/Existing hand washing stations at TLS/CFS/THF]],0)</f>
        <v>0</v>
      </c>
      <c r="DY89" s="429">
        <f>IF(WWWW[[#This Row],['# Functional hand washing stations during reporting period]]*100&gt;WWWW[[#This Row],[Total PoP ]],WWWW[[#This Row],[Total PoP ]],WWWW[[#This Row],['# Functional hand washing stations during reporting period]]*100)</f>
        <v>100</v>
      </c>
      <c r="DZ89" s="429" t="str">
        <f>IF(OR(WWWW[[#This Row],['#_students at TLS_CFS]]="",WWWW[[#This Row],['#_students at TLS_CFS]]=0),"No","Yes")</f>
        <v>No</v>
      </c>
      <c r="EA8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8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8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8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89" s="754" t="str">
        <f>VLOOKUP(WWWW[[#This Row],[Site Name]],SiteDB6[[Site Name]:[CCCM Management]],6,FALSE)</f>
        <v>Yes</v>
      </c>
      <c r="EF89" s="754" t="str">
        <f>VLOOKUP(WWWW[[#This Row],[Site Name]],SiteDB6[[Site Name]:[CCCM Focal Agency]],7,FALSE)</f>
        <v>KMSS-LSO</v>
      </c>
      <c r="EG89" s="754" t="str">
        <f>VLOOKUP(WWWW[[#This Row],[Site Name]],SiteDB6[[Site Name]:[Location Type 1]],9,FALSE)</f>
        <v>Camp</v>
      </c>
      <c r="EH89" s="754" t="str">
        <f>VLOOKUP(WWWW[[#This Row],[Site Name]],SiteDB6[[Site Name]:[Type of Accommodation]],10,FALSE)</f>
        <v>Camp</v>
      </c>
      <c r="EI89" s="754" t="str">
        <f>VLOOKUP(WWWW[[#This Row],[Site Name]],SiteDB6[[Site Name]:[Ethnic or GCA/NGCA]],11,FALSE)</f>
        <v>GCA</v>
      </c>
      <c r="EJ89" s="754">
        <f>VLOOKUP(WWWW[[#This Row],[Site Name]],SiteDB6[[Site Name]:[Lat]],12,FALSE)</f>
        <v>23.591999999999999</v>
      </c>
      <c r="EK89" s="754">
        <f>VLOOKUP(WWWW[[#This Row],[Site Name]],SiteDB6[[Site Name]:[Long]],13,FALSE)</f>
        <v>97.796999999999997</v>
      </c>
      <c r="EL89" s="754" t="str">
        <f>VLOOKUP(WWWW[[#This Row],[Site Name]],SiteDB6[[Site Name]:[Pcode]],3,FALSE)</f>
        <v>MMR015CMP038</v>
      </c>
      <c r="EM89" s="759" t="str">
        <f t="shared" si="1"/>
        <v>Covered</v>
      </c>
      <c r="EN89" s="759"/>
      <c r="EO89" s="754">
        <f>VLOOKUP(WWWW[[#This Row],[Site Name]],SiteDB6[[Site Name]:[Pop
(Kachin/Shan-CCCM as of July 2021)]],16,FALSE)</f>
        <v>75</v>
      </c>
      <c r="EP89" s="754">
        <f>VLOOKUP(WWWW[[#This Row],[Site Name]],SiteDB6[[Site Name]:[Pop
(Kachin/Shan-CCCM as of July 2021)]],17,FALSE)</f>
        <v>395</v>
      </c>
    </row>
    <row r="90" spans="1:146" hidden="1">
      <c r="A90" s="752" t="s">
        <v>2785</v>
      </c>
      <c r="B90" s="752" t="s">
        <v>192</v>
      </c>
      <c r="C90" s="753" t="s">
        <v>192</v>
      </c>
      <c r="D90" s="753" t="s">
        <v>2695</v>
      </c>
      <c r="E90" s="753" t="s">
        <v>515</v>
      </c>
      <c r="F90" s="753" t="s">
        <v>519</v>
      </c>
      <c r="G90" s="594" t="str">
        <f>VLOOKUP(WWWW[[#This Row],[Site Name]],SiteDB6[[Site Name]:[Location Type]],8,FALSE)</f>
        <v>Camp</v>
      </c>
      <c r="H90" s="753" t="s">
        <v>554</v>
      </c>
      <c r="I90" s="755">
        <v>26</v>
      </c>
      <c r="J90" s="755">
        <v>104</v>
      </c>
      <c r="K90" s="756" t="s">
        <v>2789</v>
      </c>
      <c r="L90" s="757" t="s">
        <v>2790</v>
      </c>
      <c r="M90" s="755"/>
      <c r="N90" s="755"/>
      <c r="O90" s="755"/>
      <c r="P90" s="755"/>
      <c r="Q90" s="758"/>
      <c r="R90" s="755"/>
      <c r="S90" s="755"/>
      <c r="T90" s="449"/>
      <c r="U90" s="755"/>
      <c r="V90" s="755"/>
      <c r="W90" s="755"/>
      <c r="X90" s="755">
        <v>1</v>
      </c>
      <c r="Y90" s="755"/>
      <c r="Z90" s="755"/>
      <c r="AA90" s="755"/>
      <c r="AB90" s="755"/>
      <c r="AC90" s="755">
        <v>1</v>
      </c>
      <c r="AD90" s="755"/>
      <c r="AE90" s="755"/>
      <c r="AF90" s="755"/>
      <c r="AG90" s="755"/>
      <c r="AH90" s="755"/>
      <c r="AI90" s="755"/>
      <c r="AJ90" s="755"/>
      <c r="AK90" s="755"/>
      <c r="AL90" s="755"/>
      <c r="AM90" s="755"/>
      <c r="AN90" s="755"/>
      <c r="AO90" s="755"/>
      <c r="AP90" s="759"/>
      <c r="AQ90" s="755">
        <v>4</v>
      </c>
      <c r="AR90" s="755"/>
      <c r="AS90" s="760"/>
      <c r="AT90" s="755"/>
      <c r="AU90" s="755"/>
      <c r="AV90" s="755"/>
      <c r="AW90" s="755"/>
      <c r="AX90" s="755"/>
      <c r="AY90" s="754" t="s">
        <v>140</v>
      </c>
      <c r="AZ90" s="759" t="s">
        <v>140</v>
      </c>
      <c r="BA90" s="755"/>
      <c r="BB90" s="755"/>
      <c r="BC90" s="755"/>
      <c r="BD90" s="449"/>
      <c r="BE90" s="449"/>
      <c r="BF90" s="754"/>
      <c r="BG90" s="755">
        <v>8</v>
      </c>
      <c r="BH90" s="755"/>
      <c r="BI90" s="755"/>
      <c r="BJ90" s="755">
        <v>3</v>
      </c>
      <c r="BK90" s="755"/>
      <c r="BL90" s="755"/>
      <c r="BM90" s="755"/>
      <c r="BN90" s="755">
        <v>91</v>
      </c>
      <c r="BO90" s="755">
        <v>124</v>
      </c>
      <c r="BP90" s="754"/>
      <c r="BQ90" s="761"/>
      <c r="BR90" s="760"/>
      <c r="BS90" s="754"/>
      <c r="BT90" s="424"/>
      <c r="BU90" s="424"/>
      <c r="BV90" s="426"/>
      <c r="BW90" s="424"/>
      <c r="BX90" s="449"/>
      <c r="BY90" s="449"/>
      <c r="BZ90" s="449"/>
      <c r="CA90" s="449"/>
      <c r="CB90" s="449"/>
      <c r="CC90" s="807"/>
      <c r="CD90" s="449"/>
      <c r="CE90" s="762" t="str">
        <f>IFERROR(WWWW[[#This Row],['#_Water sources passed]]/WWWW[[#This Row],['#_Water sources tested for fecal coliform ]],"no test")</f>
        <v>no test</v>
      </c>
      <c r="CF90" s="760" t="str">
        <f>IFERROR(WWWW[[#This Row],['#_Household passed]]/WWWW[[#This Row],['#_Household water samples tested for fecal coliform]],"no test")</f>
        <v>no test</v>
      </c>
      <c r="CG90" s="761" t="str">
        <f>IF(AND(WWWW[[#This Row],[% of water sources passed]]="no test",WWWW[[#This Row],[% Household passed]]="no test"),"No Test","Tested")</f>
        <v>No Test</v>
      </c>
      <c r="CH90" s="761">
        <f>WWWW[[#This Row],['#_Constructed/existing protected hand dug well]]-WWWW[[#This Row],['#_Non-functional protected hand dug well]]</f>
        <v>0</v>
      </c>
      <c r="CI90" s="761">
        <f>(WWWW[[#This Row],['#_Constructed/Existing tube wells/boreholes/handpumps_WASH_agency]]+WWWW[[#This Row],['#_Non-Cluster partner water tube-wells/boreholes/handpumps]])-WWWW[[#This Row],['#_Non-functional tube wells/boreholes/handpumps]]</f>
        <v>1</v>
      </c>
      <c r="CJ90" s="761">
        <f>WWWW[[#This Row],['#_Constructed/Existingwater storage tank with gravity fed reticulation system]]-WWWW[[#This Row],['#_Non-functional storage tank gravity fed reticulation system]]</f>
        <v>0</v>
      </c>
      <c r="CK90" s="761">
        <f>(WWWW[[#This Row],['#_Water_Liters_supplied_by_Water boating or water trucking]]/90)/15</f>
        <v>0</v>
      </c>
      <c r="CL90" s="761">
        <f>WWWW[[#This Row],['#_Water_Liters_from_Constructed/Existing water distribution system from river or natural spring]]/90/15</f>
        <v>0</v>
      </c>
      <c r="CM90" s="425">
        <f>IF(WWWW[[#This Row],['#_of water points in TLS/CFS]]*500&gt;WWWW[[#This Row],[Total PoP ]],WWWW[[#This Row],[Total PoP ]],WWWW[[#This Row],['#_of water points in TLS/CFS]]*500)</f>
        <v>0</v>
      </c>
      <c r="CN90" s="425">
        <f>IF(WWWW[[#This Row],['#_of water points in THF]]*500&gt;WWWW[[#This Row],[Total PoP ]],WWWW[[#This Row],[Total PoP ]],WWWW[[#This Row],['#_of water points in THF]]*500)</f>
        <v>0</v>
      </c>
      <c r="CO9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0" s="760">
        <f>IF(WWWW[[#This Row],[Location Type 1]]="Village",WWWW[[#This Row],[Access to safe drinking water for Village]],WWWW[[#This Row],[Access to safe drinking water for Camp]])</f>
        <v>1</v>
      </c>
      <c r="CR90" s="758">
        <f>WWWW[[#This Row],[%Equitable and continuous access to sufficient quantity of safe drinking water]]*WWWW[[#This Row],[Total PoP ]]</f>
        <v>104</v>
      </c>
      <c r="CS90" s="760">
        <f>IF((WWWW[[#This Row],['#_Constructed/Existing protected/fenced ponds]]*250)/WWWW[[#This Row],[Total PoP ]]&gt;1,1,(WWWW[[#This Row],['#_Constructed/Existing protected/fenced ponds]]*250)/WWWW[[#This Row],[Total PoP ]])</f>
        <v>0</v>
      </c>
      <c r="CT90" s="758">
        <f>WWWW[[#This Row],[% Access to unimproved water points]]*WWWW[[#This Row],[Total PoP ]]</f>
        <v>0</v>
      </c>
      <c r="CU9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90" s="758">
        <f>WWWW[[#This Row],[HRP1]]/500</f>
        <v>0.20799999999999999</v>
      </c>
      <c r="CX90" s="763">
        <f>1-WWWW[[#This Row],[% Equitable and continuous access to sufficient quantity of domestic water]]</f>
        <v>0</v>
      </c>
      <c r="CY90" s="758">
        <f>WWWW[[#This Row],[%equitable and continuous access to sufficient quantity of safe drinking and domestic water''s GAP]]*WWWW[[#This Row],[Total PoP ]]</f>
        <v>0</v>
      </c>
      <c r="CZ90" s="761">
        <f>IF(WWWW[[#This Row],[Total required water points]]-WWWW[[#This Row],['#Water points coverage]]&lt;0,0,WWWW[[#This Row],[Total required water points]]-WWWW[[#This Row],['#Water points coverage]])</f>
        <v>0.79200000000000004</v>
      </c>
      <c r="DA90" s="761">
        <f>ROUND(IF(WWWW[[#This Row],[Total PoP ]]&lt;500,1,WWWW[[#This Row],[Total PoP ]]/500),0)</f>
        <v>1</v>
      </c>
      <c r="DB90" s="761">
        <f>(WWWW[[#This Row],['#_Constructed latrines_by_WASHAgencies]]+WWWW[[#This Row],['#_Non Cluster partner latrines]])-WWWW[[#This Row],['#_Non-functional latrines]]</f>
        <v>4</v>
      </c>
      <c r="DC90" s="634">
        <f>WWWW[[#This Row],[HRP2]]/WWWW[[#This Row],[Total PoP ]]</f>
        <v>0.76923076923076927</v>
      </c>
      <c r="DD9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9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0" s="425">
        <f>IF(WWWW[[#This Row],['# of functional latrines in THF supported by WASH partners during the reporting period2]]="",0,WWWW[[#This Row],['# of functional latrines in THF supported by WASH partners during the reporting period2]]*50)</f>
        <v>0</v>
      </c>
      <c r="DH90" s="761">
        <f>ROUND(IF(WWWW[[#This Row],[Location Type 1]]="camp",WWWW[[#This Row],[Total PoP ]]/20,IF(WWWW[[#This Row],[Location Type 1]]="Temporary Location",WWWW[[#This Row],[Total PoP ]]/50,(WWWW[[#This Row],[Total PoP ]]/6))),0)</f>
        <v>5</v>
      </c>
      <c r="DI90" s="761">
        <f>IF(WWWW[[#This Row],[Total required Latrines]]-(WWWW[[#This Row],['#_Constructed latrines_by_WASHAgencies]]+WWWW[[#This Row],['#_Non Cluster partner latrines]])&lt;0,0,WWWW[[#This Row],[Total required Latrines]]-(WWWW[[#This Row],['#_Constructed latrines_by_WASHAgencies]]+WWWW[[#This Row],['#_Non Cluster partner latrines]]))</f>
        <v>1</v>
      </c>
      <c r="DJ90" s="763">
        <f>1-WWWW[[#This Row],[% people access to functioning Latrine]]</f>
        <v>0.23076923076923073</v>
      </c>
      <c r="DK90" s="762">
        <f>IF(OR(WWWW[[#This Row],['#_Non-functional latrines]]="",WWWW[[#This Row],['#_Non-functional latrines]]=0),0,WWWW[[#This Row],['#_Non-functional latrines]]/(WWWW[[#This Row],['#_Constructed latrines_by_WASHAgencies]]+WWWW[[#This Row],['#_Non Cluster partner latrines]]))</f>
        <v>0</v>
      </c>
      <c r="DL90" s="758">
        <f>IF(500*(WWWW[[#This Row],['#_male hygiene promoters]]+WWWW[[#This Row],['#_female hygiene promoters]])&gt;WWWW[[#This Row],[Total PoP ]],WWWW[[#This Row],[Total PoP ]],500*(WWWW[[#This Row],['#_male hygiene promoters]]+WWWW[[#This Row],['#_female hygiene promoters]]))</f>
        <v>0</v>
      </c>
      <c r="DM9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104</v>
      </c>
      <c r="DN9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104</v>
      </c>
      <c r="DO90" s="761">
        <f>IF(WWWW[[#This Row],['# People with access to soap]]&gt;WWWW[[#This Row],['# People with access to Sanity Pads]],WWWW[[#This Row],['# People with access to soap]],WWWW[[#This Row],['# People with access to Sanity Pads]])</f>
        <v>104</v>
      </c>
      <c r="DP90" s="761">
        <f>IF(WWWW[[#This Row],['# people reached by regular dedicated hygiene promotion_5]]&gt;WWWW[[#This Row],['# People received regular supply of hygiene items_6]],WWWW[[#This Row],['# people reached by regular dedicated hygiene promotion_5]],WWWW[[#This Row],['# People received regular supply of hygiene items_6]])</f>
        <v>104</v>
      </c>
      <c r="DQ90" s="763">
        <f>IF(WWWW[[#This Row],[HRP3]]/WWWW[[#This Row],[Total PoP ]]&gt;1,1,WWWW[[#This Row],[HRP3]]/WWWW[[#This Row],[Total PoP ]])</f>
        <v>1</v>
      </c>
      <c r="DR90" s="762">
        <f>1-WWWW[[#This Row],[Hygiene Coverage%]]</f>
        <v>0</v>
      </c>
      <c r="DS90" s="760">
        <f>WWWW[[#This Row],['# people reached by regular dedicated hygiene promotion_5]]/WWWW[[#This Row],[Total PoP ]]</f>
        <v>0</v>
      </c>
      <c r="DT9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0" s="761">
        <f>WWWW[[#This Row],['#_Constructed/Existing hand washing stations]]-WWWW[[#This Row],['#_Non-Functional_hand_washing_stations]]</f>
        <v>8</v>
      </c>
      <c r="DW90" s="758">
        <f>IF(WWWW[[#This Row],['# Functional hand washing stations during reporting period]]*20&gt;WWWW[[#This Row],[Total HH]],WWWW[[#This Row],[Total HH]],WWWW[[#This Row],['# Functional hand washing stations during reporting period]]*20)</f>
        <v>26</v>
      </c>
      <c r="DX90" s="758">
        <f>IF(WWWW[[#This Row],[Is sufficient soap available for TLS? (Yes/No)]]="yes",WWWW[[#This Row],['#_Constructed/Existing hand washing stations at TLS/CFS/THF]],0)</f>
        <v>0</v>
      </c>
      <c r="DY90" s="429">
        <f>IF(WWWW[[#This Row],['# Functional hand washing stations during reporting period]]*100&gt;WWWW[[#This Row],[Total PoP ]],WWWW[[#This Row],[Total PoP ]],WWWW[[#This Row],['# Functional hand washing stations during reporting period]]*100)</f>
        <v>104</v>
      </c>
      <c r="DZ90" s="429" t="str">
        <f>IF(OR(WWWW[[#This Row],['#_students at TLS_CFS]]="",WWWW[[#This Row],['#_students at TLS_CFS]]=0),"No","Yes")</f>
        <v>No</v>
      </c>
      <c r="EA9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0" s="754">
        <f>VLOOKUP(WWWW[[#This Row],[Site Name]],SiteDB6[[Site Name]:[CCCM Management]],6,FALSE)</f>
        <v>0</v>
      </c>
      <c r="EF90" s="754" t="str">
        <f>VLOOKUP(WWWW[[#This Row],[Site Name]],SiteDB6[[Site Name]:[CCCM Focal Agency]],7,FALSE)</f>
        <v>uncovered</v>
      </c>
      <c r="EG90" s="754" t="str">
        <f>VLOOKUP(WWWW[[#This Row],[Site Name]],SiteDB6[[Site Name]:[Location Type 1]],9,FALSE)</f>
        <v>Camp</v>
      </c>
      <c r="EH90" s="754" t="str">
        <f>VLOOKUP(WWWW[[#This Row],[Site Name]],SiteDB6[[Site Name]:[Type of Accommodation]],10,FALSE)</f>
        <v>Camp like setting</v>
      </c>
      <c r="EI90" s="754" t="str">
        <f>VLOOKUP(WWWW[[#This Row],[Site Name]],SiteDB6[[Site Name]:[Ethnic or GCA/NGCA]],11,FALSE)</f>
        <v>GCA</v>
      </c>
      <c r="EJ90" s="754">
        <f>VLOOKUP(WWWW[[#This Row],[Site Name]],SiteDB6[[Site Name]:[Lat]],12,FALSE)</f>
        <v>23.621317999999999</v>
      </c>
      <c r="EK90" s="754">
        <f>VLOOKUP(WWWW[[#This Row],[Site Name]],SiteDB6[[Site Name]:[Long]],13,FALSE)</f>
        <v>97.795981999999995</v>
      </c>
      <c r="EL90" s="754" t="str">
        <f>VLOOKUP(WWWW[[#This Row],[Site Name]],SiteDB6[[Site Name]:[Pcode]],3,FALSE)</f>
        <v>MMR015CMP064</v>
      </c>
      <c r="EM90" s="759" t="str">
        <f t="shared" si="1"/>
        <v>Covered</v>
      </c>
      <c r="EN90" s="759"/>
      <c r="EO90" s="754">
        <f>VLOOKUP(WWWW[[#This Row],[Site Name]],SiteDB6[[Site Name]:[Pop
(Kachin/Shan-CCCM as of July 2021)]],16,FALSE)</f>
        <v>24</v>
      </c>
      <c r="EP90" s="754">
        <f>VLOOKUP(WWWW[[#This Row],[Site Name]],SiteDB6[[Site Name]:[Pop
(Kachin/Shan-CCCM as of July 2021)]],17,FALSE)</f>
        <v>84</v>
      </c>
    </row>
    <row r="91" spans="1:146" hidden="1">
      <c r="A91" s="752" t="s">
        <v>2785</v>
      </c>
      <c r="B91" s="752" t="s">
        <v>192</v>
      </c>
      <c r="C91" s="753" t="s">
        <v>192</v>
      </c>
      <c r="D91" s="753" t="s">
        <v>2695</v>
      </c>
      <c r="E91" s="753" t="s">
        <v>515</v>
      </c>
      <c r="F91" s="753" t="s">
        <v>519</v>
      </c>
      <c r="G91" s="594" t="str">
        <f>VLOOKUP(WWWW[[#This Row],[Site Name]],SiteDB6[[Site Name]:[Location Type]],8,FALSE)</f>
        <v>Camp</v>
      </c>
      <c r="H91" s="753" t="s">
        <v>1618</v>
      </c>
      <c r="I91" s="755">
        <v>64</v>
      </c>
      <c r="J91" s="755">
        <v>251</v>
      </c>
      <c r="K91" s="756" t="s">
        <v>2789</v>
      </c>
      <c r="L91" s="757" t="s">
        <v>2790</v>
      </c>
      <c r="M91" s="755"/>
      <c r="N91" s="755">
        <v>1</v>
      </c>
      <c r="O91" s="755"/>
      <c r="P91" s="755"/>
      <c r="Q91" s="758" t="s">
        <v>41</v>
      </c>
      <c r="R91" s="755">
        <v>4</v>
      </c>
      <c r="S91" s="755">
        <v>5</v>
      </c>
      <c r="T91" s="449"/>
      <c r="U91" s="755"/>
      <c r="V91" s="755"/>
      <c r="W91" s="755"/>
      <c r="X91" s="755"/>
      <c r="Y91" s="755"/>
      <c r="Z91" s="755"/>
      <c r="AA91" s="755">
        <v>14</v>
      </c>
      <c r="AB91" s="755"/>
      <c r="AC91" s="755"/>
      <c r="AD91" s="755"/>
      <c r="AE91" s="755"/>
      <c r="AF91" s="755"/>
      <c r="AG91" s="755"/>
      <c r="AH91" s="755">
        <v>1</v>
      </c>
      <c r="AI91" s="755"/>
      <c r="AJ91" s="755"/>
      <c r="AK91" s="755"/>
      <c r="AL91" s="755"/>
      <c r="AM91" s="755">
        <v>3</v>
      </c>
      <c r="AN91" s="755"/>
      <c r="AO91" s="755"/>
      <c r="AP91" s="759"/>
      <c r="AQ91" s="755">
        <v>71</v>
      </c>
      <c r="AR91" s="755"/>
      <c r="AS91" s="760"/>
      <c r="AT91" s="755"/>
      <c r="AU91" s="755"/>
      <c r="AV91" s="755"/>
      <c r="AW91" s="755"/>
      <c r="AX91" s="755"/>
      <c r="AY91" s="754" t="s">
        <v>136</v>
      </c>
      <c r="AZ91" s="759" t="s">
        <v>904</v>
      </c>
      <c r="BA91" s="755"/>
      <c r="BB91" s="755"/>
      <c r="BC91" s="755">
        <v>4</v>
      </c>
      <c r="BD91" s="449"/>
      <c r="BE91" s="449"/>
      <c r="BF91" s="754"/>
      <c r="BG91" s="755">
        <v>3</v>
      </c>
      <c r="BH91" s="755"/>
      <c r="BI91" s="755"/>
      <c r="BJ91" s="755">
        <v>2</v>
      </c>
      <c r="BK91" s="755"/>
      <c r="BL91" s="755">
        <v>1</v>
      </c>
      <c r="BM91" s="755"/>
      <c r="BN91" s="755">
        <v>10</v>
      </c>
      <c r="BO91" s="755">
        <v>18</v>
      </c>
      <c r="BP91" s="754"/>
      <c r="BQ91" s="761"/>
      <c r="BR91" s="760"/>
      <c r="BS91" s="754"/>
      <c r="BT91" s="424"/>
      <c r="BU91" s="424"/>
      <c r="BV91" s="426"/>
      <c r="BW91" s="424"/>
      <c r="BX91" s="449"/>
      <c r="BY91" s="449"/>
      <c r="BZ91" s="449"/>
      <c r="CA91" s="449"/>
      <c r="CB91" s="449"/>
      <c r="CC91" s="807"/>
      <c r="CD91" s="449"/>
      <c r="CE91" s="762" t="str">
        <f>IFERROR(WWWW[[#This Row],['#_Water sources passed]]/WWWW[[#This Row],['#_Water sources tested for fecal coliform ]],"no test")</f>
        <v>no test</v>
      </c>
      <c r="CF91" s="760" t="str">
        <f>IFERROR(WWWW[[#This Row],['#_Household passed]]/WWWW[[#This Row],['#_Household water samples tested for fecal coliform]],"no test")</f>
        <v>no test</v>
      </c>
      <c r="CG91" s="761" t="str">
        <f>IF(AND(WWWW[[#This Row],[% of water sources passed]]="no test",WWWW[[#This Row],[% Household passed]]="no test"),"No Test","Tested")</f>
        <v>No Test</v>
      </c>
      <c r="CH91" s="761">
        <f>WWWW[[#This Row],['#_Constructed/existing protected hand dug well]]-WWWW[[#This Row],['#_Non-functional protected hand dug well]]</f>
        <v>0</v>
      </c>
      <c r="CI91" s="761">
        <f>(WWWW[[#This Row],['#_Constructed/Existing tube wells/boreholes/handpumps_WASH_agency]]+WWWW[[#This Row],['#_Non-Cluster partner water tube-wells/boreholes/handpumps]])-WWWW[[#This Row],['#_Non-functional tube wells/boreholes/handpumps]]</f>
        <v>0</v>
      </c>
      <c r="CJ91" s="761">
        <f>WWWW[[#This Row],['#_Constructed/Existingwater storage tank with gravity fed reticulation system]]-WWWW[[#This Row],['#_Non-functional storage tank gravity fed reticulation system]]</f>
        <v>14</v>
      </c>
      <c r="CK91" s="761">
        <f>(WWWW[[#This Row],['#_Water_Liters_supplied_by_Water boating or water trucking]]/90)/15</f>
        <v>0</v>
      </c>
      <c r="CL91" s="761">
        <f>WWWW[[#This Row],['#_Water_Liters_from_Constructed/Existing water distribution system from river or natural spring]]/90/15</f>
        <v>0</v>
      </c>
      <c r="CM91" s="425">
        <f>IF(WWWW[[#This Row],['#_of water points in TLS/CFS]]*500&gt;WWWW[[#This Row],[Total PoP ]],WWWW[[#This Row],[Total PoP ]],WWWW[[#This Row],['#_of water points in TLS/CFS]]*500)</f>
        <v>0</v>
      </c>
      <c r="CN91" s="425">
        <f>IF(WWWW[[#This Row],['#_of water points in THF]]*500&gt;WWWW[[#This Row],[Total PoP ]],WWWW[[#This Row],[Total PoP ]],WWWW[[#This Row],['#_of water points in THF]]*500)</f>
        <v>0</v>
      </c>
      <c r="CO9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1" s="760">
        <f>IF(WWWW[[#This Row],[Location Type 1]]="Village",WWWW[[#This Row],[Access to safe drinking water for Village]],WWWW[[#This Row],[Access to safe drinking water for Camp]])</f>
        <v>1</v>
      </c>
      <c r="CR91" s="758">
        <f>WWWW[[#This Row],[%Equitable and continuous access to sufficient quantity of safe drinking water]]*WWWW[[#This Row],[Total PoP ]]</f>
        <v>251</v>
      </c>
      <c r="CS91" s="760">
        <f>IF((WWWW[[#This Row],['#_Constructed/Existing protected/fenced ponds]]*250)/WWWW[[#This Row],[Total PoP ]]&gt;1,1,(WWWW[[#This Row],['#_Constructed/Existing protected/fenced ponds]]*250)/WWWW[[#This Row],[Total PoP ]])</f>
        <v>0</v>
      </c>
      <c r="CT91" s="758">
        <f>WWWW[[#This Row],[% Access to unimproved water points]]*WWWW[[#This Row],[Total PoP ]]</f>
        <v>0</v>
      </c>
      <c r="CU9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91" s="758">
        <f>WWWW[[#This Row],[HRP1]]/500</f>
        <v>0.502</v>
      </c>
      <c r="CX91" s="763">
        <f>1-WWWW[[#This Row],[% Equitable and continuous access to sufficient quantity of domestic water]]</f>
        <v>0</v>
      </c>
      <c r="CY91" s="758">
        <f>WWWW[[#This Row],[%equitable and continuous access to sufficient quantity of safe drinking and domestic water''s GAP]]*WWWW[[#This Row],[Total PoP ]]</f>
        <v>0</v>
      </c>
      <c r="CZ91" s="761">
        <f>IF(WWWW[[#This Row],[Total required water points]]-WWWW[[#This Row],['#Water points coverage]]&lt;0,0,WWWW[[#This Row],[Total required water points]]-WWWW[[#This Row],['#Water points coverage]])</f>
        <v>0.498</v>
      </c>
      <c r="DA91" s="761">
        <f>ROUND(IF(WWWW[[#This Row],[Total PoP ]]&lt;500,1,WWWW[[#This Row],[Total PoP ]]/500),0)</f>
        <v>1</v>
      </c>
      <c r="DB91" s="761">
        <f>(WWWW[[#This Row],['#_Constructed latrines_by_WASHAgencies]]+WWWW[[#This Row],['#_Non Cluster partner latrines]])-WWWW[[#This Row],['#_Non-functional latrines]]</f>
        <v>71</v>
      </c>
      <c r="DC91" s="634">
        <f>WWWW[[#This Row],[HRP2]]/WWWW[[#This Row],[Total PoP ]]</f>
        <v>1</v>
      </c>
      <c r="DD9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9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1" s="425">
        <f>IF(WWWW[[#This Row],['# of functional latrines in THF supported by WASH partners during the reporting period2]]="",0,WWWW[[#This Row],['# of functional latrines in THF supported by WASH partners during the reporting period2]]*50)</f>
        <v>0</v>
      </c>
      <c r="DH91" s="761">
        <f>ROUND(IF(WWWW[[#This Row],[Location Type 1]]="camp",WWWW[[#This Row],[Total PoP ]]/20,IF(WWWW[[#This Row],[Location Type 1]]="Temporary Location",WWWW[[#This Row],[Total PoP ]]/50,(WWWW[[#This Row],[Total PoP ]]/6))),0)</f>
        <v>42</v>
      </c>
      <c r="DI91" s="761">
        <f>IF(WWWW[[#This Row],[Total required Latrines]]-(WWWW[[#This Row],['#_Constructed latrines_by_WASHAgencies]]+WWWW[[#This Row],['#_Non Cluster partner latrines]])&lt;0,0,WWWW[[#This Row],[Total required Latrines]]-(WWWW[[#This Row],['#_Constructed latrines_by_WASHAgencies]]+WWWW[[#This Row],['#_Non Cluster partner latrines]]))</f>
        <v>0</v>
      </c>
      <c r="DJ91" s="763">
        <f>1-WWWW[[#This Row],[% people access to functioning Latrine]]</f>
        <v>0</v>
      </c>
      <c r="DK91" s="762">
        <f>IF(OR(WWWW[[#This Row],['#_Non-functional latrines]]="",WWWW[[#This Row],['#_Non-functional latrines]]=0),0,WWWW[[#This Row],['#_Non-functional latrines]]/(WWWW[[#This Row],['#_Constructed latrines_by_WASHAgencies]]+WWWW[[#This Row],['#_Non Cluster partner latrines]]))</f>
        <v>0</v>
      </c>
      <c r="DL91" s="758">
        <f>IF(500*(WWWW[[#This Row],['#_male hygiene promoters]]+WWWW[[#This Row],['#_female hygiene promoters]])&gt;WWWW[[#This Row],[Total PoP ]],WWWW[[#This Row],[Total PoP ]],500*(WWWW[[#This Row],['#_male hygiene promoters]]+WWWW[[#This Row],['#_female hygiene promoters]]))</f>
        <v>251</v>
      </c>
      <c r="DM9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9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91" s="761">
        <f>IF(WWWW[[#This Row],['# People with access to soap]]&gt;WWWW[[#This Row],['# People with access to Sanity Pads]],WWWW[[#This Row],['# People with access to soap]],WWWW[[#This Row],['# People with access to Sanity Pads]])</f>
        <v>50</v>
      </c>
      <c r="DP91" s="761">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91" s="763">
        <f>IF(WWWW[[#This Row],[HRP3]]/WWWW[[#This Row],[Total PoP ]]&gt;1,1,WWWW[[#This Row],[HRP3]]/WWWW[[#This Row],[Total PoP ]])</f>
        <v>1</v>
      </c>
      <c r="DR91" s="762">
        <f>1-WWWW[[#This Row],[Hygiene Coverage%]]</f>
        <v>0</v>
      </c>
      <c r="DS91" s="760">
        <f>WWWW[[#This Row],['# people reached by regular dedicated hygiene promotion_5]]/WWWW[[#This Row],[Total PoP ]]</f>
        <v>1</v>
      </c>
      <c r="DT9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0.625</v>
      </c>
      <c r="DU9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0.28125</v>
      </c>
      <c r="DV91" s="761">
        <f>WWWW[[#This Row],['#_Constructed/Existing hand washing stations]]-WWWW[[#This Row],['#_Non-Functional_hand_washing_stations]]</f>
        <v>3</v>
      </c>
      <c r="DW91" s="758">
        <f>IF(WWWW[[#This Row],['# Functional hand washing stations during reporting period]]*20&gt;WWWW[[#This Row],[Total HH]],WWWW[[#This Row],[Total HH]],WWWW[[#This Row],['# Functional hand washing stations during reporting period]]*20)</f>
        <v>60</v>
      </c>
      <c r="DX91" s="758">
        <f>IF(WWWW[[#This Row],[Is sufficient soap available for TLS? (Yes/No)]]="yes",WWWW[[#This Row],['#_Constructed/Existing hand washing stations at TLS/CFS/THF]],0)</f>
        <v>0</v>
      </c>
      <c r="DY91" s="429">
        <f>IF(WWWW[[#This Row],['# Functional hand washing stations during reporting period]]*100&gt;WWWW[[#This Row],[Total PoP ]],WWWW[[#This Row],[Total PoP ]],WWWW[[#This Row],['# Functional hand washing stations during reporting period]]*100)</f>
        <v>251</v>
      </c>
      <c r="DZ91" s="429" t="str">
        <f>IF(OR(WWWW[[#This Row],['#_students at TLS_CFS]]="",WWWW[[#This Row],['#_students at TLS_CFS]]=0),"No","Yes")</f>
        <v>No</v>
      </c>
      <c r="EA9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1" s="754" t="str">
        <f>VLOOKUP(WWWW[[#This Row],[Site Name]],SiteDB6[[Site Name]:[CCCM Management]],6,FALSE)</f>
        <v>Yes</v>
      </c>
      <c r="EF91" s="754" t="str">
        <f>VLOOKUP(WWWW[[#This Row],[Site Name]],SiteDB6[[Site Name]:[CCCM Focal Agency]],7,FALSE)</f>
        <v>KMSS-LSO</v>
      </c>
      <c r="EG91" s="754" t="str">
        <f>VLOOKUP(WWWW[[#This Row],[Site Name]],SiteDB6[[Site Name]:[Location Type 1]],9,FALSE)</f>
        <v>Village Type Camp</v>
      </c>
      <c r="EH91" s="754" t="str">
        <f>VLOOKUP(WWWW[[#This Row],[Site Name]],SiteDB6[[Site Name]:[Type of Accommodation]],10,FALSE)</f>
        <v>Camp</v>
      </c>
      <c r="EI91" s="754" t="str">
        <f>VLOOKUP(WWWW[[#This Row],[Site Name]],SiteDB6[[Site Name]:[Ethnic or GCA/NGCA]],11,FALSE)</f>
        <v>GCA</v>
      </c>
      <c r="EJ91" s="754">
        <f>VLOOKUP(WWWW[[#This Row],[Site Name]],SiteDB6[[Site Name]:[Lat]],12,FALSE)</f>
        <v>23.588920000000002</v>
      </c>
      <c r="EK91" s="754">
        <f>VLOOKUP(WWWW[[#This Row],[Site Name]],SiteDB6[[Site Name]:[Long]],13,FALSE)</f>
        <v>97.793019999999999</v>
      </c>
      <c r="EL91" s="754" t="str">
        <f>VLOOKUP(WWWW[[#This Row],[Site Name]],SiteDB6[[Site Name]:[Pcode]],3,FALSE)</f>
        <v>MMR015CMP018</v>
      </c>
      <c r="EM91" s="759" t="str">
        <f t="shared" si="1"/>
        <v>Covered</v>
      </c>
      <c r="EN91" s="759"/>
      <c r="EO91" s="754">
        <f>VLOOKUP(WWWW[[#This Row],[Site Name]],SiteDB6[[Site Name]:[Pop
(Kachin/Shan-CCCM as of July 2021)]],16,FALSE)</f>
        <v>66</v>
      </c>
      <c r="EP91" s="754">
        <f>VLOOKUP(WWWW[[#This Row],[Site Name]],SiteDB6[[Site Name]:[Pop
(Kachin/Shan-CCCM as of July 2021)]],17,FALSE)</f>
        <v>248</v>
      </c>
    </row>
    <row r="92" spans="1:146" hidden="1">
      <c r="A92" s="752" t="s">
        <v>2785</v>
      </c>
      <c r="B92" s="752" t="s">
        <v>192</v>
      </c>
      <c r="C92" s="753" t="s">
        <v>192</v>
      </c>
      <c r="D92" s="753" t="s">
        <v>2695</v>
      </c>
      <c r="E92" s="753" t="s">
        <v>515</v>
      </c>
      <c r="F92" s="753" t="s">
        <v>519</v>
      </c>
      <c r="G92" s="594" t="str">
        <f>VLOOKUP(WWWW[[#This Row],[Site Name]],SiteDB6[[Site Name]:[Location Type]],8,FALSE)</f>
        <v>Camp</v>
      </c>
      <c r="H92" s="753" t="s">
        <v>545</v>
      </c>
      <c r="I92" s="755">
        <v>31</v>
      </c>
      <c r="J92" s="755">
        <v>176</v>
      </c>
      <c r="K92" s="756" t="s">
        <v>2789</v>
      </c>
      <c r="L92" s="757" t="s">
        <v>2790</v>
      </c>
      <c r="M92" s="755"/>
      <c r="N92" s="755"/>
      <c r="O92" s="755"/>
      <c r="P92" s="755"/>
      <c r="Q92" s="758"/>
      <c r="R92" s="755">
        <v>5</v>
      </c>
      <c r="S92" s="755">
        <v>4</v>
      </c>
      <c r="T92" s="449"/>
      <c r="U92" s="755"/>
      <c r="V92" s="755"/>
      <c r="W92" s="755"/>
      <c r="X92" s="755"/>
      <c r="Y92" s="755"/>
      <c r="Z92" s="755"/>
      <c r="AA92" s="755">
        <v>14</v>
      </c>
      <c r="AB92" s="755"/>
      <c r="AC92" s="755"/>
      <c r="AD92" s="755"/>
      <c r="AE92" s="755"/>
      <c r="AF92" s="755"/>
      <c r="AG92" s="755"/>
      <c r="AH92" s="755"/>
      <c r="AI92" s="755"/>
      <c r="AJ92" s="755"/>
      <c r="AK92" s="755"/>
      <c r="AL92" s="755"/>
      <c r="AM92" s="755"/>
      <c r="AN92" s="755"/>
      <c r="AO92" s="755"/>
      <c r="AP92" s="759"/>
      <c r="AQ92" s="755">
        <v>34</v>
      </c>
      <c r="AR92" s="755"/>
      <c r="AS92" s="760"/>
      <c r="AT92" s="755"/>
      <c r="AU92" s="755"/>
      <c r="AV92" s="755"/>
      <c r="AW92" s="755"/>
      <c r="AX92" s="755"/>
      <c r="AY92" s="754" t="s">
        <v>41</v>
      </c>
      <c r="AZ92" s="759" t="s">
        <v>137</v>
      </c>
      <c r="BA92" s="755"/>
      <c r="BB92" s="755"/>
      <c r="BC92" s="755">
        <v>2</v>
      </c>
      <c r="BD92" s="449"/>
      <c r="BE92" s="449"/>
      <c r="BF92" s="754"/>
      <c r="BG92" s="755">
        <v>8</v>
      </c>
      <c r="BH92" s="755"/>
      <c r="BI92" s="755"/>
      <c r="BJ92" s="755">
        <v>3</v>
      </c>
      <c r="BK92" s="755"/>
      <c r="BL92" s="755"/>
      <c r="BM92" s="755">
        <v>1</v>
      </c>
      <c r="BN92" s="755">
        <v>91</v>
      </c>
      <c r="BO92" s="755">
        <v>124</v>
      </c>
      <c r="BP92" s="754"/>
      <c r="BQ92" s="761"/>
      <c r="BR92" s="760"/>
      <c r="BS92" s="754"/>
      <c r="BT92" s="424"/>
      <c r="BU92" s="424"/>
      <c r="BV92" s="426"/>
      <c r="BW92" s="424"/>
      <c r="BX92" s="449"/>
      <c r="BY92" s="449"/>
      <c r="BZ92" s="449"/>
      <c r="CA92" s="449"/>
      <c r="CB92" s="449"/>
      <c r="CC92" s="807"/>
      <c r="CD92" s="449"/>
      <c r="CE92" s="762" t="str">
        <f>IFERROR(WWWW[[#This Row],['#_Water sources passed]]/WWWW[[#This Row],['#_Water sources tested for fecal coliform ]],"no test")</f>
        <v>no test</v>
      </c>
      <c r="CF92" s="760" t="str">
        <f>IFERROR(WWWW[[#This Row],['#_Household passed]]/WWWW[[#This Row],['#_Household water samples tested for fecal coliform]],"no test")</f>
        <v>no test</v>
      </c>
      <c r="CG92" s="761" t="str">
        <f>IF(AND(WWWW[[#This Row],[% of water sources passed]]="no test",WWWW[[#This Row],[% Household passed]]="no test"),"No Test","Tested")</f>
        <v>No Test</v>
      </c>
      <c r="CH92" s="761">
        <f>WWWW[[#This Row],['#_Constructed/existing protected hand dug well]]-WWWW[[#This Row],['#_Non-functional protected hand dug well]]</f>
        <v>0</v>
      </c>
      <c r="CI92" s="761">
        <f>(WWWW[[#This Row],['#_Constructed/Existing tube wells/boreholes/handpumps_WASH_agency]]+WWWW[[#This Row],['#_Non-Cluster partner water tube-wells/boreholes/handpumps]])-WWWW[[#This Row],['#_Non-functional tube wells/boreholes/handpumps]]</f>
        <v>0</v>
      </c>
      <c r="CJ92" s="761">
        <f>WWWW[[#This Row],['#_Constructed/Existingwater storage tank with gravity fed reticulation system]]-WWWW[[#This Row],['#_Non-functional storage tank gravity fed reticulation system]]</f>
        <v>14</v>
      </c>
      <c r="CK92" s="761">
        <f>(WWWW[[#This Row],['#_Water_Liters_supplied_by_Water boating or water trucking]]/90)/15</f>
        <v>0</v>
      </c>
      <c r="CL92" s="761">
        <f>WWWW[[#This Row],['#_Water_Liters_from_Constructed/Existing water distribution system from river or natural spring]]/90/15</f>
        <v>0</v>
      </c>
      <c r="CM92" s="425">
        <f>IF(WWWW[[#This Row],['#_of water points in TLS/CFS]]*500&gt;WWWW[[#This Row],[Total PoP ]],WWWW[[#This Row],[Total PoP ]],WWWW[[#This Row],['#_of water points in TLS/CFS]]*500)</f>
        <v>0</v>
      </c>
      <c r="CN92" s="425">
        <f>IF(WWWW[[#This Row],['#_of water points in THF]]*500&gt;WWWW[[#This Row],[Total PoP ]],WWWW[[#This Row],[Total PoP ]],WWWW[[#This Row],['#_of water points in THF]]*500)</f>
        <v>0</v>
      </c>
      <c r="CO9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2" s="760">
        <f>IF(WWWW[[#This Row],[Location Type 1]]="Village",WWWW[[#This Row],[Access to safe drinking water for Village]],WWWW[[#This Row],[Access to safe drinking water for Camp]])</f>
        <v>1</v>
      </c>
      <c r="CR92" s="758">
        <f>WWWW[[#This Row],[%Equitable and continuous access to sufficient quantity of safe drinking water]]*WWWW[[#This Row],[Total PoP ]]</f>
        <v>176</v>
      </c>
      <c r="CS92" s="760">
        <f>IF((WWWW[[#This Row],['#_Constructed/Existing protected/fenced ponds]]*250)/WWWW[[#This Row],[Total PoP ]]&gt;1,1,(WWWW[[#This Row],['#_Constructed/Existing protected/fenced ponds]]*250)/WWWW[[#This Row],[Total PoP ]])</f>
        <v>0</v>
      </c>
      <c r="CT92" s="758">
        <f>WWWW[[#This Row],[% Access to unimproved water points]]*WWWW[[#This Row],[Total PoP ]]</f>
        <v>0</v>
      </c>
      <c r="CU9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92" s="758">
        <f>WWWW[[#This Row],[HRP1]]/500</f>
        <v>0.35199999999999998</v>
      </c>
      <c r="CX92" s="763">
        <f>1-WWWW[[#This Row],[% Equitable and continuous access to sufficient quantity of domestic water]]</f>
        <v>0</v>
      </c>
      <c r="CY92" s="758">
        <f>WWWW[[#This Row],[%equitable and continuous access to sufficient quantity of safe drinking and domestic water''s GAP]]*WWWW[[#This Row],[Total PoP ]]</f>
        <v>0</v>
      </c>
      <c r="CZ92" s="761">
        <f>IF(WWWW[[#This Row],[Total required water points]]-WWWW[[#This Row],['#Water points coverage]]&lt;0,0,WWWW[[#This Row],[Total required water points]]-WWWW[[#This Row],['#Water points coverage]])</f>
        <v>0.64800000000000002</v>
      </c>
      <c r="DA92" s="761">
        <f>ROUND(IF(WWWW[[#This Row],[Total PoP ]]&lt;500,1,WWWW[[#This Row],[Total PoP ]]/500),0)</f>
        <v>1</v>
      </c>
      <c r="DB92" s="761">
        <f>(WWWW[[#This Row],['#_Constructed latrines_by_WASHAgencies]]+WWWW[[#This Row],['#_Non Cluster partner latrines]])-WWWW[[#This Row],['#_Non-functional latrines]]</f>
        <v>34</v>
      </c>
      <c r="DC92" s="634">
        <f>WWWW[[#This Row],[HRP2]]/WWWW[[#This Row],[Total PoP ]]</f>
        <v>1</v>
      </c>
      <c r="DD9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9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2" s="425">
        <f>IF(WWWW[[#This Row],['# of functional latrines in THF supported by WASH partners during the reporting period2]]="",0,WWWW[[#This Row],['# of functional latrines in THF supported by WASH partners during the reporting period2]]*50)</f>
        <v>0</v>
      </c>
      <c r="DH92" s="761">
        <f>ROUND(IF(WWWW[[#This Row],[Location Type 1]]="camp",WWWW[[#This Row],[Total PoP ]]/20,IF(WWWW[[#This Row],[Location Type 1]]="Temporary Location",WWWW[[#This Row],[Total PoP ]]/50,(WWWW[[#This Row],[Total PoP ]]/6))),0)</f>
        <v>9</v>
      </c>
      <c r="DI92" s="761">
        <f>IF(WWWW[[#This Row],[Total required Latrines]]-(WWWW[[#This Row],['#_Constructed latrines_by_WASHAgencies]]+WWWW[[#This Row],['#_Non Cluster partner latrines]])&lt;0,0,WWWW[[#This Row],[Total required Latrines]]-(WWWW[[#This Row],['#_Constructed latrines_by_WASHAgencies]]+WWWW[[#This Row],['#_Non Cluster partner latrines]]))</f>
        <v>0</v>
      </c>
      <c r="DJ92" s="763">
        <f>1-WWWW[[#This Row],[% people access to functioning Latrine]]</f>
        <v>0</v>
      </c>
      <c r="DK92" s="762">
        <f>IF(OR(WWWW[[#This Row],['#_Non-functional latrines]]="",WWWW[[#This Row],['#_Non-functional latrines]]=0),0,WWWW[[#This Row],['#_Non-functional latrines]]/(WWWW[[#This Row],['#_Constructed latrines_by_WASHAgencies]]+WWWW[[#This Row],['#_Non Cluster partner latrines]]))</f>
        <v>0</v>
      </c>
      <c r="DL92" s="758">
        <f>IF(500*(WWWW[[#This Row],['#_male hygiene promoters]]+WWWW[[#This Row],['#_female hygiene promoters]])&gt;WWWW[[#This Row],[Total PoP ]],WWWW[[#This Row],[Total PoP ]],500*(WWWW[[#This Row],['#_male hygiene promoters]]+WWWW[[#This Row],['#_female hygiene promoters]]))</f>
        <v>176</v>
      </c>
      <c r="DM9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DN9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92" s="761">
        <f>IF(WWWW[[#This Row],['# People with access to soap]]&gt;WWWW[[#This Row],['# People with access to Sanity Pads]],WWWW[[#This Row],['# People with access to soap]],WWWW[[#This Row],['# People with access to Sanity Pads]])</f>
        <v>176</v>
      </c>
      <c r="DP92" s="761">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92" s="763">
        <f>IF(WWWW[[#This Row],[HRP3]]/WWWW[[#This Row],[Total PoP ]]&gt;1,1,WWWW[[#This Row],[HRP3]]/WWWW[[#This Row],[Total PoP ]])</f>
        <v>1</v>
      </c>
      <c r="DR92" s="762">
        <f>1-WWWW[[#This Row],[Hygiene Coverage%]]</f>
        <v>0</v>
      </c>
      <c r="DS92" s="760">
        <f>WWWW[[#This Row],['# people reached by regular dedicated hygiene promotion_5]]/WWWW[[#This Row],[Total PoP ]]</f>
        <v>1</v>
      </c>
      <c r="DT9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2" s="761">
        <f>WWWW[[#This Row],['#_Constructed/Existing hand washing stations]]-WWWW[[#This Row],['#_Non-Functional_hand_washing_stations]]</f>
        <v>8</v>
      </c>
      <c r="DW92" s="758">
        <f>IF(WWWW[[#This Row],['# Functional hand washing stations during reporting period]]*20&gt;WWWW[[#This Row],[Total HH]],WWWW[[#This Row],[Total HH]],WWWW[[#This Row],['# Functional hand washing stations during reporting period]]*20)</f>
        <v>31</v>
      </c>
      <c r="DX92" s="758">
        <f>IF(WWWW[[#This Row],[Is sufficient soap available for TLS? (Yes/No)]]="yes",WWWW[[#This Row],['#_Constructed/Existing hand washing stations at TLS/CFS/THF]],0)</f>
        <v>0</v>
      </c>
      <c r="DY92" s="429">
        <f>IF(WWWW[[#This Row],['# Functional hand washing stations during reporting period]]*100&gt;WWWW[[#This Row],[Total PoP ]],WWWW[[#This Row],[Total PoP ]],WWWW[[#This Row],['# Functional hand washing stations during reporting period]]*100)</f>
        <v>176</v>
      </c>
      <c r="DZ92" s="429" t="str">
        <f>IF(OR(WWWW[[#This Row],['#_students at TLS_CFS]]="",WWWW[[#This Row],['#_students at TLS_CFS]]=0),"No","Yes")</f>
        <v>No</v>
      </c>
      <c r="EA9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2" s="754">
        <f>VLOOKUP(WWWW[[#This Row],[Site Name]],SiteDB6[[Site Name]:[CCCM Management]],6,FALSE)</f>
        <v>0</v>
      </c>
      <c r="EF92" s="754" t="str">
        <f>VLOOKUP(WWWW[[#This Row],[Site Name]],SiteDB6[[Site Name]:[CCCM Focal Agency]],7,FALSE)</f>
        <v>uncovered</v>
      </c>
      <c r="EG92" s="754" t="str">
        <f>VLOOKUP(WWWW[[#This Row],[Site Name]],SiteDB6[[Site Name]:[Location Type 1]],9,FALSE)</f>
        <v>Camp</v>
      </c>
      <c r="EH92" s="754" t="str">
        <f>VLOOKUP(WWWW[[#This Row],[Site Name]],SiteDB6[[Site Name]:[Type of Accommodation]],10,FALSE)</f>
        <v>Camp like setting</v>
      </c>
      <c r="EI92" s="754" t="str">
        <f>VLOOKUP(WWWW[[#This Row],[Site Name]],SiteDB6[[Site Name]:[Ethnic or GCA/NGCA]],11,FALSE)</f>
        <v>GCA</v>
      </c>
      <c r="EJ92" s="754">
        <f>VLOOKUP(WWWW[[#This Row],[Site Name]],SiteDB6[[Site Name]:[Lat]],12,FALSE)</f>
        <v>23.850999999999999</v>
      </c>
      <c r="EK92" s="754">
        <f>VLOOKUP(WWWW[[#This Row],[Site Name]],SiteDB6[[Site Name]:[Long]],13,FALSE)</f>
        <v>98.337999999999994</v>
      </c>
      <c r="EL92" s="754" t="str">
        <f>VLOOKUP(WWWW[[#This Row],[Site Name]],SiteDB6[[Site Name]:[Pcode]],3,FALSE)</f>
        <v>MMR015CMP045</v>
      </c>
      <c r="EM92" s="759" t="str">
        <f t="shared" si="1"/>
        <v>Covered</v>
      </c>
      <c r="EN92" s="759"/>
      <c r="EO92" s="754">
        <f>VLOOKUP(WWWW[[#This Row],[Site Name]],SiteDB6[[Site Name]:[Pop
(Kachin/Shan-CCCM as of July 2021)]],16,FALSE)</f>
        <v>30</v>
      </c>
      <c r="EP92" s="754">
        <f>VLOOKUP(WWWW[[#This Row],[Site Name]],SiteDB6[[Site Name]:[Pop
(Kachin/Shan-CCCM as of July 2021)]],17,FALSE)</f>
        <v>170</v>
      </c>
    </row>
    <row r="93" spans="1:146" hidden="1">
      <c r="A93" s="752" t="s">
        <v>2785</v>
      </c>
      <c r="B93" s="752" t="s">
        <v>192</v>
      </c>
      <c r="C93" s="753" t="s">
        <v>192</v>
      </c>
      <c r="D93" s="753" t="s">
        <v>2695</v>
      </c>
      <c r="E93" s="753" t="s">
        <v>515</v>
      </c>
      <c r="F93" s="753" t="s">
        <v>519</v>
      </c>
      <c r="G93" s="594" t="str">
        <f>VLOOKUP(WWWW[[#This Row],[Site Name]],SiteDB6[[Site Name]:[Location Type]],8,FALSE)</f>
        <v>Camp</v>
      </c>
      <c r="H93" s="753" t="s">
        <v>531</v>
      </c>
      <c r="I93" s="755">
        <v>54</v>
      </c>
      <c r="J93" s="755">
        <v>250</v>
      </c>
      <c r="K93" s="756" t="s">
        <v>2789</v>
      </c>
      <c r="L93" s="757" t="s">
        <v>2790</v>
      </c>
      <c r="M93" s="755"/>
      <c r="N93" s="755">
        <v>1</v>
      </c>
      <c r="O93" s="755"/>
      <c r="P93" s="755"/>
      <c r="Q93" s="758" t="s">
        <v>41</v>
      </c>
      <c r="R93" s="755">
        <v>5</v>
      </c>
      <c r="S93" s="755">
        <v>4</v>
      </c>
      <c r="T93" s="449"/>
      <c r="U93" s="755"/>
      <c r="V93" s="755"/>
      <c r="W93" s="755"/>
      <c r="X93" s="755"/>
      <c r="Y93" s="755"/>
      <c r="Z93" s="755"/>
      <c r="AA93" s="755">
        <v>12</v>
      </c>
      <c r="AB93" s="755"/>
      <c r="AC93" s="755"/>
      <c r="AD93" s="755"/>
      <c r="AE93" s="755"/>
      <c r="AF93" s="755"/>
      <c r="AG93" s="755"/>
      <c r="AH93" s="755">
        <v>1</v>
      </c>
      <c r="AI93" s="755"/>
      <c r="AJ93" s="755"/>
      <c r="AK93" s="755"/>
      <c r="AL93" s="755"/>
      <c r="AM93" s="755"/>
      <c r="AN93" s="755"/>
      <c r="AO93" s="755"/>
      <c r="AP93" s="759"/>
      <c r="AQ93" s="755">
        <v>18</v>
      </c>
      <c r="AR93" s="755"/>
      <c r="AS93" s="760"/>
      <c r="AT93" s="755"/>
      <c r="AU93" s="755"/>
      <c r="AV93" s="755"/>
      <c r="AW93" s="755"/>
      <c r="AX93" s="755"/>
      <c r="AY93" s="754" t="s">
        <v>41</v>
      </c>
      <c r="AZ93" s="759" t="s">
        <v>137</v>
      </c>
      <c r="BA93" s="755"/>
      <c r="BB93" s="755"/>
      <c r="BC93" s="755"/>
      <c r="BD93" s="449"/>
      <c r="BE93" s="449"/>
      <c r="BF93" s="754"/>
      <c r="BG93" s="755">
        <v>3</v>
      </c>
      <c r="BH93" s="755"/>
      <c r="BI93" s="755"/>
      <c r="BJ93" s="755">
        <v>2</v>
      </c>
      <c r="BK93" s="755"/>
      <c r="BL93" s="755"/>
      <c r="BM93" s="755">
        <v>2</v>
      </c>
      <c r="BN93" s="755">
        <v>88</v>
      </c>
      <c r="BO93" s="755">
        <v>100</v>
      </c>
      <c r="BP93" s="754"/>
      <c r="BQ93" s="761"/>
      <c r="BR93" s="760"/>
      <c r="BS93" s="754"/>
      <c r="BT93" s="424"/>
      <c r="BU93" s="424"/>
      <c r="BV93" s="426"/>
      <c r="BW93" s="424"/>
      <c r="BX93" s="449"/>
      <c r="BY93" s="449"/>
      <c r="BZ93" s="449"/>
      <c r="CA93" s="449"/>
      <c r="CB93" s="449"/>
      <c r="CC93" s="807"/>
      <c r="CD93" s="449"/>
      <c r="CE93" s="762" t="str">
        <f>IFERROR(WWWW[[#This Row],['#_Water sources passed]]/WWWW[[#This Row],['#_Water sources tested for fecal coliform ]],"no test")</f>
        <v>no test</v>
      </c>
      <c r="CF93" s="760" t="str">
        <f>IFERROR(WWWW[[#This Row],['#_Household passed]]/WWWW[[#This Row],['#_Household water samples tested for fecal coliform]],"no test")</f>
        <v>no test</v>
      </c>
      <c r="CG93" s="761" t="str">
        <f>IF(AND(WWWW[[#This Row],[% of water sources passed]]="no test",WWWW[[#This Row],[% Household passed]]="no test"),"No Test","Tested")</f>
        <v>No Test</v>
      </c>
      <c r="CH93" s="761">
        <f>WWWW[[#This Row],['#_Constructed/existing protected hand dug well]]-WWWW[[#This Row],['#_Non-functional protected hand dug well]]</f>
        <v>0</v>
      </c>
      <c r="CI93" s="761">
        <f>(WWWW[[#This Row],['#_Constructed/Existing tube wells/boreholes/handpumps_WASH_agency]]+WWWW[[#This Row],['#_Non-Cluster partner water tube-wells/boreholes/handpumps]])-WWWW[[#This Row],['#_Non-functional tube wells/boreholes/handpumps]]</f>
        <v>0</v>
      </c>
      <c r="CJ93" s="761">
        <f>WWWW[[#This Row],['#_Constructed/Existingwater storage tank with gravity fed reticulation system]]-WWWW[[#This Row],['#_Non-functional storage tank gravity fed reticulation system]]</f>
        <v>12</v>
      </c>
      <c r="CK93" s="761">
        <f>(WWWW[[#This Row],['#_Water_Liters_supplied_by_Water boating or water trucking]]/90)/15</f>
        <v>0</v>
      </c>
      <c r="CL93" s="761">
        <f>WWWW[[#This Row],['#_Water_Liters_from_Constructed/Existing water distribution system from river or natural spring]]/90/15</f>
        <v>0</v>
      </c>
      <c r="CM93" s="425">
        <f>IF(WWWW[[#This Row],['#_of water points in TLS/CFS]]*500&gt;WWWW[[#This Row],[Total PoP ]],WWWW[[#This Row],[Total PoP ]],WWWW[[#This Row],['#_of water points in TLS/CFS]]*500)</f>
        <v>0</v>
      </c>
      <c r="CN93" s="425">
        <f>IF(WWWW[[#This Row],['#_of water points in THF]]*500&gt;WWWW[[#This Row],[Total PoP ]],WWWW[[#This Row],[Total PoP ]],WWWW[[#This Row],['#_of water points in THF]]*500)</f>
        <v>0</v>
      </c>
      <c r="CO9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3" s="760">
        <f>IF(WWWW[[#This Row],[Location Type 1]]="Village",WWWW[[#This Row],[Access to safe drinking water for Village]],WWWW[[#This Row],[Access to safe drinking water for Camp]])</f>
        <v>1</v>
      </c>
      <c r="CR93" s="758">
        <f>WWWW[[#This Row],[%Equitable and continuous access to sufficient quantity of safe drinking water]]*WWWW[[#This Row],[Total PoP ]]</f>
        <v>250</v>
      </c>
      <c r="CS93" s="760">
        <f>IF((WWWW[[#This Row],['#_Constructed/Existing protected/fenced ponds]]*250)/WWWW[[#This Row],[Total PoP ]]&gt;1,1,(WWWW[[#This Row],['#_Constructed/Existing protected/fenced ponds]]*250)/WWWW[[#This Row],[Total PoP ]])</f>
        <v>0</v>
      </c>
      <c r="CT93" s="758">
        <f>WWWW[[#This Row],[% Access to unimproved water points]]*WWWW[[#This Row],[Total PoP ]]</f>
        <v>0</v>
      </c>
      <c r="CU9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93" s="758">
        <f>WWWW[[#This Row],[HRP1]]/500</f>
        <v>0.5</v>
      </c>
      <c r="CX93" s="763">
        <f>1-WWWW[[#This Row],[% Equitable and continuous access to sufficient quantity of domestic water]]</f>
        <v>0</v>
      </c>
      <c r="CY93" s="758">
        <f>WWWW[[#This Row],[%equitable and continuous access to sufficient quantity of safe drinking and domestic water''s GAP]]*WWWW[[#This Row],[Total PoP ]]</f>
        <v>0</v>
      </c>
      <c r="CZ93" s="761">
        <f>IF(WWWW[[#This Row],[Total required water points]]-WWWW[[#This Row],['#Water points coverage]]&lt;0,0,WWWW[[#This Row],[Total required water points]]-WWWW[[#This Row],['#Water points coverage]])</f>
        <v>0.5</v>
      </c>
      <c r="DA93" s="761">
        <f>ROUND(IF(WWWW[[#This Row],[Total PoP ]]&lt;500,1,WWWW[[#This Row],[Total PoP ]]/500),0)</f>
        <v>1</v>
      </c>
      <c r="DB93" s="761">
        <f>(WWWW[[#This Row],['#_Constructed latrines_by_WASHAgencies]]+WWWW[[#This Row],['#_Non Cluster partner latrines]])-WWWW[[#This Row],['#_Non-functional latrines]]</f>
        <v>18</v>
      </c>
      <c r="DC93" s="634">
        <f>WWWW[[#This Row],[HRP2]]/WWWW[[#This Row],[Total PoP ]]</f>
        <v>1</v>
      </c>
      <c r="DD9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9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3" s="425">
        <f>IF(WWWW[[#This Row],['# of functional latrines in THF supported by WASH partners during the reporting period2]]="",0,WWWW[[#This Row],['# of functional latrines in THF supported by WASH partners during the reporting period2]]*50)</f>
        <v>0</v>
      </c>
      <c r="DH93" s="761">
        <f>ROUND(IF(WWWW[[#This Row],[Location Type 1]]="camp",WWWW[[#This Row],[Total PoP ]]/20,IF(WWWW[[#This Row],[Location Type 1]]="Temporary Location",WWWW[[#This Row],[Total PoP ]]/50,(WWWW[[#This Row],[Total PoP ]]/6))),0)</f>
        <v>13</v>
      </c>
      <c r="DI93" s="761">
        <f>IF(WWWW[[#This Row],[Total required Latrines]]-(WWWW[[#This Row],['#_Constructed latrines_by_WASHAgencies]]+WWWW[[#This Row],['#_Non Cluster partner latrines]])&lt;0,0,WWWW[[#This Row],[Total required Latrines]]-(WWWW[[#This Row],['#_Constructed latrines_by_WASHAgencies]]+WWWW[[#This Row],['#_Non Cluster partner latrines]]))</f>
        <v>0</v>
      </c>
      <c r="DJ93" s="763">
        <f>1-WWWW[[#This Row],[% people access to functioning Latrine]]</f>
        <v>0</v>
      </c>
      <c r="DK93" s="762">
        <f>IF(OR(WWWW[[#This Row],['#_Non-functional latrines]]="",WWWW[[#This Row],['#_Non-functional latrines]]=0),0,WWWW[[#This Row],['#_Non-functional latrines]]/(WWWW[[#This Row],['#_Constructed latrines_by_WASHAgencies]]+WWWW[[#This Row],['#_Non Cluster partner latrines]]))</f>
        <v>0</v>
      </c>
      <c r="DL93" s="758">
        <f>IF(500*(WWWW[[#This Row],['#_male hygiene promoters]]+WWWW[[#This Row],['#_female hygiene promoters]])&gt;WWWW[[#This Row],[Total PoP ]],WWWW[[#This Row],[Total PoP ]],500*(WWWW[[#This Row],['#_male hygiene promoters]]+WWWW[[#This Row],['#_female hygiene promoters]]))</f>
        <v>250</v>
      </c>
      <c r="DM9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9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93" s="761">
        <f>IF(WWWW[[#This Row],['# People with access to soap]]&gt;WWWW[[#This Row],['# People with access to Sanity Pads]],WWWW[[#This Row],['# People with access to soap]],WWWW[[#This Row],['# People with access to Sanity Pads]])</f>
        <v>250</v>
      </c>
      <c r="DP93" s="761">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93" s="763">
        <f>IF(WWWW[[#This Row],[HRP3]]/WWWW[[#This Row],[Total PoP ]]&gt;1,1,WWWW[[#This Row],[HRP3]]/WWWW[[#This Row],[Total PoP ]])</f>
        <v>1</v>
      </c>
      <c r="DR93" s="762">
        <f>1-WWWW[[#This Row],[Hygiene Coverage%]]</f>
        <v>0</v>
      </c>
      <c r="DS93" s="760">
        <f>WWWW[[#This Row],['# people reached by regular dedicated hygiene promotion_5]]/WWWW[[#This Row],[Total PoP ]]</f>
        <v>1</v>
      </c>
      <c r="DT9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3" s="761">
        <f>WWWW[[#This Row],['#_Constructed/Existing hand washing stations]]-WWWW[[#This Row],['#_Non-Functional_hand_washing_stations]]</f>
        <v>3</v>
      </c>
      <c r="DW93" s="758">
        <f>IF(WWWW[[#This Row],['# Functional hand washing stations during reporting period]]*20&gt;WWWW[[#This Row],[Total HH]],WWWW[[#This Row],[Total HH]],WWWW[[#This Row],['# Functional hand washing stations during reporting period]]*20)</f>
        <v>54</v>
      </c>
      <c r="DX93" s="758">
        <f>IF(WWWW[[#This Row],[Is sufficient soap available for TLS? (Yes/No)]]="yes",WWWW[[#This Row],['#_Constructed/Existing hand washing stations at TLS/CFS/THF]],0)</f>
        <v>0</v>
      </c>
      <c r="DY93" s="429">
        <f>IF(WWWW[[#This Row],['# Functional hand washing stations during reporting period]]*100&gt;WWWW[[#This Row],[Total PoP ]],WWWW[[#This Row],[Total PoP ]],WWWW[[#This Row],['# Functional hand washing stations during reporting period]]*100)</f>
        <v>250</v>
      </c>
      <c r="DZ93" s="429" t="str">
        <f>IF(OR(WWWW[[#This Row],['#_students at TLS_CFS]]="",WWWW[[#This Row],['#_students at TLS_CFS]]=0),"No","Yes")</f>
        <v>No</v>
      </c>
      <c r="EA9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3" s="754" t="str">
        <f>VLOOKUP(WWWW[[#This Row],[Site Name]],SiteDB6[[Site Name]:[CCCM Management]],6,FALSE)</f>
        <v>Yes</v>
      </c>
      <c r="EF93" s="754" t="str">
        <f>VLOOKUP(WWWW[[#This Row],[Site Name]],SiteDB6[[Site Name]:[CCCM Focal Agency]],7,FALSE)</f>
        <v>KBC-NSS</v>
      </c>
      <c r="EG93" s="754" t="str">
        <f>VLOOKUP(WWWW[[#This Row],[Site Name]],SiteDB6[[Site Name]:[Location Type 1]],9,FALSE)</f>
        <v>Camp</v>
      </c>
      <c r="EH93" s="754" t="str">
        <f>VLOOKUP(WWWW[[#This Row],[Site Name]],SiteDB6[[Site Name]:[Type of Accommodation]],10,FALSE)</f>
        <v>Camp</v>
      </c>
      <c r="EI93" s="754" t="str">
        <f>VLOOKUP(WWWW[[#This Row],[Site Name]],SiteDB6[[Site Name]:[Ethnic or GCA/NGCA]],11,FALSE)</f>
        <v>GCA</v>
      </c>
      <c r="EJ93" s="754">
        <f>VLOOKUP(WWWW[[#This Row],[Site Name]],SiteDB6[[Site Name]:[Lat]],12,FALSE)</f>
        <v>23.694130000000001</v>
      </c>
      <c r="EK93" s="754">
        <f>VLOOKUP(WWWW[[#This Row],[Site Name]],SiteDB6[[Site Name]:[Long]],13,FALSE)</f>
        <v>97.818979999999996</v>
      </c>
      <c r="EL93" s="754" t="str">
        <f>VLOOKUP(WWWW[[#This Row],[Site Name]],SiteDB6[[Site Name]:[Pcode]],3,FALSE)</f>
        <v>MMR015CMP007</v>
      </c>
      <c r="EM93" s="759" t="str">
        <f t="shared" si="1"/>
        <v>Covered</v>
      </c>
      <c r="EN93" s="759"/>
      <c r="EO93" s="754">
        <f>VLOOKUP(WWWW[[#This Row],[Site Name]],SiteDB6[[Site Name]:[Pop
(Kachin/Shan-CCCM as of July 2021)]],16,FALSE)</f>
        <v>54</v>
      </c>
      <c r="EP93" s="754">
        <f>VLOOKUP(WWWW[[#This Row],[Site Name]],SiteDB6[[Site Name]:[Pop
(Kachin/Shan-CCCM as of July 2021)]],17,FALSE)</f>
        <v>279</v>
      </c>
    </row>
    <row r="94" spans="1:146" hidden="1">
      <c r="A94" s="752" t="s">
        <v>2785</v>
      </c>
      <c r="B94" s="752" t="s">
        <v>192</v>
      </c>
      <c r="C94" s="753" t="s">
        <v>192</v>
      </c>
      <c r="D94" s="753" t="s">
        <v>2695</v>
      </c>
      <c r="E94" s="753" t="s">
        <v>515</v>
      </c>
      <c r="F94" s="753" t="s">
        <v>519</v>
      </c>
      <c r="G94" s="594" t="str">
        <f>VLOOKUP(WWWW[[#This Row],[Site Name]],SiteDB6[[Site Name]:[Location Type]],8,FALSE)</f>
        <v>Camp</v>
      </c>
      <c r="H94" s="753" t="s">
        <v>1619</v>
      </c>
      <c r="I94" s="755">
        <v>35</v>
      </c>
      <c r="J94" s="755">
        <v>158</v>
      </c>
      <c r="K94" s="756" t="s">
        <v>2789</v>
      </c>
      <c r="L94" s="757" t="s">
        <v>2790</v>
      </c>
      <c r="M94" s="755"/>
      <c r="N94" s="755">
        <v>1</v>
      </c>
      <c r="O94" s="755"/>
      <c r="P94" s="755"/>
      <c r="Q94" s="758" t="s">
        <v>41</v>
      </c>
      <c r="R94" s="755">
        <v>5</v>
      </c>
      <c r="S94" s="755">
        <v>4</v>
      </c>
      <c r="T94" s="449"/>
      <c r="U94" s="755"/>
      <c r="V94" s="755"/>
      <c r="W94" s="755">
        <v>2</v>
      </c>
      <c r="X94" s="755"/>
      <c r="Y94" s="755"/>
      <c r="Z94" s="755"/>
      <c r="AA94" s="755"/>
      <c r="AB94" s="755"/>
      <c r="AC94" s="755"/>
      <c r="AD94" s="755"/>
      <c r="AE94" s="755"/>
      <c r="AF94" s="755"/>
      <c r="AG94" s="755"/>
      <c r="AH94" s="755">
        <v>1</v>
      </c>
      <c r="AI94" s="755"/>
      <c r="AJ94" s="755"/>
      <c r="AK94" s="755"/>
      <c r="AL94" s="755"/>
      <c r="AM94" s="755"/>
      <c r="AN94" s="755"/>
      <c r="AO94" s="755"/>
      <c r="AP94" s="759"/>
      <c r="AQ94" s="755">
        <v>8</v>
      </c>
      <c r="AR94" s="755"/>
      <c r="AS94" s="760"/>
      <c r="AT94" s="755"/>
      <c r="AU94" s="755"/>
      <c r="AV94" s="755"/>
      <c r="AW94" s="755"/>
      <c r="AX94" s="755"/>
      <c r="AY94" s="754" t="s">
        <v>41</v>
      </c>
      <c r="AZ94" s="759" t="s">
        <v>136</v>
      </c>
      <c r="BA94" s="755"/>
      <c r="BB94" s="755"/>
      <c r="BC94" s="755"/>
      <c r="BD94" s="449"/>
      <c r="BE94" s="449"/>
      <c r="BF94" s="754"/>
      <c r="BG94" s="755">
        <v>3</v>
      </c>
      <c r="BH94" s="755"/>
      <c r="BI94" s="755"/>
      <c r="BJ94" s="755">
        <v>2</v>
      </c>
      <c r="BK94" s="755"/>
      <c r="BL94" s="755"/>
      <c r="BM94" s="755">
        <v>2</v>
      </c>
      <c r="BN94" s="755">
        <v>10</v>
      </c>
      <c r="BO94" s="755">
        <v>18</v>
      </c>
      <c r="BP94" s="754"/>
      <c r="BQ94" s="761"/>
      <c r="BR94" s="760"/>
      <c r="BS94" s="754"/>
      <c r="BT94" s="424"/>
      <c r="BU94" s="424"/>
      <c r="BV94" s="426"/>
      <c r="BW94" s="424"/>
      <c r="BX94" s="449"/>
      <c r="BY94" s="449"/>
      <c r="BZ94" s="449"/>
      <c r="CA94" s="449"/>
      <c r="CB94" s="449"/>
      <c r="CC94" s="807"/>
      <c r="CD94" s="449"/>
      <c r="CE94" s="762" t="str">
        <f>IFERROR(WWWW[[#This Row],['#_Water sources passed]]/WWWW[[#This Row],['#_Water sources tested for fecal coliform ]],"no test")</f>
        <v>no test</v>
      </c>
      <c r="CF94" s="760" t="str">
        <f>IFERROR(WWWW[[#This Row],['#_Household passed]]/WWWW[[#This Row],['#_Household water samples tested for fecal coliform]],"no test")</f>
        <v>no test</v>
      </c>
      <c r="CG94" s="761" t="str">
        <f>IF(AND(WWWW[[#This Row],[% of water sources passed]]="no test",WWWW[[#This Row],[% Household passed]]="no test"),"No Test","Tested")</f>
        <v>No Test</v>
      </c>
      <c r="CH94" s="761">
        <f>WWWW[[#This Row],['#_Constructed/existing protected hand dug well]]-WWWW[[#This Row],['#_Non-functional protected hand dug well]]</f>
        <v>0</v>
      </c>
      <c r="CI94" s="761">
        <f>(WWWW[[#This Row],['#_Constructed/Existing tube wells/boreholes/handpumps_WASH_agency]]+WWWW[[#This Row],['#_Non-Cluster partner water tube-wells/boreholes/handpumps]])-WWWW[[#This Row],['#_Non-functional tube wells/boreholes/handpumps]]</f>
        <v>2</v>
      </c>
      <c r="CJ94" s="761">
        <f>WWWW[[#This Row],['#_Constructed/Existingwater storage tank with gravity fed reticulation system]]-WWWW[[#This Row],['#_Non-functional storage tank gravity fed reticulation system]]</f>
        <v>0</v>
      </c>
      <c r="CK94" s="761">
        <f>(WWWW[[#This Row],['#_Water_Liters_supplied_by_Water boating or water trucking]]/90)/15</f>
        <v>0</v>
      </c>
      <c r="CL94" s="761">
        <f>WWWW[[#This Row],['#_Water_Liters_from_Constructed/Existing water distribution system from river or natural spring]]/90/15</f>
        <v>0</v>
      </c>
      <c r="CM94" s="425">
        <f>IF(WWWW[[#This Row],['#_of water points in TLS/CFS]]*500&gt;WWWW[[#This Row],[Total PoP ]],WWWW[[#This Row],[Total PoP ]],WWWW[[#This Row],['#_of water points in TLS/CFS]]*500)</f>
        <v>0</v>
      </c>
      <c r="CN94" s="425">
        <f>IF(WWWW[[#This Row],['#_of water points in THF]]*500&gt;WWWW[[#This Row],[Total PoP ]],WWWW[[#This Row],[Total PoP ]],WWWW[[#This Row],['#_of water points in THF]]*500)</f>
        <v>0</v>
      </c>
      <c r="CO9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4" s="760">
        <f>IF(WWWW[[#This Row],[Location Type 1]]="Village",WWWW[[#This Row],[Access to safe drinking water for Village]],WWWW[[#This Row],[Access to safe drinking water for Camp]])</f>
        <v>1</v>
      </c>
      <c r="CR94" s="758">
        <f>WWWW[[#This Row],[%Equitable and continuous access to sufficient quantity of safe drinking water]]*WWWW[[#This Row],[Total PoP ]]</f>
        <v>158</v>
      </c>
      <c r="CS94" s="760">
        <f>IF((WWWW[[#This Row],['#_Constructed/Existing protected/fenced ponds]]*250)/WWWW[[#This Row],[Total PoP ]]&gt;1,1,(WWWW[[#This Row],['#_Constructed/Existing protected/fenced ponds]]*250)/WWWW[[#This Row],[Total PoP ]])</f>
        <v>0</v>
      </c>
      <c r="CT94" s="758">
        <f>WWWW[[#This Row],[% Access to unimproved water points]]*WWWW[[#This Row],[Total PoP ]]</f>
        <v>0</v>
      </c>
      <c r="CU9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94" s="758">
        <f>WWWW[[#This Row],[HRP1]]/500</f>
        <v>0.316</v>
      </c>
      <c r="CX94" s="763">
        <f>1-WWWW[[#This Row],[% Equitable and continuous access to sufficient quantity of domestic water]]</f>
        <v>0</v>
      </c>
      <c r="CY94" s="758">
        <f>WWWW[[#This Row],[%equitable and continuous access to sufficient quantity of safe drinking and domestic water''s GAP]]*WWWW[[#This Row],[Total PoP ]]</f>
        <v>0</v>
      </c>
      <c r="CZ94" s="761">
        <f>IF(WWWW[[#This Row],[Total required water points]]-WWWW[[#This Row],['#Water points coverage]]&lt;0,0,WWWW[[#This Row],[Total required water points]]-WWWW[[#This Row],['#Water points coverage]])</f>
        <v>0.68399999999999994</v>
      </c>
      <c r="DA94" s="761">
        <f>ROUND(IF(WWWW[[#This Row],[Total PoP ]]&lt;500,1,WWWW[[#This Row],[Total PoP ]]/500),0)</f>
        <v>1</v>
      </c>
      <c r="DB94" s="761">
        <f>(WWWW[[#This Row],['#_Constructed latrines_by_WASHAgencies]]+WWWW[[#This Row],['#_Non Cluster partner latrines]])-WWWW[[#This Row],['#_Non-functional latrines]]</f>
        <v>8</v>
      </c>
      <c r="DC94" s="634">
        <f>WWWW[[#This Row],[HRP2]]/WWWW[[#This Row],[Total PoP ]]</f>
        <v>1</v>
      </c>
      <c r="DD9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9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4" s="425">
        <f>IF(WWWW[[#This Row],['# of functional latrines in THF supported by WASH partners during the reporting period2]]="",0,WWWW[[#This Row],['# of functional latrines in THF supported by WASH partners during the reporting period2]]*50)</f>
        <v>0</v>
      </c>
      <c r="DH94" s="761">
        <f>ROUND(IF(WWWW[[#This Row],[Location Type 1]]="camp",WWWW[[#This Row],[Total PoP ]]/20,IF(WWWW[[#This Row],[Location Type 1]]="Temporary Location",WWWW[[#This Row],[Total PoP ]]/50,(WWWW[[#This Row],[Total PoP ]]/6))),0)</f>
        <v>8</v>
      </c>
      <c r="DI94" s="761">
        <f>IF(WWWW[[#This Row],[Total required Latrines]]-(WWWW[[#This Row],['#_Constructed latrines_by_WASHAgencies]]+WWWW[[#This Row],['#_Non Cluster partner latrines]])&lt;0,0,WWWW[[#This Row],[Total required Latrines]]-(WWWW[[#This Row],['#_Constructed latrines_by_WASHAgencies]]+WWWW[[#This Row],['#_Non Cluster partner latrines]]))</f>
        <v>0</v>
      </c>
      <c r="DJ94" s="763">
        <f>1-WWWW[[#This Row],[% people access to functioning Latrine]]</f>
        <v>0</v>
      </c>
      <c r="DK94" s="762">
        <f>IF(OR(WWWW[[#This Row],['#_Non-functional latrines]]="",WWWW[[#This Row],['#_Non-functional latrines]]=0),0,WWWW[[#This Row],['#_Non-functional latrines]]/(WWWW[[#This Row],['#_Constructed latrines_by_WASHAgencies]]+WWWW[[#This Row],['#_Non Cluster partner latrines]]))</f>
        <v>0</v>
      </c>
      <c r="DL94" s="758">
        <f>IF(500*(WWWW[[#This Row],['#_male hygiene promoters]]+WWWW[[#This Row],['#_female hygiene promoters]])&gt;WWWW[[#This Row],[Total PoP ]],WWWW[[#This Row],[Total PoP ]],500*(WWWW[[#This Row],['#_male hygiene promoters]]+WWWW[[#This Row],['#_female hygiene promoters]]))</f>
        <v>158</v>
      </c>
      <c r="DM9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9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94" s="761">
        <f>IF(WWWW[[#This Row],['# People with access to soap]]&gt;WWWW[[#This Row],['# People with access to Sanity Pads]],WWWW[[#This Row],['# People with access to soap]],WWWW[[#This Row],['# People with access to Sanity Pads]])</f>
        <v>50</v>
      </c>
      <c r="DP94" s="761">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94" s="763">
        <f>IF(WWWW[[#This Row],[HRP3]]/WWWW[[#This Row],[Total PoP ]]&gt;1,1,WWWW[[#This Row],[HRP3]]/WWWW[[#This Row],[Total PoP ]])</f>
        <v>1</v>
      </c>
      <c r="DR94" s="762">
        <f>1-WWWW[[#This Row],[Hygiene Coverage%]]</f>
        <v>0</v>
      </c>
      <c r="DS94" s="760">
        <f>WWWW[[#This Row],['# people reached by regular dedicated hygiene promotion_5]]/WWWW[[#This Row],[Total PoP ]]</f>
        <v>1</v>
      </c>
      <c r="DT9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0.51428571428571423</v>
      </c>
      <c r="DV94" s="761">
        <f>WWWW[[#This Row],['#_Constructed/Existing hand washing stations]]-WWWW[[#This Row],['#_Non-Functional_hand_washing_stations]]</f>
        <v>3</v>
      </c>
      <c r="DW94" s="758">
        <f>IF(WWWW[[#This Row],['# Functional hand washing stations during reporting period]]*20&gt;WWWW[[#This Row],[Total HH]],WWWW[[#This Row],[Total HH]],WWWW[[#This Row],['# Functional hand washing stations during reporting period]]*20)</f>
        <v>35</v>
      </c>
      <c r="DX94" s="758">
        <f>IF(WWWW[[#This Row],[Is sufficient soap available for TLS? (Yes/No)]]="yes",WWWW[[#This Row],['#_Constructed/Existing hand washing stations at TLS/CFS/THF]],0)</f>
        <v>0</v>
      </c>
      <c r="DY94" s="429">
        <f>IF(WWWW[[#This Row],['# Functional hand washing stations during reporting period]]*100&gt;WWWW[[#This Row],[Total PoP ]],WWWW[[#This Row],[Total PoP ]],WWWW[[#This Row],['# Functional hand washing stations during reporting period]]*100)</f>
        <v>158</v>
      </c>
      <c r="DZ94" s="429" t="str">
        <f>IF(OR(WWWW[[#This Row],['#_students at TLS_CFS]]="",WWWW[[#This Row],['#_students at TLS_CFS]]=0),"No","Yes")</f>
        <v>No</v>
      </c>
      <c r="EA9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4" s="754" t="str">
        <f>VLOOKUP(WWWW[[#This Row],[Site Name]],SiteDB6[[Site Name]:[CCCM Management]],6,FALSE)</f>
        <v>Yes</v>
      </c>
      <c r="EF94" s="754" t="str">
        <f>VLOOKUP(WWWW[[#This Row],[Site Name]],SiteDB6[[Site Name]:[CCCM Focal Agency]],7,FALSE)</f>
        <v>KMSS-LSO</v>
      </c>
      <c r="EG94" s="754" t="str">
        <f>VLOOKUP(WWWW[[#This Row],[Site Name]],SiteDB6[[Site Name]:[Location Type 1]],9,FALSE)</f>
        <v>Camp</v>
      </c>
      <c r="EH94" s="754" t="str">
        <f>VLOOKUP(WWWW[[#This Row],[Site Name]],SiteDB6[[Site Name]:[Type of Accommodation]],10,FALSE)</f>
        <v>Camp</v>
      </c>
      <c r="EI94" s="754" t="str">
        <f>VLOOKUP(WWWW[[#This Row],[Site Name]],SiteDB6[[Site Name]:[Ethnic or GCA/NGCA]],11,FALSE)</f>
        <v>GCA</v>
      </c>
      <c r="EJ94" s="754">
        <f>VLOOKUP(WWWW[[#This Row],[Site Name]],SiteDB6[[Site Name]:[Lat]],12,FALSE)</f>
        <v>23.682887999999998</v>
      </c>
      <c r="EK94" s="754">
        <f>VLOOKUP(WWWW[[#This Row],[Site Name]],SiteDB6[[Site Name]:[Long]],13,FALSE)</f>
        <v>97.810101000000003</v>
      </c>
      <c r="EL94" s="754" t="str">
        <f>VLOOKUP(WWWW[[#This Row],[Site Name]],SiteDB6[[Site Name]:[Pcode]],3,FALSE)</f>
        <v>MMR015CMP043</v>
      </c>
      <c r="EM94" s="759" t="str">
        <f t="shared" si="1"/>
        <v>Covered</v>
      </c>
      <c r="EN94" s="759"/>
      <c r="EO94" s="754">
        <f>VLOOKUP(WWWW[[#This Row],[Site Name]],SiteDB6[[Site Name]:[Pop
(Kachin/Shan-CCCM as of July 2021)]],16,FALSE)</f>
        <v>34</v>
      </c>
      <c r="EP94" s="754">
        <f>VLOOKUP(WWWW[[#This Row],[Site Name]],SiteDB6[[Site Name]:[Pop
(Kachin/Shan-CCCM as of July 2021)]],17,FALSE)</f>
        <v>144</v>
      </c>
    </row>
    <row r="95" spans="1:146" hidden="1">
      <c r="A95" s="752" t="s">
        <v>2785</v>
      </c>
      <c r="B95" s="752" t="s">
        <v>192</v>
      </c>
      <c r="C95" s="753" t="s">
        <v>192</v>
      </c>
      <c r="D95" s="753" t="s">
        <v>2695</v>
      </c>
      <c r="E95" s="753" t="s">
        <v>515</v>
      </c>
      <c r="F95" s="753" t="s">
        <v>519</v>
      </c>
      <c r="G95" s="594" t="str">
        <f>VLOOKUP(WWWW[[#This Row],[Site Name]],SiteDB6[[Site Name]:[Location Type]],8,FALSE)</f>
        <v>Camp</v>
      </c>
      <c r="H95" s="753" t="s">
        <v>542</v>
      </c>
      <c r="I95" s="755">
        <v>121</v>
      </c>
      <c r="J95" s="755">
        <v>664</v>
      </c>
      <c r="K95" s="756" t="s">
        <v>2789</v>
      </c>
      <c r="L95" s="757" t="s">
        <v>2790</v>
      </c>
      <c r="M95" s="755"/>
      <c r="N95" s="755">
        <v>1</v>
      </c>
      <c r="O95" s="755"/>
      <c r="P95" s="755"/>
      <c r="Q95" s="758" t="s">
        <v>41</v>
      </c>
      <c r="R95" s="755">
        <v>4</v>
      </c>
      <c r="S95" s="755">
        <v>5</v>
      </c>
      <c r="T95" s="449"/>
      <c r="U95" s="755"/>
      <c r="V95" s="755"/>
      <c r="W95" s="755"/>
      <c r="X95" s="755"/>
      <c r="Y95" s="755"/>
      <c r="Z95" s="755"/>
      <c r="AA95" s="755">
        <v>8</v>
      </c>
      <c r="AB95" s="755"/>
      <c r="AC95" s="755"/>
      <c r="AD95" s="755"/>
      <c r="AE95" s="755"/>
      <c r="AF95" s="755"/>
      <c r="AG95" s="755"/>
      <c r="AH95" s="755"/>
      <c r="AI95" s="755"/>
      <c r="AJ95" s="755"/>
      <c r="AK95" s="755"/>
      <c r="AL95" s="755"/>
      <c r="AM95" s="755">
        <v>1</v>
      </c>
      <c r="AN95" s="755"/>
      <c r="AO95" s="755"/>
      <c r="AP95" s="759"/>
      <c r="AQ95" s="755">
        <v>105</v>
      </c>
      <c r="AR95" s="755"/>
      <c r="AS95" s="760"/>
      <c r="AT95" s="755"/>
      <c r="AU95" s="755"/>
      <c r="AV95" s="755"/>
      <c r="AW95" s="755"/>
      <c r="AX95" s="755"/>
      <c r="AY95" s="754" t="s">
        <v>41</v>
      </c>
      <c r="AZ95" s="759" t="s">
        <v>137</v>
      </c>
      <c r="BA95" s="755"/>
      <c r="BB95" s="755"/>
      <c r="BC95" s="755"/>
      <c r="BD95" s="449"/>
      <c r="BE95" s="449"/>
      <c r="BF95" s="754"/>
      <c r="BG95" s="755">
        <v>8</v>
      </c>
      <c r="BH95" s="755"/>
      <c r="BI95" s="755"/>
      <c r="BJ95" s="755">
        <v>3</v>
      </c>
      <c r="BK95" s="755"/>
      <c r="BL95" s="755"/>
      <c r="BM95" s="755">
        <v>1</v>
      </c>
      <c r="BN95" s="755">
        <v>91</v>
      </c>
      <c r="BO95" s="755">
        <v>124</v>
      </c>
      <c r="BP95" s="754"/>
      <c r="BQ95" s="761"/>
      <c r="BR95" s="760"/>
      <c r="BS95" s="754"/>
      <c r="BT95" s="424"/>
      <c r="BU95" s="424"/>
      <c r="BV95" s="426"/>
      <c r="BW95" s="424"/>
      <c r="BX95" s="449"/>
      <c r="BY95" s="449"/>
      <c r="BZ95" s="449"/>
      <c r="CA95" s="449"/>
      <c r="CB95" s="449"/>
      <c r="CC95" s="807"/>
      <c r="CD95" s="449"/>
      <c r="CE95" s="762" t="str">
        <f>IFERROR(WWWW[[#This Row],['#_Water sources passed]]/WWWW[[#This Row],['#_Water sources tested for fecal coliform ]],"no test")</f>
        <v>no test</v>
      </c>
      <c r="CF95" s="760" t="str">
        <f>IFERROR(WWWW[[#This Row],['#_Household passed]]/WWWW[[#This Row],['#_Household water samples tested for fecal coliform]],"no test")</f>
        <v>no test</v>
      </c>
      <c r="CG95" s="761" t="str">
        <f>IF(AND(WWWW[[#This Row],[% of water sources passed]]="no test",WWWW[[#This Row],[% Household passed]]="no test"),"No Test","Tested")</f>
        <v>No Test</v>
      </c>
      <c r="CH95" s="761">
        <f>WWWW[[#This Row],['#_Constructed/existing protected hand dug well]]-WWWW[[#This Row],['#_Non-functional protected hand dug well]]</f>
        <v>0</v>
      </c>
      <c r="CI95" s="761">
        <f>(WWWW[[#This Row],['#_Constructed/Existing tube wells/boreholes/handpumps_WASH_agency]]+WWWW[[#This Row],['#_Non-Cluster partner water tube-wells/boreholes/handpumps]])-WWWW[[#This Row],['#_Non-functional tube wells/boreholes/handpumps]]</f>
        <v>0</v>
      </c>
      <c r="CJ95" s="761">
        <f>WWWW[[#This Row],['#_Constructed/Existingwater storage tank with gravity fed reticulation system]]-WWWW[[#This Row],['#_Non-functional storage tank gravity fed reticulation system]]</f>
        <v>8</v>
      </c>
      <c r="CK95" s="761">
        <f>(WWWW[[#This Row],['#_Water_Liters_supplied_by_Water boating or water trucking]]/90)/15</f>
        <v>0</v>
      </c>
      <c r="CL95" s="761">
        <f>WWWW[[#This Row],['#_Water_Liters_from_Constructed/Existing water distribution system from river or natural spring]]/90/15</f>
        <v>0</v>
      </c>
      <c r="CM95" s="425">
        <f>IF(WWWW[[#This Row],['#_of water points in TLS/CFS]]*500&gt;WWWW[[#This Row],[Total PoP ]],WWWW[[#This Row],[Total PoP ]],WWWW[[#This Row],['#_of water points in TLS/CFS]]*500)</f>
        <v>0</v>
      </c>
      <c r="CN95" s="425">
        <f>IF(WWWW[[#This Row],['#_of water points in THF]]*500&gt;WWWW[[#This Row],[Total PoP ]],WWWW[[#This Row],[Total PoP ]],WWWW[[#This Row],['#_of water points in THF]]*500)</f>
        <v>0</v>
      </c>
      <c r="CO9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9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95" s="760">
        <f>IF(WWWW[[#This Row],[Location Type 1]]="Village",WWWW[[#This Row],[Access to safe drinking water for Village]],WWWW[[#This Row],[Access to safe drinking water for Camp]])</f>
        <v>0.8032128514056226</v>
      </c>
      <c r="CR95" s="758">
        <f>WWWW[[#This Row],[%Equitable and continuous access to sufficient quantity of safe drinking water]]*WWWW[[#This Row],[Total PoP ]]</f>
        <v>533.33333333333337</v>
      </c>
      <c r="CS95" s="760">
        <f>IF((WWWW[[#This Row],['#_Constructed/Existing protected/fenced ponds]]*250)/WWWW[[#This Row],[Total PoP ]]&gt;1,1,(WWWW[[#This Row],['#_Constructed/Existing protected/fenced ponds]]*250)/WWWW[[#This Row],[Total PoP ]])</f>
        <v>0</v>
      </c>
      <c r="CT95" s="758">
        <f>WWWW[[#This Row],[% Access to unimproved water points]]*WWWW[[#This Row],[Total PoP ]]</f>
        <v>0</v>
      </c>
      <c r="CU9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9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95" s="758">
        <f>WWWW[[#This Row],[HRP1]]/500</f>
        <v>1.0666666666666667</v>
      </c>
      <c r="CX95" s="763">
        <f>1-WWWW[[#This Row],[% Equitable and continuous access to sufficient quantity of domestic water]]</f>
        <v>0.1967871485943774</v>
      </c>
      <c r="CY95" s="758">
        <f>WWWW[[#This Row],[%equitable and continuous access to sufficient quantity of safe drinking and domestic water''s GAP]]*WWWW[[#This Row],[Total PoP ]]</f>
        <v>130.6666666666666</v>
      </c>
      <c r="CZ95" s="761">
        <f>IF(WWWW[[#This Row],[Total required water points]]-WWWW[[#This Row],['#Water points coverage]]&lt;0,0,WWWW[[#This Row],[Total required water points]]-WWWW[[#This Row],['#Water points coverage]])</f>
        <v>0</v>
      </c>
      <c r="DA95" s="761">
        <f>ROUND(IF(WWWW[[#This Row],[Total PoP ]]&lt;500,1,WWWW[[#This Row],[Total PoP ]]/500),0)</f>
        <v>1</v>
      </c>
      <c r="DB95" s="761">
        <f>(WWWW[[#This Row],['#_Constructed latrines_by_WASHAgencies]]+WWWW[[#This Row],['#_Non Cluster partner latrines]])-WWWW[[#This Row],['#_Non-functional latrines]]</f>
        <v>105</v>
      </c>
      <c r="DC95" s="634">
        <f>WWWW[[#This Row],[HRP2]]/WWWW[[#This Row],[Total PoP ]]</f>
        <v>0.79066265060240959</v>
      </c>
      <c r="DD9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9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5" s="425">
        <f>IF(WWWW[[#This Row],['# of functional latrines in THF supported by WASH partners during the reporting period2]]="",0,WWWW[[#This Row],['# of functional latrines in THF supported by WASH partners during the reporting period2]]*50)</f>
        <v>0</v>
      </c>
      <c r="DH95" s="761">
        <f>ROUND(IF(WWWW[[#This Row],[Location Type 1]]="camp",WWWW[[#This Row],[Total PoP ]]/20,IF(WWWW[[#This Row],[Location Type 1]]="Temporary Location",WWWW[[#This Row],[Total PoP ]]/50,(WWWW[[#This Row],[Total PoP ]]/6))),0)</f>
        <v>111</v>
      </c>
      <c r="DI95" s="761">
        <f>IF(WWWW[[#This Row],[Total required Latrines]]-(WWWW[[#This Row],['#_Constructed latrines_by_WASHAgencies]]+WWWW[[#This Row],['#_Non Cluster partner latrines]])&lt;0,0,WWWW[[#This Row],[Total required Latrines]]-(WWWW[[#This Row],['#_Constructed latrines_by_WASHAgencies]]+WWWW[[#This Row],['#_Non Cluster partner latrines]]))</f>
        <v>6</v>
      </c>
      <c r="DJ95" s="763">
        <f>1-WWWW[[#This Row],[% people access to functioning Latrine]]</f>
        <v>0.20933734939759041</v>
      </c>
      <c r="DK95" s="762">
        <f>IF(OR(WWWW[[#This Row],['#_Non-functional latrines]]="",WWWW[[#This Row],['#_Non-functional latrines]]=0),0,WWWW[[#This Row],['#_Non-functional latrines]]/(WWWW[[#This Row],['#_Constructed latrines_by_WASHAgencies]]+WWWW[[#This Row],['#_Non Cluster partner latrines]]))</f>
        <v>0</v>
      </c>
      <c r="DL95" s="758">
        <f>IF(500*(WWWW[[#This Row],['#_male hygiene promoters]]+WWWW[[#This Row],['#_female hygiene promoters]])&gt;WWWW[[#This Row],[Total PoP ]],WWWW[[#This Row],[Total PoP ]],500*(WWWW[[#This Row],['#_male hygiene promoters]]+WWWW[[#This Row],['#_female hygiene promoters]]))</f>
        <v>500</v>
      </c>
      <c r="DM9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9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95" s="761">
        <f>IF(WWWW[[#This Row],['# People with access to soap]]&gt;WWWW[[#This Row],['# People with access to Sanity Pads]],WWWW[[#This Row],['# People with access to soap]],WWWW[[#This Row],['# People with access to Sanity Pads]])</f>
        <v>455</v>
      </c>
      <c r="DP95"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95" s="763">
        <f>IF(WWWW[[#This Row],[HRP3]]/WWWW[[#This Row],[Total PoP ]]&gt;1,1,WWWW[[#This Row],[HRP3]]/WWWW[[#This Row],[Total PoP ]])</f>
        <v>0.75301204819277112</v>
      </c>
      <c r="DR95" s="762">
        <f>1-WWWW[[#This Row],[Hygiene Coverage%]]</f>
        <v>0.24698795180722888</v>
      </c>
      <c r="DS95" s="760">
        <f>WWWW[[#This Row],['# people reached by regular dedicated hygiene promotion_5]]/WWWW[[#This Row],[Total PoP ]]</f>
        <v>0.75301204819277112</v>
      </c>
      <c r="DT9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5" s="761">
        <f>WWWW[[#This Row],['#_Constructed/Existing hand washing stations]]-WWWW[[#This Row],['#_Non-Functional_hand_washing_stations]]</f>
        <v>8</v>
      </c>
      <c r="DW95" s="758">
        <f>IF(WWWW[[#This Row],['# Functional hand washing stations during reporting period]]*20&gt;WWWW[[#This Row],[Total HH]],WWWW[[#This Row],[Total HH]],WWWW[[#This Row],['# Functional hand washing stations during reporting period]]*20)</f>
        <v>121</v>
      </c>
      <c r="DX95" s="758">
        <f>IF(WWWW[[#This Row],[Is sufficient soap available for TLS? (Yes/No)]]="yes",WWWW[[#This Row],['#_Constructed/Existing hand washing stations at TLS/CFS/THF]],0)</f>
        <v>0</v>
      </c>
      <c r="DY95" s="429">
        <f>IF(WWWW[[#This Row],['# Functional hand washing stations during reporting period]]*100&gt;WWWW[[#This Row],[Total PoP ]],WWWW[[#This Row],[Total PoP ]],WWWW[[#This Row],['# Functional hand washing stations during reporting period]]*100)</f>
        <v>664</v>
      </c>
      <c r="DZ95" s="429" t="str">
        <f>IF(OR(WWWW[[#This Row],['#_students at TLS_CFS]]="",WWWW[[#This Row],['#_students at TLS_CFS]]=0),"No","Yes")</f>
        <v>No</v>
      </c>
      <c r="EA9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5" s="754" t="str">
        <f>VLOOKUP(WWWW[[#This Row],[Site Name]],SiteDB6[[Site Name]:[CCCM Management]],6,FALSE)</f>
        <v>Yes</v>
      </c>
      <c r="EF95" s="754" t="str">
        <f>VLOOKUP(WWWW[[#This Row],[Site Name]],SiteDB6[[Site Name]:[CCCM Focal Agency]],7,FALSE)</f>
        <v>KMSS-LSO</v>
      </c>
      <c r="EG95" s="754" t="str">
        <f>VLOOKUP(WWWW[[#This Row],[Site Name]],SiteDB6[[Site Name]:[Location Type 1]],9,FALSE)</f>
        <v>Village Type Camp</v>
      </c>
      <c r="EH95" s="754" t="str">
        <f>VLOOKUP(WWWW[[#This Row],[Site Name]],SiteDB6[[Site Name]:[Type of Accommodation]],10,FALSE)</f>
        <v>Camp</v>
      </c>
      <c r="EI95" s="754" t="str">
        <f>VLOOKUP(WWWW[[#This Row],[Site Name]],SiteDB6[[Site Name]:[Ethnic or GCA/NGCA]],11,FALSE)</f>
        <v>GCA</v>
      </c>
      <c r="EJ95" s="754">
        <f>VLOOKUP(WWWW[[#This Row],[Site Name]],SiteDB6[[Site Name]:[Lat]],12,FALSE)</f>
        <v>23.447111</v>
      </c>
      <c r="EK95" s="754">
        <f>VLOOKUP(WWWW[[#This Row],[Site Name]],SiteDB6[[Site Name]:[Long]],13,FALSE)</f>
        <v>97.868876999999998</v>
      </c>
      <c r="EL95" s="754" t="str">
        <f>VLOOKUP(WWWW[[#This Row],[Site Name]],SiteDB6[[Site Name]:[Pcode]],3,FALSE)</f>
        <v>MMR015CMP037</v>
      </c>
      <c r="EM95" s="759" t="str">
        <f t="shared" si="1"/>
        <v>Covered</v>
      </c>
      <c r="EN95" s="759"/>
      <c r="EO95" s="754">
        <f>VLOOKUP(WWWW[[#This Row],[Site Name]],SiteDB6[[Site Name]:[Pop
(Kachin/Shan-CCCM as of July 2021)]],16,FALSE)</f>
        <v>123</v>
      </c>
      <c r="EP95" s="754">
        <f>VLOOKUP(WWWW[[#This Row],[Site Name]],SiteDB6[[Site Name]:[Pop
(Kachin/Shan-CCCM as of July 2021)]],17,FALSE)</f>
        <v>706</v>
      </c>
    </row>
    <row r="96" spans="1:146" hidden="1">
      <c r="A96" s="752" t="s">
        <v>2785</v>
      </c>
      <c r="B96" s="752" t="s">
        <v>192</v>
      </c>
      <c r="C96" s="753" t="s">
        <v>192</v>
      </c>
      <c r="D96" s="753" t="s">
        <v>2695</v>
      </c>
      <c r="E96" s="753" t="s">
        <v>515</v>
      </c>
      <c r="F96" s="753" t="s">
        <v>519</v>
      </c>
      <c r="G96" s="594" t="str">
        <f>VLOOKUP(WWWW[[#This Row],[Site Name]],SiteDB6[[Site Name]:[Location Type]],8,FALSE)</f>
        <v>Camp</v>
      </c>
      <c r="H96" s="753" t="s">
        <v>561</v>
      </c>
      <c r="I96" s="755">
        <v>45</v>
      </c>
      <c r="J96" s="755">
        <v>221</v>
      </c>
      <c r="K96" s="756" t="s">
        <v>2789</v>
      </c>
      <c r="L96" s="757" t="s">
        <v>2790</v>
      </c>
      <c r="M96" s="755"/>
      <c r="N96" s="755"/>
      <c r="O96" s="755"/>
      <c r="P96" s="755"/>
      <c r="Q96" s="758"/>
      <c r="R96" s="755">
        <v>5</v>
      </c>
      <c r="S96" s="755">
        <v>4</v>
      </c>
      <c r="T96" s="449"/>
      <c r="U96" s="755"/>
      <c r="V96" s="755"/>
      <c r="W96" s="755"/>
      <c r="X96" s="755"/>
      <c r="Y96" s="755"/>
      <c r="Z96" s="755"/>
      <c r="AA96" s="755">
        <v>8</v>
      </c>
      <c r="AB96" s="755"/>
      <c r="AC96" s="755"/>
      <c r="AD96" s="755"/>
      <c r="AE96" s="755"/>
      <c r="AF96" s="755"/>
      <c r="AG96" s="755"/>
      <c r="AH96" s="755">
        <v>1</v>
      </c>
      <c r="AI96" s="755"/>
      <c r="AJ96" s="755"/>
      <c r="AK96" s="755"/>
      <c r="AL96" s="755"/>
      <c r="AM96" s="755">
        <v>2</v>
      </c>
      <c r="AN96" s="755">
        <v>1</v>
      </c>
      <c r="AO96" s="755"/>
      <c r="AP96" s="759"/>
      <c r="AQ96" s="755">
        <v>37</v>
      </c>
      <c r="AR96" s="755"/>
      <c r="AS96" s="760"/>
      <c r="AT96" s="755"/>
      <c r="AU96" s="755"/>
      <c r="AV96" s="755"/>
      <c r="AW96" s="755"/>
      <c r="AX96" s="755">
        <v>3</v>
      </c>
      <c r="AY96" s="754" t="s">
        <v>136</v>
      </c>
      <c r="AZ96" s="759" t="s">
        <v>904</v>
      </c>
      <c r="BA96" s="755"/>
      <c r="BB96" s="755"/>
      <c r="BC96" s="755">
        <v>2</v>
      </c>
      <c r="BD96" s="449"/>
      <c r="BE96" s="449"/>
      <c r="BF96" s="754"/>
      <c r="BG96" s="755">
        <v>7</v>
      </c>
      <c r="BH96" s="755"/>
      <c r="BI96" s="755"/>
      <c r="BJ96" s="755">
        <v>7</v>
      </c>
      <c r="BK96" s="755"/>
      <c r="BL96" s="755"/>
      <c r="BM96" s="755">
        <v>1</v>
      </c>
      <c r="BN96" s="755">
        <v>104</v>
      </c>
      <c r="BO96" s="755">
        <v>148</v>
      </c>
      <c r="BP96" s="754"/>
      <c r="BQ96" s="761"/>
      <c r="BR96" s="760"/>
      <c r="BS96" s="754"/>
      <c r="BT96" s="424"/>
      <c r="BU96" s="424"/>
      <c r="BV96" s="426"/>
      <c r="BW96" s="424"/>
      <c r="BX96" s="449"/>
      <c r="BY96" s="449"/>
      <c r="BZ96" s="449"/>
      <c r="CA96" s="449"/>
      <c r="CB96" s="449"/>
      <c r="CC96" s="807"/>
      <c r="CD96" s="449"/>
      <c r="CE96" s="762" t="str">
        <f>IFERROR(WWWW[[#This Row],['#_Water sources passed]]/WWWW[[#This Row],['#_Water sources tested for fecal coliform ]],"no test")</f>
        <v>no test</v>
      </c>
      <c r="CF96" s="760" t="str">
        <f>IFERROR(WWWW[[#This Row],['#_Household passed]]/WWWW[[#This Row],['#_Household water samples tested for fecal coliform]],"no test")</f>
        <v>no test</v>
      </c>
      <c r="CG96" s="761" t="str">
        <f>IF(AND(WWWW[[#This Row],[% of water sources passed]]="no test",WWWW[[#This Row],[% Household passed]]="no test"),"No Test","Tested")</f>
        <v>No Test</v>
      </c>
      <c r="CH96" s="761">
        <f>WWWW[[#This Row],['#_Constructed/existing protected hand dug well]]-WWWW[[#This Row],['#_Non-functional protected hand dug well]]</f>
        <v>0</v>
      </c>
      <c r="CI96" s="761">
        <f>(WWWW[[#This Row],['#_Constructed/Existing tube wells/boreholes/handpumps_WASH_agency]]+WWWW[[#This Row],['#_Non-Cluster partner water tube-wells/boreholes/handpumps]])-WWWW[[#This Row],['#_Non-functional tube wells/boreholes/handpumps]]</f>
        <v>0</v>
      </c>
      <c r="CJ96" s="761">
        <f>WWWW[[#This Row],['#_Constructed/Existingwater storage tank with gravity fed reticulation system]]-WWWW[[#This Row],['#_Non-functional storage tank gravity fed reticulation system]]</f>
        <v>8</v>
      </c>
      <c r="CK96" s="761">
        <f>(WWWW[[#This Row],['#_Water_Liters_supplied_by_Water boating or water trucking]]/90)/15</f>
        <v>0</v>
      </c>
      <c r="CL96" s="761">
        <f>WWWW[[#This Row],['#_Water_Liters_from_Constructed/Existing water distribution system from river or natural spring]]/90/15</f>
        <v>0</v>
      </c>
      <c r="CM96" s="425">
        <f>IF(WWWW[[#This Row],['#_of water points in TLS/CFS]]*500&gt;WWWW[[#This Row],[Total PoP ]],WWWW[[#This Row],[Total PoP ]],WWWW[[#This Row],['#_of water points in TLS/CFS]]*500)</f>
        <v>221</v>
      </c>
      <c r="CN96" s="425">
        <f>IF(WWWW[[#This Row],['#_of water points in THF]]*500&gt;WWWW[[#This Row],[Total PoP ]],WWWW[[#This Row],[Total PoP ]],WWWW[[#This Row],['#_of water points in THF]]*500)</f>
        <v>0</v>
      </c>
      <c r="CO9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6" s="760">
        <f>IF(WWWW[[#This Row],[Location Type 1]]="Village",WWWW[[#This Row],[Access to safe drinking water for Village]],WWWW[[#This Row],[Access to safe drinking water for Camp]])</f>
        <v>1</v>
      </c>
      <c r="CR96" s="758">
        <f>WWWW[[#This Row],[%Equitable and continuous access to sufficient quantity of safe drinking water]]*WWWW[[#This Row],[Total PoP ]]</f>
        <v>221</v>
      </c>
      <c r="CS96" s="760">
        <f>IF((WWWW[[#This Row],['#_Constructed/Existing protected/fenced ponds]]*250)/WWWW[[#This Row],[Total PoP ]]&gt;1,1,(WWWW[[#This Row],['#_Constructed/Existing protected/fenced ponds]]*250)/WWWW[[#This Row],[Total PoP ]])</f>
        <v>0</v>
      </c>
      <c r="CT96" s="758">
        <f>WWWW[[#This Row],[% Access to unimproved water points]]*WWWW[[#This Row],[Total PoP ]]</f>
        <v>0</v>
      </c>
      <c r="CU9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96" s="758">
        <f>WWWW[[#This Row],[HRP1]]/500</f>
        <v>0.442</v>
      </c>
      <c r="CX96" s="763">
        <f>1-WWWW[[#This Row],[% Equitable and continuous access to sufficient quantity of domestic water]]</f>
        <v>0</v>
      </c>
      <c r="CY96" s="758">
        <f>WWWW[[#This Row],[%equitable and continuous access to sufficient quantity of safe drinking and domestic water''s GAP]]*WWWW[[#This Row],[Total PoP ]]</f>
        <v>0</v>
      </c>
      <c r="CZ96" s="761">
        <f>IF(WWWW[[#This Row],[Total required water points]]-WWWW[[#This Row],['#Water points coverage]]&lt;0,0,WWWW[[#This Row],[Total required water points]]-WWWW[[#This Row],['#Water points coverage]])</f>
        <v>0.55800000000000005</v>
      </c>
      <c r="DA96" s="761">
        <f>ROUND(IF(WWWW[[#This Row],[Total PoP ]]&lt;500,1,WWWW[[#This Row],[Total PoP ]]/500),0)</f>
        <v>1</v>
      </c>
      <c r="DB96" s="761">
        <f>(WWWW[[#This Row],['#_Constructed latrines_by_WASHAgencies]]+WWWW[[#This Row],['#_Non Cluster partner latrines]])-WWWW[[#This Row],['#_Non-functional latrines]]</f>
        <v>37</v>
      </c>
      <c r="DC96" s="634">
        <f>WWWW[[#This Row],[HRP2]]/WWWW[[#This Row],[Total PoP ]]</f>
        <v>1</v>
      </c>
      <c r="DD9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9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6" s="425">
        <f>IF(WWWW[[#This Row],['# of functional latrines in THF supported by WASH partners during the reporting period2]]="",0,WWWW[[#This Row],['# of functional latrines in THF supported by WASH partners during the reporting period2]]*50)</f>
        <v>0</v>
      </c>
      <c r="DH96" s="761">
        <f>ROUND(IF(WWWW[[#This Row],[Location Type 1]]="camp",WWWW[[#This Row],[Total PoP ]]/20,IF(WWWW[[#This Row],[Location Type 1]]="Temporary Location",WWWW[[#This Row],[Total PoP ]]/50,(WWWW[[#This Row],[Total PoP ]]/6))),0)</f>
        <v>11</v>
      </c>
      <c r="DI96" s="761">
        <f>IF(WWWW[[#This Row],[Total required Latrines]]-(WWWW[[#This Row],['#_Constructed latrines_by_WASHAgencies]]+WWWW[[#This Row],['#_Non Cluster partner latrines]])&lt;0,0,WWWW[[#This Row],[Total required Latrines]]-(WWWW[[#This Row],['#_Constructed latrines_by_WASHAgencies]]+WWWW[[#This Row],['#_Non Cluster partner latrines]]))</f>
        <v>0</v>
      </c>
      <c r="DJ96" s="763">
        <f>1-WWWW[[#This Row],[% people access to functioning Latrine]]</f>
        <v>0</v>
      </c>
      <c r="DK96" s="762">
        <f>IF(OR(WWWW[[#This Row],['#_Non-functional latrines]]="",WWWW[[#This Row],['#_Non-functional latrines]]=0),0,WWWW[[#This Row],['#_Non-functional latrines]]/(WWWW[[#This Row],['#_Constructed latrines_by_WASHAgencies]]+WWWW[[#This Row],['#_Non Cluster partner latrines]]))</f>
        <v>0</v>
      </c>
      <c r="DL96" s="758">
        <f>IF(500*(WWWW[[#This Row],['#_male hygiene promoters]]+WWWW[[#This Row],['#_female hygiene promoters]])&gt;WWWW[[#This Row],[Total PoP ]],WWWW[[#This Row],[Total PoP ]],500*(WWWW[[#This Row],['#_male hygiene promoters]]+WWWW[[#This Row],['#_female hygiene promoters]]))</f>
        <v>221</v>
      </c>
      <c r="DM9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9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96" s="761">
        <f>IF(WWWW[[#This Row],['# People with access to soap]]&gt;WWWW[[#This Row],['# People with access to Sanity Pads]],WWWW[[#This Row],['# People with access to soap]],WWWW[[#This Row],['# People with access to Sanity Pads]])</f>
        <v>221</v>
      </c>
      <c r="DP96" s="761">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96" s="763">
        <f>IF(WWWW[[#This Row],[HRP3]]/WWWW[[#This Row],[Total PoP ]]&gt;1,1,WWWW[[#This Row],[HRP3]]/WWWW[[#This Row],[Total PoP ]])</f>
        <v>1</v>
      </c>
      <c r="DR96" s="762">
        <f>1-WWWW[[#This Row],[Hygiene Coverage%]]</f>
        <v>0</v>
      </c>
      <c r="DS96" s="760">
        <f>WWWW[[#This Row],['# people reached by regular dedicated hygiene promotion_5]]/WWWW[[#This Row],[Total PoP ]]</f>
        <v>1</v>
      </c>
      <c r="DT9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6" s="761">
        <f>WWWW[[#This Row],['#_Constructed/Existing hand washing stations]]-WWWW[[#This Row],['#_Non-Functional_hand_washing_stations]]</f>
        <v>7</v>
      </c>
      <c r="DW96" s="758">
        <f>IF(WWWW[[#This Row],['# Functional hand washing stations during reporting period]]*20&gt;WWWW[[#This Row],[Total HH]],WWWW[[#This Row],[Total HH]],WWWW[[#This Row],['# Functional hand washing stations during reporting period]]*20)</f>
        <v>45</v>
      </c>
      <c r="DX96" s="758">
        <f>IF(WWWW[[#This Row],[Is sufficient soap available for TLS? (Yes/No)]]="yes",WWWW[[#This Row],['#_Constructed/Existing hand washing stations at TLS/CFS/THF]],0)</f>
        <v>0</v>
      </c>
      <c r="DY96" s="429">
        <f>IF(WWWW[[#This Row],['# Functional hand washing stations during reporting period]]*100&gt;WWWW[[#This Row],[Total PoP ]],WWWW[[#This Row],[Total PoP ]],WWWW[[#This Row],['# Functional hand washing stations during reporting period]]*100)</f>
        <v>221</v>
      </c>
      <c r="DZ96" s="429" t="str">
        <f>IF(OR(WWWW[[#This Row],['#_students at TLS_CFS]]="",WWWW[[#This Row],['#_students at TLS_CFS]]=0),"No","Yes")</f>
        <v>No</v>
      </c>
      <c r="EA9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9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6" s="754" t="str">
        <f>VLOOKUP(WWWW[[#This Row],[Site Name]],SiteDB6[[Site Name]:[CCCM Management]],6,FALSE)</f>
        <v>Yes</v>
      </c>
      <c r="EF96" s="754" t="str">
        <f>VLOOKUP(WWWW[[#This Row],[Site Name]],SiteDB6[[Site Name]:[CCCM Focal Agency]],7,FALSE)</f>
        <v>KMSS-LSO</v>
      </c>
      <c r="EG96" s="754" t="str">
        <f>VLOOKUP(WWWW[[#This Row],[Site Name]],SiteDB6[[Site Name]:[Location Type 1]],9,FALSE)</f>
        <v>Camp</v>
      </c>
      <c r="EH96" s="754" t="str">
        <f>VLOOKUP(WWWW[[#This Row],[Site Name]],SiteDB6[[Site Name]:[Type of Accommodation]],10,FALSE)</f>
        <v>Camp</v>
      </c>
      <c r="EI96" s="754" t="str">
        <f>VLOOKUP(WWWW[[#This Row],[Site Name]],SiteDB6[[Site Name]:[Ethnic or GCA/NGCA]],11,FALSE)</f>
        <v>GCA</v>
      </c>
      <c r="EJ96" s="754">
        <f>VLOOKUP(WWWW[[#This Row],[Site Name]],SiteDB6[[Site Name]:[Lat]],12,FALSE)</f>
        <v>23.59</v>
      </c>
      <c r="EK96" s="754">
        <f>VLOOKUP(WWWW[[#This Row],[Site Name]],SiteDB6[[Site Name]:[Long]],13,FALSE)</f>
        <v>97.805999999999997</v>
      </c>
      <c r="EL96" s="754" t="str">
        <f>VLOOKUP(WWWW[[#This Row],[Site Name]],SiteDB6[[Site Name]:[Pcode]],3,FALSE)</f>
        <v>MMR015CMP067</v>
      </c>
      <c r="EM96" s="759" t="str">
        <f t="shared" si="1"/>
        <v>Covered</v>
      </c>
      <c r="EN96" s="759"/>
      <c r="EO96" s="754">
        <f>VLOOKUP(WWWW[[#This Row],[Site Name]],SiteDB6[[Site Name]:[Pop
(Kachin/Shan-CCCM as of July 2021)]],16,FALSE)</f>
        <v>47</v>
      </c>
      <c r="EP96" s="754">
        <f>VLOOKUP(WWWW[[#This Row],[Site Name]],SiteDB6[[Site Name]:[Pop
(Kachin/Shan-CCCM as of July 2021)]],17,FALSE)</f>
        <v>230</v>
      </c>
    </row>
    <row r="97" spans="1:146" hidden="1">
      <c r="A97" s="752" t="s">
        <v>2785</v>
      </c>
      <c r="B97" s="752" t="s">
        <v>192</v>
      </c>
      <c r="C97" s="753" t="s">
        <v>192</v>
      </c>
      <c r="D97" s="753" t="s">
        <v>2695</v>
      </c>
      <c r="E97" s="753" t="s">
        <v>515</v>
      </c>
      <c r="F97" s="753" t="s">
        <v>519</v>
      </c>
      <c r="G97" s="594" t="str">
        <f>VLOOKUP(WWWW[[#This Row],[Site Name]],SiteDB6[[Site Name]:[Location Type]],8,FALSE)</f>
        <v>Camp</v>
      </c>
      <c r="H97" s="753" t="s">
        <v>538</v>
      </c>
      <c r="I97" s="755">
        <v>209</v>
      </c>
      <c r="J97" s="755">
        <v>1101</v>
      </c>
      <c r="K97" s="756" t="s">
        <v>2789</v>
      </c>
      <c r="L97" s="757" t="s">
        <v>2790</v>
      </c>
      <c r="M97" s="755"/>
      <c r="N97" s="755">
        <v>2</v>
      </c>
      <c r="O97" s="755"/>
      <c r="P97" s="755"/>
      <c r="Q97" s="758" t="s">
        <v>41</v>
      </c>
      <c r="R97" s="755">
        <v>5</v>
      </c>
      <c r="S97" s="755">
        <v>4</v>
      </c>
      <c r="T97" s="449">
        <v>2</v>
      </c>
      <c r="U97" s="755"/>
      <c r="V97" s="755"/>
      <c r="W97" s="755">
        <v>1</v>
      </c>
      <c r="X97" s="755"/>
      <c r="Y97" s="755"/>
      <c r="Z97" s="755"/>
      <c r="AA97" s="755">
        <v>48</v>
      </c>
      <c r="AB97" s="755"/>
      <c r="AC97" s="755"/>
      <c r="AD97" s="755"/>
      <c r="AE97" s="755"/>
      <c r="AF97" s="755"/>
      <c r="AG97" s="755"/>
      <c r="AH97" s="755">
        <v>1</v>
      </c>
      <c r="AI97" s="755"/>
      <c r="AJ97" s="755"/>
      <c r="AK97" s="755"/>
      <c r="AL97" s="755"/>
      <c r="AM97" s="755"/>
      <c r="AN97" s="755">
        <v>2</v>
      </c>
      <c r="AO97" s="755"/>
      <c r="AP97" s="759"/>
      <c r="AQ97" s="755">
        <v>200</v>
      </c>
      <c r="AR97" s="755">
        <v>5</v>
      </c>
      <c r="AS97" s="760"/>
      <c r="AT97" s="755"/>
      <c r="AU97" s="755"/>
      <c r="AV97" s="755"/>
      <c r="AW97" s="755"/>
      <c r="AX97" s="755">
        <v>18</v>
      </c>
      <c r="AY97" s="754" t="s">
        <v>136</v>
      </c>
      <c r="AZ97" s="759" t="s">
        <v>136</v>
      </c>
      <c r="BA97" s="755"/>
      <c r="BB97" s="755"/>
      <c r="BC97" s="755">
        <v>2</v>
      </c>
      <c r="BD97" s="449"/>
      <c r="BE97" s="449"/>
      <c r="BF97" s="754"/>
      <c r="BG97" s="755">
        <v>7</v>
      </c>
      <c r="BH97" s="755"/>
      <c r="BI97" s="755"/>
      <c r="BJ97" s="755">
        <v>4</v>
      </c>
      <c r="BK97" s="755"/>
      <c r="BL97" s="755"/>
      <c r="BM97" s="755">
        <v>1</v>
      </c>
      <c r="BN97" s="755">
        <v>124</v>
      </c>
      <c r="BO97" s="755">
        <v>198</v>
      </c>
      <c r="BP97" s="754"/>
      <c r="BQ97" s="761"/>
      <c r="BR97" s="760"/>
      <c r="BS97" s="754"/>
      <c r="BT97" s="424"/>
      <c r="BU97" s="424"/>
      <c r="BV97" s="426"/>
      <c r="BW97" s="424"/>
      <c r="BX97" s="449"/>
      <c r="BY97" s="449"/>
      <c r="BZ97" s="449"/>
      <c r="CA97" s="449"/>
      <c r="CB97" s="449"/>
      <c r="CC97" s="807"/>
      <c r="CD97" s="449"/>
      <c r="CE97" s="762" t="str">
        <f>IFERROR(WWWW[[#This Row],['#_Water sources passed]]/WWWW[[#This Row],['#_Water sources tested for fecal coliform ]],"no test")</f>
        <v>no test</v>
      </c>
      <c r="CF97" s="760" t="str">
        <f>IFERROR(WWWW[[#This Row],['#_Household passed]]/WWWW[[#This Row],['#_Household water samples tested for fecal coliform]],"no test")</f>
        <v>no test</v>
      </c>
      <c r="CG97" s="761" t="str">
        <f>IF(AND(WWWW[[#This Row],[% of water sources passed]]="no test",WWWW[[#This Row],[% Household passed]]="no test"),"No Test","Tested")</f>
        <v>No Test</v>
      </c>
      <c r="CH97" s="761">
        <f>WWWW[[#This Row],['#_Constructed/existing protected hand dug well]]-WWWW[[#This Row],['#_Non-functional protected hand dug well]]</f>
        <v>2</v>
      </c>
      <c r="CI97" s="761">
        <f>(WWWW[[#This Row],['#_Constructed/Existing tube wells/boreholes/handpumps_WASH_agency]]+WWWW[[#This Row],['#_Non-Cluster partner water tube-wells/boreholes/handpumps]])-WWWW[[#This Row],['#_Non-functional tube wells/boreholes/handpumps]]</f>
        <v>1</v>
      </c>
      <c r="CJ97" s="761">
        <f>WWWW[[#This Row],['#_Constructed/Existingwater storage tank with gravity fed reticulation system]]-WWWW[[#This Row],['#_Non-functional storage tank gravity fed reticulation system]]</f>
        <v>48</v>
      </c>
      <c r="CK97" s="761">
        <f>(WWWW[[#This Row],['#_Water_Liters_supplied_by_Water boating or water trucking]]/90)/15</f>
        <v>0</v>
      </c>
      <c r="CL97" s="761">
        <f>WWWW[[#This Row],['#_Water_Liters_from_Constructed/Existing water distribution system from river or natural spring]]/90/15</f>
        <v>0</v>
      </c>
      <c r="CM97" s="425">
        <f>IF(WWWW[[#This Row],['#_of water points in TLS/CFS]]*500&gt;WWWW[[#This Row],[Total PoP ]],WWWW[[#This Row],[Total PoP ]],WWWW[[#This Row],['#_of water points in TLS/CFS]]*500)</f>
        <v>1000</v>
      </c>
      <c r="CN97" s="425">
        <f>IF(WWWW[[#This Row],['#_of water points in THF]]*500&gt;WWWW[[#This Row],[Total PoP ]],WWWW[[#This Row],[Total PoP ]],WWWW[[#This Row],['#_of water points in THF]]*500)</f>
        <v>0</v>
      </c>
      <c r="CO9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7" s="760">
        <f>IF(WWWW[[#This Row],[Location Type 1]]="Village",WWWW[[#This Row],[Access to safe drinking water for Village]],WWWW[[#This Row],[Access to safe drinking water for Camp]])</f>
        <v>1</v>
      </c>
      <c r="CR97" s="758">
        <f>WWWW[[#This Row],[%Equitable and continuous access to sufficient quantity of safe drinking water]]*WWWW[[#This Row],[Total PoP ]]</f>
        <v>1101</v>
      </c>
      <c r="CS97" s="760">
        <f>IF((WWWW[[#This Row],['#_Constructed/Existing protected/fenced ponds]]*250)/WWWW[[#This Row],[Total PoP ]]&gt;1,1,(WWWW[[#This Row],['#_Constructed/Existing protected/fenced ponds]]*250)/WWWW[[#This Row],[Total PoP ]])</f>
        <v>0</v>
      </c>
      <c r="CT97" s="758">
        <f>WWWW[[#This Row],[% Access to unimproved water points]]*WWWW[[#This Row],[Total PoP ]]</f>
        <v>0</v>
      </c>
      <c r="CU9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97" s="758">
        <f>WWWW[[#This Row],[HRP1]]/500</f>
        <v>2.202</v>
      </c>
      <c r="CX97" s="763">
        <f>1-WWWW[[#This Row],[% Equitable and continuous access to sufficient quantity of domestic water]]</f>
        <v>0</v>
      </c>
      <c r="CY97" s="758">
        <f>WWWW[[#This Row],[%equitable and continuous access to sufficient quantity of safe drinking and domestic water''s GAP]]*WWWW[[#This Row],[Total PoP ]]</f>
        <v>0</v>
      </c>
      <c r="CZ97" s="761">
        <f>IF(WWWW[[#This Row],[Total required water points]]-WWWW[[#This Row],['#Water points coverage]]&lt;0,0,WWWW[[#This Row],[Total required water points]]-WWWW[[#This Row],['#Water points coverage]])</f>
        <v>0</v>
      </c>
      <c r="DA97" s="761">
        <f>ROUND(IF(WWWW[[#This Row],[Total PoP ]]&lt;500,1,WWWW[[#This Row],[Total PoP ]]/500),0)</f>
        <v>2</v>
      </c>
      <c r="DB97" s="761">
        <f>(WWWW[[#This Row],['#_Constructed latrines_by_WASHAgencies]]+WWWW[[#This Row],['#_Non Cluster partner latrines]])-WWWW[[#This Row],['#_Non-functional latrines]]</f>
        <v>205</v>
      </c>
      <c r="DC97" s="634">
        <f>WWWW[[#This Row],[HRP2]]/WWWW[[#This Row],[Total PoP ]]</f>
        <v>0.93097184377838327</v>
      </c>
      <c r="DD9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9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7" s="425">
        <f>IF(WWWW[[#This Row],['# of functional latrines in THF supported by WASH partners during the reporting period2]]="",0,WWWW[[#This Row],['# of functional latrines in THF supported by WASH partners during the reporting period2]]*50)</f>
        <v>0</v>
      </c>
      <c r="DH97" s="761">
        <f>ROUND(IF(WWWW[[#This Row],[Location Type 1]]="camp",WWWW[[#This Row],[Total PoP ]]/20,IF(WWWW[[#This Row],[Location Type 1]]="Temporary Location",WWWW[[#This Row],[Total PoP ]]/50,(WWWW[[#This Row],[Total PoP ]]/6))),0)</f>
        <v>184</v>
      </c>
      <c r="DI97" s="761">
        <f>IF(WWWW[[#This Row],[Total required Latrines]]-(WWWW[[#This Row],['#_Constructed latrines_by_WASHAgencies]]+WWWW[[#This Row],['#_Non Cluster partner latrines]])&lt;0,0,WWWW[[#This Row],[Total required Latrines]]-(WWWW[[#This Row],['#_Constructed latrines_by_WASHAgencies]]+WWWW[[#This Row],['#_Non Cluster partner latrines]]))</f>
        <v>0</v>
      </c>
      <c r="DJ97" s="763">
        <f>1-WWWW[[#This Row],[% people access to functioning Latrine]]</f>
        <v>6.9028156221616732E-2</v>
      </c>
      <c r="DK97" s="762">
        <f>IF(OR(WWWW[[#This Row],['#_Non-functional latrines]]="",WWWW[[#This Row],['#_Non-functional latrines]]=0),0,WWWW[[#This Row],['#_Non-functional latrines]]/(WWWW[[#This Row],['#_Constructed latrines_by_WASHAgencies]]+WWWW[[#This Row],['#_Non Cluster partner latrines]]))</f>
        <v>0</v>
      </c>
      <c r="DL97" s="758">
        <f>IF(500*(WWWW[[#This Row],['#_male hygiene promoters]]+WWWW[[#This Row],['#_female hygiene promoters]])&gt;WWWW[[#This Row],[Total PoP ]],WWWW[[#This Row],[Total PoP ]],500*(WWWW[[#This Row],['#_male hygiene promoters]]+WWWW[[#This Row],['#_female hygiene promoters]]))</f>
        <v>500</v>
      </c>
      <c r="DM9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9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97" s="761">
        <f>IF(WWWW[[#This Row],['# People with access to soap]]&gt;WWWW[[#This Row],['# People with access to Sanity Pads]],WWWW[[#This Row],['# People with access to soap]],WWWW[[#This Row],['# People with access to Sanity Pads]])</f>
        <v>620</v>
      </c>
      <c r="DP97" s="761">
        <f>IF(WWWW[[#This Row],['# people reached by regular dedicated hygiene promotion_5]]&gt;WWWW[[#This Row],['# People received regular supply of hygiene items_6]],WWWW[[#This Row],['# people reached by regular dedicated hygiene promotion_5]],WWWW[[#This Row],['# People received regular supply of hygiene items_6]])</f>
        <v>620</v>
      </c>
      <c r="DQ97" s="763">
        <f>IF(WWWW[[#This Row],[HRP3]]/WWWW[[#This Row],[Total PoP ]]&gt;1,1,WWWW[[#This Row],[HRP3]]/WWWW[[#This Row],[Total PoP ]])</f>
        <v>0.56312443233424159</v>
      </c>
      <c r="DR97" s="762">
        <f>1-WWWW[[#This Row],[Hygiene Coverage%]]</f>
        <v>0.43687556766575841</v>
      </c>
      <c r="DS97" s="760">
        <f>WWWW[[#This Row],['# people reached by regular dedicated hygiene promotion_5]]/WWWW[[#This Row],[Total PoP ]]</f>
        <v>0.45413260672116257</v>
      </c>
      <c r="DT9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0.94736842105263153</v>
      </c>
      <c r="DV97" s="761">
        <f>WWWW[[#This Row],['#_Constructed/Existing hand washing stations]]-WWWW[[#This Row],['#_Non-Functional_hand_washing_stations]]</f>
        <v>7</v>
      </c>
      <c r="DW97" s="758">
        <f>IF(WWWW[[#This Row],['# Functional hand washing stations during reporting period]]*20&gt;WWWW[[#This Row],[Total HH]],WWWW[[#This Row],[Total HH]],WWWW[[#This Row],['# Functional hand washing stations during reporting period]]*20)</f>
        <v>140</v>
      </c>
      <c r="DX97" s="758">
        <f>IF(WWWW[[#This Row],[Is sufficient soap available for TLS? (Yes/No)]]="yes",WWWW[[#This Row],['#_Constructed/Existing hand washing stations at TLS/CFS/THF]],0)</f>
        <v>0</v>
      </c>
      <c r="DY97" s="429">
        <f>IF(WWWW[[#This Row],['# Functional hand washing stations during reporting period]]*100&gt;WWWW[[#This Row],[Total PoP ]],WWWW[[#This Row],[Total PoP ]],WWWW[[#This Row],['# Functional hand washing stations during reporting period]]*100)</f>
        <v>700</v>
      </c>
      <c r="DZ97" s="429" t="str">
        <f>IF(OR(WWWW[[#This Row],['#_students at TLS_CFS]]="",WWWW[[#This Row],['#_students at TLS_CFS]]=0),"No","Yes")</f>
        <v>No</v>
      </c>
      <c r="EA9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9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7" s="754" t="str">
        <f>VLOOKUP(WWWW[[#This Row],[Site Name]],SiteDB6[[Site Name]:[CCCM Management]],6,FALSE)</f>
        <v>Yes</v>
      </c>
      <c r="EF97" s="754" t="str">
        <f>VLOOKUP(WWWW[[#This Row],[Site Name]],SiteDB6[[Site Name]:[CCCM Focal Agency]],7,FALSE)</f>
        <v>KBC-NSS</v>
      </c>
      <c r="EG97" s="754" t="str">
        <f>VLOOKUP(WWWW[[#This Row],[Site Name]],SiteDB6[[Site Name]:[Location Type 1]],9,FALSE)</f>
        <v>Village Type Camp</v>
      </c>
      <c r="EH97" s="754" t="str">
        <f>VLOOKUP(WWWW[[#This Row],[Site Name]],SiteDB6[[Site Name]:[Type of Accommodation]],10,FALSE)</f>
        <v>Camp</v>
      </c>
      <c r="EI97" s="754" t="str">
        <f>VLOOKUP(WWWW[[#This Row],[Site Name]],SiteDB6[[Site Name]:[Ethnic or GCA/NGCA]],11,FALSE)</f>
        <v>GCA</v>
      </c>
      <c r="EJ97" s="754">
        <f>VLOOKUP(WWWW[[#This Row],[Site Name]],SiteDB6[[Site Name]:[Lat]],12,FALSE)</f>
        <v>23.38503</v>
      </c>
      <c r="EK97" s="754">
        <f>VLOOKUP(WWWW[[#This Row],[Site Name]],SiteDB6[[Site Name]:[Long]],13,FALSE)</f>
        <v>97.837040000000002</v>
      </c>
      <c r="EL97" s="754" t="str">
        <f>VLOOKUP(WWWW[[#This Row],[Site Name]],SiteDB6[[Site Name]:[Pcode]],3,FALSE)</f>
        <v>MMR015CMP020</v>
      </c>
      <c r="EM97" s="759" t="str">
        <f t="shared" si="1"/>
        <v>Covered</v>
      </c>
      <c r="EN97" s="759"/>
      <c r="EO97" s="754">
        <f>VLOOKUP(WWWW[[#This Row],[Site Name]],SiteDB6[[Site Name]:[Pop
(Kachin/Shan-CCCM as of July 2021)]],16,FALSE)</f>
        <v>209</v>
      </c>
      <c r="EP97" s="754">
        <f>VLOOKUP(WWWW[[#This Row],[Site Name]],SiteDB6[[Site Name]:[Pop
(Kachin/Shan-CCCM as of July 2021)]],17,FALSE)</f>
        <v>1084</v>
      </c>
    </row>
    <row r="98" spans="1:146" hidden="1">
      <c r="A98" s="752" t="s">
        <v>2785</v>
      </c>
      <c r="B98" s="752" t="s">
        <v>192</v>
      </c>
      <c r="C98" s="753" t="s">
        <v>192</v>
      </c>
      <c r="D98" s="753" t="s">
        <v>2609</v>
      </c>
      <c r="E98" s="753" t="s">
        <v>515</v>
      </c>
      <c r="F98" s="753" t="s">
        <v>961</v>
      </c>
      <c r="G98" s="594" t="str">
        <f>VLOOKUP(WWWW[[#This Row],[Site Name]],SiteDB6[[Site Name]:[Location Type]],8,FALSE)</f>
        <v>Camp_not registered</v>
      </c>
      <c r="H98" s="753" t="s">
        <v>2160</v>
      </c>
      <c r="I98" s="755">
        <v>23</v>
      </c>
      <c r="J98" s="755">
        <v>103</v>
      </c>
      <c r="K98" s="591" t="s">
        <v>2789</v>
      </c>
      <c r="L98" s="592" t="s">
        <v>2790</v>
      </c>
      <c r="M98" s="755"/>
      <c r="N98" s="755"/>
      <c r="O98" s="755"/>
      <c r="P98" s="755"/>
      <c r="Q98" s="758" t="s">
        <v>41</v>
      </c>
      <c r="R98" s="755">
        <v>5</v>
      </c>
      <c r="S98" s="755">
        <v>1</v>
      </c>
      <c r="T98" s="449">
        <v>1</v>
      </c>
      <c r="U98" s="755"/>
      <c r="V98" s="755"/>
      <c r="W98" s="755"/>
      <c r="X98" s="755">
        <v>1</v>
      </c>
      <c r="Y98" s="755"/>
      <c r="Z98" s="755"/>
      <c r="AA98" s="755"/>
      <c r="AB98" s="755"/>
      <c r="AC98" s="755"/>
      <c r="AD98" s="755"/>
      <c r="AE98" s="755"/>
      <c r="AF98" s="755"/>
      <c r="AG98" s="755"/>
      <c r="AH98" s="755"/>
      <c r="AI98" s="755"/>
      <c r="AJ98" s="755"/>
      <c r="AK98" s="755"/>
      <c r="AL98" s="755"/>
      <c r="AM98" s="755"/>
      <c r="AN98" s="755"/>
      <c r="AO98" s="755"/>
      <c r="AP98" s="759"/>
      <c r="AQ98" s="755">
        <v>23</v>
      </c>
      <c r="AR98" s="755"/>
      <c r="AS98" s="760"/>
      <c r="AT98" s="755"/>
      <c r="AU98" s="755"/>
      <c r="AV98" s="755"/>
      <c r="AW98" s="755"/>
      <c r="AX98" s="755"/>
      <c r="AY98" s="754" t="s">
        <v>140</v>
      </c>
      <c r="AZ98" s="759" t="s">
        <v>140</v>
      </c>
      <c r="BA98" s="755"/>
      <c r="BB98" s="755"/>
      <c r="BC98" s="755"/>
      <c r="BD98" s="449"/>
      <c r="BE98" s="449"/>
      <c r="BF98" s="754"/>
      <c r="BG98" s="755">
        <v>3</v>
      </c>
      <c r="BH98" s="755"/>
      <c r="BI98" s="755"/>
      <c r="BJ98" s="755">
        <v>2</v>
      </c>
      <c r="BK98" s="755"/>
      <c r="BL98" s="755"/>
      <c r="BM98" s="755"/>
      <c r="BN98" s="755">
        <v>88</v>
      </c>
      <c r="BO98" s="755">
        <v>100</v>
      </c>
      <c r="BP98" s="754"/>
      <c r="BQ98" s="761"/>
      <c r="BR98" s="760"/>
      <c r="BS98" s="754"/>
      <c r="BT98" s="424"/>
      <c r="BU98" s="424"/>
      <c r="BV98" s="426"/>
      <c r="BW98" s="424"/>
      <c r="BX98" s="449"/>
      <c r="BY98" s="449"/>
      <c r="BZ98" s="449"/>
      <c r="CA98" s="449"/>
      <c r="CB98" s="449"/>
      <c r="CC98" s="807"/>
      <c r="CD98" s="449"/>
      <c r="CE98" s="762" t="str">
        <f>IFERROR(WWWW[[#This Row],['#_Water sources passed]]/WWWW[[#This Row],['#_Water sources tested for fecal coliform ]],"no test")</f>
        <v>no test</v>
      </c>
      <c r="CF98" s="760" t="str">
        <f>IFERROR(WWWW[[#This Row],['#_Household passed]]/WWWW[[#This Row],['#_Household water samples tested for fecal coliform]],"no test")</f>
        <v>no test</v>
      </c>
      <c r="CG98" s="761" t="str">
        <f>IF(AND(WWWW[[#This Row],[% of water sources passed]]="no test",WWWW[[#This Row],[% Household passed]]="no test"),"No Test","Tested")</f>
        <v>No Test</v>
      </c>
      <c r="CH98" s="761">
        <f>WWWW[[#This Row],['#_Constructed/existing protected hand dug well]]-WWWW[[#This Row],['#_Non-functional protected hand dug well]]</f>
        <v>1</v>
      </c>
      <c r="CI98" s="761">
        <f>(WWWW[[#This Row],['#_Constructed/Existing tube wells/boreholes/handpumps_WASH_agency]]+WWWW[[#This Row],['#_Non-Cluster partner water tube-wells/boreholes/handpumps]])-WWWW[[#This Row],['#_Non-functional tube wells/boreholes/handpumps]]</f>
        <v>1</v>
      </c>
      <c r="CJ98" s="761">
        <f>WWWW[[#This Row],['#_Constructed/Existingwater storage tank with gravity fed reticulation system]]-WWWW[[#This Row],['#_Non-functional storage tank gravity fed reticulation system]]</f>
        <v>0</v>
      </c>
      <c r="CK98" s="761">
        <f>(WWWW[[#This Row],['#_Water_Liters_supplied_by_Water boating or water trucking]]/90)/15</f>
        <v>0</v>
      </c>
      <c r="CL98" s="761">
        <f>WWWW[[#This Row],['#_Water_Liters_from_Constructed/Existing water distribution system from river or natural spring]]/90/15</f>
        <v>0</v>
      </c>
      <c r="CM98" s="425">
        <f>IF(WWWW[[#This Row],['#_of water points in TLS/CFS]]*500&gt;WWWW[[#This Row],[Total PoP ]],WWWW[[#This Row],[Total PoP ]],WWWW[[#This Row],['#_of water points in TLS/CFS]]*500)</f>
        <v>0</v>
      </c>
      <c r="CN98" s="425">
        <f>IF(WWWW[[#This Row],['#_of water points in THF]]*500&gt;WWWW[[#This Row],[Total PoP ]],WWWW[[#This Row],[Total PoP ]],WWWW[[#This Row],['#_of water points in THF]]*500)</f>
        <v>0</v>
      </c>
      <c r="CO9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8" s="760">
        <f>IF(WWWW[[#This Row],[Location Type 1]]="Village",WWWW[[#This Row],[Access to safe drinking water for Village]],WWWW[[#This Row],[Access to safe drinking water for Camp]])</f>
        <v>1</v>
      </c>
      <c r="CR98" s="758">
        <f>WWWW[[#This Row],[%Equitable and continuous access to sufficient quantity of safe drinking water]]*WWWW[[#This Row],[Total PoP ]]</f>
        <v>103</v>
      </c>
      <c r="CS98" s="760">
        <f>IF((WWWW[[#This Row],['#_Constructed/Existing protected/fenced ponds]]*250)/WWWW[[#This Row],[Total PoP ]]&gt;1,1,(WWWW[[#This Row],['#_Constructed/Existing protected/fenced ponds]]*250)/WWWW[[#This Row],[Total PoP ]])</f>
        <v>0</v>
      </c>
      <c r="CT98" s="758">
        <f>WWWW[[#This Row],[% Access to unimproved water points]]*WWWW[[#This Row],[Total PoP ]]</f>
        <v>0</v>
      </c>
      <c r="CU9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98" s="758">
        <f>WWWW[[#This Row],[HRP1]]/500</f>
        <v>0.20599999999999999</v>
      </c>
      <c r="CX98" s="763">
        <f>1-WWWW[[#This Row],[% Equitable and continuous access to sufficient quantity of domestic water]]</f>
        <v>0</v>
      </c>
      <c r="CY98" s="758">
        <f>WWWW[[#This Row],[%equitable and continuous access to sufficient quantity of safe drinking and domestic water''s GAP]]*WWWW[[#This Row],[Total PoP ]]</f>
        <v>0</v>
      </c>
      <c r="CZ98" s="761">
        <f>IF(WWWW[[#This Row],[Total required water points]]-WWWW[[#This Row],['#Water points coverage]]&lt;0,0,WWWW[[#This Row],[Total required water points]]-WWWW[[#This Row],['#Water points coverage]])</f>
        <v>0.79400000000000004</v>
      </c>
      <c r="DA98" s="761">
        <f>ROUND(IF(WWWW[[#This Row],[Total PoP ]]&lt;500,1,WWWW[[#This Row],[Total PoP ]]/500),0)</f>
        <v>1</v>
      </c>
      <c r="DB98" s="761">
        <f>(WWWW[[#This Row],['#_Constructed latrines_by_WASHAgencies]]+WWWW[[#This Row],['#_Non Cluster partner latrines]])-WWWW[[#This Row],['#_Non-functional latrines]]</f>
        <v>23</v>
      </c>
      <c r="DC98" s="634">
        <f>WWWW[[#This Row],[HRP2]]/WWWW[[#This Row],[Total PoP ]]</f>
        <v>1</v>
      </c>
      <c r="DD9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9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8" s="425">
        <f>IF(WWWW[[#This Row],['# of functional latrines in THF supported by WASH partners during the reporting period2]]="",0,WWWW[[#This Row],['# of functional latrines in THF supported by WASH partners during the reporting period2]]*50)</f>
        <v>0</v>
      </c>
      <c r="DH98" s="761">
        <f>ROUND(IF(WWWW[[#This Row],[Location Type 1]]="camp",WWWW[[#This Row],[Total PoP ]]/20,IF(WWWW[[#This Row],[Location Type 1]]="Temporary Location",WWWW[[#This Row],[Total PoP ]]/50,(WWWW[[#This Row],[Total PoP ]]/6))),0)</f>
        <v>5</v>
      </c>
      <c r="DI98" s="761">
        <f>IF(WWWW[[#This Row],[Total required Latrines]]-(WWWW[[#This Row],['#_Constructed latrines_by_WASHAgencies]]+WWWW[[#This Row],['#_Non Cluster partner latrines]])&lt;0,0,WWWW[[#This Row],[Total required Latrines]]-(WWWW[[#This Row],['#_Constructed latrines_by_WASHAgencies]]+WWWW[[#This Row],['#_Non Cluster partner latrines]]))</f>
        <v>0</v>
      </c>
      <c r="DJ98" s="763">
        <f>1-WWWW[[#This Row],[% people access to functioning Latrine]]</f>
        <v>0</v>
      </c>
      <c r="DK98" s="762">
        <f>IF(OR(WWWW[[#This Row],['#_Non-functional latrines]]="",WWWW[[#This Row],['#_Non-functional latrines]]=0),0,WWWW[[#This Row],['#_Non-functional latrines]]/(WWWW[[#This Row],['#_Constructed latrines_by_WASHAgencies]]+WWWW[[#This Row],['#_Non Cluster partner latrines]]))</f>
        <v>0</v>
      </c>
      <c r="DL98" s="758">
        <f>IF(500*(WWWW[[#This Row],['#_male hygiene promoters]]+WWWW[[#This Row],['#_female hygiene promoters]])&gt;WWWW[[#This Row],[Total PoP ]],WWWW[[#This Row],[Total PoP ]],500*(WWWW[[#This Row],['#_male hygiene promoters]]+WWWW[[#This Row],['#_female hygiene promoters]]))</f>
        <v>0</v>
      </c>
      <c r="DM9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9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98" s="761">
        <f>IF(WWWW[[#This Row],['# People with access to soap]]&gt;WWWW[[#This Row],['# People with access to Sanity Pads]],WWWW[[#This Row],['# People with access to soap]],WWWW[[#This Row],['# People with access to Sanity Pads]])</f>
        <v>103</v>
      </c>
      <c r="DP98" s="761">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98" s="763">
        <f>IF(WWWW[[#This Row],[HRP3]]/WWWW[[#This Row],[Total PoP ]]&gt;1,1,WWWW[[#This Row],[HRP3]]/WWWW[[#This Row],[Total PoP ]])</f>
        <v>1</v>
      </c>
      <c r="DR98" s="762">
        <f>1-WWWW[[#This Row],[Hygiene Coverage%]]</f>
        <v>0</v>
      </c>
      <c r="DS98" s="760">
        <f>WWWW[[#This Row],['# people reached by regular dedicated hygiene promotion_5]]/WWWW[[#This Row],[Total PoP ]]</f>
        <v>0</v>
      </c>
      <c r="DT9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8" s="761">
        <f>WWWW[[#This Row],['#_Constructed/Existing hand washing stations]]-WWWW[[#This Row],['#_Non-Functional_hand_washing_stations]]</f>
        <v>3</v>
      </c>
      <c r="DW98" s="758">
        <f>IF(WWWW[[#This Row],['# Functional hand washing stations during reporting period]]*20&gt;WWWW[[#This Row],[Total HH]],WWWW[[#This Row],[Total HH]],WWWW[[#This Row],['# Functional hand washing stations during reporting period]]*20)</f>
        <v>23</v>
      </c>
      <c r="DX98" s="758">
        <f>IF(WWWW[[#This Row],[Is sufficient soap available for TLS? (Yes/No)]]="yes",WWWW[[#This Row],['#_Constructed/Existing hand washing stations at TLS/CFS/THF]],0)</f>
        <v>0</v>
      </c>
      <c r="DY98" s="429">
        <f>IF(WWWW[[#This Row],['# Functional hand washing stations during reporting period]]*100&gt;WWWW[[#This Row],[Total PoP ]],WWWW[[#This Row],[Total PoP ]],WWWW[[#This Row],['# Functional hand washing stations during reporting period]]*100)</f>
        <v>103</v>
      </c>
      <c r="DZ98" s="429" t="str">
        <f>IF(OR(WWWW[[#This Row],['#_students at TLS_CFS]]="",WWWW[[#This Row],['#_students at TLS_CFS]]=0),"No","Yes")</f>
        <v>No</v>
      </c>
      <c r="EA9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8" s="754">
        <f>VLOOKUP(WWWW[[#This Row],[Site Name]],SiteDB6[[Site Name]:[CCCM Management]],6,FALSE)</f>
        <v>0</v>
      </c>
      <c r="EF98" s="754">
        <f>VLOOKUP(WWWW[[#This Row],[Site Name]],SiteDB6[[Site Name]:[CCCM Focal Agency]],7,FALSE)</f>
        <v>0</v>
      </c>
      <c r="EG98" s="754" t="str">
        <f>VLOOKUP(WWWW[[#This Row],[Site Name]],SiteDB6[[Site Name]:[Location Type 1]],9,FALSE)</f>
        <v>Camp</v>
      </c>
      <c r="EH98" s="754" t="str">
        <f>VLOOKUP(WWWW[[#This Row],[Site Name]],SiteDB6[[Site Name]:[Type of Accommodation]],10,FALSE)</f>
        <v>Camp like setting</v>
      </c>
      <c r="EI98" s="754" t="str">
        <f>VLOOKUP(WWWW[[#This Row],[Site Name]],SiteDB6[[Site Name]:[Ethnic or GCA/NGCA]],11,FALSE)</f>
        <v>GCA</v>
      </c>
      <c r="EJ98" s="754">
        <f>VLOOKUP(WWWW[[#This Row],[Site Name]],SiteDB6[[Site Name]:[Lat]],12,FALSE)</f>
        <v>0</v>
      </c>
      <c r="EK98" s="754">
        <f>VLOOKUP(WWWW[[#This Row],[Site Name]],SiteDB6[[Site Name]:[Long]],13,FALSE)</f>
        <v>0</v>
      </c>
      <c r="EL98" s="754">
        <f>VLOOKUP(WWWW[[#This Row],[Site Name]],SiteDB6[[Site Name]:[Pcode]],3,FALSE)</f>
        <v>0</v>
      </c>
      <c r="EM98" s="759" t="str">
        <f t="shared" si="1"/>
        <v>Covered</v>
      </c>
      <c r="EN98" s="759"/>
      <c r="EO98" s="754">
        <f>VLOOKUP(WWWW[[#This Row],[Site Name]],SiteDB6[[Site Name]:[Pop
(Kachin/Shan-CCCM as of July 2021)]],16,FALSE)</f>
        <v>0</v>
      </c>
      <c r="EP98" s="754">
        <f>VLOOKUP(WWWW[[#This Row],[Site Name]],SiteDB6[[Site Name]:[Pop
(Kachin/Shan-CCCM as of July 2021)]],17,FALSE)</f>
        <v>0</v>
      </c>
    </row>
    <row r="99" spans="1:146" hidden="1">
      <c r="A99" s="752" t="s">
        <v>2785</v>
      </c>
      <c r="B99" s="752" t="s">
        <v>192</v>
      </c>
      <c r="C99" s="753" t="s">
        <v>192</v>
      </c>
      <c r="D99" s="753" t="s">
        <v>2695</v>
      </c>
      <c r="E99" s="753" t="s">
        <v>37</v>
      </c>
      <c r="F99" s="753" t="s">
        <v>38</v>
      </c>
      <c r="G99" s="594" t="str">
        <f>VLOOKUP(WWWW[[#This Row],[Site Name]],SiteDB6[[Site Name]:[Location Type]],8,FALSE)</f>
        <v>Camp</v>
      </c>
      <c r="H99" s="753" t="s">
        <v>3048</v>
      </c>
      <c r="I99" s="755">
        <v>97</v>
      </c>
      <c r="J99" s="755">
        <v>544</v>
      </c>
      <c r="K99" s="756" t="s">
        <v>2689</v>
      </c>
      <c r="L99" s="56" t="s">
        <v>2696</v>
      </c>
      <c r="M99" s="755"/>
      <c r="N99" s="755"/>
      <c r="O99" s="755"/>
      <c r="P99" s="755"/>
      <c r="Q99" s="758"/>
      <c r="R99" s="755"/>
      <c r="S99" s="755"/>
      <c r="T99" s="449">
        <v>3</v>
      </c>
      <c r="U99" s="755"/>
      <c r="V99" s="755"/>
      <c r="W99" s="755"/>
      <c r="X99" s="755"/>
      <c r="Y99" s="755"/>
      <c r="Z99" s="755"/>
      <c r="AA99" s="755"/>
      <c r="AB99" s="755"/>
      <c r="AC99" s="755"/>
      <c r="AD99" s="755"/>
      <c r="AE99" s="755"/>
      <c r="AF99" s="755"/>
      <c r="AG99" s="755"/>
      <c r="AH99" s="755"/>
      <c r="AI99" s="755"/>
      <c r="AJ99" s="755"/>
      <c r="AK99" s="755"/>
      <c r="AL99" s="755"/>
      <c r="AM99" s="755"/>
      <c r="AN99" s="755"/>
      <c r="AO99" s="755"/>
      <c r="AP99" s="759"/>
      <c r="AQ99" s="755"/>
      <c r="AR99" s="755"/>
      <c r="AS99" s="760"/>
      <c r="AT99" s="755"/>
      <c r="AU99" s="755"/>
      <c r="AV99" s="755"/>
      <c r="AW99" s="755"/>
      <c r="AX99" s="755"/>
      <c r="AY99" s="754" t="s">
        <v>140</v>
      </c>
      <c r="AZ99" s="759" t="s">
        <v>140</v>
      </c>
      <c r="BA99" s="755"/>
      <c r="BB99" s="755"/>
      <c r="BC99" s="755"/>
      <c r="BD99" s="449"/>
      <c r="BE99" s="449"/>
      <c r="BF99" s="754"/>
      <c r="BG99" s="755">
        <v>7</v>
      </c>
      <c r="BH99" s="755"/>
      <c r="BI99" s="755"/>
      <c r="BJ99" s="755">
        <v>7</v>
      </c>
      <c r="BK99" s="755"/>
      <c r="BL99" s="755"/>
      <c r="BM99" s="755"/>
      <c r="BN99" s="755">
        <v>104</v>
      </c>
      <c r="BO99" s="755">
        <v>148</v>
      </c>
      <c r="BP99" s="754"/>
      <c r="BQ99" s="761"/>
      <c r="BR99" s="760"/>
      <c r="BS99" s="754"/>
      <c r="BT99" s="424"/>
      <c r="BU99" s="424"/>
      <c r="BV99" s="426"/>
      <c r="BW99" s="424"/>
      <c r="BX99" s="449"/>
      <c r="BY99" s="449"/>
      <c r="BZ99" s="449"/>
      <c r="CA99" s="449"/>
      <c r="CB99" s="449"/>
      <c r="CC99" s="807"/>
      <c r="CD99" s="449"/>
      <c r="CE99" s="762" t="str">
        <f>IFERROR(WWWW[[#This Row],['#_Water sources passed]]/WWWW[[#This Row],['#_Water sources tested for fecal coliform ]],"no test")</f>
        <v>no test</v>
      </c>
      <c r="CF99" s="760" t="str">
        <f>IFERROR(WWWW[[#This Row],['#_Household passed]]/WWWW[[#This Row],['#_Household water samples tested for fecal coliform]],"no test")</f>
        <v>no test</v>
      </c>
      <c r="CG99" s="761" t="str">
        <f>IF(AND(WWWW[[#This Row],[% of water sources passed]]="no test",WWWW[[#This Row],[% Household passed]]="no test"),"No Test","Tested")</f>
        <v>No Test</v>
      </c>
      <c r="CH99" s="761">
        <f>WWWW[[#This Row],['#_Constructed/existing protected hand dug well]]-WWWW[[#This Row],['#_Non-functional protected hand dug well]]</f>
        <v>3</v>
      </c>
      <c r="CI99" s="761">
        <f>(WWWW[[#This Row],['#_Constructed/Existing tube wells/boreholes/handpumps_WASH_agency]]+WWWW[[#This Row],['#_Non-Cluster partner water tube-wells/boreholes/handpumps]])-WWWW[[#This Row],['#_Non-functional tube wells/boreholes/handpumps]]</f>
        <v>0</v>
      </c>
      <c r="CJ99" s="761">
        <f>WWWW[[#This Row],['#_Constructed/Existingwater storage tank with gravity fed reticulation system]]-WWWW[[#This Row],['#_Non-functional storage tank gravity fed reticulation system]]</f>
        <v>0</v>
      </c>
      <c r="CK99" s="761">
        <f>(WWWW[[#This Row],['#_Water_Liters_supplied_by_Water boating or water trucking]]/90)/15</f>
        <v>0</v>
      </c>
      <c r="CL99" s="761">
        <f>WWWW[[#This Row],['#_Water_Liters_from_Constructed/Existing water distribution system from river or natural spring]]/90/15</f>
        <v>0</v>
      </c>
      <c r="CM99" s="425">
        <f>IF(WWWW[[#This Row],['#_of water points in TLS/CFS]]*500&gt;WWWW[[#This Row],[Total PoP ]],WWWW[[#This Row],[Total PoP ]],WWWW[[#This Row],['#_of water points in TLS/CFS]]*500)</f>
        <v>0</v>
      </c>
      <c r="CN99" s="425">
        <f>IF(WWWW[[#This Row],['#_of water points in THF]]*500&gt;WWWW[[#This Row],[Total PoP ]],WWWW[[#This Row],[Total PoP ]],WWWW[[#This Row],['#_of water points in THF]]*500)</f>
        <v>0</v>
      </c>
      <c r="CO9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9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99" s="760">
        <f>IF(WWWW[[#This Row],[Location Type 1]]="Village",WWWW[[#This Row],[Access to safe drinking water for Village]],WWWW[[#This Row],[Access to safe drinking water for Camp]])</f>
        <v>1</v>
      </c>
      <c r="CR99" s="758">
        <f>WWWW[[#This Row],[%Equitable and continuous access to sufficient quantity of safe drinking water]]*WWWW[[#This Row],[Total PoP ]]</f>
        <v>544</v>
      </c>
      <c r="CS99" s="760">
        <f>IF((WWWW[[#This Row],['#_Constructed/Existing protected/fenced ponds]]*250)/WWWW[[#This Row],[Total PoP ]]&gt;1,1,(WWWW[[#This Row],['#_Constructed/Existing protected/fenced ponds]]*250)/WWWW[[#This Row],[Total PoP ]])</f>
        <v>0</v>
      </c>
      <c r="CT99" s="758">
        <f>WWWW[[#This Row],[% Access to unimproved water points]]*WWWW[[#This Row],[Total PoP ]]</f>
        <v>0</v>
      </c>
      <c r="CU9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9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99" s="758">
        <f>WWWW[[#This Row],[HRP1]]/500</f>
        <v>1.0880000000000001</v>
      </c>
      <c r="CX99" s="763">
        <f>1-WWWW[[#This Row],[% Equitable and continuous access to sufficient quantity of domestic water]]</f>
        <v>0</v>
      </c>
      <c r="CY99" s="758">
        <f>WWWW[[#This Row],[%equitable and continuous access to sufficient quantity of safe drinking and domestic water''s GAP]]*WWWW[[#This Row],[Total PoP ]]</f>
        <v>0</v>
      </c>
      <c r="CZ99" s="761">
        <f>IF(WWWW[[#This Row],[Total required water points]]-WWWW[[#This Row],['#Water points coverage]]&lt;0,0,WWWW[[#This Row],[Total required water points]]-WWWW[[#This Row],['#Water points coverage]])</f>
        <v>0</v>
      </c>
      <c r="DA99" s="761">
        <f>ROUND(IF(WWWW[[#This Row],[Total PoP ]]&lt;500,1,WWWW[[#This Row],[Total PoP ]]/500),0)</f>
        <v>1</v>
      </c>
      <c r="DB99" s="761">
        <f>(WWWW[[#This Row],['#_Constructed latrines_by_WASHAgencies]]+WWWW[[#This Row],['#_Non Cluster partner latrines]])-WWWW[[#This Row],['#_Non-functional latrines]]</f>
        <v>0</v>
      </c>
      <c r="DC99" s="634">
        <f>WWWW[[#This Row],[HRP2]]/WWWW[[#This Row],[Total PoP ]]</f>
        <v>0</v>
      </c>
      <c r="DD9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9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9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99" s="425">
        <f>IF(WWWW[[#This Row],['# of functional latrines in THF supported by WASH partners during the reporting period2]]="",0,WWWW[[#This Row],['# of functional latrines in THF supported by WASH partners during the reporting period2]]*50)</f>
        <v>0</v>
      </c>
      <c r="DH99" s="761">
        <f>ROUND(IF(WWWW[[#This Row],[Location Type 1]]="camp",WWWW[[#This Row],[Total PoP ]]/20,IF(WWWW[[#This Row],[Location Type 1]]="Temporary Location",WWWW[[#This Row],[Total PoP ]]/50,(WWWW[[#This Row],[Total PoP ]]/6))),0)</f>
        <v>27</v>
      </c>
      <c r="DI99" s="761">
        <f>IF(WWWW[[#This Row],[Total required Latrines]]-(WWWW[[#This Row],['#_Constructed latrines_by_WASHAgencies]]+WWWW[[#This Row],['#_Non Cluster partner latrines]])&lt;0,0,WWWW[[#This Row],[Total required Latrines]]-(WWWW[[#This Row],['#_Constructed latrines_by_WASHAgencies]]+WWWW[[#This Row],['#_Non Cluster partner latrines]]))</f>
        <v>27</v>
      </c>
      <c r="DJ99" s="763">
        <f>1-WWWW[[#This Row],[% people access to functioning Latrine]]</f>
        <v>1</v>
      </c>
      <c r="DK99" s="762">
        <f>IF(OR(WWWW[[#This Row],['#_Non-functional latrines]]="",WWWW[[#This Row],['#_Non-functional latrines]]=0),0,WWWW[[#This Row],['#_Non-functional latrines]]/(WWWW[[#This Row],['#_Constructed latrines_by_WASHAgencies]]+WWWW[[#This Row],['#_Non Cluster partner latrines]]))</f>
        <v>0</v>
      </c>
      <c r="DL99" s="758">
        <f>IF(500*(WWWW[[#This Row],['#_male hygiene promoters]]+WWWW[[#This Row],['#_female hygiene promoters]])&gt;WWWW[[#This Row],[Total PoP ]],WWWW[[#This Row],[Total PoP ]],500*(WWWW[[#This Row],['#_male hygiene promoters]]+WWWW[[#This Row],['#_female hygiene promoters]]))</f>
        <v>0</v>
      </c>
      <c r="DM9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9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99" s="761">
        <f>IF(WWWW[[#This Row],['# People with access to soap]]&gt;WWWW[[#This Row],['# People with access to Sanity Pads]],WWWW[[#This Row],['# People with access to soap]],WWWW[[#This Row],['# People with access to Sanity Pads]])</f>
        <v>520</v>
      </c>
      <c r="DP99" s="761">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99" s="763">
        <f>IF(WWWW[[#This Row],[HRP3]]/WWWW[[#This Row],[Total PoP ]]&gt;1,1,WWWW[[#This Row],[HRP3]]/WWWW[[#This Row],[Total PoP ]])</f>
        <v>0.95588235294117652</v>
      </c>
      <c r="DR99" s="762">
        <f>1-WWWW[[#This Row],[Hygiene Coverage%]]</f>
        <v>4.4117647058823484E-2</v>
      </c>
      <c r="DS99" s="760">
        <f>WWWW[[#This Row],['# people reached by regular dedicated hygiene promotion_5]]/WWWW[[#This Row],[Total PoP ]]</f>
        <v>0</v>
      </c>
      <c r="DT9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9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99" s="761">
        <f>WWWW[[#This Row],['#_Constructed/Existing hand washing stations]]-WWWW[[#This Row],['#_Non-Functional_hand_washing_stations]]</f>
        <v>7</v>
      </c>
      <c r="DW99" s="758">
        <f>IF(WWWW[[#This Row],['# Functional hand washing stations during reporting period]]*20&gt;WWWW[[#This Row],[Total HH]],WWWW[[#This Row],[Total HH]],WWWW[[#This Row],['# Functional hand washing stations during reporting period]]*20)</f>
        <v>97</v>
      </c>
      <c r="DX99" s="758">
        <f>IF(WWWW[[#This Row],[Is sufficient soap available for TLS? (Yes/No)]]="yes",WWWW[[#This Row],['#_Constructed/Existing hand washing stations at TLS/CFS/THF]],0)</f>
        <v>0</v>
      </c>
      <c r="DY99" s="429">
        <f>IF(WWWW[[#This Row],['# Functional hand washing stations during reporting period]]*100&gt;WWWW[[#This Row],[Total PoP ]],WWWW[[#This Row],[Total PoP ]],WWWW[[#This Row],['# Functional hand washing stations during reporting period]]*100)</f>
        <v>544</v>
      </c>
      <c r="DZ99" s="429" t="str">
        <f>IF(OR(WWWW[[#This Row],['#_students at TLS_CFS]]="",WWWW[[#This Row],['#_students at TLS_CFS]]=0),"No","Yes")</f>
        <v>No</v>
      </c>
      <c r="EA9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9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9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9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99" s="754">
        <f>VLOOKUP(WWWW[[#This Row],[Site Name]],SiteDB6[[Site Name]:[CCCM Management]],6,FALSE)</f>
        <v>0</v>
      </c>
      <c r="EF99" s="754" t="str">
        <f>VLOOKUP(WWWW[[#This Row],[Site Name]],SiteDB6[[Site Name]:[CCCM Focal Agency]],7,FALSE)</f>
        <v>uncovered</v>
      </c>
      <c r="EG99" s="754" t="str">
        <f>VLOOKUP(WWWW[[#This Row],[Site Name]],SiteDB6[[Site Name]:[Location Type 1]],9,FALSE)</f>
        <v>Camp</v>
      </c>
      <c r="EH99" s="754" t="str">
        <f>VLOOKUP(WWWW[[#This Row],[Site Name]],SiteDB6[[Site Name]:[Type of Accommodation]],10,FALSE)</f>
        <v>IDPs in host</v>
      </c>
      <c r="EI99" s="754" t="str">
        <f>VLOOKUP(WWWW[[#This Row],[Site Name]],SiteDB6[[Site Name]:[Ethnic or GCA/NGCA]],11,FALSE)</f>
        <v>GCA</v>
      </c>
      <c r="EJ99" s="754">
        <f>VLOOKUP(WWWW[[#This Row],[Site Name]],SiteDB6[[Site Name]:[Lat]],12,FALSE)</f>
        <v>23.827870999999998</v>
      </c>
      <c r="EK99" s="754">
        <f>VLOOKUP(WWWW[[#This Row],[Site Name]],SiteDB6[[Site Name]:[Long]],13,FALSE)</f>
        <v>97.588291999999996</v>
      </c>
      <c r="EL99" s="754" t="str">
        <f>VLOOKUP(WWWW[[#This Row],[Site Name]],SiteDB6[[Site Name]:[Pcode]],3,FALSE)</f>
        <v>MMR001CMP134</v>
      </c>
      <c r="EM99" s="759" t="str">
        <f t="shared" si="1"/>
        <v>Covered</v>
      </c>
      <c r="EN99" s="759"/>
      <c r="EO99" s="754">
        <f>VLOOKUP(WWWW[[#This Row],[Site Name]],SiteDB6[[Site Name]:[Pop
(Kachin/Shan-CCCM as of July 2021)]],16,FALSE)</f>
        <v>120</v>
      </c>
      <c r="EP99" s="754">
        <f>VLOOKUP(WWWW[[#This Row],[Site Name]],SiteDB6[[Site Name]:[Pop
(Kachin/Shan-CCCM as of July 2021)]],17,FALSE)</f>
        <v>664</v>
      </c>
    </row>
    <row r="100" spans="1:146" hidden="1">
      <c r="A100" s="752" t="s">
        <v>2785</v>
      </c>
      <c r="B100" s="752" t="s">
        <v>192</v>
      </c>
      <c r="C100" s="753" t="s">
        <v>192</v>
      </c>
      <c r="D100" s="753" t="s">
        <v>2691</v>
      </c>
      <c r="E100" s="753" t="s">
        <v>37</v>
      </c>
      <c r="F100" s="753" t="s">
        <v>38</v>
      </c>
      <c r="G100" s="594" t="str">
        <f>VLOOKUP(WWWW[[#This Row],[Site Name]],SiteDB6[[Site Name]:[Location Type]],8,FALSE)</f>
        <v>Camp</v>
      </c>
      <c r="H100" s="753" t="s">
        <v>193</v>
      </c>
      <c r="I100" s="755">
        <v>172</v>
      </c>
      <c r="J100" s="755">
        <v>789</v>
      </c>
      <c r="K100" s="756" t="s">
        <v>2692</v>
      </c>
      <c r="L100" s="757" t="s">
        <v>2694</v>
      </c>
      <c r="M100" s="755"/>
      <c r="N100" s="755"/>
      <c r="O100" s="755"/>
      <c r="P100" s="755"/>
      <c r="Q100" s="758" t="s">
        <v>41</v>
      </c>
      <c r="R100" s="755"/>
      <c r="S100" s="755">
        <v>7</v>
      </c>
      <c r="T100" s="449">
        <v>2</v>
      </c>
      <c r="U100" s="755"/>
      <c r="V100" s="755"/>
      <c r="W100" s="755">
        <v>2</v>
      </c>
      <c r="X100" s="755">
        <v>3</v>
      </c>
      <c r="Y100" s="755"/>
      <c r="Z100" s="755"/>
      <c r="AA100" s="755"/>
      <c r="AB100" s="755"/>
      <c r="AC100" s="755"/>
      <c r="AD100" s="755"/>
      <c r="AE100" s="755"/>
      <c r="AF100" s="755"/>
      <c r="AG100" s="755"/>
      <c r="AH100" s="755"/>
      <c r="AI100" s="755"/>
      <c r="AJ100" s="755"/>
      <c r="AK100" s="755"/>
      <c r="AL100" s="755"/>
      <c r="AM100" s="755">
        <v>1</v>
      </c>
      <c r="AN100" s="755"/>
      <c r="AO100" s="755"/>
      <c r="AP100" s="759"/>
      <c r="AQ100" s="755">
        <v>40</v>
      </c>
      <c r="AR100" s="755"/>
      <c r="AS100" s="760"/>
      <c r="AT100" s="755"/>
      <c r="AU100" s="755"/>
      <c r="AV100" s="755"/>
      <c r="AW100" s="755"/>
      <c r="AX100" s="755"/>
      <c r="AY100" s="754" t="s">
        <v>41</v>
      </c>
      <c r="AZ100" s="759" t="s">
        <v>137</v>
      </c>
      <c r="BA100" s="755"/>
      <c r="BB100" s="755">
        <v>1</v>
      </c>
      <c r="BC100" s="755">
        <v>3</v>
      </c>
      <c r="BD100" s="449"/>
      <c r="BE100" s="449">
        <v>1</v>
      </c>
      <c r="BF100" s="754"/>
      <c r="BG100" s="755">
        <v>3</v>
      </c>
      <c r="BH100" s="755"/>
      <c r="BI100" s="755"/>
      <c r="BJ100" s="755">
        <v>2</v>
      </c>
      <c r="BK100" s="755"/>
      <c r="BL100" s="755"/>
      <c r="BM100" s="755">
        <v>3</v>
      </c>
      <c r="BN100" s="755">
        <v>88</v>
      </c>
      <c r="BO100" s="755">
        <v>100</v>
      </c>
      <c r="BP100" s="754"/>
      <c r="BQ100" s="761"/>
      <c r="BR100" s="760"/>
      <c r="BS100" s="754"/>
      <c r="BT100" s="424"/>
      <c r="BU100" s="424"/>
      <c r="BV100" s="426"/>
      <c r="BW100" s="424"/>
      <c r="BX100" s="449"/>
      <c r="BY100" s="449"/>
      <c r="BZ100" s="449"/>
      <c r="CA100" s="449"/>
      <c r="CB100" s="449"/>
      <c r="CC100" s="807"/>
      <c r="CD100" s="449"/>
      <c r="CE100" s="762" t="str">
        <f>IFERROR(WWWW[[#This Row],['#_Water sources passed]]/WWWW[[#This Row],['#_Water sources tested for fecal coliform ]],"no test")</f>
        <v>no test</v>
      </c>
      <c r="CF100" s="760" t="str">
        <f>IFERROR(WWWW[[#This Row],['#_Household passed]]/WWWW[[#This Row],['#_Household water samples tested for fecal coliform]],"no test")</f>
        <v>no test</v>
      </c>
      <c r="CG100" s="761" t="str">
        <f>IF(AND(WWWW[[#This Row],[% of water sources passed]]="no test",WWWW[[#This Row],[% Household passed]]="no test"),"No Test","Tested")</f>
        <v>No Test</v>
      </c>
      <c r="CH100" s="761">
        <f>WWWW[[#This Row],['#_Constructed/existing protected hand dug well]]-WWWW[[#This Row],['#_Non-functional protected hand dug well]]</f>
        <v>2</v>
      </c>
      <c r="CI100" s="761">
        <f>(WWWW[[#This Row],['#_Constructed/Existing tube wells/boreholes/handpumps_WASH_agency]]+WWWW[[#This Row],['#_Non-Cluster partner water tube-wells/boreholes/handpumps]])-WWWW[[#This Row],['#_Non-functional tube wells/boreholes/handpumps]]</f>
        <v>5</v>
      </c>
      <c r="CJ100" s="761">
        <f>WWWW[[#This Row],['#_Constructed/Existingwater storage tank with gravity fed reticulation system]]-WWWW[[#This Row],['#_Non-functional storage tank gravity fed reticulation system]]</f>
        <v>0</v>
      </c>
      <c r="CK100" s="761">
        <f>(WWWW[[#This Row],['#_Water_Liters_supplied_by_Water boating or water trucking]]/90)/15</f>
        <v>0</v>
      </c>
      <c r="CL100" s="761">
        <f>WWWW[[#This Row],['#_Water_Liters_from_Constructed/Existing water distribution system from river or natural spring]]/90/15</f>
        <v>0</v>
      </c>
      <c r="CM100" s="425">
        <f>IF(WWWW[[#This Row],['#_of water points in TLS/CFS]]*500&gt;WWWW[[#This Row],[Total PoP ]],WWWW[[#This Row],[Total PoP ]],WWWW[[#This Row],['#_of water points in TLS/CFS]]*500)</f>
        <v>0</v>
      </c>
      <c r="CN100" s="425">
        <f>IF(WWWW[[#This Row],['#_of water points in THF]]*500&gt;WWWW[[#This Row],[Total PoP ]],WWWW[[#This Row],[Total PoP ]],WWWW[[#This Row],['#_of water points in THF]]*500)</f>
        <v>0</v>
      </c>
      <c r="CO10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0" s="760">
        <f>IF(WWWW[[#This Row],[Location Type 1]]="Village",WWWW[[#This Row],[Access to safe drinking water for Village]],WWWW[[#This Row],[Access to safe drinking water for Camp]])</f>
        <v>1</v>
      </c>
      <c r="CR100" s="758">
        <f>WWWW[[#This Row],[%Equitable and continuous access to sufficient quantity of safe drinking water]]*WWWW[[#This Row],[Total PoP ]]</f>
        <v>789</v>
      </c>
      <c r="CS100" s="760">
        <f>IF((WWWW[[#This Row],['#_Constructed/Existing protected/fenced ponds]]*250)/WWWW[[#This Row],[Total PoP ]]&gt;1,1,(WWWW[[#This Row],['#_Constructed/Existing protected/fenced ponds]]*250)/WWWW[[#This Row],[Total PoP ]])</f>
        <v>0</v>
      </c>
      <c r="CT100" s="758">
        <f>WWWW[[#This Row],[% Access to unimproved water points]]*WWWW[[#This Row],[Total PoP ]]</f>
        <v>0</v>
      </c>
      <c r="CU10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100" s="758">
        <f>WWWW[[#This Row],[HRP1]]/500</f>
        <v>1.5780000000000001</v>
      </c>
      <c r="CX100" s="763">
        <f>1-WWWW[[#This Row],[% Equitable and continuous access to sufficient quantity of domestic water]]</f>
        <v>0</v>
      </c>
      <c r="CY100" s="758">
        <f>WWWW[[#This Row],[%equitable and continuous access to sufficient quantity of safe drinking and domestic water''s GAP]]*WWWW[[#This Row],[Total PoP ]]</f>
        <v>0</v>
      </c>
      <c r="CZ100" s="761">
        <f>IF(WWWW[[#This Row],[Total required water points]]-WWWW[[#This Row],['#Water points coverage]]&lt;0,0,WWWW[[#This Row],[Total required water points]]-WWWW[[#This Row],['#Water points coverage]])</f>
        <v>0.42199999999999993</v>
      </c>
      <c r="DA100" s="761">
        <f>ROUND(IF(WWWW[[#This Row],[Total PoP ]]&lt;500,1,WWWW[[#This Row],[Total PoP ]]/500),0)</f>
        <v>2</v>
      </c>
      <c r="DB100" s="761">
        <f>(WWWW[[#This Row],['#_Constructed latrines_by_WASHAgencies]]+WWWW[[#This Row],['#_Non Cluster partner latrines]])-WWWW[[#This Row],['#_Non-functional latrines]]</f>
        <v>40</v>
      </c>
      <c r="DC100" s="634">
        <f>WWWW[[#This Row],[HRP2]]/WWWW[[#This Row],[Total PoP ]]</f>
        <v>1</v>
      </c>
      <c r="DD10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10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0" s="425">
        <f>IF(WWWW[[#This Row],['# of functional latrines in THF supported by WASH partners during the reporting period2]]="",0,WWWW[[#This Row],['# of functional latrines in THF supported by WASH partners during the reporting period2]]*50)</f>
        <v>0</v>
      </c>
      <c r="DH100" s="761">
        <f>ROUND(IF(WWWW[[#This Row],[Location Type 1]]="camp",WWWW[[#This Row],[Total PoP ]]/20,IF(WWWW[[#This Row],[Location Type 1]]="Temporary Location",WWWW[[#This Row],[Total PoP ]]/50,(WWWW[[#This Row],[Total PoP ]]/6))),0)</f>
        <v>39</v>
      </c>
      <c r="DI100" s="761">
        <f>IF(WWWW[[#This Row],[Total required Latrines]]-(WWWW[[#This Row],['#_Constructed latrines_by_WASHAgencies]]+WWWW[[#This Row],['#_Non Cluster partner latrines]])&lt;0,0,WWWW[[#This Row],[Total required Latrines]]-(WWWW[[#This Row],['#_Constructed latrines_by_WASHAgencies]]+WWWW[[#This Row],['#_Non Cluster partner latrines]]))</f>
        <v>0</v>
      </c>
      <c r="DJ100" s="763">
        <f>1-WWWW[[#This Row],[% people access to functioning Latrine]]</f>
        <v>0</v>
      </c>
      <c r="DK100" s="762">
        <f>IF(OR(WWWW[[#This Row],['#_Non-functional latrines]]="",WWWW[[#This Row],['#_Non-functional latrines]]=0),0,WWWW[[#This Row],['#_Non-functional latrines]]/(WWWW[[#This Row],['#_Constructed latrines_by_WASHAgencies]]+WWWW[[#This Row],['#_Non Cluster partner latrines]]))</f>
        <v>0</v>
      </c>
      <c r="DL100" s="758">
        <f>IF(500*(WWWW[[#This Row],['#_male hygiene promoters]]+WWWW[[#This Row],['#_female hygiene promoters]])&gt;WWWW[[#This Row],[Total PoP ]],WWWW[[#This Row],[Total PoP ]],500*(WWWW[[#This Row],['#_male hygiene promoters]]+WWWW[[#This Row],['#_female hygiene promoters]]))</f>
        <v>789</v>
      </c>
      <c r="DM10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0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00" s="761">
        <f>IF(WWWW[[#This Row],['# People with access to soap]]&gt;WWWW[[#This Row],['# People with access to Sanity Pads]],WWWW[[#This Row],['# People with access to soap]],WWWW[[#This Row],['# People with access to Sanity Pads]])</f>
        <v>440</v>
      </c>
      <c r="DP100" s="761">
        <f>IF(WWWW[[#This Row],['# people reached by regular dedicated hygiene promotion_5]]&gt;WWWW[[#This Row],['# People received regular supply of hygiene items_6]],WWWW[[#This Row],['# people reached by regular dedicated hygiene promotion_5]],WWWW[[#This Row],['# People received regular supply of hygiene items_6]])</f>
        <v>789</v>
      </c>
      <c r="DQ100" s="763">
        <f>IF(WWWW[[#This Row],[HRP3]]/WWWW[[#This Row],[Total PoP ]]&gt;1,1,WWWW[[#This Row],[HRP3]]/WWWW[[#This Row],[Total PoP ]])</f>
        <v>1</v>
      </c>
      <c r="DR100" s="762">
        <f>1-WWWW[[#This Row],[Hygiene Coverage%]]</f>
        <v>0</v>
      </c>
      <c r="DS100" s="760">
        <f>WWWW[[#This Row],['# people reached by regular dedicated hygiene promotion_5]]/WWWW[[#This Row],[Total PoP ]]</f>
        <v>1</v>
      </c>
      <c r="DT10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0.58139534883720934</v>
      </c>
      <c r="DV100" s="761">
        <f>WWWW[[#This Row],['#_Constructed/Existing hand washing stations]]-WWWW[[#This Row],['#_Non-Functional_hand_washing_stations]]</f>
        <v>3</v>
      </c>
      <c r="DW100" s="758">
        <f>IF(WWWW[[#This Row],['# Functional hand washing stations during reporting period]]*20&gt;WWWW[[#This Row],[Total HH]],WWWW[[#This Row],[Total HH]],WWWW[[#This Row],['# Functional hand washing stations during reporting period]]*20)</f>
        <v>60</v>
      </c>
      <c r="DX100" s="758">
        <f>IF(WWWW[[#This Row],[Is sufficient soap available for TLS? (Yes/No)]]="yes",WWWW[[#This Row],['#_Constructed/Existing hand washing stations at TLS/CFS/THF]],0)</f>
        <v>0</v>
      </c>
      <c r="DY100" s="429">
        <f>IF(WWWW[[#This Row],['# Functional hand washing stations during reporting period]]*100&gt;WWWW[[#This Row],[Total PoP ]],WWWW[[#This Row],[Total PoP ]],WWWW[[#This Row],['# Functional hand washing stations during reporting period]]*100)</f>
        <v>300</v>
      </c>
      <c r="DZ100" s="429" t="str">
        <f>IF(OR(WWWW[[#This Row],['#_students at TLS_CFS]]="",WWWW[[#This Row],['#_students at TLS_CFS]]=0),"No","Yes")</f>
        <v>No</v>
      </c>
      <c r="EA10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0" s="754" t="str">
        <f>VLOOKUP(WWWW[[#This Row],[Site Name]],SiteDB6[[Site Name]:[CCCM Management]],6,FALSE)</f>
        <v>Yes</v>
      </c>
      <c r="EF100" s="754" t="str">
        <f>VLOOKUP(WWWW[[#This Row],[Site Name]],SiteDB6[[Site Name]:[CCCM Focal Agency]],7,FALSE)</f>
        <v>KBC-BMO</v>
      </c>
      <c r="EG100" s="754" t="str">
        <f>VLOOKUP(WWWW[[#This Row],[Site Name]],SiteDB6[[Site Name]:[Location Type 1]],9,FALSE)</f>
        <v>Camp</v>
      </c>
      <c r="EH100" s="754" t="str">
        <f>VLOOKUP(WWWW[[#This Row],[Site Name]],SiteDB6[[Site Name]:[Type of Accommodation]],10,FALSE)</f>
        <v>Camp</v>
      </c>
      <c r="EI100" s="754" t="str">
        <f>VLOOKUP(WWWW[[#This Row],[Site Name]],SiteDB6[[Site Name]:[Ethnic or GCA/NGCA]],11,FALSE)</f>
        <v>GCA</v>
      </c>
      <c r="EJ100" s="754">
        <f>VLOOKUP(WWWW[[#This Row],[Site Name]],SiteDB6[[Site Name]:[Lat]],12,FALSE)</f>
        <v>24.129059999999999</v>
      </c>
      <c r="EK100" s="754">
        <f>VLOOKUP(WWWW[[#This Row],[Site Name]],SiteDB6[[Site Name]:[Long]],13,FALSE)</f>
        <v>97.291820000000001</v>
      </c>
      <c r="EL100" s="754" t="str">
        <f>VLOOKUP(WWWW[[#This Row],[Site Name]],SiteDB6[[Site Name]:[Pcode]],3,FALSE)</f>
        <v>MMR001CMP066</v>
      </c>
      <c r="EM100" s="759" t="str">
        <f t="shared" si="1"/>
        <v>Covered</v>
      </c>
      <c r="EN100" s="759"/>
      <c r="EO100" s="754">
        <f>VLOOKUP(WWWW[[#This Row],[Site Name]],SiteDB6[[Site Name]:[Pop
(Kachin/Shan-CCCM as of July 2021)]],16,FALSE)</f>
        <v>181</v>
      </c>
      <c r="EP100" s="754">
        <f>VLOOKUP(WWWW[[#This Row],[Site Name]],SiteDB6[[Site Name]:[Pop
(Kachin/Shan-CCCM as of July 2021)]],17,FALSE)</f>
        <v>815</v>
      </c>
    </row>
    <row r="101" spans="1:146" hidden="1">
      <c r="A101" s="752" t="s">
        <v>2785</v>
      </c>
      <c r="B101" s="729" t="s">
        <v>192</v>
      </c>
      <c r="C101" s="370" t="s">
        <v>192</v>
      </c>
      <c r="D101" s="370" t="s">
        <v>2695</v>
      </c>
      <c r="E101" s="753" t="s">
        <v>515</v>
      </c>
      <c r="F101" s="753" t="s">
        <v>522</v>
      </c>
      <c r="G101" s="594" t="str">
        <f>VLOOKUP(WWWW[[#This Row],[Site Name]],SiteDB6[[Site Name]:[Location Type]],8,FALSE)</f>
        <v>Camp</v>
      </c>
      <c r="H101" s="753" t="s">
        <v>548</v>
      </c>
      <c r="I101" s="449">
        <v>28</v>
      </c>
      <c r="J101" s="449">
        <v>125</v>
      </c>
      <c r="K101" s="591" t="s">
        <v>2789</v>
      </c>
      <c r="L101" s="592" t="s">
        <v>2790</v>
      </c>
      <c r="M101" s="755"/>
      <c r="N101" s="755"/>
      <c r="O101" s="755">
        <v>1</v>
      </c>
      <c r="P101" s="755"/>
      <c r="Q101" s="758" t="s">
        <v>41</v>
      </c>
      <c r="R101" s="755"/>
      <c r="S101" s="755"/>
      <c r="T101" s="449"/>
      <c r="U101" s="755"/>
      <c r="V101" s="755"/>
      <c r="W101" s="755">
        <v>1</v>
      </c>
      <c r="X101" s="755">
        <v>1</v>
      </c>
      <c r="Y101" s="755"/>
      <c r="Z101" s="755"/>
      <c r="AA101" s="755"/>
      <c r="AB101" s="755"/>
      <c r="AC101" s="755"/>
      <c r="AD101" s="755"/>
      <c r="AE101" s="755"/>
      <c r="AF101" s="755"/>
      <c r="AG101" s="755"/>
      <c r="AH101" s="755"/>
      <c r="AI101" s="755"/>
      <c r="AJ101" s="755"/>
      <c r="AK101" s="755"/>
      <c r="AL101" s="755"/>
      <c r="AM101" s="755"/>
      <c r="AN101" s="755"/>
      <c r="AO101" s="755"/>
      <c r="AP101" s="759"/>
      <c r="AQ101" s="755">
        <v>18</v>
      </c>
      <c r="AR101" s="755"/>
      <c r="AS101" s="760"/>
      <c r="AT101" s="755"/>
      <c r="AU101" s="755"/>
      <c r="AV101" s="755"/>
      <c r="AW101" s="755"/>
      <c r="AX101" s="755"/>
      <c r="AY101" s="754" t="s">
        <v>41</v>
      </c>
      <c r="AZ101" s="759" t="s">
        <v>137</v>
      </c>
      <c r="BA101" s="755"/>
      <c r="BB101" s="755"/>
      <c r="BC101" s="755"/>
      <c r="BD101" s="449"/>
      <c r="BE101" s="449"/>
      <c r="BF101" s="754"/>
      <c r="BG101" s="755">
        <v>7</v>
      </c>
      <c r="BH101" s="755"/>
      <c r="BI101" s="755"/>
      <c r="BJ101" s="755">
        <v>4</v>
      </c>
      <c r="BK101" s="755"/>
      <c r="BL101" s="755"/>
      <c r="BM101" s="755">
        <v>1</v>
      </c>
      <c r="BN101" s="755">
        <v>124</v>
      </c>
      <c r="BO101" s="755">
        <v>198</v>
      </c>
      <c r="BP101" s="754"/>
      <c r="BQ101" s="761"/>
      <c r="BR101" s="760"/>
      <c r="BS101" s="754"/>
      <c r="BT101" s="424"/>
      <c r="BU101" s="424"/>
      <c r="BV101" s="426"/>
      <c r="BW101" s="424"/>
      <c r="BX101" s="449"/>
      <c r="BY101" s="449"/>
      <c r="BZ101" s="449"/>
      <c r="CA101" s="449"/>
      <c r="CB101" s="449"/>
      <c r="CC101" s="807"/>
      <c r="CD101" s="449"/>
      <c r="CE101" s="762" t="str">
        <f>IFERROR(WWWW[[#This Row],['#_Water sources passed]]/WWWW[[#This Row],['#_Water sources tested for fecal coliform ]],"no test")</f>
        <v>no test</v>
      </c>
      <c r="CF101" s="760" t="str">
        <f>IFERROR(WWWW[[#This Row],['#_Household passed]]/WWWW[[#This Row],['#_Household water samples tested for fecal coliform]],"no test")</f>
        <v>no test</v>
      </c>
      <c r="CG101" s="761" t="str">
        <f>IF(AND(WWWW[[#This Row],[% of water sources passed]]="no test",WWWW[[#This Row],[% Household passed]]="no test"),"No Test","Tested")</f>
        <v>No Test</v>
      </c>
      <c r="CH101" s="761">
        <f>WWWW[[#This Row],['#_Constructed/existing protected hand dug well]]-WWWW[[#This Row],['#_Non-functional protected hand dug well]]</f>
        <v>0</v>
      </c>
      <c r="CI101" s="761">
        <f>(WWWW[[#This Row],['#_Constructed/Existing tube wells/boreholes/handpumps_WASH_agency]]+WWWW[[#This Row],['#_Non-Cluster partner water tube-wells/boreholes/handpumps]])-WWWW[[#This Row],['#_Non-functional tube wells/boreholes/handpumps]]</f>
        <v>2</v>
      </c>
      <c r="CJ101" s="761">
        <f>WWWW[[#This Row],['#_Constructed/Existingwater storage tank with gravity fed reticulation system]]-WWWW[[#This Row],['#_Non-functional storage tank gravity fed reticulation system]]</f>
        <v>0</v>
      </c>
      <c r="CK101" s="761">
        <f>(WWWW[[#This Row],['#_Water_Liters_supplied_by_Water boating or water trucking]]/90)/15</f>
        <v>0</v>
      </c>
      <c r="CL101" s="761">
        <f>WWWW[[#This Row],['#_Water_Liters_from_Constructed/Existing water distribution system from river or natural spring]]/90/15</f>
        <v>0</v>
      </c>
      <c r="CM101" s="425">
        <f>IF(WWWW[[#This Row],['#_of water points in TLS/CFS]]*500&gt;WWWW[[#This Row],[Total PoP ]],WWWW[[#This Row],[Total PoP ]],WWWW[[#This Row],['#_of water points in TLS/CFS]]*500)</f>
        <v>0</v>
      </c>
      <c r="CN101" s="425">
        <f>IF(WWWW[[#This Row],['#_of water points in THF]]*500&gt;WWWW[[#This Row],[Total PoP ]],WWWW[[#This Row],[Total PoP ]],WWWW[[#This Row],['#_of water points in THF]]*500)</f>
        <v>0</v>
      </c>
      <c r="CO10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1" s="760">
        <f>IF(WWWW[[#This Row],[Location Type 1]]="Village",WWWW[[#This Row],[Access to safe drinking water for Village]],WWWW[[#This Row],[Access to safe drinking water for Camp]])</f>
        <v>1</v>
      </c>
      <c r="CR101" s="758">
        <f>WWWW[[#This Row],[%Equitable and continuous access to sufficient quantity of safe drinking water]]*WWWW[[#This Row],[Total PoP ]]</f>
        <v>125</v>
      </c>
      <c r="CS101" s="760">
        <f>IF((WWWW[[#This Row],['#_Constructed/Existing protected/fenced ponds]]*250)/WWWW[[#This Row],[Total PoP ]]&gt;1,1,(WWWW[[#This Row],['#_Constructed/Existing protected/fenced ponds]]*250)/WWWW[[#This Row],[Total PoP ]])</f>
        <v>0</v>
      </c>
      <c r="CT101" s="758">
        <f>WWWW[[#This Row],[% Access to unimproved water points]]*WWWW[[#This Row],[Total PoP ]]</f>
        <v>0</v>
      </c>
      <c r="CU10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101" s="758">
        <f>WWWW[[#This Row],[HRP1]]/500</f>
        <v>0.25</v>
      </c>
      <c r="CX101" s="763">
        <f>1-WWWW[[#This Row],[% Equitable and continuous access to sufficient quantity of domestic water]]</f>
        <v>0</v>
      </c>
      <c r="CY101" s="758">
        <f>WWWW[[#This Row],[%equitable and continuous access to sufficient quantity of safe drinking and domestic water''s GAP]]*WWWW[[#This Row],[Total PoP ]]</f>
        <v>0</v>
      </c>
      <c r="CZ101" s="761">
        <f>IF(WWWW[[#This Row],[Total required water points]]-WWWW[[#This Row],['#Water points coverage]]&lt;0,0,WWWW[[#This Row],[Total required water points]]-WWWW[[#This Row],['#Water points coverage]])</f>
        <v>0.75</v>
      </c>
      <c r="DA101" s="761">
        <f>ROUND(IF(WWWW[[#This Row],[Total PoP ]]&lt;500,1,WWWW[[#This Row],[Total PoP ]]/500),0)</f>
        <v>1</v>
      </c>
      <c r="DB101" s="761">
        <f>(WWWW[[#This Row],['#_Constructed latrines_by_WASHAgencies]]+WWWW[[#This Row],['#_Non Cluster partner latrines]])-WWWW[[#This Row],['#_Non-functional latrines]]</f>
        <v>18</v>
      </c>
      <c r="DC101" s="634">
        <f>WWWW[[#This Row],[HRP2]]/WWWW[[#This Row],[Total PoP ]]</f>
        <v>1</v>
      </c>
      <c r="DD10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10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1" s="425">
        <f>IF(WWWW[[#This Row],['# of functional latrines in THF supported by WASH partners during the reporting period2]]="",0,WWWW[[#This Row],['# of functional latrines in THF supported by WASH partners during the reporting period2]]*50)</f>
        <v>0</v>
      </c>
      <c r="DH101" s="761">
        <f>ROUND(IF(WWWW[[#This Row],[Location Type 1]]="camp",WWWW[[#This Row],[Total PoP ]]/20,IF(WWWW[[#This Row],[Location Type 1]]="Temporary Location",WWWW[[#This Row],[Total PoP ]]/50,(WWWW[[#This Row],[Total PoP ]]/6))),0)</f>
        <v>6</v>
      </c>
      <c r="DI101" s="761">
        <f>IF(WWWW[[#This Row],[Total required Latrines]]-(WWWW[[#This Row],['#_Constructed latrines_by_WASHAgencies]]+WWWW[[#This Row],['#_Non Cluster partner latrines]])&lt;0,0,WWWW[[#This Row],[Total required Latrines]]-(WWWW[[#This Row],['#_Constructed latrines_by_WASHAgencies]]+WWWW[[#This Row],['#_Non Cluster partner latrines]]))</f>
        <v>0</v>
      </c>
      <c r="DJ101" s="763">
        <f>1-WWWW[[#This Row],[% people access to functioning Latrine]]</f>
        <v>0</v>
      </c>
      <c r="DK101" s="762">
        <f>IF(OR(WWWW[[#This Row],['#_Non-functional latrines]]="",WWWW[[#This Row],['#_Non-functional latrines]]=0),0,WWWW[[#This Row],['#_Non-functional latrines]]/(WWWW[[#This Row],['#_Constructed latrines_by_WASHAgencies]]+WWWW[[#This Row],['#_Non Cluster partner latrines]]))</f>
        <v>0</v>
      </c>
      <c r="DL101" s="758">
        <f>IF(500*(WWWW[[#This Row],['#_male hygiene promoters]]+WWWW[[#This Row],['#_female hygiene promoters]])&gt;WWWW[[#This Row],[Total PoP ]],WWWW[[#This Row],[Total PoP ]],500*(WWWW[[#This Row],['#_male hygiene promoters]]+WWWW[[#This Row],['#_female hygiene promoters]]))</f>
        <v>125</v>
      </c>
      <c r="DM10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125</v>
      </c>
      <c r="DN10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125</v>
      </c>
      <c r="DO101" s="761">
        <f>IF(WWWW[[#This Row],['# People with access to soap]]&gt;WWWW[[#This Row],['# People with access to Sanity Pads]],WWWW[[#This Row],['# People with access to soap]],WWWW[[#This Row],['# People with access to Sanity Pads]])</f>
        <v>125</v>
      </c>
      <c r="DP101" s="761">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101" s="763">
        <f>IF(WWWW[[#This Row],[HRP3]]/WWWW[[#This Row],[Total PoP ]]&gt;1,1,WWWW[[#This Row],[HRP3]]/WWWW[[#This Row],[Total PoP ]])</f>
        <v>1</v>
      </c>
      <c r="DR101" s="762">
        <f>1-WWWW[[#This Row],[Hygiene Coverage%]]</f>
        <v>0</v>
      </c>
      <c r="DS101" s="760">
        <f>WWWW[[#This Row],['# people reached by regular dedicated hygiene promotion_5]]/WWWW[[#This Row],[Total PoP ]]</f>
        <v>1</v>
      </c>
      <c r="DT10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1" s="761">
        <f>WWWW[[#This Row],['#_Constructed/Existing hand washing stations]]-WWWW[[#This Row],['#_Non-Functional_hand_washing_stations]]</f>
        <v>7</v>
      </c>
      <c r="DW101" s="758">
        <f>IF(WWWW[[#This Row],['# Functional hand washing stations during reporting period]]*20&gt;WWWW[[#This Row],[Total HH]],WWWW[[#This Row],[Total HH]],WWWW[[#This Row],['# Functional hand washing stations during reporting period]]*20)</f>
        <v>28</v>
      </c>
      <c r="DX101" s="758">
        <f>IF(WWWW[[#This Row],[Is sufficient soap available for TLS? (Yes/No)]]="yes",WWWW[[#This Row],['#_Constructed/Existing hand washing stations at TLS/CFS/THF]],0)</f>
        <v>0</v>
      </c>
      <c r="DY101" s="429">
        <f>IF(WWWW[[#This Row],['# Functional hand washing stations during reporting period]]*100&gt;WWWW[[#This Row],[Total PoP ]],WWWW[[#This Row],[Total PoP ]],WWWW[[#This Row],['# Functional hand washing stations during reporting period]]*100)</f>
        <v>125</v>
      </c>
      <c r="DZ101" s="429" t="str">
        <f>IF(OR(WWWW[[#This Row],['#_students at TLS_CFS]]="",WWWW[[#This Row],['#_students at TLS_CFS]]=0),"No","Yes")</f>
        <v>No</v>
      </c>
      <c r="EA10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1" s="754" t="str">
        <f>VLOOKUP(WWWW[[#This Row],[Site Name]],SiteDB6[[Site Name]:[CCCM Management]],6,FALSE)</f>
        <v>Yes</v>
      </c>
      <c r="EF101" s="754" t="str">
        <f>VLOOKUP(WWWW[[#This Row],[Site Name]],SiteDB6[[Site Name]:[CCCM Focal Agency]],7,FALSE)</f>
        <v>KBC-NSS</v>
      </c>
      <c r="EG101" s="754" t="str">
        <f>VLOOKUP(WWWW[[#This Row],[Site Name]],SiteDB6[[Site Name]:[Location Type 1]],9,FALSE)</f>
        <v>Camp</v>
      </c>
      <c r="EH101" s="754" t="str">
        <f>VLOOKUP(WWWW[[#This Row],[Site Name]],SiteDB6[[Site Name]:[Type of Accommodation]],10,FALSE)</f>
        <v>Closed Camp</v>
      </c>
      <c r="EI101" s="754" t="str">
        <f>VLOOKUP(WWWW[[#This Row],[Site Name]],SiteDB6[[Site Name]:[Ethnic or GCA/NGCA]],11,FALSE)</f>
        <v>GCA</v>
      </c>
      <c r="EJ101" s="754">
        <f>VLOOKUP(WWWW[[#This Row],[Site Name]],SiteDB6[[Site Name]:[Lat]],12,FALSE)</f>
        <v>23.250678000000001</v>
      </c>
      <c r="EK101" s="754">
        <f>VLOOKUP(WWWW[[#This Row],[Site Name]],SiteDB6[[Site Name]:[Long]],13,FALSE)</f>
        <v>97.124403000000001</v>
      </c>
      <c r="EL101" s="754" t="str">
        <f>VLOOKUP(WWWW[[#This Row],[Site Name]],SiteDB6[[Site Name]:[Pcode]],3,FALSE)</f>
        <v>MMR015CMP009</v>
      </c>
      <c r="EM101" s="759" t="str">
        <f t="shared" si="1"/>
        <v>Covered</v>
      </c>
      <c r="EN101" s="759"/>
      <c r="EO101" s="754">
        <f>VLOOKUP(WWWW[[#This Row],[Site Name]],SiteDB6[[Site Name]:[Pop
(Kachin/Shan-CCCM as of July 2021)]],16,FALSE)</f>
        <v>28</v>
      </c>
      <c r="EP101" s="754">
        <f>VLOOKUP(WWWW[[#This Row],[Site Name]],SiteDB6[[Site Name]:[Pop
(Kachin/Shan-CCCM as of July 2021)]],17,FALSE)</f>
        <v>147</v>
      </c>
    </row>
    <row r="102" spans="1:146" hidden="1">
      <c r="A102" s="752" t="s">
        <v>2785</v>
      </c>
      <c r="B102" s="752" t="s">
        <v>192</v>
      </c>
      <c r="C102" s="753" t="s">
        <v>192</v>
      </c>
      <c r="D102" s="753" t="s">
        <v>2701</v>
      </c>
      <c r="E102" s="753" t="s">
        <v>37</v>
      </c>
      <c r="F102" s="753" t="s">
        <v>205</v>
      </c>
      <c r="G102" s="594" t="str">
        <f>VLOOKUP(WWWW[[#This Row],[Site Name]],SiteDB6[[Site Name]:[Location Type]],8,FALSE)</f>
        <v>Camp_not registered</v>
      </c>
      <c r="H102" s="753" t="s">
        <v>206</v>
      </c>
      <c r="I102" s="755">
        <v>139</v>
      </c>
      <c r="J102" s="755">
        <v>605</v>
      </c>
      <c r="K102" s="756" t="s">
        <v>2692</v>
      </c>
      <c r="L102" s="757" t="s">
        <v>2702</v>
      </c>
      <c r="M102" s="755"/>
      <c r="N102" s="755"/>
      <c r="O102" s="755"/>
      <c r="P102" s="755"/>
      <c r="Q102" s="758" t="s">
        <v>41</v>
      </c>
      <c r="R102" s="755">
        <v>2</v>
      </c>
      <c r="S102" s="755">
        <v>3</v>
      </c>
      <c r="T102" s="449">
        <v>1</v>
      </c>
      <c r="U102" s="755"/>
      <c r="V102" s="755"/>
      <c r="W102" s="755">
        <v>1</v>
      </c>
      <c r="X102" s="755">
        <v>1</v>
      </c>
      <c r="Y102" s="755"/>
      <c r="Z102" s="755"/>
      <c r="AA102" s="755"/>
      <c r="AB102" s="755"/>
      <c r="AC102" s="755"/>
      <c r="AD102" s="755"/>
      <c r="AE102" s="755"/>
      <c r="AF102" s="755"/>
      <c r="AG102" s="755"/>
      <c r="AH102" s="755"/>
      <c r="AI102" s="755"/>
      <c r="AJ102" s="755"/>
      <c r="AK102" s="755"/>
      <c r="AL102" s="755"/>
      <c r="AM102" s="755">
        <v>2</v>
      </c>
      <c r="AN102" s="755"/>
      <c r="AO102" s="755"/>
      <c r="AP102" s="759"/>
      <c r="AQ102" s="755">
        <v>28</v>
      </c>
      <c r="AR102" s="755"/>
      <c r="AS102" s="760"/>
      <c r="AT102" s="755"/>
      <c r="AU102" s="755"/>
      <c r="AV102" s="755"/>
      <c r="AW102" s="755"/>
      <c r="AX102" s="755"/>
      <c r="AY102" s="754" t="s">
        <v>41</v>
      </c>
      <c r="AZ102" s="759" t="s">
        <v>137</v>
      </c>
      <c r="BA102" s="755"/>
      <c r="BB102" s="755"/>
      <c r="BC102" s="755">
        <v>3</v>
      </c>
      <c r="BD102" s="449"/>
      <c r="BE102" s="449"/>
      <c r="BF102" s="754"/>
      <c r="BG102" s="755">
        <v>8</v>
      </c>
      <c r="BH102" s="755"/>
      <c r="BI102" s="755"/>
      <c r="BJ102" s="755">
        <v>3</v>
      </c>
      <c r="BK102" s="755"/>
      <c r="BL102" s="755"/>
      <c r="BM102" s="755">
        <v>1</v>
      </c>
      <c r="BN102" s="755">
        <v>91</v>
      </c>
      <c r="BO102" s="755">
        <v>124</v>
      </c>
      <c r="BP102" s="754"/>
      <c r="BQ102" s="761"/>
      <c r="BR102" s="760"/>
      <c r="BS102" s="754"/>
      <c r="BT102" s="424"/>
      <c r="BU102" s="424"/>
      <c r="BV102" s="426"/>
      <c r="BW102" s="424"/>
      <c r="BX102" s="449"/>
      <c r="BY102" s="449"/>
      <c r="BZ102" s="449"/>
      <c r="CA102" s="449"/>
      <c r="CB102" s="449"/>
      <c r="CC102" s="807"/>
      <c r="CD102" s="449"/>
      <c r="CE102" s="762" t="str">
        <f>IFERROR(WWWW[[#This Row],['#_Water sources passed]]/WWWW[[#This Row],['#_Water sources tested for fecal coliform ]],"no test")</f>
        <v>no test</v>
      </c>
      <c r="CF102" s="760" t="str">
        <f>IFERROR(WWWW[[#This Row],['#_Household passed]]/WWWW[[#This Row],['#_Household water samples tested for fecal coliform]],"no test")</f>
        <v>no test</v>
      </c>
      <c r="CG102" s="761" t="str">
        <f>IF(AND(WWWW[[#This Row],[% of water sources passed]]="no test",WWWW[[#This Row],[% Household passed]]="no test"),"No Test","Tested")</f>
        <v>No Test</v>
      </c>
      <c r="CH102" s="761">
        <f>WWWW[[#This Row],['#_Constructed/existing protected hand dug well]]-WWWW[[#This Row],['#_Non-functional protected hand dug well]]</f>
        <v>1</v>
      </c>
      <c r="CI102" s="761">
        <f>(WWWW[[#This Row],['#_Constructed/Existing tube wells/boreholes/handpumps_WASH_agency]]+WWWW[[#This Row],['#_Non-Cluster partner water tube-wells/boreholes/handpumps]])-WWWW[[#This Row],['#_Non-functional tube wells/boreholes/handpumps]]</f>
        <v>2</v>
      </c>
      <c r="CJ102" s="761">
        <f>WWWW[[#This Row],['#_Constructed/Existingwater storage tank with gravity fed reticulation system]]-WWWW[[#This Row],['#_Non-functional storage tank gravity fed reticulation system]]</f>
        <v>0</v>
      </c>
      <c r="CK102" s="761">
        <f>(WWWW[[#This Row],['#_Water_Liters_supplied_by_Water boating or water trucking]]/90)/15</f>
        <v>0</v>
      </c>
      <c r="CL102" s="761">
        <f>WWWW[[#This Row],['#_Water_Liters_from_Constructed/Existing water distribution system from river or natural spring]]/90/15</f>
        <v>0</v>
      </c>
      <c r="CM102" s="425">
        <f>IF(WWWW[[#This Row],['#_of water points in TLS/CFS]]*500&gt;WWWW[[#This Row],[Total PoP ]],WWWW[[#This Row],[Total PoP ]],WWWW[[#This Row],['#_of water points in TLS/CFS]]*500)</f>
        <v>0</v>
      </c>
      <c r="CN102" s="425">
        <f>IF(WWWW[[#This Row],['#_of water points in THF]]*500&gt;WWWW[[#This Row],[Total PoP ]],WWWW[[#This Row],[Total PoP ]],WWWW[[#This Row],['#_of water points in THF]]*500)</f>
        <v>0</v>
      </c>
      <c r="CO10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2" s="760">
        <f>IF(WWWW[[#This Row],[Location Type 1]]="Village",WWWW[[#This Row],[Access to safe drinking water for Village]],WWWW[[#This Row],[Access to safe drinking water for Camp]])</f>
        <v>1</v>
      </c>
      <c r="CR102" s="758">
        <f>WWWW[[#This Row],[%Equitable and continuous access to sufficient quantity of safe drinking water]]*WWWW[[#This Row],[Total PoP ]]</f>
        <v>605</v>
      </c>
      <c r="CS102" s="760">
        <f>IF((WWWW[[#This Row],['#_Constructed/Existing protected/fenced ponds]]*250)/WWWW[[#This Row],[Total PoP ]]&gt;1,1,(WWWW[[#This Row],['#_Constructed/Existing protected/fenced ponds]]*250)/WWWW[[#This Row],[Total PoP ]])</f>
        <v>0</v>
      </c>
      <c r="CT102" s="758">
        <f>WWWW[[#This Row],[% Access to unimproved water points]]*WWWW[[#This Row],[Total PoP ]]</f>
        <v>0</v>
      </c>
      <c r="CU10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CW102" s="758">
        <f>WWWW[[#This Row],[HRP1]]/500</f>
        <v>1.21</v>
      </c>
      <c r="CX102" s="763">
        <f>1-WWWW[[#This Row],[% Equitable and continuous access to sufficient quantity of domestic water]]</f>
        <v>0</v>
      </c>
      <c r="CY102" s="758">
        <f>WWWW[[#This Row],[%equitable and continuous access to sufficient quantity of safe drinking and domestic water''s GAP]]*WWWW[[#This Row],[Total PoP ]]</f>
        <v>0</v>
      </c>
      <c r="CZ102" s="761">
        <f>IF(WWWW[[#This Row],[Total required water points]]-WWWW[[#This Row],['#Water points coverage]]&lt;0,0,WWWW[[#This Row],[Total required water points]]-WWWW[[#This Row],['#Water points coverage]])</f>
        <v>0</v>
      </c>
      <c r="DA102" s="761">
        <f>ROUND(IF(WWWW[[#This Row],[Total PoP ]]&lt;500,1,WWWW[[#This Row],[Total PoP ]]/500),0)</f>
        <v>1</v>
      </c>
      <c r="DB102" s="761">
        <f>(WWWW[[#This Row],['#_Constructed latrines_by_WASHAgencies]]+WWWW[[#This Row],['#_Non Cluster partner latrines]])-WWWW[[#This Row],['#_Non-functional latrines]]</f>
        <v>28</v>
      </c>
      <c r="DC102" s="634">
        <f>WWWW[[#This Row],[HRP2]]/WWWW[[#This Row],[Total PoP ]]</f>
        <v>0.92561983471074383</v>
      </c>
      <c r="DD10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10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2" s="425">
        <f>IF(WWWW[[#This Row],['# of functional latrines in THF supported by WASH partners during the reporting period2]]="",0,WWWW[[#This Row],['# of functional latrines in THF supported by WASH partners during the reporting period2]]*50)</f>
        <v>0</v>
      </c>
      <c r="DH102" s="761">
        <f>ROUND(IF(WWWW[[#This Row],[Location Type 1]]="camp",WWWW[[#This Row],[Total PoP ]]/20,IF(WWWW[[#This Row],[Location Type 1]]="Temporary Location",WWWW[[#This Row],[Total PoP ]]/50,(WWWW[[#This Row],[Total PoP ]]/6))),0)</f>
        <v>30</v>
      </c>
      <c r="DI102" s="761">
        <f>IF(WWWW[[#This Row],[Total required Latrines]]-(WWWW[[#This Row],['#_Constructed latrines_by_WASHAgencies]]+WWWW[[#This Row],['#_Non Cluster partner latrines]])&lt;0,0,WWWW[[#This Row],[Total required Latrines]]-(WWWW[[#This Row],['#_Constructed latrines_by_WASHAgencies]]+WWWW[[#This Row],['#_Non Cluster partner latrines]]))</f>
        <v>2</v>
      </c>
      <c r="DJ102" s="763">
        <f>1-WWWW[[#This Row],[% people access to functioning Latrine]]</f>
        <v>7.4380165289256173E-2</v>
      </c>
      <c r="DK102" s="762">
        <f>IF(OR(WWWW[[#This Row],['#_Non-functional latrines]]="",WWWW[[#This Row],['#_Non-functional latrines]]=0),0,WWWW[[#This Row],['#_Non-functional latrines]]/(WWWW[[#This Row],['#_Constructed latrines_by_WASHAgencies]]+WWWW[[#This Row],['#_Non Cluster partner latrines]]))</f>
        <v>0</v>
      </c>
      <c r="DL102" s="758">
        <f>IF(500*(WWWW[[#This Row],['#_male hygiene promoters]]+WWWW[[#This Row],['#_female hygiene promoters]])&gt;WWWW[[#This Row],[Total PoP ]],WWWW[[#This Row],[Total PoP ]],500*(WWWW[[#This Row],['#_male hygiene promoters]]+WWWW[[#This Row],['#_female hygiene promoters]]))</f>
        <v>500</v>
      </c>
      <c r="DM10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0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02" s="761">
        <f>IF(WWWW[[#This Row],['# People with access to soap]]&gt;WWWW[[#This Row],['# People with access to Sanity Pads]],WWWW[[#This Row],['# People with access to soap]],WWWW[[#This Row],['# People with access to Sanity Pads]])</f>
        <v>455</v>
      </c>
      <c r="DP102"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02" s="763">
        <f>IF(WWWW[[#This Row],[HRP3]]/WWWW[[#This Row],[Total PoP ]]&gt;1,1,WWWW[[#This Row],[HRP3]]/WWWW[[#This Row],[Total PoP ]])</f>
        <v>0.82644628099173556</v>
      </c>
      <c r="DR102" s="762">
        <f>1-WWWW[[#This Row],[Hygiene Coverage%]]</f>
        <v>0.17355371900826444</v>
      </c>
      <c r="DS102" s="760">
        <f>WWWW[[#This Row],['# people reached by regular dedicated hygiene promotion_5]]/WWWW[[#This Row],[Total PoP ]]</f>
        <v>0.82644628099173556</v>
      </c>
      <c r="DT10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0.8920863309352518</v>
      </c>
      <c r="DV102" s="761">
        <f>WWWW[[#This Row],['#_Constructed/Existing hand washing stations]]-WWWW[[#This Row],['#_Non-Functional_hand_washing_stations]]</f>
        <v>8</v>
      </c>
      <c r="DW102" s="758">
        <f>IF(WWWW[[#This Row],['# Functional hand washing stations during reporting period]]*20&gt;WWWW[[#This Row],[Total HH]],WWWW[[#This Row],[Total HH]],WWWW[[#This Row],['# Functional hand washing stations during reporting period]]*20)</f>
        <v>139</v>
      </c>
      <c r="DX102" s="758">
        <f>IF(WWWW[[#This Row],[Is sufficient soap available for TLS? (Yes/No)]]="yes",WWWW[[#This Row],['#_Constructed/Existing hand washing stations at TLS/CFS/THF]],0)</f>
        <v>0</v>
      </c>
      <c r="DY102" s="429">
        <f>IF(WWWW[[#This Row],['# Functional hand washing stations during reporting period]]*100&gt;WWWW[[#This Row],[Total PoP ]],WWWW[[#This Row],[Total PoP ]],WWWW[[#This Row],['# Functional hand washing stations during reporting period]]*100)</f>
        <v>605</v>
      </c>
      <c r="DZ102" s="429" t="str">
        <f>IF(OR(WWWW[[#This Row],['#_students at TLS_CFS]]="",WWWW[[#This Row],['#_students at TLS_CFS]]=0),"No","Yes")</f>
        <v>No</v>
      </c>
      <c r="EA10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2" s="754">
        <f>VLOOKUP(WWWW[[#This Row],[Site Name]],SiteDB6[[Site Name]:[CCCM Management]],6,FALSE)</f>
        <v>0</v>
      </c>
      <c r="EF102" s="754">
        <f>VLOOKUP(WWWW[[#This Row],[Site Name]],SiteDB6[[Site Name]:[CCCM Focal Agency]],7,FALSE)</f>
        <v>0</v>
      </c>
      <c r="EG102" s="754" t="str">
        <f>VLOOKUP(WWWW[[#This Row],[Site Name]],SiteDB6[[Site Name]:[Location Type 1]],9,FALSE)</f>
        <v>Camp</v>
      </c>
      <c r="EH102" s="754" t="str">
        <f>VLOOKUP(WWWW[[#This Row],[Site Name]],SiteDB6[[Site Name]:[Type of Accommodation]],10,FALSE)</f>
        <v>Camp</v>
      </c>
      <c r="EI102" s="754" t="str">
        <f>VLOOKUP(WWWW[[#This Row],[Site Name]],SiteDB6[[Site Name]:[Ethnic or GCA/NGCA]],11,FALSE)</f>
        <v>GCA</v>
      </c>
      <c r="EJ102" s="754">
        <f>VLOOKUP(WWWW[[#This Row],[Site Name]],SiteDB6[[Site Name]:[Lat]],12,FALSE)</f>
        <v>0</v>
      </c>
      <c r="EK102" s="754">
        <f>VLOOKUP(WWWW[[#This Row],[Site Name]],SiteDB6[[Site Name]:[Long]],13,FALSE)</f>
        <v>0</v>
      </c>
      <c r="EL102" s="754">
        <f>VLOOKUP(WWWW[[#This Row],[Site Name]],SiteDB6[[Site Name]:[Pcode]],3,FALSE)</f>
        <v>0</v>
      </c>
      <c r="EM102" s="759" t="str">
        <f t="shared" si="1"/>
        <v>Covered</v>
      </c>
      <c r="EN102" s="759"/>
      <c r="EO102" s="754">
        <f>VLOOKUP(WWWW[[#This Row],[Site Name]],SiteDB6[[Site Name]:[Pop
(Kachin/Shan-CCCM as of July 2021)]],16,FALSE)</f>
        <v>0</v>
      </c>
      <c r="EP102" s="754">
        <f>VLOOKUP(WWWW[[#This Row],[Site Name]],SiteDB6[[Site Name]:[Pop
(Kachin/Shan-CCCM as of July 2021)]],17,FALSE)</f>
        <v>0</v>
      </c>
    </row>
    <row r="103" spans="1:146" hidden="1">
      <c r="A103" s="752" t="s">
        <v>2785</v>
      </c>
      <c r="B103" s="752" t="s">
        <v>192</v>
      </c>
      <c r="C103" s="753" t="s">
        <v>192</v>
      </c>
      <c r="D103" s="753" t="s">
        <v>2701</v>
      </c>
      <c r="E103" s="753" t="s">
        <v>37</v>
      </c>
      <c r="F103" s="753" t="s">
        <v>205</v>
      </c>
      <c r="G103" s="594" t="str">
        <f>VLOOKUP(WWWW[[#This Row],[Site Name]],SiteDB6[[Site Name]:[Location Type]],8,FALSE)</f>
        <v>Camp</v>
      </c>
      <c r="H103" s="753" t="s">
        <v>217</v>
      </c>
      <c r="I103" s="755">
        <v>715</v>
      </c>
      <c r="J103" s="755">
        <v>3789</v>
      </c>
      <c r="K103" s="756" t="s">
        <v>2692</v>
      </c>
      <c r="L103" s="757" t="s">
        <v>2702</v>
      </c>
      <c r="M103" s="755"/>
      <c r="N103" s="755"/>
      <c r="O103" s="755">
        <v>3</v>
      </c>
      <c r="P103" s="755"/>
      <c r="Q103" s="758" t="s">
        <v>41</v>
      </c>
      <c r="R103" s="755">
        <v>4</v>
      </c>
      <c r="S103" s="755">
        <v>3</v>
      </c>
      <c r="T103" s="449">
        <v>3</v>
      </c>
      <c r="U103" s="755"/>
      <c r="V103" s="755"/>
      <c r="W103" s="755"/>
      <c r="X103" s="755"/>
      <c r="Y103" s="755"/>
      <c r="Z103" s="755"/>
      <c r="AA103" s="755">
        <v>1</v>
      </c>
      <c r="AB103" s="755"/>
      <c r="AC103" s="755"/>
      <c r="AD103" s="755"/>
      <c r="AE103" s="755"/>
      <c r="AF103" s="755">
        <v>265230</v>
      </c>
      <c r="AG103" s="755"/>
      <c r="AH103" s="755"/>
      <c r="AI103" s="755"/>
      <c r="AJ103" s="755"/>
      <c r="AK103" s="755"/>
      <c r="AL103" s="755"/>
      <c r="AM103" s="755">
        <v>4</v>
      </c>
      <c r="AN103" s="755">
        <v>3</v>
      </c>
      <c r="AO103" s="755"/>
      <c r="AP103" s="759"/>
      <c r="AQ103" s="755">
        <v>306</v>
      </c>
      <c r="AR103" s="755"/>
      <c r="AS103" s="760"/>
      <c r="AT103" s="755"/>
      <c r="AU103" s="755"/>
      <c r="AV103" s="755"/>
      <c r="AW103" s="755"/>
      <c r="AX103" s="755"/>
      <c r="AY103" s="754" t="s">
        <v>41</v>
      </c>
      <c r="AZ103" s="759" t="s">
        <v>137</v>
      </c>
      <c r="BA103" s="755">
        <v>13</v>
      </c>
      <c r="BB103" s="755"/>
      <c r="BC103" s="755">
        <v>46</v>
      </c>
      <c r="BD103" s="449">
        <v>4</v>
      </c>
      <c r="BE103" s="449"/>
      <c r="BF103" s="754" t="s">
        <v>2704</v>
      </c>
      <c r="BG103" s="755">
        <v>1</v>
      </c>
      <c r="BH103" s="755"/>
      <c r="BI103" s="755"/>
      <c r="BJ103" s="755">
        <v>1</v>
      </c>
      <c r="BK103" s="755"/>
      <c r="BL103" s="755"/>
      <c r="BM103" s="755">
        <v>1</v>
      </c>
      <c r="BN103" s="755">
        <v>6</v>
      </c>
      <c r="BO103" s="755">
        <v>5</v>
      </c>
      <c r="BP103" s="754" t="s">
        <v>41</v>
      </c>
      <c r="BQ103" s="761"/>
      <c r="BR103" s="760"/>
      <c r="BS103" s="754"/>
      <c r="BT103" s="424"/>
      <c r="BU103" s="424"/>
      <c r="BV103" s="426"/>
      <c r="BW103" s="424"/>
      <c r="BX103" s="449"/>
      <c r="BY103" s="449"/>
      <c r="BZ103" s="449"/>
      <c r="CA103" s="449"/>
      <c r="CB103" s="449"/>
      <c r="CC103" s="807"/>
      <c r="CD103" s="449"/>
      <c r="CE103" s="762" t="str">
        <f>IFERROR(WWWW[[#This Row],['#_Water sources passed]]/WWWW[[#This Row],['#_Water sources tested for fecal coliform ]],"no test")</f>
        <v>no test</v>
      </c>
      <c r="CF103" s="760" t="str">
        <f>IFERROR(WWWW[[#This Row],['#_Household passed]]/WWWW[[#This Row],['#_Household water samples tested for fecal coliform]],"no test")</f>
        <v>no test</v>
      </c>
      <c r="CG103" s="761" t="str">
        <f>IF(AND(WWWW[[#This Row],[% of water sources passed]]="no test",WWWW[[#This Row],[% Household passed]]="no test"),"No Test","Tested")</f>
        <v>No Test</v>
      </c>
      <c r="CH103" s="761">
        <f>WWWW[[#This Row],['#_Constructed/existing protected hand dug well]]-WWWW[[#This Row],['#_Non-functional protected hand dug well]]</f>
        <v>3</v>
      </c>
      <c r="CI103" s="761">
        <f>(WWWW[[#This Row],['#_Constructed/Existing tube wells/boreholes/handpumps_WASH_agency]]+WWWW[[#This Row],['#_Non-Cluster partner water tube-wells/boreholes/handpumps]])-WWWW[[#This Row],['#_Non-functional tube wells/boreholes/handpumps]]</f>
        <v>0</v>
      </c>
      <c r="CJ103" s="761">
        <f>WWWW[[#This Row],['#_Constructed/Existingwater storage tank with gravity fed reticulation system]]-WWWW[[#This Row],['#_Non-functional storage tank gravity fed reticulation system]]</f>
        <v>1</v>
      </c>
      <c r="CK103" s="761">
        <f>(WWWW[[#This Row],['#_Water_Liters_supplied_by_Water boating or water trucking]]/90)/15</f>
        <v>0</v>
      </c>
      <c r="CL103" s="761">
        <f>WWWW[[#This Row],['#_Water_Liters_from_Constructed/Existing water distribution system from river or natural spring]]/90/15</f>
        <v>196.46666666666667</v>
      </c>
      <c r="CM103" s="425">
        <f>IF(WWWW[[#This Row],['#_of water points in TLS/CFS]]*500&gt;WWWW[[#This Row],[Total PoP ]],WWWW[[#This Row],[Total PoP ]],WWWW[[#This Row],['#_of water points in TLS/CFS]]*500)</f>
        <v>1500</v>
      </c>
      <c r="CN103" s="425">
        <f>IF(WWWW[[#This Row],['#_of water points in THF]]*500&gt;WWWW[[#This Row],[Total PoP ]],WWWW[[#This Row],[Total PoP ]],WWWW[[#This Row],['#_of water points in THF]]*500)</f>
        <v>0</v>
      </c>
      <c r="CO10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0.38615289874197239</v>
      </c>
      <c r="CP10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0.26738805313627168</v>
      </c>
      <c r="CQ103" s="760">
        <f>IF(WWWW[[#This Row],[Location Type 1]]="Village",WWWW[[#This Row],[Access to safe drinking water for Village]],WWWW[[#This Row],[Access to safe drinking water for Camp]])</f>
        <v>0.38615289874197239</v>
      </c>
      <c r="CR103" s="758">
        <f>WWWW[[#This Row],[%Equitable and continuous access to sufficient quantity of safe drinking water]]*WWWW[[#This Row],[Total PoP ]]</f>
        <v>1463.1333333333334</v>
      </c>
      <c r="CS103" s="760">
        <f>IF((WWWW[[#This Row],['#_Constructed/Existing protected/fenced ponds]]*250)/WWWW[[#This Row],[Total PoP ]]&gt;1,1,(WWWW[[#This Row],['#_Constructed/Existing protected/fenced ponds]]*250)/WWWW[[#This Row],[Total PoP ]])</f>
        <v>0</v>
      </c>
      <c r="CT103" s="758">
        <f>WWWW[[#This Row],[% Access to unimproved water points]]*WWWW[[#This Row],[Total PoP ]]</f>
        <v>0</v>
      </c>
      <c r="CU10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0.38615289874197239</v>
      </c>
      <c r="CV10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1463.1333333333334</v>
      </c>
      <c r="CW103" s="758">
        <f>WWWW[[#This Row],[HRP1]]/500</f>
        <v>2.9262666666666668</v>
      </c>
      <c r="CX103" s="763">
        <f>1-WWWW[[#This Row],[% Equitable and continuous access to sufficient quantity of domestic water]]</f>
        <v>0.61384710125802755</v>
      </c>
      <c r="CY103" s="758">
        <f>WWWW[[#This Row],[%equitable and continuous access to sufficient quantity of safe drinking and domestic water''s GAP]]*WWWW[[#This Row],[Total PoP ]]</f>
        <v>2325.8666666666663</v>
      </c>
      <c r="CZ103" s="761">
        <f>IF(WWWW[[#This Row],[Total required water points]]-WWWW[[#This Row],['#Water points coverage]]&lt;0,0,WWWW[[#This Row],[Total required water points]]-WWWW[[#This Row],['#Water points coverage]])</f>
        <v>5.0737333333333332</v>
      </c>
      <c r="DA103" s="761">
        <f>ROUND(IF(WWWW[[#This Row],[Total PoP ]]&lt;500,1,WWWW[[#This Row],[Total PoP ]]/500),0)</f>
        <v>8</v>
      </c>
      <c r="DB103" s="761">
        <f>(WWWW[[#This Row],['#_Constructed latrines_by_WASHAgencies]]+WWWW[[#This Row],['#_Non Cluster partner latrines]])-WWWW[[#This Row],['#_Non-functional latrines]]</f>
        <v>306</v>
      </c>
      <c r="DC103" s="634">
        <f>WWWW[[#This Row],[HRP2]]/WWWW[[#This Row],[Total PoP ]]</f>
        <v>1</v>
      </c>
      <c r="DD10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10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3" s="425">
        <f>IF(WWWW[[#This Row],['# of functional latrines in THF supported by WASH partners during the reporting period2]]="",0,WWWW[[#This Row],['# of functional latrines in THF supported by WASH partners during the reporting period2]]*50)</f>
        <v>200</v>
      </c>
      <c r="DH103" s="761">
        <f>ROUND(IF(WWWW[[#This Row],[Location Type 1]]="camp",WWWW[[#This Row],[Total PoP ]]/20,IF(WWWW[[#This Row],[Location Type 1]]="Temporary Location",WWWW[[#This Row],[Total PoP ]]/50,(WWWW[[#This Row],[Total PoP ]]/6))),0)</f>
        <v>189</v>
      </c>
      <c r="DI103" s="761">
        <f>IF(WWWW[[#This Row],[Total required Latrines]]-(WWWW[[#This Row],['#_Constructed latrines_by_WASHAgencies]]+WWWW[[#This Row],['#_Non Cluster partner latrines]])&lt;0,0,WWWW[[#This Row],[Total required Latrines]]-(WWWW[[#This Row],['#_Constructed latrines_by_WASHAgencies]]+WWWW[[#This Row],['#_Non Cluster partner latrines]]))</f>
        <v>0</v>
      </c>
      <c r="DJ103" s="763">
        <f>1-WWWW[[#This Row],[% people access to functioning Latrine]]</f>
        <v>0</v>
      </c>
      <c r="DK103" s="762">
        <f>IF(OR(WWWW[[#This Row],['#_Non-functional latrines]]="",WWWW[[#This Row],['#_Non-functional latrines]]=0),0,WWWW[[#This Row],['#_Non-functional latrines]]/(WWWW[[#This Row],['#_Constructed latrines_by_WASHAgencies]]+WWWW[[#This Row],['#_Non Cluster partner latrines]]))</f>
        <v>0</v>
      </c>
      <c r="DL103" s="758">
        <f>IF(500*(WWWW[[#This Row],['#_male hygiene promoters]]+WWWW[[#This Row],['#_female hygiene promoters]])&gt;WWWW[[#This Row],[Total PoP ]],WWWW[[#This Row],[Total PoP ]],500*(WWWW[[#This Row],['#_male hygiene promoters]]+WWWW[[#This Row],['#_female hygiene promoters]]))</f>
        <v>500</v>
      </c>
      <c r="DM10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3" s="761">
        <f>IF(WWWW[[#This Row],['# People with access to soap]]&gt;WWWW[[#This Row],['# People with access to Sanity Pads]],WWWW[[#This Row],['# People with access to soap]],WWWW[[#This Row],['# People with access to Sanity Pads]])</f>
        <v>30</v>
      </c>
      <c r="DP103"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03" s="763">
        <f>IF(WWWW[[#This Row],[HRP3]]/WWWW[[#This Row],[Total PoP ]]&gt;1,1,WWWW[[#This Row],[HRP3]]/WWWW[[#This Row],[Total PoP ]])</f>
        <v>0.13196093956188967</v>
      </c>
      <c r="DR103" s="762">
        <f>1-WWWW[[#This Row],[Hygiene Coverage%]]</f>
        <v>0.8680390604381103</v>
      </c>
      <c r="DS103" s="760">
        <f>WWWW[[#This Row],['# people reached by regular dedicated hygiene promotion_5]]/WWWW[[#This Row],[Total PoP ]]</f>
        <v>0.13196093956188967</v>
      </c>
      <c r="DT10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8.3916083916083916E-3</v>
      </c>
      <c r="DU10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6.993006993006993E-3</v>
      </c>
      <c r="DV103" s="761">
        <f>WWWW[[#This Row],['#_Constructed/Existing hand washing stations]]-WWWW[[#This Row],['#_Non-Functional_hand_washing_stations]]</f>
        <v>1</v>
      </c>
      <c r="DW103" s="758">
        <f>IF(WWWW[[#This Row],['# Functional hand washing stations during reporting period]]*20&gt;WWWW[[#This Row],[Total HH]],WWWW[[#This Row],[Total HH]],WWWW[[#This Row],['# Functional hand washing stations during reporting period]]*20)</f>
        <v>20</v>
      </c>
      <c r="DX103" s="758">
        <f>IF(WWWW[[#This Row],[Is sufficient soap available for TLS? (Yes/No)]]="yes",WWWW[[#This Row],['#_Constructed/Existing hand washing stations at TLS/CFS/THF]],0)</f>
        <v>4</v>
      </c>
      <c r="DY103" s="429">
        <f>IF(WWWW[[#This Row],['# Functional hand washing stations during reporting period]]*100&gt;WWWW[[#This Row],[Total PoP ]],WWWW[[#This Row],[Total PoP ]],WWWW[[#This Row],['# Functional hand washing stations during reporting period]]*100)</f>
        <v>100</v>
      </c>
      <c r="DZ103" s="429" t="str">
        <f>IF(OR(WWWW[[#This Row],['#_students at TLS_CFS]]="",WWWW[[#This Row],['#_students at TLS_CFS]]=0),"No","Yes")</f>
        <v>No</v>
      </c>
      <c r="EA10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10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103" s="754" t="str">
        <f>VLOOKUP(WWWW[[#This Row],[Site Name]],SiteDB6[[Site Name]:[CCCM Management]],6,FALSE)</f>
        <v>Yes</v>
      </c>
      <c r="EF103" s="754" t="str">
        <f>VLOOKUP(WWWW[[#This Row],[Site Name]],SiteDB6[[Site Name]:[CCCM Focal Agency]],7,FALSE)</f>
        <v>KMSS-MYT</v>
      </c>
      <c r="EG103" s="754" t="str">
        <f>VLOOKUP(WWWW[[#This Row],[Site Name]],SiteDB6[[Site Name]:[Location Type 1]],9,FALSE)</f>
        <v>Camp</v>
      </c>
      <c r="EH103" s="754" t="str">
        <f>VLOOKUP(WWWW[[#This Row],[Site Name]],SiteDB6[[Site Name]:[Type of Accommodation]],10,FALSE)</f>
        <v>Camp</v>
      </c>
      <c r="EI103" s="754" t="str">
        <f>VLOOKUP(WWWW[[#This Row],[Site Name]],SiteDB6[[Site Name]:[Ethnic or GCA/NGCA]],11,FALSE)</f>
        <v>NGCA</v>
      </c>
      <c r="EJ103" s="754">
        <f>VLOOKUP(WWWW[[#This Row],[Site Name]],SiteDB6[[Site Name]:[Lat]],12,FALSE)</f>
        <v>24.661905999999998</v>
      </c>
      <c r="EK103" s="754">
        <f>VLOOKUP(WWWW[[#This Row],[Site Name]],SiteDB6[[Site Name]:[Long]],13,FALSE)</f>
        <v>97.573126000000002</v>
      </c>
      <c r="EL103" s="754" t="str">
        <f>VLOOKUP(WWWW[[#This Row],[Site Name]],SiteDB6[[Site Name]:[Pcode]],3,FALSE)</f>
        <v>MMR001CMP122</v>
      </c>
      <c r="EM103" s="759" t="str">
        <f t="shared" si="1"/>
        <v>Covered</v>
      </c>
      <c r="EN103" s="759"/>
      <c r="EO103" s="754">
        <f>VLOOKUP(WWWW[[#This Row],[Site Name]],SiteDB6[[Site Name]:[Pop
(Kachin/Shan-CCCM as of July 2021)]],16,FALSE)</f>
        <v>664</v>
      </c>
      <c r="EP103" s="754">
        <f>VLOOKUP(WWWW[[#This Row],[Site Name]],SiteDB6[[Site Name]:[Pop
(Kachin/Shan-CCCM as of July 2021)]],17,FALSE)</f>
        <v>3491</v>
      </c>
    </row>
    <row r="104" spans="1:146" hidden="1">
      <c r="A104" s="752" t="s">
        <v>2785</v>
      </c>
      <c r="B104" s="752" t="s">
        <v>192</v>
      </c>
      <c r="C104" s="753" t="s">
        <v>192</v>
      </c>
      <c r="D104" s="753" t="s">
        <v>2701</v>
      </c>
      <c r="E104" s="753" t="s">
        <v>37</v>
      </c>
      <c r="F104" s="753" t="s">
        <v>205</v>
      </c>
      <c r="G104" s="594" t="str">
        <f>VLOOKUP(WWWW[[#This Row],[Site Name]],SiteDB6[[Site Name]:[Location Type]],8,FALSE)</f>
        <v>Camp_not registered</v>
      </c>
      <c r="H104" s="753" t="s">
        <v>207</v>
      </c>
      <c r="I104" s="755">
        <v>17</v>
      </c>
      <c r="J104" s="755">
        <v>100</v>
      </c>
      <c r="K104" s="756" t="s">
        <v>2692</v>
      </c>
      <c r="L104" s="757" t="s">
        <v>2702</v>
      </c>
      <c r="M104" s="755"/>
      <c r="N104" s="755"/>
      <c r="O104" s="755"/>
      <c r="P104" s="755"/>
      <c r="Q104" s="758" t="s">
        <v>136</v>
      </c>
      <c r="R104" s="755"/>
      <c r="S104" s="755"/>
      <c r="T104" s="449">
        <v>1</v>
      </c>
      <c r="U104" s="755"/>
      <c r="V104" s="755"/>
      <c r="W104" s="755"/>
      <c r="X104" s="755"/>
      <c r="Y104" s="755"/>
      <c r="Z104" s="755"/>
      <c r="AA104" s="755"/>
      <c r="AB104" s="755"/>
      <c r="AC104" s="755"/>
      <c r="AD104" s="755"/>
      <c r="AE104" s="755"/>
      <c r="AF104" s="755"/>
      <c r="AG104" s="755"/>
      <c r="AH104" s="755"/>
      <c r="AI104" s="755"/>
      <c r="AJ104" s="755"/>
      <c r="AK104" s="755"/>
      <c r="AL104" s="755"/>
      <c r="AM104" s="755"/>
      <c r="AN104" s="755"/>
      <c r="AO104" s="755"/>
      <c r="AP104" s="759"/>
      <c r="AQ104" s="755">
        <v>4</v>
      </c>
      <c r="AR104" s="755"/>
      <c r="AS104" s="760"/>
      <c r="AT104" s="755"/>
      <c r="AU104" s="755"/>
      <c r="AV104" s="755"/>
      <c r="AW104" s="755"/>
      <c r="AX104" s="755"/>
      <c r="AY104" s="754" t="s">
        <v>41</v>
      </c>
      <c r="AZ104" s="759" t="s">
        <v>137</v>
      </c>
      <c r="BA104" s="755"/>
      <c r="BB104" s="755"/>
      <c r="BC104" s="755"/>
      <c r="BD104" s="449"/>
      <c r="BE104" s="449"/>
      <c r="BF104" s="754"/>
      <c r="BG104" s="755">
        <v>3</v>
      </c>
      <c r="BH104" s="755"/>
      <c r="BI104" s="755"/>
      <c r="BJ104" s="755">
        <v>2</v>
      </c>
      <c r="BK104" s="755"/>
      <c r="BL104" s="755"/>
      <c r="BM104" s="755">
        <v>1</v>
      </c>
      <c r="BN104" s="755">
        <v>10</v>
      </c>
      <c r="BO104" s="755">
        <v>18</v>
      </c>
      <c r="BP104" s="754"/>
      <c r="BQ104" s="761"/>
      <c r="BR104" s="760"/>
      <c r="BS104" s="754"/>
      <c r="BT104" s="424"/>
      <c r="BU104" s="424"/>
      <c r="BV104" s="426"/>
      <c r="BW104" s="424"/>
      <c r="BX104" s="449"/>
      <c r="BY104" s="449"/>
      <c r="BZ104" s="449"/>
      <c r="CA104" s="449"/>
      <c r="CB104" s="449"/>
      <c r="CC104" s="807"/>
      <c r="CD104" s="449"/>
      <c r="CE104" s="762" t="str">
        <f>IFERROR(WWWW[[#This Row],['#_Water sources passed]]/WWWW[[#This Row],['#_Water sources tested for fecal coliform ]],"no test")</f>
        <v>no test</v>
      </c>
      <c r="CF104" s="760" t="str">
        <f>IFERROR(WWWW[[#This Row],['#_Household passed]]/WWWW[[#This Row],['#_Household water samples tested for fecal coliform]],"no test")</f>
        <v>no test</v>
      </c>
      <c r="CG104" s="761" t="str">
        <f>IF(AND(WWWW[[#This Row],[% of water sources passed]]="no test",WWWW[[#This Row],[% Household passed]]="no test"),"No Test","Tested")</f>
        <v>No Test</v>
      </c>
      <c r="CH104" s="761">
        <f>WWWW[[#This Row],['#_Constructed/existing protected hand dug well]]-WWWW[[#This Row],['#_Non-functional protected hand dug well]]</f>
        <v>1</v>
      </c>
      <c r="CI104" s="761">
        <f>(WWWW[[#This Row],['#_Constructed/Existing tube wells/boreholes/handpumps_WASH_agency]]+WWWW[[#This Row],['#_Non-Cluster partner water tube-wells/boreholes/handpumps]])-WWWW[[#This Row],['#_Non-functional tube wells/boreholes/handpumps]]</f>
        <v>0</v>
      </c>
      <c r="CJ104" s="761">
        <f>WWWW[[#This Row],['#_Constructed/Existingwater storage tank with gravity fed reticulation system]]-WWWW[[#This Row],['#_Non-functional storage tank gravity fed reticulation system]]</f>
        <v>0</v>
      </c>
      <c r="CK104" s="761">
        <f>(WWWW[[#This Row],['#_Water_Liters_supplied_by_Water boating or water trucking]]/90)/15</f>
        <v>0</v>
      </c>
      <c r="CL104" s="761">
        <f>WWWW[[#This Row],['#_Water_Liters_from_Constructed/Existing water distribution system from river or natural spring]]/90/15</f>
        <v>0</v>
      </c>
      <c r="CM104" s="425">
        <f>IF(WWWW[[#This Row],['#_of water points in TLS/CFS]]*500&gt;WWWW[[#This Row],[Total PoP ]],WWWW[[#This Row],[Total PoP ]],WWWW[[#This Row],['#_of water points in TLS/CFS]]*500)</f>
        <v>0</v>
      </c>
      <c r="CN104" s="425">
        <f>IF(WWWW[[#This Row],['#_of water points in THF]]*500&gt;WWWW[[#This Row],[Total PoP ]],WWWW[[#This Row],[Total PoP ]],WWWW[[#This Row],['#_of water points in THF]]*500)</f>
        <v>0</v>
      </c>
      <c r="CO10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4" s="760">
        <f>IF(WWWW[[#This Row],[Location Type 1]]="Village",WWWW[[#This Row],[Access to safe drinking water for Village]],WWWW[[#This Row],[Access to safe drinking water for Camp]])</f>
        <v>1</v>
      </c>
      <c r="CR104" s="758">
        <f>WWWW[[#This Row],[%Equitable and continuous access to sufficient quantity of safe drinking water]]*WWWW[[#This Row],[Total PoP ]]</f>
        <v>100</v>
      </c>
      <c r="CS104" s="760">
        <f>IF((WWWW[[#This Row],['#_Constructed/Existing protected/fenced ponds]]*250)/WWWW[[#This Row],[Total PoP ]]&gt;1,1,(WWWW[[#This Row],['#_Constructed/Existing protected/fenced ponds]]*250)/WWWW[[#This Row],[Total PoP ]])</f>
        <v>0</v>
      </c>
      <c r="CT104" s="758">
        <f>WWWW[[#This Row],[% Access to unimproved water points]]*WWWW[[#This Row],[Total PoP ]]</f>
        <v>0</v>
      </c>
      <c r="CU10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104" s="758">
        <f>WWWW[[#This Row],[HRP1]]/500</f>
        <v>0.2</v>
      </c>
      <c r="CX104" s="763">
        <f>1-WWWW[[#This Row],[% Equitable and continuous access to sufficient quantity of domestic water]]</f>
        <v>0</v>
      </c>
      <c r="CY104" s="758">
        <f>WWWW[[#This Row],[%equitable and continuous access to sufficient quantity of safe drinking and domestic water''s GAP]]*WWWW[[#This Row],[Total PoP ]]</f>
        <v>0</v>
      </c>
      <c r="CZ104" s="761">
        <f>IF(WWWW[[#This Row],[Total required water points]]-WWWW[[#This Row],['#Water points coverage]]&lt;0,0,WWWW[[#This Row],[Total required water points]]-WWWW[[#This Row],['#Water points coverage]])</f>
        <v>0.8</v>
      </c>
      <c r="DA104" s="761">
        <f>ROUND(IF(WWWW[[#This Row],[Total PoP ]]&lt;500,1,WWWW[[#This Row],[Total PoP ]]/500),0)</f>
        <v>1</v>
      </c>
      <c r="DB104" s="761">
        <f>(WWWW[[#This Row],['#_Constructed latrines_by_WASHAgencies]]+WWWW[[#This Row],['#_Non Cluster partner latrines]])-WWWW[[#This Row],['#_Non-functional latrines]]</f>
        <v>4</v>
      </c>
      <c r="DC104" s="634">
        <f>WWWW[[#This Row],[HRP2]]/WWWW[[#This Row],[Total PoP ]]</f>
        <v>0.8</v>
      </c>
      <c r="DD10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0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4" s="425">
        <f>IF(WWWW[[#This Row],['# of functional latrines in THF supported by WASH partners during the reporting period2]]="",0,WWWW[[#This Row],['# of functional latrines in THF supported by WASH partners during the reporting period2]]*50)</f>
        <v>0</v>
      </c>
      <c r="DH104" s="761">
        <f>ROUND(IF(WWWW[[#This Row],[Location Type 1]]="camp",WWWW[[#This Row],[Total PoP ]]/20,IF(WWWW[[#This Row],[Location Type 1]]="Temporary Location",WWWW[[#This Row],[Total PoP ]]/50,(WWWW[[#This Row],[Total PoP ]]/6))),0)</f>
        <v>5</v>
      </c>
      <c r="DI104" s="761">
        <f>IF(WWWW[[#This Row],[Total required Latrines]]-(WWWW[[#This Row],['#_Constructed latrines_by_WASHAgencies]]+WWWW[[#This Row],['#_Non Cluster partner latrines]])&lt;0,0,WWWW[[#This Row],[Total required Latrines]]-(WWWW[[#This Row],['#_Constructed latrines_by_WASHAgencies]]+WWWW[[#This Row],['#_Non Cluster partner latrines]]))</f>
        <v>1</v>
      </c>
      <c r="DJ104" s="763">
        <f>1-WWWW[[#This Row],[% people access to functioning Latrine]]</f>
        <v>0.19999999999999996</v>
      </c>
      <c r="DK104" s="762">
        <f>IF(OR(WWWW[[#This Row],['#_Non-functional latrines]]="",WWWW[[#This Row],['#_Non-functional latrines]]=0),0,WWWW[[#This Row],['#_Non-functional latrines]]/(WWWW[[#This Row],['#_Constructed latrines_by_WASHAgencies]]+WWWW[[#This Row],['#_Non Cluster partner latrines]]))</f>
        <v>0</v>
      </c>
      <c r="DL104" s="758">
        <f>IF(500*(WWWW[[#This Row],['#_male hygiene promoters]]+WWWW[[#This Row],['#_female hygiene promoters]])&gt;WWWW[[#This Row],[Total PoP ]],WWWW[[#This Row],[Total PoP ]],500*(WWWW[[#This Row],['#_male hygiene promoters]]+WWWW[[#This Row],['#_female hygiene promoters]]))</f>
        <v>100</v>
      </c>
      <c r="DM10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0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04" s="761">
        <f>IF(WWWW[[#This Row],['# People with access to soap]]&gt;WWWW[[#This Row],['# People with access to Sanity Pads]],WWWW[[#This Row],['# People with access to soap]],WWWW[[#This Row],['# People with access to Sanity Pads]])</f>
        <v>50</v>
      </c>
      <c r="DP104" s="761">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104" s="763">
        <f>IF(WWWW[[#This Row],[HRP3]]/WWWW[[#This Row],[Total PoP ]]&gt;1,1,WWWW[[#This Row],[HRP3]]/WWWW[[#This Row],[Total PoP ]])</f>
        <v>1</v>
      </c>
      <c r="DR104" s="762">
        <f>1-WWWW[[#This Row],[Hygiene Coverage%]]</f>
        <v>0</v>
      </c>
      <c r="DS104" s="760">
        <f>WWWW[[#This Row],['# people reached by regular dedicated hygiene promotion_5]]/WWWW[[#This Row],[Total PoP ]]</f>
        <v>1</v>
      </c>
      <c r="DT10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4" s="761">
        <f>WWWW[[#This Row],['#_Constructed/Existing hand washing stations]]-WWWW[[#This Row],['#_Non-Functional_hand_washing_stations]]</f>
        <v>3</v>
      </c>
      <c r="DW104" s="758">
        <f>IF(WWWW[[#This Row],['# Functional hand washing stations during reporting period]]*20&gt;WWWW[[#This Row],[Total HH]],WWWW[[#This Row],[Total HH]],WWWW[[#This Row],['# Functional hand washing stations during reporting period]]*20)</f>
        <v>17</v>
      </c>
      <c r="DX104" s="758">
        <f>IF(WWWW[[#This Row],[Is sufficient soap available for TLS? (Yes/No)]]="yes",WWWW[[#This Row],['#_Constructed/Existing hand washing stations at TLS/CFS/THF]],0)</f>
        <v>0</v>
      </c>
      <c r="DY104" s="429">
        <f>IF(WWWW[[#This Row],['# Functional hand washing stations during reporting period]]*100&gt;WWWW[[#This Row],[Total PoP ]],WWWW[[#This Row],[Total PoP ]],WWWW[[#This Row],['# Functional hand washing stations during reporting period]]*100)</f>
        <v>100</v>
      </c>
      <c r="DZ104" s="429" t="str">
        <f>IF(OR(WWWW[[#This Row],['#_students at TLS_CFS]]="",WWWW[[#This Row],['#_students at TLS_CFS]]=0),"No","Yes")</f>
        <v>No</v>
      </c>
      <c r="EA10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4" s="754">
        <f>VLOOKUP(WWWW[[#This Row],[Site Name]],SiteDB6[[Site Name]:[CCCM Management]],6,FALSE)</f>
        <v>0</v>
      </c>
      <c r="EF104" s="754">
        <f>VLOOKUP(WWWW[[#This Row],[Site Name]],SiteDB6[[Site Name]:[CCCM Focal Agency]],7,FALSE)</f>
        <v>0</v>
      </c>
      <c r="EG104" s="754" t="str">
        <f>VLOOKUP(WWWW[[#This Row],[Site Name]],SiteDB6[[Site Name]:[Location Type 1]],9,FALSE)</f>
        <v>Camp</v>
      </c>
      <c r="EH104" s="754" t="str">
        <f>VLOOKUP(WWWW[[#This Row],[Site Name]],SiteDB6[[Site Name]:[Type of Accommodation]],10,FALSE)</f>
        <v>Camp</v>
      </c>
      <c r="EI104" s="754" t="str">
        <f>VLOOKUP(WWWW[[#This Row],[Site Name]],SiteDB6[[Site Name]:[Ethnic or GCA/NGCA]],11,FALSE)</f>
        <v>GCA</v>
      </c>
      <c r="EJ104" s="754">
        <f>VLOOKUP(WWWW[[#This Row],[Site Name]],SiteDB6[[Site Name]:[Lat]],12,FALSE)</f>
        <v>0</v>
      </c>
      <c r="EK104" s="754">
        <f>VLOOKUP(WWWW[[#This Row],[Site Name]],SiteDB6[[Site Name]:[Long]],13,FALSE)</f>
        <v>0</v>
      </c>
      <c r="EL104" s="754">
        <f>VLOOKUP(WWWW[[#This Row],[Site Name]],SiteDB6[[Site Name]:[Pcode]],3,FALSE)</f>
        <v>0</v>
      </c>
      <c r="EM104" s="759" t="str">
        <f t="shared" si="1"/>
        <v>Covered</v>
      </c>
      <c r="EN104" s="759"/>
      <c r="EO104" s="754">
        <f>VLOOKUP(WWWW[[#This Row],[Site Name]],SiteDB6[[Site Name]:[Pop
(Kachin/Shan-CCCM as of July 2021)]],16,FALSE)</f>
        <v>0</v>
      </c>
      <c r="EP104" s="754">
        <f>VLOOKUP(WWWW[[#This Row],[Site Name]],SiteDB6[[Site Name]:[Pop
(Kachin/Shan-CCCM as of July 2021)]],17,FALSE)</f>
        <v>0</v>
      </c>
    </row>
    <row r="105" spans="1:146" hidden="1">
      <c r="A105" s="752" t="s">
        <v>2785</v>
      </c>
      <c r="B105" s="752" t="s">
        <v>192</v>
      </c>
      <c r="C105" s="753" t="s">
        <v>192</v>
      </c>
      <c r="D105" s="753" t="s">
        <v>2701</v>
      </c>
      <c r="E105" s="753" t="s">
        <v>37</v>
      </c>
      <c r="F105" s="753" t="s">
        <v>205</v>
      </c>
      <c r="G105" s="594" t="str">
        <f>VLOOKUP(WWWW[[#This Row],[Site Name]],SiteDB6[[Site Name]:[Location Type]],8,FALSE)</f>
        <v>Camp_not registered</v>
      </c>
      <c r="H105" s="753" t="s">
        <v>209</v>
      </c>
      <c r="I105" s="755">
        <v>22</v>
      </c>
      <c r="J105" s="755">
        <v>106</v>
      </c>
      <c r="K105" s="756" t="s">
        <v>2692</v>
      </c>
      <c r="L105" s="757" t="s">
        <v>2702</v>
      </c>
      <c r="M105" s="755"/>
      <c r="N105" s="755"/>
      <c r="O105" s="755"/>
      <c r="P105" s="755"/>
      <c r="Q105" s="758" t="s">
        <v>136</v>
      </c>
      <c r="R105" s="755"/>
      <c r="S105" s="755"/>
      <c r="T105" s="449"/>
      <c r="U105" s="755"/>
      <c r="V105" s="755"/>
      <c r="W105" s="755"/>
      <c r="X105" s="755">
        <v>1</v>
      </c>
      <c r="Y105" s="755"/>
      <c r="Z105" s="755"/>
      <c r="AA105" s="755"/>
      <c r="AB105" s="755"/>
      <c r="AC105" s="755"/>
      <c r="AD105" s="755"/>
      <c r="AE105" s="755"/>
      <c r="AF105" s="755"/>
      <c r="AG105" s="755"/>
      <c r="AH105" s="755"/>
      <c r="AI105" s="755"/>
      <c r="AJ105" s="755"/>
      <c r="AK105" s="755"/>
      <c r="AL105" s="755"/>
      <c r="AM105" s="755"/>
      <c r="AN105" s="755"/>
      <c r="AO105" s="755"/>
      <c r="AP105" s="759"/>
      <c r="AQ105" s="755">
        <v>5</v>
      </c>
      <c r="AR105" s="755"/>
      <c r="AS105" s="760"/>
      <c r="AT105" s="755"/>
      <c r="AU105" s="755"/>
      <c r="AV105" s="755"/>
      <c r="AW105" s="755"/>
      <c r="AX105" s="755"/>
      <c r="AY105" s="754" t="s">
        <v>41</v>
      </c>
      <c r="AZ105" s="759" t="s">
        <v>137</v>
      </c>
      <c r="BA105" s="755"/>
      <c r="BB105" s="755"/>
      <c r="BC105" s="755"/>
      <c r="BD105" s="449"/>
      <c r="BE105" s="449"/>
      <c r="BF105" s="754"/>
      <c r="BG105" s="755">
        <v>1</v>
      </c>
      <c r="BH105" s="755"/>
      <c r="BI105" s="755"/>
      <c r="BJ105" s="755">
        <v>3</v>
      </c>
      <c r="BK105" s="755"/>
      <c r="BL105" s="755"/>
      <c r="BM105" s="755">
        <v>1</v>
      </c>
      <c r="BN105" s="755">
        <v>41</v>
      </c>
      <c r="BO105" s="755">
        <v>85</v>
      </c>
      <c r="BP105" s="754"/>
      <c r="BQ105" s="761"/>
      <c r="BR105" s="760"/>
      <c r="BS105" s="754"/>
      <c r="BT105" s="424"/>
      <c r="BU105" s="424"/>
      <c r="BV105" s="426"/>
      <c r="BW105" s="424"/>
      <c r="BX105" s="449"/>
      <c r="BY105" s="449"/>
      <c r="BZ105" s="449"/>
      <c r="CA105" s="449"/>
      <c r="CB105" s="449"/>
      <c r="CC105" s="807"/>
      <c r="CD105" s="449"/>
      <c r="CE105" s="762" t="str">
        <f>IFERROR(WWWW[[#This Row],['#_Water sources passed]]/WWWW[[#This Row],['#_Water sources tested for fecal coliform ]],"no test")</f>
        <v>no test</v>
      </c>
      <c r="CF105" s="760" t="str">
        <f>IFERROR(WWWW[[#This Row],['#_Household passed]]/WWWW[[#This Row],['#_Household water samples tested for fecal coliform]],"no test")</f>
        <v>no test</v>
      </c>
      <c r="CG105" s="761" t="str">
        <f>IF(AND(WWWW[[#This Row],[% of water sources passed]]="no test",WWWW[[#This Row],[% Household passed]]="no test"),"No Test","Tested")</f>
        <v>No Test</v>
      </c>
      <c r="CH105" s="761">
        <f>WWWW[[#This Row],['#_Constructed/existing protected hand dug well]]-WWWW[[#This Row],['#_Non-functional protected hand dug well]]</f>
        <v>0</v>
      </c>
      <c r="CI105" s="761">
        <f>(WWWW[[#This Row],['#_Constructed/Existing tube wells/boreholes/handpumps_WASH_agency]]+WWWW[[#This Row],['#_Non-Cluster partner water tube-wells/boreholes/handpumps]])-WWWW[[#This Row],['#_Non-functional tube wells/boreholes/handpumps]]</f>
        <v>1</v>
      </c>
      <c r="CJ105" s="761">
        <f>WWWW[[#This Row],['#_Constructed/Existingwater storage tank with gravity fed reticulation system]]-WWWW[[#This Row],['#_Non-functional storage tank gravity fed reticulation system]]</f>
        <v>0</v>
      </c>
      <c r="CK105" s="761">
        <f>(WWWW[[#This Row],['#_Water_Liters_supplied_by_Water boating or water trucking]]/90)/15</f>
        <v>0</v>
      </c>
      <c r="CL105" s="761">
        <f>WWWW[[#This Row],['#_Water_Liters_from_Constructed/Existing water distribution system from river or natural spring]]/90/15</f>
        <v>0</v>
      </c>
      <c r="CM105" s="425">
        <f>IF(WWWW[[#This Row],['#_of water points in TLS/CFS]]*500&gt;WWWW[[#This Row],[Total PoP ]],WWWW[[#This Row],[Total PoP ]],WWWW[[#This Row],['#_of water points in TLS/CFS]]*500)</f>
        <v>0</v>
      </c>
      <c r="CN105" s="425">
        <f>IF(WWWW[[#This Row],['#_of water points in THF]]*500&gt;WWWW[[#This Row],[Total PoP ]],WWWW[[#This Row],[Total PoP ]],WWWW[[#This Row],['#_of water points in THF]]*500)</f>
        <v>0</v>
      </c>
      <c r="CO10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5" s="760">
        <f>IF(WWWW[[#This Row],[Location Type 1]]="Village",WWWW[[#This Row],[Access to safe drinking water for Village]],WWWW[[#This Row],[Access to safe drinking water for Camp]])</f>
        <v>1</v>
      </c>
      <c r="CR105" s="758">
        <f>WWWW[[#This Row],[%Equitable and continuous access to sufficient quantity of safe drinking water]]*WWWW[[#This Row],[Total PoP ]]</f>
        <v>106</v>
      </c>
      <c r="CS105" s="760">
        <f>IF((WWWW[[#This Row],['#_Constructed/Existing protected/fenced ponds]]*250)/WWWW[[#This Row],[Total PoP ]]&gt;1,1,(WWWW[[#This Row],['#_Constructed/Existing protected/fenced ponds]]*250)/WWWW[[#This Row],[Total PoP ]])</f>
        <v>0</v>
      </c>
      <c r="CT105" s="758">
        <f>WWWW[[#This Row],[% Access to unimproved water points]]*WWWW[[#This Row],[Total PoP ]]</f>
        <v>0</v>
      </c>
      <c r="CU10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v>
      </c>
      <c r="CW105" s="758">
        <f>WWWW[[#This Row],[HRP1]]/500</f>
        <v>0.21199999999999999</v>
      </c>
      <c r="CX105" s="763">
        <f>1-WWWW[[#This Row],[% Equitable and continuous access to sufficient quantity of domestic water]]</f>
        <v>0</v>
      </c>
      <c r="CY105" s="758">
        <f>WWWW[[#This Row],[%equitable and continuous access to sufficient quantity of safe drinking and domestic water''s GAP]]*WWWW[[#This Row],[Total PoP ]]</f>
        <v>0</v>
      </c>
      <c r="CZ105" s="761">
        <f>IF(WWWW[[#This Row],[Total required water points]]-WWWW[[#This Row],['#Water points coverage]]&lt;0,0,WWWW[[#This Row],[Total required water points]]-WWWW[[#This Row],['#Water points coverage]])</f>
        <v>0.78800000000000003</v>
      </c>
      <c r="DA105" s="761">
        <f>ROUND(IF(WWWW[[#This Row],[Total PoP ]]&lt;500,1,WWWW[[#This Row],[Total PoP ]]/500),0)</f>
        <v>1</v>
      </c>
      <c r="DB105" s="761">
        <f>(WWWW[[#This Row],['#_Constructed latrines_by_WASHAgencies]]+WWWW[[#This Row],['#_Non Cluster partner latrines]])-WWWW[[#This Row],['#_Non-functional latrines]]</f>
        <v>5</v>
      </c>
      <c r="DC105" s="634">
        <f>WWWW[[#This Row],[HRP2]]/WWWW[[#This Row],[Total PoP ]]</f>
        <v>0.94339622641509435</v>
      </c>
      <c r="DD10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0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5" s="425">
        <f>IF(WWWW[[#This Row],['# of functional latrines in THF supported by WASH partners during the reporting period2]]="",0,WWWW[[#This Row],['# of functional latrines in THF supported by WASH partners during the reporting period2]]*50)</f>
        <v>0</v>
      </c>
      <c r="DH105" s="761">
        <f>ROUND(IF(WWWW[[#This Row],[Location Type 1]]="camp",WWWW[[#This Row],[Total PoP ]]/20,IF(WWWW[[#This Row],[Location Type 1]]="Temporary Location",WWWW[[#This Row],[Total PoP ]]/50,(WWWW[[#This Row],[Total PoP ]]/6))),0)</f>
        <v>5</v>
      </c>
      <c r="DI105" s="761">
        <f>IF(WWWW[[#This Row],[Total required Latrines]]-(WWWW[[#This Row],['#_Constructed latrines_by_WASHAgencies]]+WWWW[[#This Row],['#_Non Cluster partner latrines]])&lt;0,0,WWWW[[#This Row],[Total required Latrines]]-(WWWW[[#This Row],['#_Constructed latrines_by_WASHAgencies]]+WWWW[[#This Row],['#_Non Cluster partner latrines]]))</f>
        <v>0</v>
      </c>
      <c r="DJ105" s="763">
        <f>1-WWWW[[#This Row],[% people access to functioning Latrine]]</f>
        <v>5.6603773584905648E-2</v>
      </c>
      <c r="DK105" s="762">
        <f>IF(OR(WWWW[[#This Row],['#_Non-functional latrines]]="",WWWW[[#This Row],['#_Non-functional latrines]]=0),0,WWWW[[#This Row],['#_Non-functional latrines]]/(WWWW[[#This Row],['#_Constructed latrines_by_WASHAgencies]]+WWWW[[#This Row],['#_Non Cluster partner latrines]]))</f>
        <v>0</v>
      </c>
      <c r="DL105" s="758">
        <f>IF(500*(WWWW[[#This Row],['#_male hygiene promoters]]+WWWW[[#This Row],['#_female hygiene promoters]])&gt;WWWW[[#This Row],[Total PoP ]],WWWW[[#This Row],[Total PoP ]],500*(WWWW[[#This Row],['#_male hygiene promoters]]+WWWW[[#This Row],['#_female hygiene promoters]]))</f>
        <v>106</v>
      </c>
      <c r="DM10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106</v>
      </c>
      <c r="DN10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05" s="761">
        <f>IF(WWWW[[#This Row],['# People with access to soap]]&gt;WWWW[[#This Row],['# People with access to Sanity Pads]],WWWW[[#This Row],['# People with access to soap]],WWWW[[#This Row],['# People with access to Sanity Pads]])</f>
        <v>106</v>
      </c>
      <c r="DP105" s="761">
        <f>IF(WWWW[[#This Row],['# people reached by regular dedicated hygiene promotion_5]]&gt;WWWW[[#This Row],['# People received regular supply of hygiene items_6]],WWWW[[#This Row],['# people reached by regular dedicated hygiene promotion_5]],WWWW[[#This Row],['# People received regular supply of hygiene items_6]])</f>
        <v>106</v>
      </c>
      <c r="DQ105" s="763">
        <f>IF(WWWW[[#This Row],[HRP3]]/WWWW[[#This Row],[Total PoP ]]&gt;1,1,WWWW[[#This Row],[HRP3]]/WWWW[[#This Row],[Total PoP ]])</f>
        <v>1</v>
      </c>
      <c r="DR105" s="762">
        <f>1-WWWW[[#This Row],[Hygiene Coverage%]]</f>
        <v>0</v>
      </c>
      <c r="DS105" s="760">
        <f>WWWW[[#This Row],['# people reached by regular dedicated hygiene promotion_5]]/WWWW[[#This Row],[Total PoP ]]</f>
        <v>1</v>
      </c>
      <c r="DT10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05" s="761">
        <f>WWWW[[#This Row],['#_Constructed/Existing hand washing stations]]-WWWW[[#This Row],['#_Non-Functional_hand_washing_stations]]</f>
        <v>1</v>
      </c>
      <c r="DW105" s="758">
        <f>IF(WWWW[[#This Row],['# Functional hand washing stations during reporting period]]*20&gt;WWWW[[#This Row],[Total HH]],WWWW[[#This Row],[Total HH]],WWWW[[#This Row],['# Functional hand washing stations during reporting period]]*20)</f>
        <v>20</v>
      </c>
      <c r="DX105" s="758">
        <f>IF(WWWW[[#This Row],[Is sufficient soap available for TLS? (Yes/No)]]="yes",WWWW[[#This Row],['#_Constructed/Existing hand washing stations at TLS/CFS/THF]],0)</f>
        <v>0</v>
      </c>
      <c r="DY105" s="429">
        <f>IF(WWWW[[#This Row],['# Functional hand washing stations during reporting period]]*100&gt;WWWW[[#This Row],[Total PoP ]],WWWW[[#This Row],[Total PoP ]],WWWW[[#This Row],['# Functional hand washing stations during reporting period]]*100)</f>
        <v>100</v>
      </c>
      <c r="DZ105" s="429" t="str">
        <f>IF(OR(WWWW[[#This Row],['#_students at TLS_CFS]]="",WWWW[[#This Row],['#_students at TLS_CFS]]=0),"No","Yes")</f>
        <v>No</v>
      </c>
      <c r="EA10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5" s="754">
        <f>VLOOKUP(WWWW[[#This Row],[Site Name]],SiteDB6[[Site Name]:[CCCM Management]],6,FALSE)</f>
        <v>0</v>
      </c>
      <c r="EF105" s="754">
        <f>VLOOKUP(WWWW[[#This Row],[Site Name]],SiteDB6[[Site Name]:[CCCM Focal Agency]],7,FALSE)</f>
        <v>0</v>
      </c>
      <c r="EG105" s="754" t="str">
        <f>VLOOKUP(WWWW[[#This Row],[Site Name]],SiteDB6[[Site Name]:[Location Type 1]],9,FALSE)</f>
        <v>Camp</v>
      </c>
      <c r="EH105" s="754" t="str">
        <f>VLOOKUP(WWWW[[#This Row],[Site Name]],SiteDB6[[Site Name]:[Type of Accommodation]],10,FALSE)</f>
        <v>Camp</v>
      </c>
      <c r="EI105" s="754" t="str">
        <f>VLOOKUP(WWWW[[#This Row],[Site Name]],SiteDB6[[Site Name]:[Ethnic or GCA/NGCA]],11,FALSE)</f>
        <v>GCA</v>
      </c>
      <c r="EJ105" s="754">
        <f>VLOOKUP(WWWW[[#This Row],[Site Name]],SiteDB6[[Site Name]:[Lat]],12,FALSE)</f>
        <v>0</v>
      </c>
      <c r="EK105" s="754">
        <f>VLOOKUP(WWWW[[#This Row],[Site Name]],SiteDB6[[Site Name]:[Long]],13,FALSE)</f>
        <v>0</v>
      </c>
      <c r="EL105" s="754">
        <f>VLOOKUP(WWWW[[#This Row],[Site Name]],SiteDB6[[Site Name]:[Pcode]],3,FALSE)</f>
        <v>0</v>
      </c>
      <c r="EM105" s="759" t="str">
        <f t="shared" si="1"/>
        <v>Covered</v>
      </c>
      <c r="EN105" s="759"/>
      <c r="EO105" s="754">
        <f>VLOOKUP(WWWW[[#This Row],[Site Name]],SiteDB6[[Site Name]:[Pop
(Kachin/Shan-CCCM as of July 2021)]],16,FALSE)</f>
        <v>0</v>
      </c>
      <c r="EP105" s="754">
        <f>VLOOKUP(WWWW[[#This Row],[Site Name]],SiteDB6[[Site Name]:[Pop
(Kachin/Shan-CCCM as of July 2021)]],17,FALSE)</f>
        <v>0</v>
      </c>
    </row>
    <row r="106" spans="1:146" hidden="1">
      <c r="A106" s="752" t="s">
        <v>2785</v>
      </c>
      <c r="B106" s="752" t="s">
        <v>192</v>
      </c>
      <c r="C106" s="753" t="s">
        <v>192</v>
      </c>
      <c r="D106" s="753" t="s">
        <v>2691</v>
      </c>
      <c r="E106" s="753" t="s">
        <v>37</v>
      </c>
      <c r="F106" s="753" t="s">
        <v>205</v>
      </c>
      <c r="G106" s="594" t="str">
        <f>VLOOKUP(WWWW[[#This Row],[Site Name]],SiteDB6[[Site Name]:[Location Type]],8,FALSE)</f>
        <v>Camp</v>
      </c>
      <c r="H106" s="753" t="s">
        <v>210</v>
      </c>
      <c r="I106" s="755">
        <v>127</v>
      </c>
      <c r="J106" s="755">
        <v>741</v>
      </c>
      <c r="K106" s="756" t="s">
        <v>2692</v>
      </c>
      <c r="L106" s="757" t="s">
        <v>2693</v>
      </c>
      <c r="M106" s="755"/>
      <c r="N106" s="755"/>
      <c r="O106" s="755"/>
      <c r="P106" s="755"/>
      <c r="Q106" s="758" t="s">
        <v>136</v>
      </c>
      <c r="R106" s="755"/>
      <c r="S106" s="755"/>
      <c r="T106" s="449"/>
      <c r="U106" s="755"/>
      <c r="V106" s="755"/>
      <c r="W106" s="755">
        <v>2</v>
      </c>
      <c r="X106" s="755">
        <v>1</v>
      </c>
      <c r="Y106" s="755"/>
      <c r="Z106" s="755"/>
      <c r="AA106" s="755"/>
      <c r="AB106" s="755"/>
      <c r="AC106" s="755"/>
      <c r="AD106" s="755"/>
      <c r="AE106" s="755"/>
      <c r="AF106" s="755"/>
      <c r="AG106" s="755"/>
      <c r="AH106" s="755"/>
      <c r="AI106" s="755"/>
      <c r="AJ106" s="755"/>
      <c r="AK106" s="755"/>
      <c r="AL106" s="755"/>
      <c r="AM106" s="755"/>
      <c r="AN106" s="755"/>
      <c r="AO106" s="755"/>
      <c r="AP106" s="759"/>
      <c r="AQ106" s="755">
        <v>40</v>
      </c>
      <c r="AR106" s="755"/>
      <c r="AS106" s="760"/>
      <c r="AT106" s="755"/>
      <c r="AU106" s="755"/>
      <c r="AV106" s="755"/>
      <c r="AW106" s="755"/>
      <c r="AX106" s="755"/>
      <c r="AY106" s="754" t="s">
        <v>41</v>
      </c>
      <c r="AZ106" s="759" t="s">
        <v>137</v>
      </c>
      <c r="BA106" s="755"/>
      <c r="BB106" s="755"/>
      <c r="BC106" s="755"/>
      <c r="BD106" s="449"/>
      <c r="BE106" s="449"/>
      <c r="BF106" s="754"/>
      <c r="BG106" s="755">
        <v>1</v>
      </c>
      <c r="BH106" s="755"/>
      <c r="BI106" s="755"/>
      <c r="BJ106" s="755">
        <v>1</v>
      </c>
      <c r="BK106" s="755"/>
      <c r="BL106" s="755"/>
      <c r="BM106" s="755">
        <v>1</v>
      </c>
      <c r="BN106" s="755">
        <v>6</v>
      </c>
      <c r="BO106" s="755">
        <v>5</v>
      </c>
      <c r="BP106" s="754"/>
      <c r="BQ106" s="761"/>
      <c r="BR106" s="760"/>
      <c r="BS106" s="754"/>
      <c r="BT106" s="424"/>
      <c r="BU106" s="424"/>
      <c r="BV106" s="426"/>
      <c r="BW106" s="424"/>
      <c r="BX106" s="449"/>
      <c r="BY106" s="449"/>
      <c r="BZ106" s="449"/>
      <c r="CA106" s="449"/>
      <c r="CB106" s="449"/>
      <c r="CC106" s="807"/>
      <c r="CD106" s="449"/>
      <c r="CE106" s="762" t="str">
        <f>IFERROR(WWWW[[#This Row],['#_Water sources passed]]/WWWW[[#This Row],['#_Water sources tested for fecal coliform ]],"no test")</f>
        <v>no test</v>
      </c>
      <c r="CF106" s="760" t="str">
        <f>IFERROR(WWWW[[#This Row],['#_Household passed]]/WWWW[[#This Row],['#_Household water samples tested for fecal coliform]],"no test")</f>
        <v>no test</v>
      </c>
      <c r="CG106" s="761" t="str">
        <f>IF(AND(WWWW[[#This Row],[% of water sources passed]]="no test",WWWW[[#This Row],[% Household passed]]="no test"),"No Test","Tested")</f>
        <v>No Test</v>
      </c>
      <c r="CH106" s="761">
        <f>WWWW[[#This Row],['#_Constructed/existing protected hand dug well]]-WWWW[[#This Row],['#_Non-functional protected hand dug well]]</f>
        <v>0</v>
      </c>
      <c r="CI106" s="761">
        <f>(WWWW[[#This Row],['#_Constructed/Existing tube wells/boreholes/handpumps_WASH_agency]]+WWWW[[#This Row],['#_Non-Cluster partner water tube-wells/boreholes/handpumps]])-WWWW[[#This Row],['#_Non-functional tube wells/boreholes/handpumps]]</f>
        <v>3</v>
      </c>
      <c r="CJ106" s="761">
        <f>WWWW[[#This Row],['#_Constructed/Existingwater storage tank with gravity fed reticulation system]]-WWWW[[#This Row],['#_Non-functional storage tank gravity fed reticulation system]]</f>
        <v>0</v>
      </c>
      <c r="CK106" s="761">
        <f>(WWWW[[#This Row],['#_Water_Liters_supplied_by_Water boating or water trucking]]/90)/15</f>
        <v>0</v>
      </c>
      <c r="CL106" s="761">
        <f>WWWW[[#This Row],['#_Water_Liters_from_Constructed/Existing water distribution system from river or natural spring]]/90/15</f>
        <v>0</v>
      </c>
      <c r="CM106" s="425">
        <f>IF(WWWW[[#This Row],['#_of water points in TLS/CFS]]*500&gt;WWWW[[#This Row],[Total PoP ]],WWWW[[#This Row],[Total PoP ]],WWWW[[#This Row],['#_of water points in TLS/CFS]]*500)</f>
        <v>0</v>
      </c>
      <c r="CN106" s="425">
        <f>IF(WWWW[[#This Row],['#_of water points in THF]]*500&gt;WWWW[[#This Row],[Total PoP ]],WWWW[[#This Row],[Total PoP ]],WWWW[[#This Row],['#_of water points in THF]]*500)</f>
        <v>0</v>
      </c>
      <c r="CO10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6" s="760">
        <f>IF(WWWW[[#This Row],[Location Type 1]]="Village",WWWW[[#This Row],[Access to safe drinking water for Village]],WWWW[[#This Row],[Access to safe drinking water for Camp]])</f>
        <v>1</v>
      </c>
      <c r="CR106" s="758">
        <f>WWWW[[#This Row],[%Equitable and continuous access to sufficient quantity of safe drinking water]]*WWWW[[#This Row],[Total PoP ]]</f>
        <v>741</v>
      </c>
      <c r="CS106" s="760">
        <f>IF((WWWW[[#This Row],['#_Constructed/Existing protected/fenced ponds]]*250)/WWWW[[#This Row],[Total PoP ]]&gt;1,1,(WWWW[[#This Row],['#_Constructed/Existing protected/fenced ponds]]*250)/WWWW[[#This Row],[Total PoP ]])</f>
        <v>0</v>
      </c>
      <c r="CT106" s="758">
        <f>WWWW[[#This Row],[% Access to unimproved water points]]*WWWW[[#This Row],[Total PoP ]]</f>
        <v>0</v>
      </c>
      <c r="CU10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106" s="758">
        <f>WWWW[[#This Row],[HRP1]]/500</f>
        <v>1.482</v>
      </c>
      <c r="CX106" s="763">
        <f>1-WWWW[[#This Row],[% Equitable and continuous access to sufficient quantity of domestic water]]</f>
        <v>0</v>
      </c>
      <c r="CY106" s="758">
        <f>WWWW[[#This Row],[%equitable and continuous access to sufficient quantity of safe drinking and domestic water''s GAP]]*WWWW[[#This Row],[Total PoP ]]</f>
        <v>0</v>
      </c>
      <c r="CZ106" s="761">
        <f>IF(WWWW[[#This Row],[Total required water points]]-WWWW[[#This Row],['#Water points coverage]]&lt;0,0,WWWW[[#This Row],[Total required water points]]-WWWW[[#This Row],['#Water points coverage]])</f>
        <v>0</v>
      </c>
      <c r="DA106" s="761">
        <f>ROUND(IF(WWWW[[#This Row],[Total PoP ]]&lt;500,1,WWWW[[#This Row],[Total PoP ]]/500),0)</f>
        <v>1</v>
      </c>
      <c r="DB106" s="761">
        <f>(WWWW[[#This Row],['#_Constructed latrines_by_WASHAgencies]]+WWWW[[#This Row],['#_Non Cluster partner latrines]])-WWWW[[#This Row],['#_Non-functional latrines]]</f>
        <v>40</v>
      </c>
      <c r="DC106" s="634">
        <f>WWWW[[#This Row],[HRP2]]/WWWW[[#This Row],[Total PoP ]]</f>
        <v>1</v>
      </c>
      <c r="DD10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10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6" s="425">
        <f>IF(WWWW[[#This Row],['# of functional latrines in THF supported by WASH partners during the reporting period2]]="",0,WWWW[[#This Row],['# of functional latrines in THF supported by WASH partners during the reporting period2]]*50)</f>
        <v>0</v>
      </c>
      <c r="DH106" s="761">
        <f>ROUND(IF(WWWW[[#This Row],[Location Type 1]]="camp",WWWW[[#This Row],[Total PoP ]]/20,IF(WWWW[[#This Row],[Location Type 1]]="Temporary Location",WWWW[[#This Row],[Total PoP ]]/50,(WWWW[[#This Row],[Total PoP ]]/6))),0)</f>
        <v>37</v>
      </c>
      <c r="DI106" s="761">
        <f>IF(WWWW[[#This Row],[Total required Latrines]]-(WWWW[[#This Row],['#_Constructed latrines_by_WASHAgencies]]+WWWW[[#This Row],['#_Non Cluster partner latrines]])&lt;0,0,WWWW[[#This Row],[Total required Latrines]]-(WWWW[[#This Row],['#_Constructed latrines_by_WASHAgencies]]+WWWW[[#This Row],['#_Non Cluster partner latrines]]))</f>
        <v>0</v>
      </c>
      <c r="DJ106" s="763">
        <f>1-WWWW[[#This Row],[% people access to functioning Latrine]]</f>
        <v>0</v>
      </c>
      <c r="DK106" s="762">
        <f>IF(OR(WWWW[[#This Row],['#_Non-functional latrines]]="",WWWW[[#This Row],['#_Non-functional latrines]]=0),0,WWWW[[#This Row],['#_Non-functional latrines]]/(WWWW[[#This Row],['#_Constructed latrines_by_WASHAgencies]]+WWWW[[#This Row],['#_Non Cluster partner latrines]]))</f>
        <v>0</v>
      </c>
      <c r="DL106" s="758">
        <f>IF(500*(WWWW[[#This Row],['#_male hygiene promoters]]+WWWW[[#This Row],['#_female hygiene promoters]])&gt;WWWW[[#This Row],[Total PoP ]],WWWW[[#This Row],[Total PoP ]],500*(WWWW[[#This Row],['#_male hygiene promoters]]+WWWW[[#This Row],['#_female hygiene promoters]]))</f>
        <v>500</v>
      </c>
      <c r="DM10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6" s="761">
        <f>IF(WWWW[[#This Row],['# People with access to soap]]&gt;WWWW[[#This Row],['# People with access to Sanity Pads]],WWWW[[#This Row],['# People with access to soap]],WWWW[[#This Row],['# People with access to Sanity Pads]])</f>
        <v>30</v>
      </c>
      <c r="DP106"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06" s="763">
        <f>IF(WWWW[[#This Row],[HRP3]]/WWWW[[#This Row],[Total PoP ]]&gt;1,1,WWWW[[#This Row],[HRP3]]/WWWW[[#This Row],[Total PoP ]])</f>
        <v>0.67476383265856954</v>
      </c>
      <c r="DR106" s="762">
        <f>1-WWWW[[#This Row],[Hygiene Coverage%]]</f>
        <v>0.32523616734143046</v>
      </c>
      <c r="DS106" s="760">
        <f>WWWW[[#This Row],['# people reached by regular dedicated hygiene promotion_5]]/WWWW[[#This Row],[Total PoP ]]</f>
        <v>0.67476383265856954</v>
      </c>
      <c r="DT10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0.1889763779527559</v>
      </c>
      <c r="DU10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3.937007874015748E-2</v>
      </c>
      <c r="DV106" s="761">
        <f>WWWW[[#This Row],['#_Constructed/Existing hand washing stations]]-WWWW[[#This Row],['#_Non-Functional_hand_washing_stations]]</f>
        <v>1</v>
      </c>
      <c r="DW106" s="758">
        <f>IF(WWWW[[#This Row],['# Functional hand washing stations during reporting period]]*20&gt;WWWW[[#This Row],[Total HH]],WWWW[[#This Row],[Total HH]],WWWW[[#This Row],['# Functional hand washing stations during reporting period]]*20)</f>
        <v>20</v>
      </c>
      <c r="DX106" s="758">
        <f>IF(WWWW[[#This Row],[Is sufficient soap available for TLS? (Yes/No)]]="yes",WWWW[[#This Row],['#_Constructed/Existing hand washing stations at TLS/CFS/THF]],0)</f>
        <v>0</v>
      </c>
      <c r="DY106" s="429">
        <f>IF(WWWW[[#This Row],['# Functional hand washing stations during reporting period]]*100&gt;WWWW[[#This Row],[Total PoP ]],WWWW[[#This Row],[Total PoP ]],WWWW[[#This Row],['# Functional hand washing stations during reporting period]]*100)</f>
        <v>100</v>
      </c>
      <c r="DZ106" s="429" t="str">
        <f>IF(OR(WWWW[[#This Row],['#_students at TLS_CFS]]="",WWWW[[#This Row],['#_students at TLS_CFS]]=0),"No","Yes")</f>
        <v>No</v>
      </c>
      <c r="EA10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6" s="754" t="str">
        <f>VLOOKUP(WWWW[[#This Row],[Site Name]],SiteDB6[[Site Name]:[CCCM Management]],6,FALSE)</f>
        <v>Yes</v>
      </c>
      <c r="EF106" s="754" t="str">
        <f>VLOOKUP(WWWW[[#This Row],[Site Name]],SiteDB6[[Site Name]:[CCCM Focal Agency]],7,FALSE)</f>
        <v>KMSS-BMO</v>
      </c>
      <c r="EG106" s="754" t="str">
        <f>VLOOKUP(WWWW[[#This Row],[Site Name]],SiteDB6[[Site Name]:[Location Type 1]],9,FALSE)</f>
        <v>Camp</v>
      </c>
      <c r="EH106" s="754" t="str">
        <f>VLOOKUP(WWWW[[#This Row],[Site Name]],SiteDB6[[Site Name]:[Type of Accommodation]],10,FALSE)</f>
        <v>Camp</v>
      </c>
      <c r="EI106" s="754" t="str">
        <f>VLOOKUP(WWWW[[#This Row],[Site Name]],SiteDB6[[Site Name]:[Ethnic or GCA/NGCA]],11,FALSE)</f>
        <v>GCA</v>
      </c>
      <c r="EJ106" s="754">
        <f>VLOOKUP(WWWW[[#This Row],[Site Name]],SiteDB6[[Site Name]:[Lat]],12,FALSE)</f>
        <v>24.245100000000001</v>
      </c>
      <c r="EK106" s="754">
        <f>VLOOKUP(WWWW[[#This Row],[Site Name]],SiteDB6[[Site Name]:[Long]],13,FALSE)</f>
        <v>97.325019999999995</v>
      </c>
      <c r="EL106" s="754" t="str">
        <f>VLOOKUP(WWWW[[#This Row],[Site Name]],SiteDB6[[Site Name]:[Pcode]],3,FALSE)</f>
        <v>MMR001CMP062</v>
      </c>
      <c r="EM106" s="759" t="str">
        <f t="shared" si="1"/>
        <v>Covered</v>
      </c>
      <c r="EN106" s="759"/>
      <c r="EO106" s="754">
        <f>VLOOKUP(WWWW[[#This Row],[Site Name]],SiteDB6[[Site Name]:[Pop
(Kachin/Shan-CCCM as of July 2021)]],16,FALSE)</f>
        <v>122</v>
      </c>
      <c r="EP106" s="754">
        <f>VLOOKUP(WWWW[[#This Row],[Site Name]],SiteDB6[[Site Name]:[Pop
(Kachin/Shan-CCCM as of July 2021)]],17,FALSE)</f>
        <v>571</v>
      </c>
    </row>
    <row r="107" spans="1:146" hidden="1">
      <c r="A107" s="752" t="s">
        <v>2785</v>
      </c>
      <c r="B107" s="752" t="s">
        <v>192</v>
      </c>
      <c r="C107" s="753" t="s">
        <v>192</v>
      </c>
      <c r="D107" s="753" t="s">
        <v>2701</v>
      </c>
      <c r="E107" s="753" t="s">
        <v>37</v>
      </c>
      <c r="F107" s="753" t="s">
        <v>205</v>
      </c>
      <c r="G107" s="594" t="str">
        <f>VLOOKUP(WWWW[[#This Row],[Site Name]],SiteDB6[[Site Name]:[Location Type]],8,FALSE)</f>
        <v>Camp</v>
      </c>
      <c r="H107" s="753" t="s">
        <v>213</v>
      </c>
      <c r="I107" s="755">
        <v>86</v>
      </c>
      <c r="J107" s="755">
        <v>424</v>
      </c>
      <c r="K107" s="756" t="s">
        <v>2692</v>
      </c>
      <c r="L107" s="757" t="s">
        <v>2702</v>
      </c>
      <c r="M107" s="755"/>
      <c r="N107" s="755"/>
      <c r="O107" s="755"/>
      <c r="P107" s="755"/>
      <c r="Q107" s="758" t="s">
        <v>41</v>
      </c>
      <c r="R107" s="755">
        <v>5</v>
      </c>
      <c r="S107" s="755">
        <v>3</v>
      </c>
      <c r="T107" s="449">
        <v>2</v>
      </c>
      <c r="U107" s="755"/>
      <c r="V107" s="755"/>
      <c r="W107" s="755">
        <v>2</v>
      </c>
      <c r="X107" s="755"/>
      <c r="Y107" s="755"/>
      <c r="Z107" s="755"/>
      <c r="AA107" s="755"/>
      <c r="AB107" s="755"/>
      <c r="AC107" s="755"/>
      <c r="AD107" s="755"/>
      <c r="AE107" s="755"/>
      <c r="AF107" s="755"/>
      <c r="AG107" s="755"/>
      <c r="AH107" s="755"/>
      <c r="AI107" s="755"/>
      <c r="AJ107" s="755"/>
      <c r="AK107" s="755"/>
      <c r="AL107" s="755"/>
      <c r="AM107" s="755">
        <v>1</v>
      </c>
      <c r="AN107" s="755"/>
      <c r="AO107" s="755"/>
      <c r="AP107" s="759"/>
      <c r="AQ107" s="755">
        <v>28</v>
      </c>
      <c r="AR107" s="755"/>
      <c r="AS107" s="760"/>
      <c r="AT107" s="755"/>
      <c r="AU107" s="755"/>
      <c r="AV107" s="755"/>
      <c r="AW107" s="755"/>
      <c r="AX107" s="755"/>
      <c r="AY107" s="754" t="s">
        <v>41</v>
      </c>
      <c r="AZ107" s="759" t="s">
        <v>137</v>
      </c>
      <c r="BA107" s="755"/>
      <c r="BB107" s="755"/>
      <c r="BC107" s="755">
        <v>2</v>
      </c>
      <c r="BD107" s="449"/>
      <c r="BE107" s="449"/>
      <c r="BF107" s="754"/>
      <c r="BG107" s="755">
        <v>1</v>
      </c>
      <c r="BH107" s="755"/>
      <c r="BI107" s="755"/>
      <c r="BJ107" s="755">
        <v>3</v>
      </c>
      <c r="BK107" s="755"/>
      <c r="BL107" s="755"/>
      <c r="BM107" s="755">
        <v>1</v>
      </c>
      <c r="BN107" s="755">
        <v>41</v>
      </c>
      <c r="BO107" s="755">
        <v>85</v>
      </c>
      <c r="BP107" s="754"/>
      <c r="BQ107" s="761"/>
      <c r="BR107" s="760"/>
      <c r="BS107" s="754"/>
      <c r="BT107" s="424"/>
      <c r="BU107" s="424"/>
      <c r="BV107" s="426"/>
      <c r="BW107" s="424"/>
      <c r="BX107" s="449"/>
      <c r="BY107" s="449"/>
      <c r="BZ107" s="449"/>
      <c r="CA107" s="449"/>
      <c r="CB107" s="449"/>
      <c r="CC107" s="807"/>
      <c r="CD107" s="449"/>
      <c r="CE107" s="762" t="str">
        <f>IFERROR(WWWW[[#This Row],['#_Water sources passed]]/WWWW[[#This Row],['#_Water sources tested for fecal coliform ]],"no test")</f>
        <v>no test</v>
      </c>
      <c r="CF107" s="760" t="str">
        <f>IFERROR(WWWW[[#This Row],['#_Household passed]]/WWWW[[#This Row],['#_Household water samples tested for fecal coliform]],"no test")</f>
        <v>no test</v>
      </c>
      <c r="CG107" s="761" t="str">
        <f>IF(AND(WWWW[[#This Row],[% of water sources passed]]="no test",WWWW[[#This Row],[% Household passed]]="no test"),"No Test","Tested")</f>
        <v>No Test</v>
      </c>
      <c r="CH107" s="761">
        <f>WWWW[[#This Row],['#_Constructed/existing protected hand dug well]]-WWWW[[#This Row],['#_Non-functional protected hand dug well]]</f>
        <v>2</v>
      </c>
      <c r="CI107" s="761">
        <f>(WWWW[[#This Row],['#_Constructed/Existing tube wells/boreholes/handpumps_WASH_agency]]+WWWW[[#This Row],['#_Non-Cluster partner water tube-wells/boreholes/handpumps]])-WWWW[[#This Row],['#_Non-functional tube wells/boreholes/handpumps]]</f>
        <v>2</v>
      </c>
      <c r="CJ107" s="761">
        <f>WWWW[[#This Row],['#_Constructed/Existingwater storage tank with gravity fed reticulation system]]-WWWW[[#This Row],['#_Non-functional storage tank gravity fed reticulation system]]</f>
        <v>0</v>
      </c>
      <c r="CK107" s="761">
        <f>(WWWW[[#This Row],['#_Water_Liters_supplied_by_Water boating or water trucking]]/90)/15</f>
        <v>0</v>
      </c>
      <c r="CL107" s="761">
        <f>WWWW[[#This Row],['#_Water_Liters_from_Constructed/Existing water distribution system from river or natural spring]]/90/15</f>
        <v>0</v>
      </c>
      <c r="CM107" s="425">
        <f>IF(WWWW[[#This Row],['#_of water points in TLS/CFS]]*500&gt;WWWW[[#This Row],[Total PoP ]],WWWW[[#This Row],[Total PoP ]],WWWW[[#This Row],['#_of water points in TLS/CFS]]*500)</f>
        <v>0</v>
      </c>
      <c r="CN107" s="425">
        <f>IF(WWWW[[#This Row],['#_of water points in THF]]*500&gt;WWWW[[#This Row],[Total PoP ]],WWWW[[#This Row],[Total PoP ]],WWWW[[#This Row],['#_of water points in THF]]*500)</f>
        <v>0</v>
      </c>
      <c r="CO10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7" s="760">
        <f>IF(WWWW[[#This Row],[Location Type 1]]="Village",WWWW[[#This Row],[Access to safe drinking water for Village]],WWWW[[#This Row],[Access to safe drinking water for Camp]])</f>
        <v>1</v>
      </c>
      <c r="CR107" s="758">
        <f>WWWW[[#This Row],[%Equitable and continuous access to sufficient quantity of safe drinking water]]*WWWW[[#This Row],[Total PoP ]]</f>
        <v>424</v>
      </c>
      <c r="CS107" s="760">
        <f>IF((WWWW[[#This Row],['#_Constructed/Existing protected/fenced ponds]]*250)/WWWW[[#This Row],[Total PoP ]]&gt;1,1,(WWWW[[#This Row],['#_Constructed/Existing protected/fenced ponds]]*250)/WWWW[[#This Row],[Total PoP ]])</f>
        <v>0</v>
      </c>
      <c r="CT107" s="758">
        <f>WWWW[[#This Row],[% Access to unimproved water points]]*WWWW[[#This Row],[Total PoP ]]</f>
        <v>0</v>
      </c>
      <c r="CU10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107" s="758">
        <f>WWWW[[#This Row],[HRP1]]/500</f>
        <v>0.84799999999999998</v>
      </c>
      <c r="CX107" s="763">
        <f>1-WWWW[[#This Row],[% Equitable and continuous access to sufficient quantity of domestic water]]</f>
        <v>0</v>
      </c>
      <c r="CY107" s="758">
        <f>WWWW[[#This Row],[%equitable and continuous access to sufficient quantity of safe drinking and domestic water''s GAP]]*WWWW[[#This Row],[Total PoP ]]</f>
        <v>0</v>
      </c>
      <c r="CZ107" s="761">
        <f>IF(WWWW[[#This Row],[Total required water points]]-WWWW[[#This Row],['#Water points coverage]]&lt;0,0,WWWW[[#This Row],[Total required water points]]-WWWW[[#This Row],['#Water points coverage]])</f>
        <v>0.15200000000000002</v>
      </c>
      <c r="DA107" s="761">
        <f>ROUND(IF(WWWW[[#This Row],[Total PoP ]]&lt;500,1,WWWW[[#This Row],[Total PoP ]]/500),0)</f>
        <v>1</v>
      </c>
      <c r="DB107" s="761">
        <f>(WWWW[[#This Row],['#_Constructed latrines_by_WASHAgencies]]+WWWW[[#This Row],['#_Non Cluster partner latrines]])-WWWW[[#This Row],['#_Non-functional latrines]]</f>
        <v>28</v>
      </c>
      <c r="DC107" s="634">
        <f>WWWW[[#This Row],[HRP2]]/WWWW[[#This Row],[Total PoP ]]</f>
        <v>1</v>
      </c>
      <c r="DD10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424</v>
      </c>
      <c r="DE10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7" s="425">
        <f>IF(WWWW[[#This Row],['# of functional latrines in THF supported by WASH partners during the reporting period2]]="",0,WWWW[[#This Row],['# of functional latrines in THF supported by WASH partners during the reporting period2]]*50)</f>
        <v>0</v>
      </c>
      <c r="DH107" s="761">
        <f>ROUND(IF(WWWW[[#This Row],[Location Type 1]]="camp",WWWW[[#This Row],[Total PoP ]]/20,IF(WWWW[[#This Row],[Location Type 1]]="Temporary Location",WWWW[[#This Row],[Total PoP ]]/50,(WWWW[[#This Row],[Total PoP ]]/6))),0)</f>
        <v>21</v>
      </c>
      <c r="DI107" s="761">
        <f>IF(WWWW[[#This Row],[Total required Latrines]]-(WWWW[[#This Row],['#_Constructed latrines_by_WASHAgencies]]+WWWW[[#This Row],['#_Non Cluster partner latrines]])&lt;0,0,WWWW[[#This Row],[Total required Latrines]]-(WWWW[[#This Row],['#_Constructed latrines_by_WASHAgencies]]+WWWW[[#This Row],['#_Non Cluster partner latrines]]))</f>
        <v>0</v>
      </c>
      <c r="DJ107" s="763">
        <f>1-WWWW[[#This Row],[% people access to functioning Latrine]]</f>
        <v>0</v>
      </c>
      <c r="DK107" s="762">
        <f>IF(OR(WWWW[[#This Row],['#_Non-functional latrines]]="",WWWW[[#This Row],['#_Non-functional latrines]]=0),0,WWWW[[#This Row],['#_Non-functional latrines]]/(WWWW[[#This Row],['#_Constructed latrines_by_WASHAgencies]]+WWWW[[#This Row],['#_Non Cluster partner latrines]]))</f>
        <v>0</v>
      </c>
      <c r="DL107" s="758">
        <f>IF(500*(WWWW[[#This Row],['#_male hygiene promoters]]+WWWW[[#This Row],['#_female hygiene promoters]])&gt;WWWW[[#This Row],[Total PoP ]],WWWW[[#This Row],[Total PoP ]],500*(WWWW[[#This Row],['#_male hygiene promoters]]+WWWW[[#This Row],['#_female hygiene promoters]]))</f>
        <v>424</v>
      </c>
      <c r="DM10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0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07" s="761">
        <f>IF(WWWW[[#This Row],['# People with access to soap]]&gt;WWWW[[#This Row],['# People with access to Sanity Pads]],WWWW[[#This Row],['# People with access to soap]],WWWW[[#This Row],['# People with access to Sanity Pads]])</f>
        <v>205</v>
      </c>
      <c r="DP107" s="761">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Q107" s="763">
        <f>IF(WWWW[[#This Row],[HRP3]]/WWWW[[#This Row],[Total PoP ]]&gt;1,1,WWWW[[#This Row],[HRP3]]/WWWW[[#This Row],[Total PoP ]])</f>
        <v>1</v>
      </c>
      <c r="DR107" s="762">
        <f>1-WWWW[[#This Row],[Hygiene Coverage%]]</f>
        <v>0</v>
      </c>
      <c r="DS107" s="760">
        <f>WWWW[[#This Row],['# people reached by regular dedicated hygiene promotion_5]]/WWWW[[#This Row],[Total PoP ]]</f>
        <v>1</v>
      </c>
      <c r="DT10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0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0.98837209302325579</v>
      </c>
      <c r="DV107" s="761">
        <f>WWWW[[#This Row],['#_Constructed/Existing hand washing stations]]-WWWW[[#This Row],['#_Non-Functional_hand_washing_stations]]</f>
        <v>1</v>
      </c>
      <c r="DW107" s="758">
        <f>IF(WWWW[[#This Row],['# Functional hand washing stations during reporting period]]*20&gt;WWWW[[#This Row],[Total HH]],WWWW[[#This Row],[Total HH]],WWWW[[#This Row],['# Functional hand washing stations during reporting period]]*20)</f>
        <v>20</v>
      </c>
      <c r="DX107" s="758">
        <f>IF(WWWW[[#This Row],[Is sufficient soap available for TLS? (Yes/No)]]="yes",WWWW[[#This Row],['#_Constructed/Existing hand washing stations at TLS/CFS/THF]],0)</f>
        <v>0</v>
      </c>
      <c r="DY107" s="429">
        <f>IF(WWWW[[#This Row],['# Functional hand washing stations during reporting period]]*100&gt;WWWW[[#This Row],[Total PoP ]],WWWW[[#This Row],[Total PoP ]],WWWW[[#This Row],['# Functional hand washing stations during reporting period]]*100)</f>
        <v>100</v>
      </c>
      <c r="DZ107" s="429" t="str">
        <f>IF(OR(WWWW[[#This Row],['#_students at TLS_CFS]]="",WWWW[[#This Row],['#_students at TLS_CFS]]=0),"No","Yes")</f>
        <v>No</v>
      </c>
      <c r="EA10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7" s="754" t="str">
        <f>VLOOKUP(WWWW[[#This Row],[Site Name]],SiteDB6[[Site Name]:[CCCM Management]],6,FALSE)</f>
        <v>Yes</v>
      </c>
      <c r="EF107" s="754" t="str">
        <f>VLOOKUP(WWWW[[#This Row],[Site Name]],SiteDB6[[Site Name]:[CCCM Focal Agency]],7,FALSE)</f>
        <v>KBC-BMO</v>
      </c>
      <c r="EG107" s="754" t="str">
        <f>VLOOKUP(WWWW[[#This Row],[Site Name]],SiteDB6[[Site Name]:[Location Type 1]],9,FALSE)</f>
        <v>Camp</v>
      </c>
      <c r="EH107" s="754" t="str">
        <f>VLOOKUP(WWWW[[#This Row],[Site Name]],SiteDB6[[Site Name]:[Type of Accommodation]],10,FALSE)</f>
        <v>Camp</v>
      </c>
      <c r="EI107" s="754" t="str">
        <f>VLOOKUP(WWWW[[#This Row],[Site Name]],SiteDB6[[Site Name]:[Ethnic or GCA/NGCA]],11,FALSE)</f>
        <v>GCA</v>
      </c>
      <c r="EJ107" s="754">
        <f>VLOOKUP(WWWW[[#This Row],[Site Name]],SiteDB6[[Site Name]:[Lat]],12,FALSE)</f>
        <v>24.250689999999999</v>
      </c>
      <c r="EK107" s="754">
        <f>VLOOKUP(WWWW[[#This Row],[Site Name]],SiteDB6[[Site Name]:[Long]],13,FALSE)</f>
        <v>97.344359999999995</v>
      </c>
      <c r="EL107" s="754" t="str">
        <f>VLOOKUP(WWWW[[#This Row],[Site Name]],SiteDB6[[Site Name]:[Pcode]],3,FALSE)</f>
        <v>MMR001CMP056</v>
      </c>
      <c r="EM107" s="759" t="str">
        <f t="shared" si="1"/>
        <v>Covered</v>
      </c>
      <c r="EN107" s="759"/>
      <c r="EO107" s="754">
        <f>VLOOKUP(WWWW[[#This Row],[Site Name]],SiteDB6[[Site Name]:[Pop
(Kachin/Shan-CCCM as of July 2021)]],16,FALSE)</f>
        <v>646</v>
      </c>
      <c r="EP107" s="754">
        <f>VLOOKUP(WWWW[[#This Row],[Site Name]],SiteDB6[[Site Name]:[Pop
(Kachin/Shan-CCCM as of July 2021)]],17,FALSE)</f>
        <v>2978</v>
      </c>
    </row>
    <row r="108" spans="1:146" hidden="1">
      <c r="A108" s="752" t="s">
        <v>2785</v>
      </c>
      <c r="B108" s="752" t="s">
        <v>192</v>
      </c>
      <c r="C108" s="753" t="s">
        <v>192</v>
      </c>
      <c r="D108" s="753" t="s">
        <v>2695</v>
      </c>
      <c r="E108" s="753" t="s">
        <v>515</v>
      </c>
      <c r="F108" s="753" t="s">
        <v>525</v>
      </c>
      <c r="G108" s="594" t="str">
        <f>VLOOKUP(WWWW[[#This Row],[Site Name]],SiteDB6[[Site Name]:[Location Type]],8,FALSE)</f>
        <v>Camp</v>
      </c>
      <c r="H108" s="753" t="s">
        <v>555</v>
      </c>
      <c r="I108" s="755">
        <v>180</v>
      </c>
      <c r="J108" s="755">
        <v>934</v>
      </c>
      <c r="K108" s="756" t="s">
        <v>2789</v>
      </c>
      <c r="L108" s="757" t="s">
        <v>2790</v>
      </c>
      <c r="M108" s="755"/>
      <c r="N108" s="755"/>
      <c r="O108" s="755"/>
      <c r="P108" s="755"/>
      <c r="Q108" s="758"/>
      <c r="R108" s="755">
        <v>5</v>
      </c>
      <c r="S108" s="755">
        <v>1</v>
      </c>
      <c r="T108" s="449"/>
      <c r="U108" s="755"/>
      <c r="V108" s="755"/>
      <c r="W108" s="755"/>
      <c r="X108" s="755"/>
      <c r="Y108" s="755"/>
      <c r="Z108" s="755"/>
      <c r="AA108" s="755">
        <v>18</v>
      </c>
      <c r="AB108" s="755"/>
      <c r="AC108" s="755"/>
      <c r="AD108" s="755"/>
      <c r="AE108" s="755"/>
      <c r="AF108" s="755"/>
      <c r="AG108" s="755"/>
      <c r="AH108" s="755">
        <v>1</v>
      </c>
      <c r="AI108" s="755"/>
      <c r="AJ108" s="755"/>
      <c r="AK108" s="755"/>
      <c r="AL108" s="755"/>
      <c r="AM108" s="755"/>
      <c r="AN108" s="755"/>
      <c r="AO108" s="755"/>
      <c r="AP108" s="759"/>
      <c r="AQ108" s="755">
        <v>40</v>
      </c>
      <c r="AR108" s="755"/>
      <c r="AS108" s="760"/>
      <c r="AT108" s="755"/>
      <c r="AU108" s="755"/>
      <c r="AV108" s="755"/>
      <c r="AW108" s="755"/>
      <c r="AX108" s="755"/>
      <c r="AY108" s="754" t="s">
        <v>136</v>
      </c>
      <c r="AZ108" s="759" t="s">
        <v>904</v>
      </c>
      <c r="BA108" s="755"/>
      <c r="BB108" s="755"/>
      <c r="BC108" s="755"/>
      <c r="BD108" s="449"/>
      <c r="BE108" s="449"/>
      <c r="BF108" s="754"/>
      <c r="BG108" s="755">
        <v>1</v>
      </c>
      <c r="BH108" s="755"/>
      <c r="BI108" s="755"/>
      <c r="BJ108" s="755">
        <v>3</v>
      </c>
      <c r="BK108" s="755"/>
      <c r="BL108" s="755"/>
      <c r="BM108" s="755">
        <v>2</v>
      </c>
      <c r="BN108" s="755">
        <v>41</v>
      </c>
      <c r="BO108" s="755">
        <v>85</v>
      </c>
      <c r="BP108" s="754"/>
      <c r="BQ108" s="761"/>
      <c r="BR108" s="760"/>
      <c r="BS108" s="754"/>
      <c r="BT108" s="424"/>
      <c r="BU108" s="424"/>
      <c r="BV108" s="426"/>
      <c r="BW108" s="424"/>
      <c r="BX108" s="449"/>
      <c r="BY108" s="449"/>
      <c r="BZ108" s="449"/>
      <c r="CA108" s="449"/>
      <c r="CB108" s="449"/>
      <c r="CC108" s="807"/>
      <c r="CD108" s="449"/>
      <c r="CE108" s="762" t="str">
        <f>IFERROR(WWWW[[#This Row],['#_Water sources passed]]/WWWW[[#This Row],['#_Water sources tested for fecal coliform ]],"no test")</f>
        <v>no test</v>
      </c>
      <c r="CF108" s="760" t="str">
        <f>IFERROR(WWWW[[#This Row],['#_Household passed]]/WWWW[[#This Row],['#_Household water samples tested for fecal coliform]],"no test")</f>
        <v>no test</v>
      </c>
      <c r="CG108" s="761" t="str">
        <f>IF(AND(WWWW[[#This Row],[% of water sources passed]]="no test",WWWW[[#This Row],[% Household passed]]="no test"),"No Test","Tested")</f>
        <v>No Test</v>
      </c>
      <c r="CH108" s="761">
        <f>WWWW[[#This Row],['#_Constructed/existing protected hand dug well]]-WWWW[[#This Row],['#_Non-functional protected hand dug well]]</f>
        <v>0</v>
      </c>
      <c r="CI108" s="761">
        <f>(WWWW[[#This Row],['#_Constructed/Existing tube wells/boreholes/handpumps_WASH_agency]]+WWWW[[#This Row],['#_Non-Cluster partner water tube-wells/boreholes/handpumps]])-WWWW[[#This Row],['#_Non-functional tube wells/boreholes/handpumps]]</f>
        <v>0</v>
      </c>
      <c r="CJ108" s="761">
        <f>WWWW[[#This Row],['#_Constructed/Existingwater storage tank with gravity fed reticulation system]]-WWWW[[#This Row],['#_Non-functional storage tank gravity fed reticulation system]]</f>
        <v>18</v>
      </c>
      <c r="CK108" s="761">
        <f>(WWWW[[#This Row],['#_Water_Liters_supplied_by_Water boating or water trucking]]/90)/15</f>
        <v>0</v>
      </c>
      <c r="CL108" s="761">
        <f>WWWW[[#This Row],['#_Water_Liters_from_Constructed/Existing water distribution system from river or natural spring]]/90/15</f>
        <v>0</v>
      </c>
      <c r="CM108" s="425">
        <f>IF(WWWW[[#This Row],['#_of water points in TLS/CFS]]*500&gt;WWWW[[#This Row],[Total PoP ]],WWWW[[#This Row],[Total PoP ]],WWWW[[#This Row],['#_of water points in TLS/CFS]]*500)</f>
        <v>0</v>
      </c>
      <c r="CN108" s="425">
        <f>IF(WWWW[[#This Row],['#_of water points in THF]]*500&gt;WWWW[[#This Row],[Total PoP ]],WWWW[[#This Row],[Total PoP ]],WWWW[[#This Row],['#_of water points in THF]]*500)</f>
        <v>0</v>
      </c>
      <c r="CO10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8" s="760">
        <f>IF(WWWW[[#This Row],[Location Type 1]]="Village",WWWW[[#This Row],[Access to safe drinking water for Village]],WWWW[[#This Row],[Access to safe drinking water for Camp]])</f>
        <v>1</v>
      </c>
      <c r="CR108" s="758">
        <f>WWWW[[#This Row],[%Equitable and continuous access to sufficient quantity of safe drinking water]]*WWWW[[#This Row],[Total PoP ]]</f>
        <v>934</v>
      </c>
      <c r="CS108" s="760">
        <f>IF((WWWW[[#This Row],['#_Constructed/Existing protected/fenced ponds]]*250)/WWWW[[#This Row],[Total PoP ]]&gt;1,1,(WWWW[[#This Row],['#_Constructed/Existing protected/fenced ponds]]*250)/WWWW[[#This Row],[Total PoP ]])</f>
        <v>0</v>
      </c>
      <c r="CT108" s="758">
        <f>WWWW[[#This Row],[% Access to unimproved water points]]*WWWW[[#This Row],[Total PoP ]]</f>
        <v>0</v>
      </c>
      <c r="CU10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934</v>
      </c>
      <c r="CW108" s="758">
        <f>WWWW[[#This Row],[HRP1]]/500</f>
        <v>1.8680000000000001</v>
      </c>
      <c r="CX108" s="763">
        <f>1-WWWW[[#This Row],[% Equitable and continuous access to sufficient quantity of domestic water]]</f>
        <v>0</v>
      </c>
      <c r="CY108" s="758">
        <f>WWWW[[#This Row],[%equitable and continuous access to sufficient quantity of safe drinking and domestic water''s GAP]]*WWWW[[#This Row],[Total PoP ]]</f>
        <v>0</v>
      </c>
      <c r="CZ108" s="761">
        <f>IF(WWWW[[#This Row],[Total required water points]]-WWWW[[#This Row],['#Water points coverage]]&lt;0,0,WWWW[[#This Row],[Total required water points]]-WWWW[[#This Row],['#Water points coverage]])</f>
        <v>0.1319999999999999</v>
      </c>
      <c r="DA108" s="761">
        <f>ROUND(IF(WWWW[[#This Row],[Total PoP ]]&lt;500,1,WWWW[[#This Row],[Total PoP ]]/500),0)</f>
        <v>2</v>
      </c>
      <c r="DB108" s="761">
        <f>(WWWW[[#This Row],['#_Constructed latrines_by_WASHAgencies]]+WWWW[[#This Row],['#_Non Cluster partner latrines]])-WWWW[[#This Row],['#_Non-functional latrines]]</f>
        <v>40</v>
      </c>
      <c r="DC108" s="634">
        <f>WWWW[[#This Row],[HRP2]]/WWWW[[#This Row],[Total PoP ]]</f>
        <v>0.85653104925053536</v>
      </c>
      <c r="DD10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800</v>
      </c>
      <c r="DE10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8" s="425">
        <f>IF(WWWW[[#This Row],['# of functional latrines in THF supported by WASH partners during the reporting period2]]="",0,WWWW[[#This Row],['# of functional latrines in THF supported by WASH partners during the reporting period2]]*50)</f>
        <v>0</v>
      </c>
      <c r="DH108" s="761">
        <f>ROUND(IF(WWWW[[#This Row],[Location Type 1]]="camp",WWWW[[#This Row],[Total PoP ]]/20,IF(WWWW[[#This Row],[Location Type 1]]="Temporary Location",WWWW[[#This Row],[Total PoP ]]/50,(WWWW[[#This Row],[Total PoP ]]/6))),0)</f>
        <v>47</v>
      </c>
      <c r="DI108" s="761">
        <f>IF(WWWW[[#This Row],[Total required Latrines]]-(WWWW[[#This Row],['#_Constructed latrines_by_WASHAgencies]]+WWWW[[#This Row],['#_Non Cluster partner latrines]])&lt;0,0,WWWW[[#This Row],[Total required Latrines]]-(WWWW[[#This Row],['#_Constructed latrines_by_WASHAgencies]]+WWWW[[#This Row],['#_Non Cluster partner latrines]]))</f>
        <v>7</v>
      </c>
      <c r="DJ108" s="763">
        <f>1-WWWW[[#This Row],[% people access to functioning Latrine]]</f>
        <v>0.14346895074946464</v>
      </c>
      <c r="DK108" s="762">
        <f>IF(OR(WWWW[[#This Row],['#_Non-functional latrines]]="",WWWW[[#This Row],['#_Non-functional latrines]]=0),0,WWWW[[#This Row],['#_Non-functional latrines]]/(WWWW[[#This Row],['#_Constructed latrines_by_WASHAgencies]]+WWWW[[#This Row],['#_Non Cluster partner latrines]]))</f>
        <v>0</v>
      </c>
      <c r="DL108" s="758">
        <f>IF(500*(WWWW[[#This Row],['#_male hygiene promoters]]+WWWW[[#This Row],['#_female hygiene promoters]])&gt;WWWW[[#This Row],[Total PoP ]],WWWW[[#This Row],[Total PoP ]],500*(WWWW[[#This Row],['#_male hygiene promoters]]+WWWW[[#This Row],['#_female hygiene promoters]]))</f>
        <v>934</v>
      </c>
      <c r="DM10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0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08" s="761">
        <f>IF(WWWW[[#This Row],['# People with access to soap]]&gt;WWWW[[#This Row],['# People with access to Sanity Pads]],WWWW[[#This Row],['# People with access to soap]],WWWW[[#This Row],['# People with access to Sanity Pads]])</f>
        <v>205</v>
      </c>
      <c r="DP108" s="761">
        <f>IF(WWWW[[#This Row],['# people reached by regular dedicated hygiene promotion_5]]&gt;WWWW[[#This Row],['# People received regular supply of hygiene items_6]],WWWW[[#This Row],['# people reached by regular dedicated hygiene promotion_5]],WWWW[[#This Row],['# People received regular supply of hygiene items_6]])</f>
        <v>934</v>
      </c>
      <c r="DQ108" s="763">
        <f>IF(WWWW[[#This Row],[HRP3]]/WWWW[[#This Row],[Total PoP ]]&gt;1,1,WWWW[[#This Row],[HRP3]]/WWWW[[#This Row],[Total PoP ]])</f>
        <v>1</v>
      </c>
      <c r="DR108" s="762">
        <f>1-WWWW[[#This Row],[Hygiene Coverage%]]</f>
        <v>0</v>
      </c>
      <c r="DS108" s="760">
        <f>WWWW[[#This Row],['# people reached by regular dedicated hygiene promotion_5]]/WWWW[[#This Row],[Total PoP ]]</f>
        <v>1</v>
      </c>
      <c r="DT10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0.91111111111111109</v>
      </c>
      <c r="DU10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0.47222222222222221</v>
      </c>
      <c r="DV108" s="761">
        <f>WWWW[[#This Row],['#_Constructed/Existing hand washing stations]]-WWWW[[#This Row],['#_Non-Functional_hand_washing_stations]]</f>
        <v>1</v>
      </c>
      <c r="DW108" s="758">
        <f>IF(WWWW[[#This Row],['# Functional hand washing stations during reporting period]]*20&gt;WWWW[[#This Row],[Total HH]],WWWW[[#This Row],[Total HH]],WWWW[[#This Row],['# Functional hand washing stations during reporting period]]*20)</f>
        <v>20</v>
      </c>
      <c r="DX108" s="758">
        <f>IF(WWWW[[#This Row],[Is sufficient soap available for TLS? (Yes/No)]]="yes",WWWW[[#This Row],['#_Constructed/Existing hand washing stations at TLS/CFS/THF]],0)</f>
        <v>0</v>
      </c>
      <c r="DY108" s="429">
        <f>IF(WWWW[[#This Row],['# Functional hand washing stations during reporting period]]*100&gt;WWWW[[#This Row],[Total PoP ]],WWWW[[#This Row],[Total PoP ]],WWWW[[#This Row],['# Functional hand washing stations during reporting period]]*100)</f>
        <v>100</v>
      </c>
      <c r="DZ108" s="429" t="str">
        <f>IF(OR(WWWW[[#This Row],['#_students at TLS_CFS]]="",WWWW[[#This Row],['#_students at TLS_CFS]]=0),"No","Yes")</f>
        <v>No</v>
      </c>
      <c r="EA10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8" s="754" t="str">
        <f>VLOOKUP(WWWW[[#This Row],[Site Name]],SiteDB6[[Site Name]:[CCCM Management]],6,FALSE)</f>
        <v>Yes</v>
      </c>
      <c r="EF108" s="754" t="str">
        <f>VLOOKUP(WWWW[[#This Row],[Site Name]],SiteDB6[[Site Name]:[CCCM Focal Agency]],7,FALSE)</f>
        <v>KBC-NSS</v>
      </c>
      <c r="EG108" s="754" t="str">
        <f>VLOOKUP(WWWW[[#This Row],[Site Name]],SiteDB6[[Site Name]:[Location Type 1]],9,FALSE)</f>
        <v>Camp</v>
      </c>
      <c r="EH108" s="754" t="str">
        <f>VLOOKUP(WWWW[[#This Row],[Site Name]],SiteDB6[[Site Name]:[Type of Accommodation]],10,FALSE)</f>
        <v>Camp</v>
      </c>
      <c r="EI108" s="754" t="str">
        <f>VLOOKUP(WWWW[[#This Row],[Site Name]],SiteDB6[[Site Name]:[Ethnic or GCA/NGCA]],11,FALSE)</f>
        <v>GCA</v>
      </c>
      <c r="EJ108" s="754">
        <f>VLOOKUP(WWWW[[#This Row],[Site Name]],SiteDB6[[Site Name]:[Lat]],12,FALSE)</f>
        <v>24.08738</v>
      </c>
      <c r="EK108" s="754">
        <f>VLOOKUP(WWWW[[#This Row],[Site Name]],SiteDB6[[Site Name]:[Long]],13,FALSE)</f>
        <v>98.115809999999996</v>
      </c>
      <c r="EL108" s="754" t="str">
        <f>VLOOKUP(WWWW[[#This Row],[Site Name]],SiteDB6[[Site Name]:[Pcode]],3,FALSE)</f>
        <v>MMR015CMP065</v>
      </c>
      <c r="EM108" s="759" t="str">
        <f t="shared" si="1"/>
        <v>Covered</v>
      </c>
      <c r="EN108" s="759"/>
      <c r="EO108" s="754">
        <f>VLOOKUP(WWWW[[#This Row],[Site Name]],SiteDB6[[Site Name]:[Pop
(Kachin/Shan-CCCM as of July 2021)]],16,FALSE)</f>
        <v>306</v>
      </c>
      <c r="EP108" s="754">
        <f>VLOOKUP(WWWW[[#This Row],[Site Name]],SiteDB6[[Site Name]:[Pop
(Kachin/Shan-CCCM as of July 2021)]],17,FALSE)</f>
        <v>1573</v>
      </c>
    </row>
    <row r="109" spans="1:146" hidden="1">
      <c r="A109" s="752" t="s">
        <v>2785</v>
      </c>
      <c r="B109" s="752" t="s">
        <v>192</v>
      </c>
      <c r="C109" s="753" t="s">
        <v>192</v>
      </c>
      <c r="D109" s="753" t="s">
        <v>2695</v>
      </c>
      <c r="E109" s="753" t="s">
        <v>515</v>
      </c>
      <c r="F109" s="753" t="s">
        <v>516</v>
      </c>
      <c r="G109" s="594" t="str">
        <f>VLOOKUP(WWWW[[#This Row],[Site Name]],SiteDB6[[Site Name]:[Location Type]],8,FALSE)</f>
        <v>Relocated</v>
      </c>
      <c r="H109" s="753" t="s">
        <v>2975</v>
      </c>
      <c r="I109" s="755">
        <v>64</v>
      </c>
      <c r="J109" s="755">
        <v>292</v>
      </c>
      <c r="K109" s="591" t="s">
        <v>2789</v>
      </c>
      <c r="L109" s="592" t="s">
        <v>2790</v>
      </c>
      <c r="M109" s="755"/>
      <c r="N109" s="755"/>
      <c r="O109" s="755"/>
      <c r="P109" s="755"/>
      <c r="Q109" s="758"/>
      <c r="R109" s="755">
        <v>4</v>
      </c>
      <c r="S109" s="755">
        <v>5</v>
      </c>
      <c r="T109" s="449"/>
      <c r="U109" s="755"/>
      <c r="V109" s="755"/>
      <c r="W109" s="755"/>
      <c r="X109" s="755"/>
      <c r="Y109" s="755"/>
      <c r="Z109" s="755"/>
      <c r="AA109" s="755">
        <v>8</v>
      </c>
      <c r="AB109" s="755"/>
      <c r="AC109" s="755"/>
      <c r="AD109" s="755"/>
      <c r="AE109" s="755"/>
      <c r="AF109" s="755"/>
      <c r="AG109" s="755"/>
      <c r="AH109" s="755"/>
      <c r="AI109" s="755"/>
      <c r="AJ109" s="755"/>
      <c r="AK109" s="755"/>
      <c r="AL109" s="755"/>
      <c r="AM109" s="755"/>
      <c r="AN109" s="755"/>
      <c r="AO109" s="755"/>
      <c r="AP109" s="759"/>
      <c r="AQ109" s="755">
        <v>25</v>
      </c>
      <c r="AR109" s="755"/>
      <c r="AS109" s="760"/>
      <c r="AT109" s="755"/>
      <c r="AU109" s="755"/>
      <c r="AV109" s="755"/>
      <c r="AW109" s="755"/>
      <c r="AX109" s="755">
        <v>25</v>
      </c>
      <c r="AY109" s="754" t="s">
        <v>41</v>
      </c>
      <c r="AZ109" s="759" t="s">
        <v>137</v>
      </c>
      <c r="BA109" s="755"/>
      <c r="BB109" s="755"/>
      <c r="BC109" s="755"/>
      <c r="BD109" s="449"/>
      <c r="BE109" s="449"/>
      <c r="BF109" s="754"/>
      <c r="BG109" s="755">
        <v>1</v>
      </c>
      <c r="BH109" s="755"/>
      <c r="BI109" s="755"/>
      <c r="BJ109" s="755">
        <v>1</v>
      </c>
      <c r="BK109" s="755"/>
      <c r="BL109" s="755"/>
      <c r="BM109" s="755">
        <v>1</v>
      </c>
      <c r="BN109" s="755">
        <v>6</v>
      </c>
      <c r="BO109" s="755">
        <v>5</v>
      </c>
      <c r="BP109" s="754"/>
      <c r="BQ109" s="761"/>
      <c r="BR109" s="760"/>
      <c r="BS109" s="754"/>
      <c r="BT109" s="424"/>
      <c r="BU109" s="424"/>
      <c r="BV109" s="426"/>
      <c r="BW109" s="424"/>
      <c r="BX109" s="449"/>
      <c r="BY109" s="449"/>
      <c r="BZ109" s="449"/>
      <c r="CA109" s="449"/>
      <c r="CB109" s="449"/>
      <c r="CC109" s="807"/>
      <c r="CD109" s="449"/>
      <c r="CE109" s="762" t="str">
        <f>IFERROR(WWWW[[#This Row],['#_Water sources passed]]/WWWW[[#This Row],['#_Water sources tested for fecal coliform ]],"no test")</f>
        <v>no test</v>
      </c>
      <c r="CF109" s="760" t="str">
        <f>IFERROR(WWWW[[#This Row],['#_Household passed]]/WWWW[[#This Row],['#_Household water samples tested for fecal coliform]],"no test")</f>
        <v>no test</v>
      </c>
      <c r="CG109" s="761" t="str">
        <f>IF(AND(WWWW[[#This Row],[% of water sources passed]]="no test",WWWW[[#This Row],[% Household passed]]="no test"),"No Test","Tested")</f>
        <v>No Test</v>
      </c>
      <c r="CH109" s="761">
        <f>WWWW[[#This Row],['#_Constructed/existing protected hand dug well]]-WWWW[[#This Row],['#_Non-functional protected hand dug well]]</f>
        <v>0</v>
      </c>
      <c r="CI109" s="761">
        <f>(WWWW[[#This Row],['#_Constructed/Existing tube wells/boreholes/handpumps_WASH_agency]]+WWWW[[#This Row],['#_Non-Cluster partner water tube-wells/boreholes/handpumps]])-WWWW[[#This Row],['#_Non-functional tube wells/boreholes/handpumps]]</f>
        <v>0</v>
      </c>
      <c r="CJ109" s="761">
        <f>WWWW[[#This Row],['#_Constructed/Existingwater storage tank with gravity fed reticulation system]]-WWWW[[#This Row],['#_Non-functional storage tank gravity fed reticulation system]]</f>
        <v>8</v>
      </c>
      <c r="CK109" s="761">
        <f>(WWWW[[#This Row],['#_Water_Liters_supplied_by_Water boating or water trucking]]/90)/15</f>
        <v>0</v>
      </c>
      <c r="CL109" s="761">
        <f>WWWW[[#This Row],['#_Water_Liters_from_Constructed/Existing water distribution system from river or natural spring]]/90/15</f>
        <v>0</v>
      </c>
      <c r="CM109" s="425">
        <f>IF(WWWW[[#This Row],['#_of water points in TLS/CFS]]*500&gt;WWWW[[#This Row],[Total PoP ]],WWWW[[#This Row],[Total PoP ]],WWWW[[#This Row],['#_of water points in TLS/CFS]]*500)</f>
        <v>0</v>
      </c>
      <c r="CN109" s="425">
        <f>IF(WWWW[[#This Row],['#_of water points in THF]]*500&gt;WWWW[[#This Row],[Total PoP ]],WWWW[[#This Row],[Total PoP ]],WWWW[[#This Row],['#_of water points in THF]]*500)</f>
        <v>0</v>
      </c>
      <c r="CO10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0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09" s="760">
        <f>IF(WWWW[[#This Row],[Location Type 1]]="Village",WWWW[[#This Row],[Access to safe drinking water for Village]],WWWW[[#This Row],[Access to safe drinking water for Camp]])</f>
        <v>1</v>
      </c>
      <c r="CR109" s="758">
        <f>WWWW[[#This Row],[%Equitable and continuous access to sufficient quantity of safe drinking water]]*WWWW[[#This Row],[Total PoP ]]</f>
        <v>292</v>
      </c>
      <c r="CS109" s="760">
        <f>IF((WWWW[[#This Row],['#_Constructed/Existing protected/fenced ponds]]*250)/WWWW[[#This Row],[Total PoP ]]&gt;1,1,(WWWW[[#This Row],['#_Constructed/Existing protected/fenced ponds]]*250)/WWWW[[#This Row],[Total PoP ]])</f>
        <v>0</v>
      </c>
      <c r="CT109" s="758">
        <f>WWWW[[#This Row],[% Access to unimproved water points]]*WWWW[[#This Row],[Total PoP ]]</f>
        <v>0</v>
      </c>
      <c r="CU10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0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109" s="758">
        <f>WWWW[[#This Row],[HRP1]]/500</f>
        <v>0.58399999999999996</v>
      </c>
      <c r="CX109" s="763">
        <f>1-WWWW[[#This Row],[% Equitable and continuous access to sufficient quantity of domestic water]]</f>
        <v>0</v>
      </c>
      <c r="CY109" s="758">
        <f>WWWW[[#This Row],[%equitable and continuous access to sufficient quantity of safe drinking and domestic water''s GAP]]*WWWW[[#This Row],[Total PoP ]]</f>
        <v>0</v>
      </c>
      <c r="CZ109" s="761">
        <f>IF(WWWW[[#This Row],[Total required water points]]-WWWW[[#This Row],['#Water points coverage]]&lt;0,0,WWWW[[#This Row],[Total required water points]]-WWWW[[#This Row],['#Water points coverage]])</f>
        <v>0.41600000000000004</v>
      </c>
      <c r="DA109" s="761">
        <f>ROUND(IF(WWWW[[#This Row],[Total PoP ]]&lt;500,1,WWWW[[#This Row],[Total PoP ]]/500),0)</f>
        <v>1</v>
      </c>
      <c r="DB109" s="761">
        <f>(WWWW[[#This Row],['#_Constructed latrines_by_WASHAgencies]]+WWWW[[#This Row],['#_Non Cluster partner latrines]])-WWWW[[#This Row],['#_Non-functional latrines]]</f>
        <v>25</v>
      </c>
      <c r="DC109" s="634">
        <f>WWWW[[#This Row],[HRP2]]/WWWW[[#This Row],[Total PoP ]]</f>
        <v>0.42808219178082191</v>
      </c>
      <c r="DD10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10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0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09" s="425">
        <f>IF(WWWW[[#This Row],['# of functional latrines in THF supported by WASH partners during the reporting period2]]="",0,WWWW[[#This Row],['# of functional latrines in THF supported by WASH partners during the reporting period2]]*50)</f>
        <v>0</v>
      </c>
      <c r="DH109" s="761">
        <f>ROUND(IF(WWWW[[#This Row],[Location Type 1]]="camp",WWWW[[#This Row],[Total PoP ]]/20,IF(WWWW[[#This Row],[Location Type 1]]="Temporary Location",WWWW[[#This Row],[Total PoP ]]/50,(WWWW[[#This Row],[Total PoP ]]/6))),0)</f>
        <v>49</v>
      </c>
      <c r="DI109" s="761">
        <f>IF(WWWW[[#This Row],[Total required Latrines]]-(WWWW[[#This Row],['#_Constructed latrines_by_WASHAgencies]]+WWWW[[#This Row],['#_Non Cluster partner latrines]])&lt;0,0,WWWW[[#This Row],[Total required Latrines]]-(WWWW[[#This Row],['#_Constructed latrines_by_WASHAgencies]]+WWWW[[#This Row],['#_Non Cluster partner latrines]]))</f>
        <v>24</v>
      </c>
      <c r="DJ109" s="763">
        <f>1-WWWW[[#This Row],[% people access to functioning Latrine]]</f>
        <v>0.57191780821917804</v>
      </c>
      <c r="DK109" s="762">
        <f>IF(OR(WWWW[[#This Row],['#_Non-functional latrines]]="",WWWW[[#This Row],['#_Non-functional latrines]]=0),0,WWWW[[#This Row],['#_Non-functional latrines]]/(WWWW[[#This Row],['#_Constructed latrines_by_WASHAgencies]]+WWWW[[#This Row],['#_Non Cluster partner latrines]]))</f>
        <v>0</v>
      </c>
      <c r="DL109" s="758">
        <f>IF(500*(WWWW[[#This Row],['#_male hygiene promoters]]+WWWW[[#This Row],['#_female hygiene promoters]])&gt;WWWW[[#This Row],[Total PoP ]],WWWW[[#This Row],[Total PoP ]],500*(WWWW[[#This Row],['#_male hygiene promoters]]+WWWW[[#This Row],['#_female hygiene promoters]]))</f>
        <v>292</v>
      </c>
      <c r="DM10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0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09" s="761">
        <f>IF(WWWW[[#This Row],['# People with access to soap]]&gt;WWWW[[#This Row],['# People with access to Sanity Pads]],WWWW[[#This Row],['# People with access to soap]],WWWW[[#This Row],['# People with access to Sanity Pads]])</f>
        <v>30</v>
      </c>
      <c r="DP109" s="761">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109" s="763">
        <f>IF(WWWW[[#This Row],[HRP3]]/WWWW[[#This Row],[Total PoP ]]&gt;1,1,WWWW[[#This Row],[HRP3]]/WWWW[[#This Row],[Total PoP ]])</f>
        <v>1</v>
      </c>
      <c r="DR109" s="762">
        <f>1-WWWW[[#This Row],[Hygiene Coverage%]]</f>
        <v>0</v>
      </c>
      <c r="DS109" s="760">
        <f>WWWW[[#This Row],['# people reached by regular dedicated hygiene promotion_5]]/WWWW[[#This Row],[Total PoP ]]</f>
        <v>1</v>
      </c>
      <c r="DT10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0.375</v>
      </c>
      <c r="DU10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7.8125E-2</v>
      </c>
      <c r="DV109" s="761">
        <f>WWWW[[#This Row],['#_Constructed/Existing hand washing stations]]-WWWW[[#This Row],['#_Non-Functional_hand_washing_stations]]</f>
        <v>1</v>
      </c>
      <c r="DW109" s="758">
        <f>IF(WWWW[[#This Row],['# Functional hand washing stations during reporting period]]*20&gt;WWWW[[#This Row],[Total HH]],WWWW[[#This Row],[Total HH]],WWWW[[#This Row],['# Functional hand washing stations during reporting period]]*20)</f>
        <v>20</v>
      </c>
      <c r="DX109" s="758">
        <f>IF(WWWW[[#This Row],[Is sufficient soap available for TLS? (Yes/No)]]="yes",WWWW[[#This Row],['#_Constructed/Existing hand washing stations at TLS/CFS/THF]],0)</f>
        <v>0</v>
      </c>
      <c r="DY109" s="429">
        <f>IF(WWWW[[#This Row],['# Functional hand washing stations during reporting period]]*100&gt;WWWW[[#This Row],[Total PoP ]],WWWW[[#This Row],[Total PoP ]],WWWW[[#This Row],['# Functional hand washing stations during reporting period]]*100)</f>
        <v>100</v>
      </c>
      <c r="DZ109" s="429" t="str">
        <f>IF(OR(WWWW[[#This Row],['#_students at TLS_CFS]]="",WWWW[[#This Row],['#_students at TLS_CFS]]=0),"No","Yes")</f>
        <v>No</v>
      </c>
      <c r="EA10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0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0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0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09" s="754">
        <f>VLOOKUP(WWWW[[#This Row],[Site Name]],SiteDB6[[Site Name]:[CCCM Management]],6,FALSE)</f>
        <v>0</v>
      </c>
      <c r="EF109" s="754" t="str">
        <f>VLOOKUP(WWWW[[#This Row],[Site Name]],SiteDB6[[Site Name]:[CCCM Focal Agency]],7,FALSE)</f>
        <v>uncovered</v>
      </c>
      <c r="EG109" s="754" t="str">
        <f>VLOOKUP(WWWW[[#This Row],[Site Name]],SiteDB6[[Site Name]:[Location Type 1]],9,FALSE)</f>
        <v>Relocated</v>
      </c>
      <c r="EH109" s="754" t="str">
        <f>VLOOKUP(WWWW[[#This Row],[Site Name]],SiteDB6[[Site Name]:[Type of Accommodation]],10,FALSE)</f>
        <v>Closed Camp</v>
      </c>
      <c r="EI109" s="754" t="str">
        <f>VLOOKUP(WWWW[[#This Row],[Site Name]],SiteDB6[[Site Name]:[Ethnic or GCA/NGCA]],11,FALSE)</f>
        <v>GCA</v>
      </c>
      <c r="EJ109" s="754">
        <f>VLOOKUP(WWWW[[#This Row],[Site Name]],SiteDB6[[Site Name]:[Lat]],12,FALSE)</f>
        <v>23.611999999999998</v>
      </c>
      <c r="EK109" s="754">
        <f>VLOOKUP(WWWW[[#This Row],[Site Name]],SiteDB6[[Site Name]:[Long]],13,FALSE)</f>
        <v>97.506</v>
      </c>
      <c r="EL109" s="754" t="str">
        <f>VLOOKUP(WWWW[[#This Row],[Site Name]],SiteDB6[[Site Name]:[Pcode]],3,FALSE)</f>
        <v>MMR015CMP042</v>
      </c>
      <c r="EM109" s="759" t="str">
        <f t="shared" si="1"/>
        <v>Covered</v>
      </c>
      <c r="EN109" s="759"/>
      <c r="EO109" s="754">
        <f>VLOOKUP(WWWW[[#This Row],[Site Name]],SiteDB6[[Site Name]:[Pop
(Kachin/Shan-CCCM as of July 2021)]],16,FALSE)</f>
        <v>67</v>
      </c>
      <c r="EP109" s="754">
        <f>VLOOKUP(WWWW[[#This Row],[Site Name]],SiteDB6[[Site Name]:[Pop
(Kachin/Shan-CCCM as of July 2021)]],17,FALSE)</f>
        <v>307</v>
      </c>
    </row>
    <row r="110" spans="1:146" hidden="1">
      <c r="A110" s="752" t="s">
        <v>2785</v>
      </c>
      <c r="B110" s="752" t="s">
        <v>192</v>
      </c>
      <c r="C110" s="753" t="s">
        <v>192</v>
      </c>
      <c r="D110" s="753" t="s">
        <v>2695</v>
      </c>
      <c r="E110" s="753" t="s">
        <v>515</v>
      </c>
      <c r="F110" s="753" t="s">
        <v>516</v>
      </c>
      <c r="G110" s="594" t="str">
        <f>VLOOKUP(WWWW[[#This Row],[Site Name]],SiteDB6[[Site Name]:[Location Type]],8,FALSE)</f>
        <v>Camp</v>
      </c>
      <c r="H110" s="753" t="s">
        <v>562</v>
      </c>
      <c r="I110" s="755">
        <v>64</v>
      </c>
      <c r="J110" s="755">
        <v>323</v>
      </c>
      <c r="K110" s="591" t="s">
        <v>2789</v>
      </c>
      <c r="L110" s="592" t="s">
        <v>2790</v>
      </c>
      <c r="M110" s="755"/>
      <c r="N110" s="755">
        <v>1</v>
      </c>
      <c r="O110" s="755">
        <v>1</v>
      </c>
      <c r="P110" s="755"/>
      <c r="Q110" s="758" t="s">
        <v>41</v>
      </c>
      <c r="R110" s="755"/>
      <c r="S110" s="755"/>
      <c r="T110" s="449"/>
      <c r="U110" s="755"/>
      <c r="V110" s="755"/>
      <c r="W110" s="755"/>
      <c r="X110" s="755">
        <v>1</v>
      </c>
      <c r="Y110" s="755"/>
      <c r="Z110" s="755"/>
      <c r="AA110" s="755"/>
      <c r="AB110" s="755"/>
      <c r="AC110" s="755"/>
      <c r="AD110" s="755"/>
      <c r="AE110" s="755"/>
      <c r="AF110" s="755"/>
      <c r="AG110" s="755"/>
      <c r="AH110" s="755"/>
      <c r="AI110" s="755"/>
      <c r="AJ110" s="755"/>
      <c r="AK110" s="755"/>
      <c r="AL110" s="755"/>
      <c r="AM110" s="755"/>
      <c r="AN110" s="755"/>
      <c r="AO110" s="755"/>
      <c r="AP110" s="759"/>
      <c r="AQ110" s="755">
        <v>10</v>
      </c>
      <c r="AR110" s="755"/>
      <c r="AS110" s="760"/>
      <c r="AT110" s="755"/>
      <c r="AU110" s="755"/>
      <c r="AV110" s="755"/>
      <c r="AW110" s="755"/>
      <c r="AX110" s="755"/>
      <c r="AY110" s="754" t="s">
        <v>140</v>
      </c>
      <c r="AZ110" s="759" t="s">
        <v>140</v>
      </c>
      <c r="BA110" s="755"/>
      <c r="BB110" s="755"/>
      <c r="BC110" s="755"/>
      <c r="BD110" s="449"/>
      <c r="BE110" s="449"/>
      <c r="BF110" s="754"/>
      <c r="BG110" s="755">
        <v>7</v>
      </c>
      <c r="BH110" s="755"/>
      <c r="BI110" s="755"/>
      <c r="BJ110" s="755">
        <v>7</v>
      </c>
      <c r="BK110" s="755"/>
      <c r="BL110" s="755"/>
      <c r="BM110" s="755"/>
      <c r="BN110" s="755">
        <v>104</v>
      </c>
      <c r="BO110" s="755">
        <v>148</v>
      </c>
      <c r="BP110" s="754"/>
      <c r="BQ110" s="761"/>
      <c r="BR110" s="760"/>
      <c r="BS110" s="754"/>
      <c r="BT110" s="424"/>
      <c r="BU110" s="424"/>
      <c r="BV110" s="426"/>
      <c r="BW110" s="424"/>
      <c r="BX110" s="449"/>
      <c r="BY110" s="449"/>
      <c r="BZ110" s="449"/>
      <c r="CA110" s="449"/>
      <c r="CB110" s="449"/>
      <c r="CC110" s="807"/>
      <c r="CD110" s="449"/>
      <c r="CE110" s="762" t="str">
        <f>IFERROR(WWWW[[#This Row],['#_Water sources passed]]/WWWW[[#This Row],['#_Water sources tested for fecal coliform ]],"no test")</f>
        <v>no test</v>
      </c>
      <c r="CF110" s="760" t="str">
        <f>IFERROR(WWWW[[#This Row],['#_Household passed]]/WWWW[[#This Row],['#_Household water samples tested for fecal coliform]],"no test")</f>
        <v>no test</v>
      </c>
      <c r="CG110" s="761" t="str">
        <f>IF(AND(WWWW[[#This Row],[% of water sources passed]]="no test",WWWW[[#This Row],[% Household passed]]="no test"),"No Test","Tested")</f>
        <v>No Test</v>
      </c>
      <c r="CH110" s="761">
        <f>WWWW[[#This Row],['#_Constructed/existing protected hand dug well]]-WWWW[[#This Row],['#_Non-functional protected hand dug well]]</f>
        <v>0</v>
      </c>
      <c r="CI110" s="761">
        <f>(WWWW[[#This Row],['#_Constructed/Existing tube wells/boreholes/handpumps_WASH_agency]]+WWWW[[#This Row],['#_Non-Cluster partner water tube-wells/boreholes/handpumps]])-WWWW[[#This Row],['#_Non-functional tube wells/boreholes/handpumps]]</f>
        <v>1</v>
      </c>
      <c r="CJ110" s="761">
        <f>WWWW[[#This Row],['#_Constructed/Existingwater storage tank with gravity fed reticulation system]]-WWWW[[#This Row],['#_Non-functional storage tank gravity fed reticulation system]]</f>
        <v>0</v>
      </c>
      <c r="CK110" s="761">
        <f>(WWWW[[#This Row],['#_Water_Liters_supplied_by_Water boating or water trucking]]/90)/15</f>
        <v>0</v>
      </c>
      <c r="CL110" s="761">
        <f>WWWW[[#This Row],['#_Water_Liters_from_Constructed/Existing water distribution system from river or natural spring]]/90/15</f>
        <v>0</v>
      </c>
      <c r="CM110" s="425">
        <f>IF(WWWW[[#This Row],['#_of water points in TLS/CFS]]*500&gt;WWWW[[#This Row],[Total PoP ]],WWWW[[#This Row],[Total PoP ]],WWWW[[#This Row],['#_of water points in TLS/CFS]]*500)</f>
        <v>0</v>
      </c>
      <c r="CN110" s="425">
        <f>IF(WWWW[[#This Row],['#_of water points in THF]]*500&gt;WWWW[[#This Row],[Total PoP ]],WWWW[[#This Row],[Total PoP ]],WWWW[[#This Row],['#_of water points in THF]]*500)</f>
        <v>0</v>
      </c>
      <c r="CO11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110" s="760">
        <f>IF(WWWW[[#This Row],[Location Type 1]]="Village",WWWW[[#This Row],[Access to safe drinking water for Village]],WWWW[[#This Row],[Access to safe drinking water for Camp]])</f>
        <v>1</v>
      </c>
      <c r="CR110" s="758">
        <f>WWWW[[#This Row],[%Equitable and continuous access to sufficient quantity of safe drinking water]]*WWWW[[#This Row],[Total PoP ]]</f>
        <v>323</v>
      </c>
      <c r="CS110" s="760">
        <f>IF((WWWW[[#This Row],['#_Constructed/Existing protected/fenced ponds]]*250)/WWWW[[#This Row],[Total PoP ]]&gt;1,1,(WWWW[[#This Row],['#_Constructed/Existing protected/fenced ponds]]*250)/WWWW[[#This Row],[Total PoP ]])</f>
        <v>0</v>
      </c>
      <c r="CT110" s="758">
        <f>WWWW[[#This Row],[% Access to unimproved water points]]*WWWW[[#This Row],[Total PoP ]]</f>
        <v>0</v>
      </c>
      <c r="CU11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110" s="758">
        <f>WWWW[[#This Row],[HRP1]]/500</f>
        <v>0.64600000000000002</v>
      </c>
      <c r="CX110" s="763">
        <f>1-WWWW[[#This Row],[% Equitable and continuous access to sufficient quantity of domestic water]]</f>
        <v>0</v>
      </c>
      <c r="CY110" s="758">
        <f>WWWW[[#This Row],[%equitable and continuous access to sufficient quantity of safe drinking and domestic water''s GAP]]*WWWW[[#This Row],[Total PoP ]]</f>
        <v>0</v>
      </c>
      <c r="CZ110" s="761">
        <f>IF(WWWW[[#This Row],[Total required water points]]-WWWW[[#This Row],['#Water points coverage]]&lt;0,0,WWWW[[#This Row],[Total required water points]]-WWWW[[#This Row],['#Water points coverage]])</f>
        <v>0.35399999999999998</v>
      </c>
      <c r="DA110" s="761">
        <f>ROUND(IF(WWWW[[#This Row],[Total PoP ]]&lt;500,1,WWWW[[#This Row],[Total PoP ]]/500),0)</f>
        <v>1</v>
      </c>
      <c r="DB110" s="761">
        <f>(WWWW[[#This Row],['#_Constructed latrines_by_WASHAgencies]]+WWWW[[#This Row],['#_Non Cluster partner latrines]])-WWWW[[#This Row],['#_Non-functional latrines]]</f>
        <v>10</v>
      </c>
      <c r="DC110" s="634">
        <f>WWWW[[#This Row],[HRP2]]/WWWW[[#This Row],[Total PoP ]]</f>
        <v>0.61919504643962853</v>
      </c>
      <c r="DD11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1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0" s="425">
        <f>IF(WWWW[[#This Row],['# of functional latrines in THF supported by WASH partners during the reporting period2]]="",0,WWWW[[#This Row],['# of functional latrines in THF supported by WASH partners during the reporting period2]]*50)</f>
        <v>0</v>
      </c>
      <c r="DH110" s="761">
        <f>ROUND(IF(WWWW[[#This Row],[Location Type 1]]="camp",WWWW[[#This Row],[Total PoP ]]/20,IF(WWWW[[#This Row],[Location Type 1]]="Temporary Location",WWWW[[#This Row],[Total PoP ]]/50,(WWWW[[#This Row],[Total PoP ]]/6))),0)</f>
        <v>16</v>
      </c>
      <c r="DI110" s="761">
        <f>IF(WWWW[[#This Row],[Total required Latrines]]-(WWWW[[#This Row],['#_Constructed latrines_by_WASHAgencies]]+WWWW[[#This Row],['#_Non Cluster partner latrines]])&lt;0,0,WWWW[[#This Row],[Total required Latrines]]-(WWWW[[#This Row],['#_Constructed latrines_by_WASHAgencies]]+WWWW[[#This Row],['#_Non Cluster partner latrines]]))</f>
        <v>6</v>
      </c>
      <c r="DJ110" s="763">
        <f>1-WWWW[[#This Row],[% people access to functioning Latrine]]</f>
        <v>0.38080495356037147</v>
      </c>
      <c r="DK110" s="762">
        <f>IF(OR(WWWW[[#This Row],['#_Non-functional latrines]]="",WWWW[[#This Row],['#_Non-functional latrines]]=0),0,WWWW[[#This Row],['#_Non-functional latrines]]/(WWWW[[#This Row],['#_Constructed latrines_by_WASHAgencies]]+WWWW[[#This Row],['#_Non Cluster partner latrines]]))</f>
        <v>0</v>
      </c>
      <c r="DL110" s="758">
        <f>IF(500*(WWWW[[#This Row],['#_male hygiene promoters]]+WWWW[[#This Row],['#_female hygiene promoters]])&gt;WWWW[[#This Row],[Total PoP ]],WWWW[[#This Row],[Total PoP ]],500*(WWWW[[#This Row],['#_male hygiene promoters]]+WWWW[[#This Row],['#_female hygiene promoters]]))</f>
        <v>0</v>
      </c>
      <c r="DM11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323</v>
      </c>
      <c r="DN11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10" s="761">
        <f>IF(WWWW[[#This Row],['# People with access to soap]]&gt;WWWW[[#This Row],['# People with access to Sanity Pads]],WWWW[[#This Row],['# People with access to soap]],WWWW[[#This Row],['# People with access to Sanity Pads]])</f>
        <v>323</v>
      </c>
      <c r="DP110" s="761">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110" s="763">
        <f>IF(WWWW[[#This Row],[HRP3]]/WWWW[[#This Row],[Total PoP ]]&gt;1,1,WWWW[[#This Row],[HRP3]]/WWWW[[#This Row],[Total PoP ]])</f>
        <v>1</v>
      </c>
      <c r="DR110" s="762">
        <f>1-WWWW[[#This Row],[Hygiene Coverage%]]</f>
        <v>0</v>
      </c>
      <c r="DS110" s="760">
        <f>WWWW[[#This Row],['# people reached by regular dedicated hygiene promotion_5]]/WWWW[[#This Row],[Total PoP ]]</f>
        <v>0</v>
      </c>
      <c r="DT11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0" s="761">
        <f>WWWW[[#This Row],['#_Constructed/Existing hand washing stations]]-WWWW[[#This Row],['#_Non-Functional_hand_washing_stations]]</f>
        <v>7</v>
      </c>
      <c r="DW110" s="758">
        <f>IF(WWWW[[#This Row],['# Functional hand washing stations during reporting period]]*20&gt;WWWW[[#This Row],[Total HH]],WWWW[[#This Row],[Total HH]],WWWW[[#This Row],['# Functional hand washing stations during reporting period]]*20)</f>
        <v>64</v>
      </c>
      <c r="DX110" s="758">
        <f>IF(WWWW[[#This Row],[Is sufficient soap available for TLS? (Yes/No)]]="yes",WWWW[[#This Row],['#_Constructed/Existing hand washing stations at TLS/CFS/THF]],0)</f>
        <v>0</v>
      </c>
      <c r="DY110" s="429">
        <f>IF(WWWW[[#This Row],['# Functional hand washing stations during reporting period]]*100&gt;WWWW[[#This Row],[Total PoP ]],WWWW[[#This Row],[Total PoP ]],WWWW[[#This Row],['# Functional hand washing stations during reporting period]]*100)</f>
        <v>323</v>
      </c>
      <c r="DZ110" s="429" t="str">
        <f>IF(OR(WWWW[[#This Row],['#_students at TLS_CFS]]="",WWWW[[#This Row],['#_students at TLS_CFS]]=0),"No","Yes")</f>
        <v>No</v>
      </c>
      <c r="EA11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0" s="754" t="str">
        <f>VLOOKUP(WWWW[[#This Row],[Site Name]],SiteDB6[[Site Name]:[CCCM Management]],6,FALSE)</f>
        <v>Yes</v>
      </c>
      <c r="EF110" s="754" t="str">
        <f>VLOOKUP(WWWW[[#This Row],[Site Name]],SiteDB6[[Site Name]:[CCCM Focal Agency]],7,FALSE)</f>
        <v>KBC-NSS</v>
      </c>
      <c r="EG110" s="754" t="str">
        <f>VLOOKUP(WWWW[[#This Row],[Site Name]],SiteDB6[[Site Name]:[Location Type 1]],9,FALSE)</f>
        <v>Camp</v>
      </c>
      <c r="EH110" s="754" t="str">
        <f>VLOOKUP(WWWW[[#This Row],[Site Name]],SiteDB6[[Site Name]:[Type of Accommodation]],10,FALSE)</f>
        <v>Camp</v>
      </c>
      <c r="EI110" s="754" t="str">
        <f>VLOOKUP(WWWW[[#This Row],[Site Name]],SiteDB6[[Site Name]:[Ethnic or GCA/NGCA]],11,FALSE)</f>
        <v>GCA</v>
      </c>
      <c r="EJ110" s="754">
        <f>VLOOKUP(WWWW[[#This Row],[Site Name]],SiteDB6[[Site Name]:[Lat]],12,FALSE)</f>
        <v>23.828520000000001</v>
      </c>
      <c r="EK110" s="754">
        <f>VLOOKUP(WWWW[[#This Row],[Site Name]],SiteDB6[[Site Name]:[Long]],13,FALSE)</f>
        <v>97.669557999999995</v>
      </c>
      <c r="EL110" s="754" t="str">
        <f>VLOOKUP(WWWW[[#This Row],[Site Name]],SiteDB6[[Site Name]:[Pcode]],3,FALSE)</f>
        <v>MMR015CMP001</v>
      </c>
      <c r="EM110" s="759" t="str">
        <f t="shared" si="1"/>
        <v>Covered</v>
      </c>
      <c r="EN110" s="759"/>
      <c r="EO110" s="754">
        <f>VLOOKUP(WWWW[[#This Row],[Site Name]],SiteDB6[[Site Name]:[Pop
(Kachin/Shan-CCCM as of July 2021)]],16,FALSE)</f>
        <v>66</v>
      </c>
      <c r="EP110" s="754">
        <f>VLOOKUP(WWWW[[#This Row],[Site Name]],SiteDB6[[Site Name]:[Pop
(Kachin/Shan-CCCM as of July 2021)]],17,FALSE)</f>
        <v>333</v>
      </c>
    </row>
    <row r="111" spans="1:146" hidden="1">
      <c r="A111" s="752" t="s">
        <v>2785</v>
      </c>
      <c r="B111" s="752" t="s">
        <v>192</v>
      </c>
      <c r="C111" s="753" t="s">
        <v>192</v>
      </c>
      <c r="D111" s="753" t="s">
        <v>2695</v>
      </c>
      <c r="E111" s="753" t="s">
        <v>515</v>
      </c>
      <c r="F111" s="753" t="s">
        <v>516</v>
      </c>
      <c r="G111" s="594" t="str">
        <f>VLOOKUP(WWWW[[#This Row],[Site Name]],SiteDB6[[Site Name]:[Location Type]],8,FALSE)</f>
        <v>Camp</v>
      </c>
      <c r="H111" s="753" t="s">
        <v>551</v>
      </c>
      <c r="I111" s="755">
        <v>6</v>
      </c>
      <c r="J111" s="755">
        <v>31</v>
      </c>
      <c r="K111" s="591" t="s">
        <v>2789</v>
      </c>
      <c r="L111" s="592" t="s">
        <v>2790</v>
      </c>
      <c r="M111" s="755"/>
      <c r="N111" s="755"/>
      <c r="O111" s="755">
        <v>1</v>
      </c>
      <c r="P111" s="755"/>
      <c r="Q111" s="758"/>
      <c r="R111" s="755"/>
      <c r="S111" s="755"/>
      <c r="T111" s="449"/>
      <c r="U111" s="755"/>
      <c r="V111" s="755"/>
      <c r="W111" s="755"/>
      <c r="X111" s="755">
        <v>1</v>
      </c>
      <c r="Y111" s="755"/>
      <c r="Z111" s="755"/>
      <c r="AA111" s="755"/>
      <c r="AB111" s="755"/>
      <c r="AC111" s="755"/>
      <c r="AD111" s="755"/>
      <c r="AE111" s="755"/>
      <c r="AF111" s="755"/>
      <c r="AG111" s="755"/>
      <c r="AH111" s="755"/>
      <c r="AI111" s="755"/>
      <c r="AJ111" s="755"/>
      <c r="AK111" s="755"/>
      <c r="AL111" s="755"/>
      <c r="AM111" s="755"/>
      <c r="AN111" s="755"/>
      <c r="AO111" s="755"/>
      <c r="AP111" s="759"/>
      <c r="AQ111" s="755"/>
      <c r="AR111" s="755">
        <v>10</v>
      </c>
      <c r="AS111" s="760"/>
      <c r="AT111" s="755"/>
      <c r="AU111" s="755"/>
      <c r="AV111" s="755"/>
      <c r="AW111" s="755"/>
      <c r="AX111" s="755"/>
      <c r="AY111" s="754" t="s">
        <v>140</v>
      </c>
      <c r="AZ111" s="759" t="s">
        <v>140</v>
      </c>
      <c r="BA111" s="755"/>
      <c r="BB111" s="755"/>
      <c r="BC111" s="755"/>
      <c r="BD111" s="449"/>
      <c r="BE111" s="449"/>
      <c r="BF111" s="754"/>
      <c r="BG111" s="755">
        <v>7</v>
      </c>
      <c r="BH111" s="755"/>
      <c r="BI111" s="755"/>
      <c r="BJ111" s="755">
        <v>4</v>
      </c>
      <c r="BK111" s="755"/>
      <c r="BL111" s="755"/>
      <c r="BM111" s="755">
        <v>1</v>
      </c>
      <c r="BN111" s="755">
        <v>124</v>
      </c>
      <c r="BO111" s="755">
        <v>198</v>
      </c>
      <c r="BP111" s="754"/>
      <c r="BQ111" s="761"/>
      <c r="BR111" s="760"/>
      <c r="BS111" s="754"/>
      <c r="BT111" s="424"/>
      <c r="BU111" s="424"/>
      <c r="BV111" s="426"/>
      <c r="BW111" s="424"/>
      <c r="BX111" s="449"/>
      <c r="BY111" s="449"/>
      <c r="BZ111" s="449"/>
      <c r="CA111" s="449"/>
      <c r="CB111" s="449"/>
      <c r="CC111" s="807"/>
      <c r="CD111" s="449"/>
      <c r="CE111" s="762" t="str">
        <f>IFERROR(WWWW[[#This Row],['#_Water sources passed]]/WWWW[[#This Row],['#_Water sources tested for fecal coliform ]],"no test")</f>
        <v>no test</v>
      </c>
      <c r="CF111" s="760" t="str">
        <f>IFERROR(WWWW[[#This Row],['#_Household passed]]/WWWW[[#This Row],['#_Household water samples tested for fecal coliform]],"no test")</f>
        <v>no test</v>
      </c>
      <c r="CG111" s="761" t="str">
        <f>IF(AND(WWWW[[#This Row],[% of water sources passed]]="no test",WWWW[[#This Row],[% Household passed]]="no test"),"No Test","Tested")</f>
        <v>No Test</v>
      </c>
      <c r="CH111" s="761">
        <f>WWWW[[#This Row],['#_Constructed/existing protected hand dug well]]-WWWW[[#This Row],['#_Non-functional protected hand dug well]]</f>
        <v>0</v>
      </c>
      <c r="CI111" s="761">
        <f>(WWWW[[#This Row],['#_Constructed/Existing tube wells/boreholes/handpumps_WASH_agency]]+WWWW[[#This Row],['#_Non-Cluster partner water tube-wells/boreholes/handpumps]])-WWWW[[#This Row],['#_Non-functional tube wells/boreholes/handpumps]]</f>
        <v>1</v>
      </c>
      <c r="CJ111" s="761">
        <f>WWWW[[#This Row],['#_Constructed/Existingwater storage tank with gravity fed reticulation system]]-WWWW[[#This Row],['#_Non-functional storage tank gravity fed reticulation system]]</f>
        <v>0</v>
      </c>
      <c r="CK111" s="761">
        <f>(WWWW[[#This Row],['#_Water_Liters_supplied_by_Water boating or water trucking]]/90)/15</f>
        <v>0</v>
      </c>
      <c r="CL111" s="761">
        <f>WWWW[[#This Row],['#_Water_Liters_from_Constructed/Existing water distribution system from river or natural spring]]/90/15</f>
        <v>0</v>
      </c>
      <c r="CM111" s="425">
        <f>IF(WWWW[[#This Row],['#_of water points in TLS/CFS]]*500&gt;WWWW[[#This Row],[Total PoP ]],WWWW[[#This Row],[Total PoP ]],WWWW[[#This Row],['#_of water points in TLS/CFS]]*500)</f>
        <v>0</v>
      </c>
      <c r="CN111" s="425">
        <f>IF(WWWW[[#This Row],['#_of water points in THF]]*500&gt;WWWW[[#This Row],[Total PoP ]],WWWW[[#This Row],[Total PoP ]],WWWW[[#This Row],['#_of water points in THF]]*500)</f>
        <v>0</v>
      </c>
      <c r="CO11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1" s="760">
        <f>IF(WWWW[[#This Row],[Location Type 1]]="Village",WWWW[[#This Row],[Access to safe drinking water for Village]],WWWW[[#This Row],[Access to safe drinking water for Camp]])</f>
        <v>1</v>
      </c>
      <c r="CR111" s="758">
        <f>WWWW[[#This Row],[%Equitable and continuous access to sufficient quantity of safe drinking water]]*WWWW[[#This Row],[Total PoP ]]</f>
        <v>31</v>
      </c>
      <c r="CS111" s="760">
        <f>IF((WWWW[[#This Row],['#_Constructed/Existing protected/fenced ponds]]*250)/WWWW[[#This Row],[Total PoP ]]&gt;1,1,(WWWW[[#This Row],['#_Constructed/Existing protected/fenced ponds]]*250)/WWWW[[#This Row],[Total PoP ]])</f>
        <v>0</v>
      </c>
      <c r="CT111" s="758">
        <f>WWWW[[#This Row],[% Access to unimproved water points]]*WWWW[[#This Row],[Total PoP ]]</f>
        <v>0</v>
      </c>
      <c r="CU11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111" s="758">
        <f>WWWW[[#This Row],[HRP1]]/500</f>
        <v>6.2E-2</v>
      </c>
      <c r="CX111" s="763">
        <f>1-WWWW[[#This Row],[% Equitable and continuous access to sufficient quantity of domestic water]]</f>
        <v>0</v>
      </c>
      <c r="CY111" s="758">
        <f>WWWW[[#This Row],[%equitable and continuous access to sufficient quantity of safe drinking and domestic water''s GAP]]*WWWW[[#This Row],[Total PoP ]]</f>
        <v>0</v>
      </c>
      <c r="CZ111" s="761">
        <f>IF(WWWW[[#This Row],[Total required water points]]-WWWW[[#This Row],['#Water points coverage]]&lt;0,0,WWWW[[#This Row],[Total required water points]]-WWWW[[#This Row],['#Water points coverage]])</f>
        <v>0.93799999999999994</v>
      </c>
      <c r="DA111" s="761">
        <f>ROUND(IF(WWWW[[#This Row],[Total PoP ]]&lt;500,1,WWWW[[#This Row],[Total PoP ]]/500),0)</f>
        <v>1</v>
      </c>
      <c r="DB111" s="761">
        <f>(WWWW[[#This Row],['#_Constructed latrines_by_WASHAgencies]]+WWWW[[#This Row],['#_Non Cluster partner latrines]])-WWWW[[#This Row],['#_Non-functional latrines]]</f>
        <v>10</v>
      </c>
      <c r="DC111" s="634">
        <f>WWWW[[#This Row],[HRP2]]/WWWW[[#This Row],[Total PoP ]]</f>
        <v>1</v>
      </c>
      <c r="DD11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11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1" s="425">
        <f>IF(WWWW[[#This Row],['# of functional latrines in THF supported by WASH partners during the reporting period2]]="",0,WWWW[[#This Row],['# of functional latrines in THF supported by WASH partners during the reporting period2]]*50)</f>
        <v>0</v>
      </c>
      <c r="DH111" s="761">
        <f>ROUND(IF(WWWW[[#This Row],[Location Type 1]]="camp",WWWW[[#This Row],[Total PoP ]]/20,IF(WWWW[[#This Row],[Location Type 1]]="Temporary Location",WWWW[[#This Row],[Total PoP ]]/50,(WWWW[[#This Row],[Total PoP ]]/6))),0)</f>
        <v>2</v>
      </c>
      <c r="DI111" s="761">
        <f>IF(WWWW[[#This Row],[Total required Latrines]]-(WWWW[[#This Row],['#_Constructed latrines_by_WASHAgencies]]+WWWW[[#This Row],['#_Non Cluster partner latrines]])&lt;0,0,WWWW[[#This Row],[Total required Latrines]]-(WWWW[[#This Row],['#_Constructed latrines_by_WASHAgencies]]+WWWW[[#This Row],['#_Non Cluster partner latrines]]))</f>
        <v>0</v>
      </c>
      <c r="DJ111" s="763">
        <f>1-WWWW[[#This Row],[% people access to functioning Latrine]]</f>
        <v>0</v>
      </c>
      <c r="DK111" s="762">
        <f>IF(OR(WWWW[[#This Row],['#_Non-functional latrines]]="",WWWW[[#This Row],['#_Non-functional latrines]]=0),0,WWWW[[#This Row],['#_Non-functional latrines]]/(WWWW[[#This Row],['#_Constructed latrines_by_WASHAgencies]]+WWWW[[#This Row],['#_Non Cluster partner latrines]]))</f>
        <v>0</v>
      </c>
      <c r="DL111" s="758">
        <f>IF(500*(WWWW[[#This Row],['#_male hygiene promoters]]+WWWW[[#This Row],['#_female hygiene promoters]])&gt;WWWW[[#This Row],[Total PoP ]],WWWW[[#This Row],[Total PoP ]],500*(WWWW[[#This Row],['#_male hygiene promoters]]+WWWW[[#This Row],['#_female hygiene promoters]]))</f>
        <v>31</v>
      </c>
      <c r="DM11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v>
      </c>
      <c r="DN11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31</v>
      </c>
      <c r="DO111" s="761">
        <f>IF(WWWW[[#This Row],['# People with access to soap]]&gt;WWWW[[#This Row],['# People with access to Sanity Pads]],WWWW[[#This Row],['# People with access to soap]],WWWW[[#This Row],['# People with access to Sanity Pads]])</f>
        <v>31</v>
      </c>
      <c r="DP111" s="761">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111" s="763">
        <f>IF(WWWW[[#This Row],[HRP3]]/WWWW[[#This Row],[Total PoP ]]&gt;1,1,WWWW[[#This Row],[HRP3]]/WWWW[[#This Row],[Total PoP ]])</f>
        <v>1</v>
      </c>
      <c r="DR111" s="762">
        <f>1-WWWW[[#This Row],[Hygiene Coverage%]]</f>
        <v>0</v>
      </c>
      <c r="DS111" s="760">
        <f>WWWW[[#This Row],['# people reached by regular dedicated hygiene promotion_5]]/WWWW[[#This Row],[Total PoP ]]</f>
        <v>1</v>
      </c>
      <c r="DT11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1" s="761">
        <f>WWWW[[#This Row],['#_Constructed/Existing hand washing stations]]-WWWW[[#This Row],['#_Non-Functional_hand_washing_stations]]</f>
        <v>7</v>
      </c>
      <c r="DW111" s="758">
        <f>IF(WWWW[[#This Row],['# Functional hand washing stations during reporting period]]*20&gt;WWWW[[#This Row],[Total HH]],WWWW[[#This Row],[Total HH]],WWWW[[#This Row],['# Functional hand washing stations during reporting period]]*20)</f>
        <v>6</v>
      </c>
      <c r="DX111" s="758">
        <f>IF(WWWW[[#This Row],[Is sufficient soap available for TLS? (Yes/No)]]="yes",WWWW[[#This Row],['#_Constructed/Existing hand washing stations at TLS/CFS/THF]],0)</f>
        <v>0</v>
      </c>
      <c r="DY111" s="429">
        <f>IF(WWWW[[#This Row],['# Functional hand washing stations during reporting period]]*100&gt;WWWW[[#This Row],[Total PoP ]],WWWW[[#This Row],[Total PoP ]],WWWW[[#This Row],['# Functional hand washing stations during reporting period]]*100)</f>
        <v>31</v>
      </c>
      <c r="DZ111" s="429" t="str">
        <f>IF(OR(WWWW[[#This Row],['#_students at TLS_CFS]]="",WWWW[[#This Row],['#_students at TLS_CFS]]=0),"No","Yes")</f>
        <v>No</v>
      </c>
      <c r="EA11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1" s="754" t="str">
        <f>VLOOKUP(WWWW[[#This Row],[Site Name]],SiteDB6[[Site Name]:[CCCM Management]],6,FALSE)</f>
        <v>Yes</v>
      </c>
      <c r="EF111" s="754" t="str">
        <f>VLOOKUP(WWWW[[#This Row],[Site Name]],SiteDB6[[Site Name]:[CCCM Focal Agency]],7,FALSE)</f>
        <v>KBC-NSS</v>
      </c>
      <c r="EG111" s="754" t="str">
        <f>VLOOKUP(WWWW[[#This Row],[Site Name]],SiteDB6[[Site Name]:[Location Type 1]],9,FALSE)</f>
        <v>Camp</v>
      </c>
      <c r="EH111" s="754" t="str">
        <f>VLOOKUP(WWWW[[#This Row],[Site Name]],SiteDB6[[Site Name]:[Type of Accommodation]],10,FALSE)</f>
        <v>Closed Camp</v>
      </c>
      <c r="EI111" s="754" t="str">
        <f>VLOOKUP(WWWW[[#This Row],[Site Name]],SiteDB6[[Site Name]:[Ethnic or GCA/NGCA]],11,FALSE)</f>
        <v>GCA</v>
      </c>
      <c r="EJ111" s="754">
        <f>VLOOKUP(WWWW[[#This Row],[Site Name]],SiteDB6[[Site Name]:[Lat]],12,FALSE)</f>
        <v>23.841646999999998</v>
      </c>
      <c r="EK111" s="754">
        <f>VLOOKUP(WWWW[[#This Row],[Site Name]],SiteDB6[[Site Name]:[Long]],13,FALSE)</f>
        <v>97.700940000000003</v>
      </c>
      <c r="EL111" s="754" t="str">
        <f>VLOOKUP(WWWW[[#This Row],[Site Name]],SiteDB6[[Site Name]:[Pcode]],3,FALSE)</f>
        <v>MMR015CMP214</v>
      </c>
      <c r="EM111" s="759" t="str">
        <f t="shared" si="1"/>
        <v>Covered</v>
      </c>
      <c r="EN111" s="759"/>
      <c r="EO111" s="754">
        <f>VLOOKUP(WWWW[[#This Row],[Site Name]],SiteDB6[[Site Name]:[Pop
(Kachin/Shan-CCCM as of July 2021)]],16,FALSE)</f>
        <v>7</v>
      </c>
      <c r="EP111" s="754">
        <f>VLOOKUP(WWWW[[#This Row],[Site Name]],SiteDB6[[Site Name]:[Pop
(Kachin/Shan-CCCM as of July 2021)]],17,FALSE)</f>
        <v>32</v>
      </c>
    </row>
    <row r="112" spans="1:146" hidden="1">
      <c r="A112" s="752" t="s">
        <v>2785</v>
      </c>
      <c r="B112" s="752" t="s">
        <v>192</v>
      </c>
      <c r="C112" s="753" t="s">
        <v>192</v>
      </c>
      <c r="D112" s="753" t="s">
        <v>241</v>
      </c>
      <c r="E112" s="753" t="s">
        <v>515</v>
      </c>
      <c r="F112" s="753" t="s">
        <v>536</v>
      </c>
      <c r="G112" s="594" t="str">
        <f>VLOOKUP(WWWW[[#This Row],[Site Name]],SiteDB6[[Site Name]:[Location Type]],8,FALSE)</f>
        <v>Relocated</v>
      </c>
      <c r="H112" s="753" t="s">
        <v>2976</v>
      </c>
      <c r="I112" s="449">
        <v>19</v>
      </c>
      <c r="J112" s="449">
        <v>77</v>
      </c>
      <c r="K112" s="591">
        <v>44511</v>
      </c>
      <c r="L112" s="592">
        <v>44845</v>
      </c>
      <c r="M112" s="755"/>
      <c r="N112" s="755"/>
      <c r="O112" s="755"/>
      <c r="P112" s="755"/>
      <c r="Q112" s="758"/>
      <c r="R112" s="755"/>
      <c r="S112" s="755"/>
      <c r="T112" s="449"/>
      <c r="U112" s="755"/>
      <c r="V112" s="755"/>
      <c r="W112" s="755"/>
      <c r="X112" s="755"/>
      <c r="Y112" s="755"/>
      <c r="Z112" s="755"/>
      <c r="AA112" s="755"/>
      <c r="AB112" s="755"/>
      <c r="AC112" s="755"/>
      <c r="AD112" s="755"/>
      <c r="AE112" s="755"/>
      <c r="AF112" s="755"/>
      <c r="AG112" s="755"/>
      <c r="AH112" s="755"/>
      <c r="AI112" s="755"/>
      <c r="AJ112" s="755"/>
      <c r="AK112" s="755"/>
      <c r="AL112" s="755"/>
      <c r="AM112" s="755"/>
      <c r="AN112" s="755"/>
      <c r="AO112" s="755"/>
      <c r="AP112" s="759"/>
      <c r="AQ112" s="755"/>
      <c r="AR112" s="755">
        <v>4</v>
      </c>
      <c r="AS112" s="760"/>
      <c r="AT112" s="755"/>
      <c r="AU112" s="755"/>
      <c r="AV112" s="755"/>
      <c r="AW112" s="755"/>
      <c r="AX112" s="755"/>
      <c r="AY112" s="426" t="s">
        <v>140</v>
      </c>
      <c r="AZ112" s="891" t="s">
        <v>140</v>
      </c>
      <c r="BA112" s="755"/>
      <c r="BB112" s="755"/>
      <c r="BC112" s="755"/>
      <c r="BD112" s="449"/>
      <c r="BE112" s="449"/>
      <c r="BF112" s="754"/>
      <c r="BG112" s="755">
        <v>8</v>
      </c>
      <c r="BH112" s="755"/>
      <c r="BI112" s="755"/>
      <c r="BJ112" s="755">
        <v>3</v>
      </c>
      <c r="BK112" s="755"/>
      <c r="BL112" s="755"/>
      <c r="BM112" s="755"/>
      <c r="BN112" s="755">
        <v>91</v>
      </c>
      <c r="BO112" s="755">
        <v>124</v>
      </c>
      <c r="BP112" s="754"/>
      <c r="BQ112" s="761"/>
      <c r="BR112" s="760"/>
      <c r="BS112" s="754"/>
      <c r="BT112" s="424"/>
      <c r="BU112" s="424"/>
      <c r="BV112" s="426"/>
      <c r="BW112" s="424"/>
      <c r="BX112" s="449"/>
      <c r="BY112" s="449"/>
      <c r="BZ112" s="449"/>
      <c r="CA112" s="449"/>
      <c r="CB112" s="449"/>
      <c r="CC112" s="807"/>
      <c r="CD112" s="449"/>
      <c r="CE112" s="762" t="str">
        <f>IFERROR(WWWW[[#This Row],['#_Water sources passed]]/WWWW[[#This Row],['#_Water sources tested for fecal coliform ]],"no test")</f>
        <v>no test</v>
      </c>
      <c r="CF112" s="760" t="str">
        <f>IFERROR(WWWW[[#This Row],['#_Household passed]]/WWWW[[#This Row],['#_Household water samples tested for fecal coliform]],"no test")</f>
        <v>no test</v>
      </c>
      <c r="CG112" s="761" t="str">
        <f>IF(AND(WWWW[[#This Row],[% of water sources passed]]="no test",WWWW[[#This Row],[% Household passed]]="no test"),"No Test","Tested")</f>
        <v>No Test</v>
      </c>
      <c r="CH112" s="761">
        <f>WWWW[[#This Row],['#_Constructed/existing protected hand dug well]]-WWWW[[#This Row],['#_Non-functional protected hand dug well]]</f>
        <v>0</v>
      </c>
      <c r="CI112" s="761">
        <f>(WWWW[[#This Row],['#_Constructed/Existing tube wells/boreholes/handpumps_WASH_agency]]+WWWW[[#This Row],['#_Non-Cluster partner water tube-wells/boreholes/handpumps]])-WWWW[[#This Row],['#_Non-functional tube wells/boreholes/handpumps]]</f>
        <v>0</v>
      </c>
      <c r="CJ112" s="761">
        <f>WWWW[[#This Row],['#_Constructed/Existingwater storage tank with gravity fed reticulation system]]-WWWW[[#This Row],['#_Non-functional storage tank gravity fed reticulation system]]</f>
        <v>0</v>
      </c>
      <c r="CK112" s="761">
        <f>(WWWW[[#This Row],['#_Water_Liters_supplied_by_Water boating or water trucking]]/90)/15</f>
        <v>0</v>
      </c>
      <c r="CL112" s="761">
        <f>WWWW[[#This Row],['#_Water_Liters_from_Constructed/Existing water distribution system from river or natural spring]]/90/15</f>
        <v>0</v>
      </c>
      <c r="CM112" s="425">
        <f>IF(WWWW[[#This Row],['#_of water points in TLS/CFS]]*500&gt;WWWW[[#This Row],[Total PoP ]],WWWW[[#This Row],[Total PoP ]],WWWW[[#This Row],['#_of water points in TLS/CFS]]*500)</f>
        <v>0</v>
      </c>
      <c r="CN112" s="425">
        <f>IF(WWWW[[#This Row],['#_of water points in THF]]*500&gt;WWWW[[#This Row],[Total PoP ]],WWWW[[#This Row],[Total PoP ]],WWWW[[#This Row],['#_of water points in THF]]*500)</f>
        <v>0</v>
      </c>
      <c r="CO11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1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12" s="760">
        <f>IF(WWWW[[#This Row],[Location Type 1]]="Village",WWWW[[#This Row],[Access to safe drinking water for Village]],WWWW[[#This Row],[Access to safe drinking water for Camp]])</f>
        <v>0</v>
      </c>
      <c r="CR112" s="758">
        <f>WWWW[[#This Row],[%Equitable and continuous access to sufficient quantity of safe drinking water]]*WWWW[[#This Row],[Total PoP ]]</f>
        <v>0</v>
      </c>
      <c r="CS112" s="760">
        <f>IF((WWWW[[#This Row],['#_Constructed/Existing protected/fenced ponds]]*250)/WWWW[[#This Row],[Total PoP ]]&gt;1,1,(WWWW[[#This Row],['#_Constructed/Existing protected/fenced ponds]]*250)/WWWW[[#This Row],[Total PoP ]])</f>
        <v>0</v>
      </c>
      <c r="CT112" s="758">
        <f>WWWW[[#This Row],[% Access to unimproved water points]]*WWWW[[#This Row],[Total PoP ]]</f>
        <v>0</v>
      </c>
      <c r="CU11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1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12" s="758">
        <f>WWWW[[#This Row],[HRP1]]/500</f>
        <v>0</v>
      </c>
      <c r="CX112" s="763">
        <f>1-WWWW[[#This Row],[% Equitable and continuous access to sufficient quantity of domestic water]]</f>
        <v>1</v>
      </c>
      <c r="CY112" s="758">
        <f>WWWW[[#This Row],[%equitable and continuous access to sufficient quantity of safe drinking and domestic water''s GAP]]*WWWW[[#This Row],[Total PoP ]]</f>
        <v>77</v>
      </c>
      <c r="CZ112" s="761">
        <f>IF(WWWW[[#This Row],[Total required water points]]-WWWW[[#This Row],['#Water points coverage]]&lt;0,0,WWWW[[#This Row],[Total required water points]]-WWWW[[#This Row],['#Water points coverage]])</f>
        <v>1</v>
      </c>
      <c r="DA112" s="761">
        <f>ROUND(IF(WWWW[[#This Row],[Total PoP ]]&lt;500,1,WWWW[[#This Row],[Total PoP ]]/500),0)</f>
        <v>1</v>
      </c>
      <c r="DB112" s="761">
        <f>(WWWW[[#This Row],['#_Constructed latrines_by_WASHAgencies]]+WWWW[[#This Row],['#_Non Cluster partner latrines]])-WWWW[[#This Row],['#_Non-functional latrines]]</f>
        <v>4</v>
      </c>
      <c r="DC112" s="634">
        <f>WWWW[[#This Row],[HRP2]]/WWWW[[#This Row],[Total PoP ]]</f>
        <v>0.25974025974025972</v>
      </c>
      <c r="DD11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11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2" s="425">
        <f>IF(WWWW[[#This Row],['# of functional latrines in THF supported by WASH partners during the reporting period2]]="",0,WWWW[[#This Row],['# of functional latrines in THF supported by WASH partners during the reporting period2]]*50)</f>
        <v>0</v>
      </c>
      <c r="DH112" s="761">
        <f>ROUND(IF(WWWW[[#This Row],[Location Type 1]]="camp",WWWW[[#This Row],[Total PoP ]]/20,IF(WWWW[[#This Row],[Location Type 1]]="Temporary Location",WWWW[[#This Row],[Total PoP ]]/50,(WWWW[[#This Row],[Total PoP ]]/6))),0)</f>
        <v>13</v>
      </c>
      <c r="DI112" s="761">
        <f>IF(WWWW[[#This Row],[Total required Latrines]]-(WWWW[[#This Row],['#_Constructed latrines_by_WASHAgencies]]+WWWW[[#This Row],['#_Non Cluster partner latrines]])&lt;0,0,WWWW[[#This Row],[Total required Latrines]]-(WWWW[[#This Row],['#_Constructed latrines_by_WASHAgencies]]+WWWW[[#This Row],['#_Non Cluster partner latrines]]))</f>
        <v>9</v>
      </c>
      <c r="DJ112" s="763">
        <f>1-WWWW[[#This Row],[% people access to functioning Latrine]]</f>
        <v>0.74025974025974028</v>
      </c>
      <c r="DK112" s="762">
        <f>IF(OR(WWWW[[#This Row],['#_Non-functional latrines]]="",WWWW[[#This Row],['#_Non-functional latrines]]=0),0,WWWW[[#This Row],['#_Non-functional latrines]]/(WWWW[[#This Row],['#_Constructed latrines_by_WASHAgencies]]+WWWW[[#This Row],['#_Non Cluster partner latrines]]))</f>
        <v>0</v>
      </c>
      <c r="DL112" s="758">
        <f>IF(500*(WWWW[[#This Row],['#_male hygiene promoters]]+WWWW[[#This Row],['#_female hygiene promoters]])&gt;WWWW[[#This Row],[Total PoP ]],WWWW[[#This Row],[Total PoP ]],500*(WWWW[[#This Row],['#_male hygiene promoters]]+WWWW[[#This Row],['#_female hygiene promoters]]))</f>
        <v>0</v>
      </c>
      <c r="DM11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77</v>
      </c>
      <c r="DN11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77</v>
      </c>
      <c r="DO112" s="761">
        <f>IF(WWWW[[#This Row],['# People with access to soap]]&gt;WWWW[[#This Row],['# People with access to Sanity Pads]],WWWW[[#This Row],['# People with access to soap]],WWWW[[#This Row],['# People with access to Sanity Pads]])</f>
        <v>77</v>
      </c>
      <c r="DP112" s="761">
        <f>IF(WWWW[[#This Row],['# people reached by regular dedicated hygiene promotion_5]]&gt;WWWW[[#This Row],['# People received regular supply of hygiene items_6]],WWWW[[#This Row],['# people reached by regular dedicated hygiene promotion_5]],WWWW[[#This Row],['# People received regular supply of hygiene items_6]])</f>
        <v>77</v>
      </c>
      <c r="DQ112" s="763">
        <f>IF(WWWW[[#This Row],[HRP3]]/WWWW[[#This Row],[Total PoP ]]&gt;1,1,WWWW[[#This Row],[HRP3]]/WWWW[[#This Row],[Total PoP ]])</f>
        <v>1</v>
      </c>
      <c r="DR112" s="762">
        <f>1-WWWW[[#This Row],[Hygiene Coverage%]]</f>
        <v>0</v>
      </c>
      <c r="DS112" s="760">
        <f>WWWW[[#This Row],['# people reached by regular dedicated hygiene promotion_5]]/WWWW[[#This Row],[Total PoP ]]</f>
        <v>0</v>
      </c>
      <c r="DT11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2" s="761">
        <f>WWWW[[#This Row],['#_Constructed/Existing hand washing stations]]-WWWW[[#This Row],['#_Non-Functional_hand_washing_stations]]</f>
        <v>8</v>
      </c>
      <c r="DW112" s="758">
        <f>IF(WWWW[[#This Row],['# Functional hand washing stations during reporting period]]*20&gt;WWWW[[#This Row],[Total HH]],WWWW[[#This Row],[Total HH]],WWWW[[#This Row],['# Functional hand washing stations during reporting period]]*20)</f>
        <v>19</v>
      </c>
      <c r="DX112" s="758">
        <f>IF(WWWW[[#This Row],[Is sufficient soap available for TLS? (Yes/No)]]="yes",WWWW[[#This Row],['#_Constructed/Existing hand washing stations at TLS/CFS/THF]],0)</f>
        <v>0</v>
      </c>
      <c r="DY112" s="429">
        <f>IF(WWWW[[#This Row],['# Functional hand washing stations during reporting period]]*100&gt;WWWW[[#This Row],[Total PoP ]],WWWW[[#This Row],[Total PoP ]],WWWW[[#This Row],['# Functional hand washing stations during reporting period]]*100)</f>
        <v>77</v>
      </c>
      <c r="DZ112" s="429" t="str">
        <f>IF(OR(WWWW[[#This Row],['#_students at TLS_CFS]]="",WWWW[[#This Row],['#_students at TLS_CFS]]=0),"No","Yes")</f>
        <v>No</v>
      </c>
      <c r="EA11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2" s="754">
        <f>VLOOKUP(WWWW[[#This Row],[Site Name]],SiteDB6[[Site Name]:[CCCM Management]],6,FALSE)</f>
        <v>0</v>
      </c>
      <c r="EF112" s="754">
        <f>VLOOKUP(WWWW[[#This Row],[Site Name]],SiteDB6[[Site Name]:[CCCM Focal Agency]],7,FALSE)</f>
        <v>0</v>
      </c>
      <c r="EG112" s="754" t="str">
        <f>VLOOKUP(WWWW[[#This Row],[Site Name]],SiteDB6[[Site Name]:[Location Type 1]],9,FALSE)</f>
        <v>Relocated</v>
      </c>
      <c r="EH112" s="754" t="str">
        <f>VLOOKUP(WWWW[[#This Row],[Site Name]],SiteDB6[[Site Name]:[Type of Accommodation]],10,FALSE)</f>
        <v>Relocated-IDPs in host</v>
      </c>
      <c r="EI112" s="754" t="str">
        <f>VLOOKUP(WWWW[[#This Row],[Site Name]],SiteDB6[[Site Name]:[Ethnic or GCA/NGCA]],11,FALSE)</f>
        <v>GCA</v>
      </c>
      <c r="EJ112" s="754">
        <f>VLOOKUP(WWWW[[#This Row],[Site Name]],SiteDB6[[Site Name]:[Lat]],12,FALSE)</f>
        <v>23.078210830688501</v>
      </c>
      <c r="EK112" s="754">
        <f>VLOOKUP(WWWW[[#This Row],[Site Name]],SiteDB6[[Site Name]:[Long]],13,FALSE)</f>
        <v>97.411773681640597</v>
      </c>
      <c r="EL112" s="754" t="str">
        <f>VLOOKUP(WWWW[[#This Row],[Site Name]],SiteDB6[[Site Name]:[Pcode]],3,FALSE)</f>
        <v>MMR015CMP074</v>
      </c>
      <c r="EM112" s="759" t="str">
        <f t="shared" si="1"/>
        <v>Covered</v>
      </c>
      <c r="EN112" s="759"/>
      <c r="EO112" s="754">
        <f>VLOOKUP(WWWW[[#This Row],[Site Name]],SiteDB6[[Site Name]:[Pop
(Kachin/Shan-CCCM as of July 2021)]],16,FALSE)</f>
        <v>19</v>
      </c>
      <c r="EP112" s="754">
        <f>VLOOKUP(WWWW[[#This Row],[Site Name]],SiteDB6[[Site Name]:[Pop
(Kachin/Shan-CCCM as of July 2021)]],17,FALSE)</f>
        <v>77</v>
      </c>
    </row>
    <row r="113" spans="1:146" hidden="1">
      <c r="A113" s="752" t="s">
        <v>2785</v>
      </c>
      <c r="B113" s="752" t="s">
        <v>192</v>
      </c>
      <c r="C113" s="753" t="s">
        <v>192</v>
      </c>
      <c r="D113" s="753" t="s">
        <v>2695</v>
      </c>
      <c r="E113" s="753" t="s">
        <v>515</v>
      </c>
      <c r="F113" s="753" t="s">
        <v>536</v>
      </c>
      <c r="G113" s="594" t="str">
        <f>VLOOKUP(WWWW[[#This Row],[Site Name]],SiteDB6[[Site Name]:[Location Type]],8,FALSE)</f>
        <v>Camp</v>
      </c>
      <c r="H113" s="753" t="s">
        <v>543</v>
      </c>
      <c r="I113" s="449">
        <v>60</v>
      </c>
      <c r="J113" s="449">
        <v>270</v>
      </c>
      <c r="K113" s="591" t="s">
        <v>2789</v>
      </c>
      <c r="L113" s="592" t="s">
        <v>2790</v>
      </c>
      <c r="M113" s="755"/>
      <c r="N113" s="755"/>
      <c r="O113" s="755">
        <v>1</v>
      </c>
      <c r="P113" s="755"/>
      <c r="Q113" s="758" t="s">
        <v>41</v>
      </c>
      <c r="R113" s="755">
        <v>4</v>
      </c>
      <c r="S113" s="755">
        <v>3</v>
      </c>
      <c r="T113" s="449">
        <v>1</v>
      </c>
      <c r="U113" s="755"/>
      <c r="V113" s="755"/>
      <c r="W113" s="755">
        <v>1</v>
      </c>
      <c r="X113" s="755">
        <v>1</v>
      </c>
      <c r="Y113" s="755"/>
      <c r="Z113" s="755"/>
      <c r="AA113" s="755"/>
      <c r="AB113" s="755"/>
      <c r="AC113" s="755"/>
      <c r="AD113" s="755"/>
      <c r="AE113" s="755"/>
      <c r="AF113" s="755"/>
      <c r="AG113" s="755"/>
      <c r="AH113" s="755"/>
      <c r="AI113" s="755"/>
      <c r="AJ113" s="755"/>
      <c r="AK113" s="755"/>
      <c r="AL113" s="755"/>
      <c r="AM113" s="755">
        <v>2</v>
      </c>
      <c r="AN113" s="755"/>
      <c r="AO113" s="755"/>
      <c r="AP113" s="759"/>
      <c r="AQ113" s="755">
        <v>16</v>
      </c>
      <c r="AR113" s="755"/>
      <c r="AS113" s="760"/>
      <c r="AT113" s="755"/>
      <c r="AU113" s="755"/>
      <c r="AV113" s="755"/>
      <c r="AW113" s="755"/>
      <c r="AX113" s="755"/>
      <c r="AY113" s="754" t="s">
        <v>41</v>
      </c>
      <c r="AZ113" s="759" t="s">
        <v>137</v>
      </c>
      <c r="BA113" s="755"/>
      <c r="BB113" s="755"/>
      <c r="BC113" s="755"/>
      <c r="BD113" s="449"/>
      <c r="BE113" s="449"/>
      <c r="BF113" s="754"/>
      <c r="BG113" s="755">
        <v>7</v>
      </c>
      <c r="BH113" s="755"/>
      <c r="BI113" s="755"/>
      <c r="BJ113" s="755">
        <v>4</v>
      </c>
      <c r="BK113" s="755"/>
      <c r="BL113" s="755"/>
      <c r="BM113" s="755">
        <v>1</v>
      </c>
      <c r="BN113" s="755">
        <v>124</v>
      </c>
      <c r="BO113" s="755">
        <v>198</v>
      </c>
      <c r="BP113" s="754"/>
      <c r="BQ113" s="761"/>
      <c r="BR113" s="760"/>
      <c r="BS113" s="754"/>
      <c r="BT113" s="424"/>
      <c r="BU113" s="424"/>
      <c r="BV113" s="426"/>
      <c r="BW113" s="424"/>
      <c r="BX113" s="449"/>
      <c r="BY113" s="449"/>
      <c r="BZ113" s="449"/>
      <c r="CA113" s="449"/>
      <c r="CB113" s="449"/>
      <c r="CC113" s="807"/>
      <c r="CD113" s="449"/>
      <c r="CE113" s="762" t="str">
        <f>IFERROR(WWWW[[#This Row],['#_Water sources passed]]/WWWW[[#This Row],['#_Water sources tested for fecal coliform ]],"no test")</f>
        <v>no test</v>
      </c>
      <c r="CF113" s="760" t="str">
        <f>IFERROR(WWWW[[#This Row],['#_Household passed]]/WWWW[[#This Row],['#_Household water samples tested for fecal coliform]],"no test")</f>
        <v>no test</v>
      </c>
      <c r="CG113" s="761" t="str">
        <f>IF(AND(WWWW[[#This Row],[% of water sources passed]]="no test",WWWW[[#This Row],[% Household passed]]="no test"),"No Test","Tested")</f>
        <v>No Test</v>
      </c>
      <c r="CH113" s="761">
        <f>WWWW[[#This Row],['#_Constructed/existing protected hand dug well]]-WWWW[[#This Row],['#_Non-functional protected hand dug well]]</f>
        <v>1</v>
      </c>
      <c r="CI113" s="761">
        <f>(WWWW[[#This Row],['#_Constructed/Existing tube wells/boreholes/handpumps_WASH_agency]]+WWWW[[#This Row],['#_Non-Cluster partner water tube-wells/boreholes/handpumps]])-WWWW[[#This Row],['#_Non-functional tube wells/boreholes/handpumps]]</f>
        <v>2</v>
      </c>
      <c r="CJ113" s="761">
        <f>WWWW[[#This Row],['#_Constructed/Existingwater storage tank with gravity fed reticulation system]]-WWWW[[#This Row],['#_Non-functional storage tank gravity fed reticulation system]]</f>
        <v>0</v>
      </c>
      <c r="CK113" s="761">
        <f>(WWWW[[#This Row],['#_Water_Liters_supplied_by_Water boating or water trucking]]/90)/15</f>
        <v>0</v>
      </c>
      <c r="CL113" s="761">
        <f>WWWW[[#This Row],['#_Water_Liters_from_Constructed/Existing water distribution system from river or natural spring]]/90/15</f>
        <v>0</v>
      </c>
      <c r="CM113" s="425">
        <f>IF(WWWW[[#This Row],['#_of water points in TLS/CFS]]*500&gt;WWWW[[#This Row],[Total PoP ]],WWWW[[#This Row],[Total PoP ]],WWWW[[#This Row],['#_of water points in TLS/CFS]]*500)</f>
        <v>0</v>
      </c>
      <c r="CN113" s="425">
        <f>IF(WWWW[[#This Row],['#_of water points in THF]]*500&gt;WWWW[[#This Row],[Total PoP ]],WWWW[[#This Row],[Total PoP ]],WWWW[[#This Row],['#_of water points in THF]]*500)</f>
        <v>0</v>
      </c>
      <c r="CO11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3" s="760">
        <f>IF(WWWW[[#This Row],[Location Type 1]]="Village",WWWW[[#This Row],[Access to safe drinking water for Village]],WWWW[[#This Row],[Access to safe drinking water for Camp]])</f>
        <v>1</v>
      </c>
      <c r="CR113" s="758">
        <f>WWWW[[#This Row],[%Equitable and continuous access to sufficient quantity of safe drinking water]]*WWWW[[#This Row],[Total PoP ]]</f>
        <v>270</v>
      </c>
      <c r="CS113" s="760">
        <f>IF((WWWW[[#This Row],['#_Constructed/Existing protected/fenced ponds]]*250)/WWWW[[#This Row],[Total PoP ]]&gt;1,1,(WWWW[[#This Row],['#_Constructed/Existing protected/fenced ponds]]*250)/WWWW[[#This Row],[Total PoP ]])</f>
        <v>0</v>
      </c>
      <c r="CT113" s="758">
        <f>WWWW[[#This Row],[% Access to unimproved water points]]*WWWW[[#This Row],[Total PoP ]]</f>
        <v>0</v>
      </c>
      <c r="CU11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113" s="758">
        <f>WWWW[[#This Row],[HRP1]]/500</f>
        <v>0.54</v>
      </c>
      <c r="CX113" s="763">
        <f>1-WWWW[[#This Row],[% Equitable and continuous access to sufficient quantity of domestic water]]</f>
        <v>0</v>
      </c>
      <c r="CY113" s="758">
        <f>WWWW[[#This Row],[%equitable and continuous access to sufficient quantity of safe drinking and domestic water''s GAP]]*WWWW[[#This Row],[Total PoP ]]</f>
        <v>0</v>
      </c>
      <c r="CZ113" s="761">
        <f>IF(WWWW[[#This Row],[Total required water points]]-WWWW[[#This Row],['#Water points coverage]]&lt;0,0,WWWW[[#This Row],[Total required water points]]-WWWW[[#This Row],['#Water points coverage]])</f>
        <v>0.45999999999999996</v>
      </c>
      <c r="DA113" s="761">
        <f>ROUND(IF(WWWW[[#This Row],[Total PoP ]]&lt;500,1,WWWW[[#This Row],[Total PoP ]]/500),0)</f>
        <v>1</v>
      </c>
      <c r="DB113" s="761">
        <f>(WWWW[[#This Row],['#_Constructed latrines_by_WASHAgencies]]+WWWW[[#This Row],['#_Non Cluster partner latrines]])-WWWW[[#This Row],['#_Non-functional latrines]]</f>
        <v>16</v>
      </c>
      <c r="DC113" s="634">
        <f>WWWW[[#This Row],[HRP2]]/WWWW[[#This Row],[Total PoP ]]</f>
        <v>1</v>
      </c>
      <c r="DD11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11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3" s="425">
        <f>IF(WWWW[[#This Row],['# of functional latrines in THF supported by WASH partners during the reporting period2]]="",0,WWWW[[#This Row],['# of functional latrines in THF supported by WASH partners during the reporting period2]]*50)</f>
        <v>0</v>
      </c>
      <c r="DH113" s="761">
        <f>ROUND(IF(WWWW[[#This Row],[Location Type 1]]="camp",WWWW[[#This Row],[Total PoP ]]/20,IF(WWWW[[#This Row],[Location Type 1]]="Temporary Location",WWWW[[#This Row],[Total PoP ]]/50,(WWWW[[#This Row],[Total PoP ]]/6))),0)</f>
        <v>14</v>
      </c>
      <c r="DI113" s="761">
        <f>IF(WWWW[[#This Row],[Total required Latrines]]-(WWWW[[#This Row],['#_Constructed latrines_by_WASHAgencies]]+WWWW[[#This Row],['#_Non Cluster partner latrines]])&lt;0,0,WWWW[[#This Row],[Total required Latrines]]-(WWWW[[#This Row],['#_Constructed latrines_by_WASHAgencies]]+WWWW[[#This Row],['#_Non Cluster partner latrines]]))</f>
        <v>0</v>
      </c>
      <c r="DJ113" s="763">
        <f>1-WWWW[[#This Row],[% people access to functioning Latrine]]</f>
        <v>0</v>
      </c>
      <c r="DK113" s="762">
        <f>IF(OR(WWWW[[#This Row],['#_Non-functional latrines]]="",WWWW[[#This Row],['#_Non-functional latrines]]=0),0,WWWW[[#This Row],['#_Non-functional latrines]]/(WWWW[[#This Row],['#_Constructed latrines_by_WASHAgencies]]+WWWW[[#This Row],['#_Non Cluster partner latrines]]))</f>
        <v>0</v>
      </c>
      <c r="DL113" s="758">
        <f>IF(500*(WWWW[[#This Row],['#_male hygiene promoters]]+WWWW[[#This Row],['#_female hygiene promoters]])&gt;WWWW[[#This Row],[Total PoP ]],WWWW[[#This Row],[Total PoP ]],500*(WWWW[[#This Row],['#_male hygiene promoters]]+WWWW[[#This Row],['#_female hygiene promoters]]))</f>
        <v>270</v>
      </c>
      <c r="DM11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270</v>
      </c>
      <c r="DN11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13" s="761">
        <f>IF(WWWW[[#This Row],['# People with access to soap]]&gt;WWWW[[#This Row],['# People with access to Sanity Pads]],WWWW[[#This Row],['# People with access to soap]],WWWW[[#This Row],['# People with access to Sanity Pads]])</f>
        <v>270</v>
      </c>
      <c r="DP113" s="761">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113" s="763">
        <f>IF(WWWW[[#This Row],[HRP3]]/WWWW[[#This Row],[Total PoP ]]&gt;1,1,WWWW[[#This Row],[HRP3]]/WWWW[[#This Row],[Total PoP ]])</f>
        <v>1</v>
      </c>
      <c r="DR113" s="762">
        <f>1-WWWW[[#This Row],[Hygiene Coverage%]]</f>
        <v>0</v>
      </c>
      <c r="DS113" s="760">
        <f>WWWW[[#This Row],['# people reached by regular dedicated hygiene promotion_5]]/WWWW[[#This Row],[Total PoP ]]</f>
        <v>1</v>
      </c>
      <c r="DT11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3" s="761">
        <f>WWWW[[#This Row],['#_Constructed/Existing hand washing stations]]-WWWW[[#This Row],['#_Non-Functional_hand_washing_stations]]</f>
        <v>7</v>
      </c>
      <c r="DW113" s="758">
        <f>IF(WWWW[[#This Row],['# Functional hand washing stations during reporting period]]*20&gt;WWWW[[#This Row],[Total HH]],WWWW[[#This Row],[Total HH]],WWWW[[#This Row],['# Functional hand washing stations during reporting period]]*20)</f>
        <v>60</v>
      </c>
      <c r="DX113" s="758">
        <f>IF(WWWW[[#This Row],[Is sufficient soap available for TLS? (Yes/No)]]="yes",WWWW[[#This Row],['#_Constructed/Existing hand washing stations at TLS/CFS/THF]],0)</f>
        <v>0</v>
      </c>
      <c r="DY113" s="429">
        <f>IF(WWWW[[#This Row],['# Functional hand washing stations during reporting period]]*100&gt;WWWW[[#This Row],[Total PoP ]],WWWW[[#This Row],[Total PoP ]],WWWW[[#This Row],['# Functional hand washing stations during reporting period]]*100)</f>
        <v>270</v>
      </c>
      <c r="DZ113" s="429" t="str">
        <f>IF(OR(WWWW[[#This Row],['#_students at TLS_CFS]]="",WWWW[[#This Row],['#_students at TLS_CFS]]=0),"No","Yes")</f>
        <v>No</v>
      </c>
      <c r="EA11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3" s="754" t="str">
        <f>VLOOKUP(WWWW[[#This Row],[Site Name]],SiteDB6[[Site Name]:[CCCM Management]],6,FALSE)</f>
        <v>Yes</v>
      </c>
      <c r="EF113" s="754" t="str">
        <f>VLOOKUP(WWWW[[#This Row],[Site Name]],SiteDB6[[Site Name]:[CCCM Focal Agency]],7,FALSE)</f>
        <v>KMSS-LSO</v>
      </c>
      <c r="EG113" s="754" t="str">
        <f>VLOOKUP(WWWW[[#This Row],[Site Name]],SiteDB6[[Site Name]:[Location Type 1]],9,FALSE)</f>
        <v>Camp</v>
      </c>
      <c r="EH113" s="754" t="str">
        <f>VLOOKUP(WWWW[[#This Row],[Site Name]],SiteDB6[[Site Name]:[Type of Accommodation]],10,FALSE)</f>
        <v>Camp</v>
      </c>
      <c r="EI113" s="754" t="str">
        <f>VLOOKUP(WWWW[[#This Row],[Site Name]],SiteDB6[[Site Name]:[Ethnic or GCA/NGCA]],11,FALSE)</f>
        <v>GCA</v>
      </c>
      <c r="EJ113" s="754">
        <f>VLOOKUP(WWWW[[#This Row],[Site Name]],SiteDB6[[Site Name]:[Lat]],12,FALSE)</f>
        <v>23.099304</v>
      </c>
      <c r="EK113" s="754">
        <f>VLOOKUP(WWWW[[#This Row],[Site Name]],SiteDB6[[Site Name]:[Long]],13,FALSE)</f>
        <v>97.400671000000003</v>
      </c>
      <c r="EL113" s="754" t="str">
        <f>VLOOKUP(WWWW[[#This Row],[Site Name]],SiteDB6[[Site Name]:[Pcode]],3,FALSE)</f>
        <v>MMR015CMP066</v>
      </c>
      <c r="EM113" s="759" t="str">
        <f t="shared" si="1"/>
        <v>Covered</v>
      </c>
      <c r="EN113" s="759"/>
      <c r="EO113" s="754">
        <f>VLOOKUP(WWWW[[#This Row],[Site Name]],SiteDB6[[Site Name]:[Pop
(Kachin/Shan-CCCM as of July 2021)]],16,FALSE)</f>
        <v>60</v>
      </c>
      <c r="EP113" s="754">
        <f>VLOOKUP(WWWW[[#This Row],[Site Name]],SiteDB6[[Site Name]:[Pop
(Kachin/Shan-CCCM as of July 2021)]],17,FALSE)</f>
        <v>272</v>
      </c>
    </row>
    <row r="114" spans="1:146" hidden="1">
      <c r="A114" s="752" t="s">
        <v>2785</v>
      </c>
      <c r="B114" s="752" t="s">
        <v>192</v>
      </c>
      <c r="C114" s="753" t="s">
        <v>192</v>
      </c>
      <c r="D114" s="753" t="s">
        <v>2695</v>
      </c>
      <c r="E114" s="753" t="s">
        <v>515</v>
      </c>
      <c r="F114" s="753" t="s">
        <v>536</v>
      </c>
      <c r="G114" s="594" t="str">
        <f>VLOOKUP(WWWW[[#This Row],[Site Name]],SiteDB6[[Site Name]:[Location Type]],8,FALSE)</f>
        <v>Camp</v>
      </c>
      <c r="H114" s="753" t="s">
        <v>544</v>
      </c>
      <c r="I114" s="449">
        <v>30</v>
      </c>
      <c r="J114" s="449">
        <v>127</v>
      </c>
      <c r="K114" s="591" t="s">
        <v>2789</v>
      </c>
      <c r="L114" s="592" t="s">
        <v>2790</v>
      </c>
      <c r="M114" s="755"/>
      <c r="N114" s="755"/>
      <c r="O114" s="755">
        <v>1</v>
      </c>
      <c r="P114" s="755"/>
      <c r="Q114" s="758" t="s">
        <v>41</v>
      </c>
      <c r="R114" s="755">
        <v>3</v>
      </c>
      <c r="S114" s="755">
        <v>3</v>
      </c>
      <c r="T114" s="449"/>
      <c r="U114" s="755"/>
      <c r="V114" s="755"/>
      <c r="W114" s="755">
        <v>2</v>
      </c>
      <c r="X114" s="755">
        <v>1</v>
      </c>
      <c r="Y114" s="755"/>
      <c r="Z114" s="755"/>
      <c r="AA114" s="755"/>
      <c r="AB114" s="755"/>
      <c r="AC114" s="755"/>
      <c r="AD114" s="755"/>
      <c r="AE114" s="755"/>
      <c r="AF114" s="755"/>
      <c r="AG114" s="755"/>
      <c r="AH114" s="755"/>
      <c r="AI114" s="755"/>
      <c r="AJ114" s="755"/>
      <c r="AK114" s="755"/>
      <c r="AL114" s="755"/>
      <c r="AM114" s="755"/>
      <c r="AN114" s="755"/>
      <c r="AO114" s="755"/>
      <c r="AP114" s="759"/>
      <c r="AQ114" s="755">
        <v>10</v>
      </c>
      <c r="AR114" s="755">
        <v>2</v>
      </c>
      <c r="AS114" s="760"/>
      <c r="AT114" s="755"/>
      <c r="AU114" s="755"/>
      <c r="AV114" s="755"/>
      <c r="AW114" s="755"/>
      <c r="AX114" s="755">
        <v>2</v>
      </c>
      <c r="AY114" s="754" t="s">
        <v>41</v>
      </c>
      <c r="AZ114" s="759" t="s">
        <v>137</v>
      </c>
      <c r="BA114" s="755"/>
      <c r="BB114" s="755"/>
      <c r="BC114" s="755"/>
      <c r="BD114" s="449"/>
      <c r="BE114" s="449"/>
      <c r="BF114" s="754"/>
      <c r="BG114" s="755">
        <v>3</v>
      </c>
      <c r="BH114" s="755"/>
      <c r="BI114" s="755"/>
      <c r="BJ114" s="755">
        <v>2</v>
      </c>
      <c r="BK114" s="755"/>
      <c r="BL114" s="755"/>
      <c r="BM114" s="755">
        <v>1</v>
      </c>
      <c r="BN114" s="755">
        <v>10</v>
      </c>
      <c r="BO114" s="755">
        <v>18</v>
      </c>
      <c r="BP114" s="754"/>
      <c r="BQ114" s="761"/>
      <c r="BR114" s="760"/>
      <c r="BS114" s="754"/>
      <c r="BT114" s="424"/>
      <c r="BU114" s="424"/>
      <c r="BV114" s="426"/>
      <c r="BW114" s="424"/>
      <c r="BX114" s="449"/>
      <c r="BY114" s="449"/>
      <c r="BZ114" s="449"/>
      <c r="CA114" s="449"/>
      <c r="CB114" s="449"/>
      <c r="CC114" s="807"/>
      <c r="CD114" s="449"/>
      <c r="CE114" s="762" t="str">
        <f>IFERROR(WWWW[[#This Row],['#_Water sources passed]]/WWWW[[#This Row],['#_Water sources tested for fecal coliform ]],"no test")</f>
        <v>no test</v>
      </c>
      <c r="CF114" s="760" t="str">
        <f>IFERROR(WWWW[[#This Row],['#_Household passed]]/WWWW[[#This Row],['#_Household water samples tested for fecal coliform]],"no test")</f>
        <v>no test</v>
      </c>
      <c r="CG114" s="761" t="str">
        <f>IF(AND(WWWW[[#This Row],[% of water sources passed]]="no test",WWWW[[#This Row],[% Household passed]]="no test"),"No Test","Tested")</f>
        <v>No Test</v>
      </c>
      <c r="CH114" s="761">
        <f>WWWW[[#This Row],['#_Constructed/existing protected hand dug well]]-WWWW[[#This Row],['#_Non-functional protected hand dug well]]</f>
        <v>0</v>
      </c>
      <c r="CI114" s="761">
        <f>(WWWW[[#This Row],['#_Constructed/Existing tube wells/boreholes/handpumps_WASH_agency]]+WWWW[[#This Row],['#_Non-Cluster partner water tube-wells/boreholes/handpumps]])-WWWW[[#This Row],['#_Non-functional tube wells/boreholes/handpumps]]</f>
        <v>3</v>
      </c>
      <c r="CJ114" s="761">
        <f>WWWW[[#This Row],['#_Constructed/Existingwater storage tank with gravity fed reticulation system]]-WWWW[[#This Row],['#_Non-functional storage tank gravity fed reticulation system]]</f>
        <v>0</v>
      </c>
      <c r="CK114" s="761">
        <f>(WWWW[[#This Row],['#_Water_Liters_supplied_by_Water boating or water trucking]]/90)/15</f>
        <v>0</v>
      </c>
      <c r="CL114" s="761">
        <f>WWWW[[#This Row],['#_Water_Liters_from_Constructed/Existing water distribution system from river or natural spring]]/90/15</f>
        <v>0</v>
      </c>
      <c r="CM114" s="425">
        <f>IF(WWWW[[#This Row],['#_of water points in TLS/CFS]]*500&gt;WWWW[[#This Row],[Total PoP ]],WWWW[[#This Row],[Total PoP ]],WWWW[[#This Row],['#_of water points in TLS/CFS]]*500)</f>
        <v>0</v>
      </c>
      <c r="CN114" s="425">
        <f>IF(WWWW[[#This Row],['#_of water points in THF]]*500&gt;WWWW[[#This Row],[Total PoP ]],WWWW[[#This Row],[Total PoP ]],WWWW[[#This Row],['#_of water points in THF]]*500)</f>
        <v>0</v>
      </c>
      <c r="CO11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4" s="760">
        <f>IF(WWWW[[#This Row],[Location Type 1]]="Village",WWWW[[#This Row],[Access to safe drinking water for Village]],WWWW[[#This Row],[Access to safe drinking water for Camp]])</f>
        <v>1</v>
      </c>
      <c r="CR114" s="758">
        <f>WWWW[[#This Row],[%Equitable and continuous access to sufficient quantity of safe drinking water]]*WWWW[[#This Row],[Total PoP ]]</f>
        <v>127</v>
      </c>
      <c r="CS114" s="760">
        <f>IF((WWWW[[#This Row],['#_Constructed/Existing protected/fenced ponds]]*250)/WWWW[[#This Row],[Total PoP ]]&gt;1,1,(WWWW[[#This Row],['#_Constructed/Existing protected/fenced ponds]]*250)/WWWW[[#This Row],[Total PoP ]])</f>
        <v>0</v>
      </c>
      <c r="CT114" s="758">
        <f>WWWW[[#This Row],[% Access to unimproved water points]]*WWWW[[#This Row],[Total PoP ]]</f>
        <v>0</v>
      </c>
      <c r="CU11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114" s="758">
        <f>WWWW[[#This Row],[HRP1]]/500</f>
        <v>0.254</v>
      </c>
      <c r="CX114" s="763">
        <f>1-WWWW[[#This Row],[% Equitable and continuous access to sufficient quantity of domestic water]]</f>
        <v>0</v>
      </c>
      <c r="CY114" s="758">
        <f>WWWW[[#This Row],[%equitable and continuous access to sufficient quantity of safe drinking and domestic water''s GAP]]*WWWW[[#This Row],[Total PoP ]]</f>
        <v>0</v>
      </c>
      <c r="CZ114" s="761">
        <f>IF(WWWW[[#This Row],[Total required water points]]-WWWW[[#This Row],['#Water points coverage]]&lt;0,0,WWWW[[#This Row],[Total required water points]]-WWWW[[#This Row],['#Water points coverage]])</f>
        <v>0.746</v>
      </c>
      <c r="DA114" s="761">
        <f>ROUND(IF(WWWW[[#This Row],[Total PoP ]]&lt;500,1,WWWW[[#This Row],[Total PoP ]]/500),0)</f>
        <v>1</v>
      </c>
      <c r="DB114" s="761">
        <f>(WWWW[[#This Row],['#_Constructed latrines_by_WASHAgencies]]+WWWW[[#This Row],['#_Non Cluster partner latrines]])-WWWW[[#This Row],['#_Non-functional latrines]]</f>
        <v>12</v>
      </c>
      <c r="DC114" s="634">
        <f>WWWW[[#This Row],[HRP2]]/WWWW[[#This Row],[Total PoP ]]</f>
        <v>1</v>
      </c>
      <c r="DD11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11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4" s="425">
        <f>IF(WWWW[[#This Row],['# of functional latrines in THF supported by WASH partners during the reporting period2]]="",0,WWWW[[#This Row],['# of functional latrines in THF supported by WASH partners during the reporting period2]]*50)</f>
        <v>0</v>
      </c>
      <c r="DH114" s="761">
        <f>ROUND(IF(WWWW[[#This Row],[Location Type 1]]="camp",WWWW[[#This Row],[Total PoP ]]/20,IF(WWWW[[#This Row],[Location Type 1]]="Temporary Location",WWWW[[#This Row],[Total PoP ]]/50,(WWWW[[#This Row],[Total PoP ]]/6))),0)</f>
        <v>6</v>
      </c>
      <c r="DI114" s="761">
        <f>IF(WWWW[[#This Row],[Total required Latrines]]-(WWWW[[#This Row],['#_Constructed latrines_by_WASHAgencies]]+WWWW[[#This Row],['#_Non Cluster partner latrines]])&lt;0,0,WWWW[[#This Row],[Total required Latrines]]-(WWWW[[#This Row],['#_Constructed latrines_by_WASHAgencies]]+WWWW[[#This Row],['#_Non Cluster partner latrines]]))</f>
        <v>0</v>
      </c>
      <c r="DJ114" s="763">
        <f>1-WWWW[[#This Row],[% people access to functioning Latrine]]</f>
        <v>0</v>
      </c>
      <c r="DK114" s="762">
        <f>IF(OR(WWWW[[#This Row],['#_Non-functional latrines]]="",WWWW[[#This Row],['#_Non-functional latrines]]=0),0,WWWW[[#This Row],['#_Non-functional latrines]]/(WWWW[[#This Row],['#_Constructed latrines_by_WASHAgencies]]+WWWW[[#This Row],['#_Non Cluster partner latrines]]))</f>
        <v>0</v>
      </c>
      <c r="DL114" s="758">
        <f>IF(500*(WWWW[[#This Row],['#_male hygiene promoters]]+WWWW[[#This Row],['#_female hygiene promoters]])&gt;WWWW[[#This Row],[Total PoP ]],WWWW[[#This Row],[Total PoP ]],500*(WWWW[[#This Row],['#_male hygiene promoters]]+WWWW[[#This Row],['#_female hygiene promoters]]))</f>
        <v>127</v>
      </c>
      <c r="DM11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1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14" s="761">
        <f>IF(WWWW[[#This Row],['# People with access to soap]]&gt;WWWW[[#This Row],['# People with access to Sanity Pads]],WWWW[[#This Row],['# People with access to soap]],WWWW[[#This Row],['# People with access to Sanity Pads]])</f>
        <v>50</v>
      </c>
      <c r="DP114" s="761">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114" s="763">
        <f>IF(WWWW[[#This Row],[HRP3]]/WWWW[[#This Row],[Total PoP ]]&gt;1,1,WWWW[[#This Row],[HRP3]]/WWWW[[#This Row],[Total PoP ]])</f>
        <v>1</v>
      </c>
      <c r="DR114" s="762">
        <f>1-WWWW[[#This Row],[Hygiene Coverage%]]</f>
        <v>0</v>
      </c>
      <c r="DS114" s="760">
        <f>WWWW[[#This Row],['# people reached by regular dedicated hygiene promotion_5]]/WWWW[[#This Row],[Total PoP ]]</f>
        <v>1</v>
      </c>
      <c r="DT11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v>
      </c>
      <c r="DV114" s="761">
        <f>WWWW[[#This Row],['#_Constructed/Existing hand washing stations]]-WWWW[[#This Row],['#_Non-Functional_hand_washing_stations]]</f>
        <v>3</v>
      </c>
      <c r="DW114" s="758">
        <f>IF(WWWW[[#This Row],['# Functional hand washing stations during reporting period]]*20&gt;WWWW[[#This Row],[Total HH]],WWWW[[#This Row],[Total HH]],WWWW[[#This Row],['# Functional hand washing stations during reporting period]]*20)</f>
        <v>30</v>
      </c>
      <c r="DX114" s="758">
        <f>IF(WWWW[[#This Row],[Is sufficient soap available for TLS? (Yes/No)]]="yes",WWWW[[#This Row],['#_Constructed/Existing hand washing stations at TLS/CFS/THF]],0)</f>
        <v>0</v>
      </c>
      <c r="DY114" s="429">
        <f>IF(WWWW[[#This Row],['# Functional hand washing stations during reporting period]]*100&gt;WWWW[[#This Row],[Total PoP ]],WWWW[[#This Row],[Total PoP ]],WWWW[[#This Row],['# Functional hand washing stations during reporting period]]*100)</f>
        <v>127</v>
      </c>
      <c r="DZ114" s="429" t="str">
        <f>IF(OR(WWWW[[#This Row],['#_students at TLS_CFS]]="",WWWW[[#This Row],['#_students at TLS_CFS]]=0),"No","Yes")</f>
        <v>No</v>
      </c>
      <c r="EA11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4" s="754" t="str">
        <f>VLOOKUP(WWWW[[#This Row],[Site Name]],SiteDB6[[Site Name]:[CCCM Management]],6,FALSE)</f>
        <v>Yes</v>
      </c>
      <c r="EF114" s="754" t="str">
        <f>VLOOKUP(WWWW[[#This Row],[Site Name]],SiteDB6[[Site Name]:[CCCM Focal Agency]],7,FALSE)</f>
        <v>KMSS-LSO</v>
      </c>
      <c r="EG114" s="754" t="str">
        <f>VLOOKUP(WWWW[[#This Row],[Site Name]],SiteDB6[[Site Name]:[Location Type 1]],9,FALSE)</f>
        <v>Camp</v>
      </c>
      <c r="EH114" s="754" t="str">
        <f>VLOOKUP(WWWW[[#This Row],[Site Name]],SiteDB6[[Site Name]:[Type of Accommodation]],10,FALSE)</f>
        <v>Camp</v>
      </c>
      <c r="EI114" s="754" t="str">
        <f>VLOOKUP(WWWW[[#This Row],[Site Name]],SiteDB6[[Site Name]:[Ethnic or GCA/NGCA]],11,FALSE)</f>
        <v>GCA</v>
      </c>
      <c r="EJ114" s="754">
        <f>VLOOKUP(WWWW[[#This Row],[Site Name]],SiteDB6[[Site Name]:[Lat]],12,FALSE)</f>
        <v>23.088011000000002</v>
      </c>
      <c r="EK114" s="754">
        <f>VLOOKUP(WWWW[[#This Row],[Site Name]],SiteDB6[[Site Name]:[Long]],13,FALSE)</f>
        <v>97.398698999999993</v>
      </c>
      <c r="EL114" s="754" t="str">
        <f>VLOOKUP(WWWW[[#This Row],[Site Name]],SiteDB6[[Site Name]:[Pcode]],3,FALSE)</f>
        <v>MMR015CMP050</v>
      </c>
      <c r="EM114" s="759" t="str">
        <f t="shared" si="1"/>
        <v>Covered</v>
      </c>
      <c r="EN114" s="759"/>
      <c r="EO114" s="754">
        <f>VLOOKUP(WWWW[[#This Row],[Site Name]],SiteDB6[[Site Name]:[Pop
(Kachin/Shan-CCCM as of July 2021)]],16,FALSE)</f>
        <v>30</v>
      </c>
      <c r="EP114" s="754">
        <f>VLOOKUP(WWWW[[#This Row],[Site Name]],SiteDB6[[Site Name]:[Pop
(Kachin/Shan-CCCM as of July 2021)]],17,FALSE)</f>
        <v>129</v>
      </c>
    </row>
    <row r="115" spans="1:146" hidden="1">
      <c r="A115" s="752" t="s">
        <v>2785</v>
      </c>
      <c r="B115" s="752" t="s">
        <v>192</v>
      </c>
      <c r="C115" s="753" t="s">
        <v>192</v>
      </c>
      <c r="D115" s="753" t="s">
        <v>2695</v>
      </c>
      <c r="E115" s="753" t="s">
        <v>515</v>
      </c>
      <c r="F115" s="753" t="s">
        <v>536</v>
      </c>
      <c r="G115" s="594" t="str">
        <f>VLOOKUP(WWWW[[#This Row],[Site Name]],SiteDB6[[Site Name]:[Location Type]],8,FALSE)</f>
        <v>Camp</v>
      </c>
      <c r="H115" s="753" t="s">
        <v>547</v>
      </c>
      <c r="I115" s="449">
        <v>32</v>
      </c>
      <c r="J115" s="449">
        <v>141</v>
      </c>
      <c r="K115" s="591" t="s">
        <v>2789</v>
      </c>
      <c r="L115" s="592" t="s">
        <v>2790</v>
      </c>
      <c r="M115" s="755"/>
      <c r="N115" s="755"/>
      <c r="O115" s="755">
        <v>1</v>
      </c>
      <c r="P115" s="755"/>
      <c r="Q115" s="758" t="s">
        <v>41</v>
      </c>
      <c r="R115" s="755">
        <v>3</v>
      </c>
      <c r="S115" s="755">
        <v>3</v>
      </c>
      <c r="T115" s="449"/>
      <c r="U115" s="755"/>
      <c r="V115" s="755"/>
      <c r="W115" s="755"/>
      <c r="X115" s="755"/>
      <c r="Y115" s="755"/>
      <c r="Z115" s="755"/>
      <c r="AA115" s="755">
        <v>1</v>
      </c>
      <c r="AB115" s="755"/>
      <c r="AC115" s="755"/>
      <c r="AD115" s="755"/>
      <c r="AE115" s="755"/>
      <c r="AF115" s="755"/>
      <c r="AG115" s="755"/>
      <c r="AH115" s="755"/>
      <c r="AI115" s="755"/>
      <c r="AJ115" s="755"/>
      <c r="AK115" s="755"/>
      <c r="AL115" s="755"/>
      <c r="AM115" s="755"/>
      <c r="AN115" s="755"/>
      <c r="AO115" s="755"/>
      <c r="AP115" s="759"/>
      <c r="AQ115" s="755">
        <v>8</v>
      </c>
      <c r="AR115" s="755"/>
      <c r="AS115" s="760"/>
      <c r="AT115" s="755"/>
      <c r="AU115" s="755"/>
      <c r="AV115" s="755"/>
      <c r="AW115" s="755"/>
      <c r="AX115" s="755"/>
      <c r="AY115" s="754" t="s">
        <v>41</v>
      </c>
      <c r="AZ115" s="759" t="s">
        <v>137</v>
      </c>
      <c r="BA115" s="755"/>
      <c r="BB115" s="755"/>
      <c r="BC115" s="755"/>
      <c r="BD115" s="449"/>
      <c r="BE115" s="449"/>
      <c r="BF115" s="754"/>
      <c r="BG115" s="755">
        <v>1</v>
      </c>
      <c r="BH115" s="755"/>
      <c r="BI115" s="755"/>
      <c r="BJ115" s="755">
        <v>1</v>
      </c>
      <c r="BK115" s="755"/>
      <c r="BL115" s="755"/>
      <c r="BM115" s="755">
        <v>1</v>
      </c>
      <c r="BN115" s="755">
        <v>6</v>
      </c>
      <c r="BO115" s="755">
        <v>5</v>
      </c>
      <c r="BP115" s="754"/>
      <c r="BQ115" s="761"/>
      <c r="BR115" s="760"/>
      <c r="BS115" s="754"/>
      <c r="BT115" s="424"/>
      <c r="BU115" s="424"/>
      <c r="BV115" s="426"/>
      <c r="BW115" s="424"/>
      <c r="BX115" s="449"/>
      <c r="BY115" s="449"/>
      <c r="BZ115" s="449"/>
      <c r="CA115" s="449"/>
      <c r="CB115" s="449"/>
      <c r="CC115" s="807"/>
      <c r="CD115" s="449"/>
      <c r="CE115" s="762" t="str">
        <f>IFERROR(WWWW[[#This Row],['#_Water sources passed]]/WWWW[[#This Row],['#_Water sources tested for fecal coliform ]],"no test")</f>
        <v>no test</v>
      </c>
      <c r="CF115" s="760" t="str">
        <f>IFERROR(WWWW[[#This Row],['#_Household passed]]/WWWW[[#This Row],['#_Household water samples tested for fecal coliform]],"no test")</f>
        <v>no test</v>
      </c>
      <c r="CG115" s="761" t="str">
        <f>IF(AND(WWWW[[#This Row],[% of water sources passed]]="no test",WWWW[[#This Row],[% Household passed]]="no test"),"No Test","Tested")</f>
        <v>No Test</v>
      </c>
      <c r="CH115" s="761">
        <f>WWWW[[#This Row],['#_Constructed/existing protected hand dug well]]-WWWW[[#This Row],['#_Non-functional protected hand dug well]]</f>
        <v>0</v>
      </c>
      <c r="CI115" s="761">
        <f>(WWWW[[#This Row],['#_Constructed/Existing tube wells/boreholes/handpumps_WASH_agency]]+WWWW[[#This Row],['#_Non-Cluster partner water tube-wells/boreholes/handpumps]])-WWWW[[#This Row],['#_Non-functional tube wells/boreholes/handpumps]]</f>
        <v>0</v>
      </c>
      <c r="CJ115" s="761">
        <f>WWWW[[#This Row],['#_Constructed/Existingwater storage tank with gravity fed reticulation system]]-WWWW[[#This Row],['#_Non-functional storage tank gravity fed reticulation system]]</f>
        <v>1</v>
      </c>
      <c r="CK115" s="761">
        <f>(WWWW[[#This Row],['#_Water_Liters_supplied_by_Water boating or water trucking]]/90)/15</f>
        <v>0</v>
      </c>
      <c r="CL115" s="761">
        <f>WWWW[[#This Row],['#_Water_Liters_from_Constructed/Existing water distribution system from river or natural spring]]/90/15</f>
        <v>0</v>
      </c>
      <c r="CM115" s="425">
        <f>IF(WWWW[[#This Row],['#_of water points in TLS/CFS]]*500&gt;WWWW[[#This Row],[Total PoP ]],WWWW[[#This Row],[Total PoP ]],WWWW[[#This Row],['#_of water points in TLS/CFS]]*500)</f>
        <v>0</v>
      </c>
      <c r="CN115" s="425">
        <f>IF(WWWW[[#This Row],['#_of water points in THF]]*500&gt;WWWW[[#This Row],[Total PoP ]],WWWW[[#This Row],[Total PoP ]],WWWW[[#This Row],['#_of water points in THF]]*500)</f>
        <v>0</v>
      </c>
      <c r="CO11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0.4728132387706856</v>
      </c>
      <c r="CP11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0.4728132387706856</v>
      </c>
      <c r="CQ115" s="760">
        <f>IF(WWWW[[#This Row],[Location Type 1]]="Village",WWWW[[#This Row],[Access to safe drinking water for Village]],WWWW[[#This Row],[Access to safe drinking water for Camp]])</f>
        <v>0.4728132387706856</v>
      </c>
      <c r="CR115" s="758">
        <f>WWWW[[#This Row],[%Equitable and continuous access to sufficient quantity of safe drinking water]]*WWWW[[#This Row],[Total PoP ]]</f>
        <v>66.666666666666671</v>
      </c>
      <c r="CS115" s="760">
        <f>IF((WWWW[[#This Row],['#_Constructed/Existing protected/fenced ponds]]*250)/WWWW[[#This Row],[Total PoP ]]&gt;1,1,(WWWW[[#This Row],['#_Constructed/Existing protected/fenced ponds]]*250)/WWWW[[#This Row],[Total PoP ]])</f>
        <v>0</v>
      </c>
      <c r="CT115" s="758">
        <f>WWWW[[#This Row],[% Access to unimproved water points]]*WWWW[[#This Row],[Total PoP ]]</f>
        <v>0</v>
      </c>
      <c r="CU11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0.4728132387706856</v>
      </c>
      <c r="CV11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115" s="758">
        <f>WWWW[[#This Row],[HRP1]]/500</f>
        <v>0.13333333333333333</v>
      </c>
      <c r="CX115" s="763">
        <f>1-WWWW[[#This Row],[% Equitable and continuous access to sufficient quantity of domestic water]]</f>
        <v>0.5271867612293144</v>
      </c>
      <c r="CY115" s="758">
        <f>WWWW[[#This Row],[%equitable and continuous access to sufficient quantity of safe drinking and domestic water''s GAP]]*WWWW[[#This Row],[Total PoP ]]</f>
        <v>74.333333333333329</v>
      </c>
      <c r="CZ115" s="761">
        <f>IF(WWWW[[#This Row],[Total required water points]]-WWWW[[#This Row],['#Water points coverage]]&lt;0,0,WWWW[[#This Row],[Total required water points]]-WWWW[[#This Row],['#Water points coverage]])</f>
        <v>0.8666666666666667</v>
      </c>
      <c r="DA115" s="761">
        <f>ROUND(IF(WWWW[[#This Row],[Total PoP ]]&lt;500,1,WWWW[[#This Row],[Total PoP ]]/500),0)</f>
        <v>1</v>
      </c>
      <c r="DB115" s="761">
        <f>(WWWW[[#This Row],['#_Constructed latrines_by_WASHAgencies]]+WWWW[[#This Row],['#_Non Cluster partner latrines]])-WWWW[[#This Row],['#_Non-functional latrines]]</f>
        <v>8</v>
      </c>
      <c r="DC115" s="634">
        <f>WWWW[[#This Row],[HRP2]]/WWWW[[#This Row],[Total PoP ]]</f>
        <v>1</v>
      </c>
      <c r="DD11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11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5" s="425">
        <f>IF(WWWW[[#This Row],['# of functional latrines in THF supported by WASH partners during the reporting period2]]="",0,WWWW[[#This Row],['# of functional latrines in THF supported by WASH partners during the reporting period2]]*50)</f>
        <v>0</v>
      </c>
      <c r="DH115" s="761">
        <f>ROUND(IF(WWWW[[#This Row],[Location Type 1]]="camp",WWWW[[#This Row],[Total PoP ]]/20,IF(WWWW[[#This Row],[Location Type 1]]="Temporary Location",WWWW[[#This Row],[Total PoP ]]/50,(WWWW[[#This Row],[Total PoP ]]/6))),0)</f>
        <v>7</v>
      </c>
      <c r="DI115" s="761">
        <f>IF(WWWW[[#This Row],[Total required Latrines]]-(WWWW[[#This Row],['#_Constructed latrines_by_WASHAgencies]]+WWWW[[#This Row],['#_Non Cluster partner latrines]])&lt;0,0,WWWW[[#This Row],[Total required Latrines]]-(WWWW[[#This Row],['#_Constructed latrines_by_WASHAgencies]]+WWWW[[#This Row],['#_Non Cluster partner latrines]]))</f>
        <v>0</v>
      </c>
      <c r="DJ115" s="763">
        <f>1-WWWW[[#This Row],[% people access to functioning Latrine]]</f>
        <v>0</v>
      </c>
      <c r="DK115" s="762">
        <f>IF(OR(WWWW[[#This Row],['#_Non-functional latrines]]="",WWWW[[#This Row],['#_Non-functional latrines]]=0),0,WWWW[[#This Row],['#_Non-functional latrines]]/(WWWW[[#This Row],['#_Constructed latrines_by_WASHAgencies]]+WWWW[[#This Row],['#_Non Cluster partner latrines]]))</f>
        <v>0</v>
      </c>
      <c r="DL115" s="758">
        <f>IF(500*(WWWW[[#This Row],['#_male hygiene promoters]]+WWWW[[#This Row],['#_female hygiene promoters]])&gt;WWWW[[#This Row],[Total PoP ]],WWWW[[#This Row],[Total PoP ]],500*(WWWW[[#This Row],['#_male hygiene promoters]]+WWWW[[#This Row],['#_female hygiene promoters]]))</f>
        <v>141</v>
      </c>
      <c r="DM11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1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15" s="761">
        <f>IF(WWWW[[#This Row],['# People with access to soap]]&gt;WWWW[[#This Row],['# People with access to Sanity Pads]],WWWW[[#This Row],['# People with access to soap]],WWWW[[#This Row],['# People with access to Sanity Pads]])</f>
        <v>30</v>
      </c>
      <c r="DP115" s="761">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115" s="763">
        <f>IF(WWWW[[#This Row],[HRP3]]/WWWW[[#This Row],[Total PoP ]]&gt;1,1,WWWW[[#This Row],[HRP3]]/WWWW[[#This Row],[Total PoP ]])</f>
        <v>1</v>
      </c>
      <c r="DR115" s="762">
        <f>1-WWWW[[#This Row],[Hygiene Coverage%]]</f>
        <v>0</v>
      </c>
      <c r="DS115" s="760">
        <f>WWWW[[#This Row],['# people reached by regular dedicated hygiene promotion_5]]/WWWW[[#This Row],[Total PoP ]]</f>
        <v>1</v>
      </c>
      <c r="DT11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0.75</v>
      </c>
      <c r="DU11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0.15625</v>
      </c>
      <c r="DV115" s="761">
        <f>WWWW[[#This Row],['#_Constructed/Existing hand washing stations]]-WWWW[[#This Row],['#_Non-Functional_hand_washing_stations]]</f>
        <v>1</v>
      </c>
      <c r="DW115" s="758">
        <f>IF(WWWW[[#This Row],['# Functional hand washing stations during reporting period]]*20&gt;WWWW[[#This Row],[Total HH]],WWWW[[#This Row],[Total HH]],WWWW[[#This Row],['# Functional hand washing stations during reporting period]]*20)</f>
        <v>20</v>
      </c>
      <c r="DX115" s="758">
        <f>IF(WWWW[[#This Row],[Is sufficient soap available for TLS? (Yes/No)]]="yes",WWWW[[#This Row],['#_Constructed/Existing hand washing stations at TLS/CFS/THF]],0)</f>
        <v>0</v>
      </c>
      <c r="DY115" s="429">
        <f>IF(WWWW[[#This Row],['# Functional hand washing stations during reporting period]]*100&gt;WWWW[[#This Row],[Total PoP ]],WWWW[[#This Row],[Total PoP ]],WWWW[[#This Row],['# Functional hand washing stations during reporting period]]*100)</f>
        <v>100</v>
      </c>
      <c r="DZ115" s="429" t="str">
        <f>IF(OR(WWWW[[#This Row],['#_students at TLS_CFS]]="",WWWW[[#This Row],['#_students at TLS_CFS]]=0),"No","Yes")</f>
        <v>No</v>
      </c>
      <c r="EA11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5" s="754" t="str">
        <f>VLOOKUP(WWWW[[#This Row],[Site Name]],SiteDB6[[Site Name]:[CCCM Management]],6,FALSE)</f>
        <v>Yes</v>
      </c>
      <c r="EF115" s="754" t="str">
        <f>VLOOKUP(WWWW[[#This Row],[Site Name]],SiteDB6[[Site Name]:[CCCM Focal Agency]],7,FALSE)</f>
        <v>KBC-NSS</v>
      </c>
      <c r="EG115" s="754" t="str">
        <f>VLOOKUP(WWWW[[#This Row],[Site Name]],SiteDB6[[Site Name]:[Location Type 1]],9,FALSE)</f>
        <v>Camp</v>
      </c>
      <c r="EH115" s="754" t="str">
        <f>VLOOKUP(WWWW[[#This Row],[Site Name]],SiteDB6[[Site Name]:[Type of Accommodation]],10,FALSE)</f>
        <v>Camp</v>
      </c>
      <c r="EI115" s="754" t="str">
        <f>VLOOKUP(WWWW[[#This Row],[Site Name]],SiteDB6[[Site Name]:[Ethnic or GCA/NGCA]],11,FALSE)</f>
        <v>GCA</v>
      </c>
      <c r="EJ115" s="754">
        <f>VLOOKUP(WWWW[[#This Row],[Site Name]],SiteDB6[[Site Name]:[Lat]],12,FALSE)</f>
        <v>23.094290000000001</v>
      </c>
      <c r="EK115" s="754">
        <f>VLOOKUP(WWWW[[#This Row],[Site Name]],SiteDB6[[Site Name]:[Long]],13,FALSE)</f>
        <v>97.404089999999997</v>
      </c>
      <c r="EL115" s="754" t="str">
        <f>VLOOKUP(WWWW[[#This Row],[Site Name]],SiteDB6[[Site Name]:[Pcode]],3,FALSE)</f>
        <v>MMR015CMP014</v>
      </c>
      <c r="EM115" s="759" t="str">
        <f t="shared" si="1"/>
        <v>Covered</v>
      </c>
      <c r="EN115" s="759"/>
      <c r="EO115" s="754">
        <f>VLOOKUP(WWWW[[#This Row],[Site Name]],SiteDB6[[Site Name]:[Pop
(Kachin/Shan-CCCM as of July 2021)]],16,FALSE)</f>
        <v>30</v>
      </c>
      <c r="EP115" s="754">
        <f>VLOOKUP(WWWW[[#This Row],[Site Name]],SiteDB6[[Site Name]:[Pop
(Kachin/Shan-CCCM as of July 2021)]],17,FALSE)</f>
        <v>126</v>
      </c>
    </row>
    <row r="116" spans="1:146" hidden="1">
      <c r="A116" s="752" t="s">
        <v>2785</v>
      </c>
      <c r="B116" s="752" t="s">
        <v>192</v>
      </c>
      <c r="C116" s="753" t="s">
        <v>192</v>
      </c>
      <c r="D116" s="753" t="s">
        <v>2695</v>
      </c>
      <c r="E116" s="753" t="s">
        <v>515</v>
      </c>
      <c r="F116" s="753" t="s">
        <v>536</v>
      </c>
      <c r="G116" s="594" t="str">
        <f>VLOOKUP(WWWW[[#This Row],[Site Name]],SiteDB6[[Site Name]:[Location Type]],8,FALSE)</f>
        <v>Camp</v>
      </c>
      <c r="H116" s="753" t="s">
        <v>537</v>
      </c>
      <c r="I116" s="755">
        <v>16</v>
      </c>
      <c r="J116" s="755">
        <v>91</v>
      </c>
      <c r="K116" s="756" t="s">
        <v>2689</v>
      </c>
      <c r="L116" s="757" t="s">
        <v>2696</v>
      </c>
      <c r="M116" s="755"/>
      <c r="N116" s="755"/>
      <c r="O116" s="755"/>
      <c r="P116" s="755"/>
      <c r="Q116" s="758"/>
      <c r="R116" s="755"/>
      <c r="S116" s="755"/>
      <c r="T116" s="449"/>
      <c r="U116" s="755"/>
      <c r="V116" s="755"/>
      <c r="W116" s="755">
        <v>1</v>
      </c>
      <c r="X116" s="755"/>
      <c r="Y116" s="755"/>
      <c r="Z116" s="755"/>
      <c r="AA116" s="755"/>
      <c r="AB116" s="755"/>
      <c r="AC116" s="755"/>
      <c r="AD116" s="755"/>
      <c r="AE116" s="755"/>
      <c r="AF116" s="755"/>
      <c r="AG116" s="755"/>
      <c r="AH116" s="755"/>
      <c r="AI116" s="755"/>
      <c r="AJ116" s="755"/>
      <c r="AK116" s="755"/>
      <c r="AL116" s="755"/>
      <c r="AM116" s="755"/>
      <c r="AN116" s="755"/>
      <c r="AO116" s="755"/>
      <c r="AP116" s="759"/>
      <c r="AQ116" s="755">
        <v>6</v>
      </c>
      <c r="AR116" s="755"/>
      <c r="AS116" s="760"/>
      <c r="AT116" s="755"/>
      <c r="AU116" s="755"/>
      <c r="AV116" s="755"/>
      <c r="AW116" s="755"/>
      <c r="AX116" s="755"/>
      <c r="AY116" s="754" t="s">
        <v>136</v>
      </c>
      <c r="AZ116" s="759" t="s">
        <v>904</v>
      </c>
      <c r="BA116" s="755"/>
      <c r="BB116" s="755"/>
      <c r="BC116" s="755"/>
      <c r="BD116" s="449"/>
      <c r="BE116" s="449"/>
      <c r="BF116" s="754"/>
      <c r="BG116" s="755">
        <v>7</v>
      </c>
      <c r="BH116" s="755"/>
      <c r="BI116" s="755"/>
      <c r="BJ116" s="755">
        <v>4</v>
      </c>
      <c r="BK116" s="755"/>
      <c r="BL116" s="755"/>
      <c r="BM116" s="755"/>
      <c r="BN116" s="755">
        <v>124</v>
      </c>
      <c r="BO116" s="755">
        <v>198</v>
      </c>
      <c r="BP116" s="754"/>
      <c r="BQ116" s="761"/>
      <c r="BR116" s="760"/>
      <c r="BS116" s="754"/>
      <c r="BT116" s="424"/>
      <c r="BU116" s="424"/>
      <c r="BV116" s="426"/>
      <c r="BW116" s="424"/>
      <c r="BX116" s="449"/>
      <c r="BY116" s="449"/>
      <c r="BZ116" s="449"/>
      <c r="CA116" s="449"/>
      <c r="CB116" s="449"/>
      <c r="CC116" s="807"/>
      <c r="CD116" s="449"/>
      <c r="CE116" s="762" t="str">
        <f>IFERROR(WWWW[[#This Row],['#_Water sources passed]]/WWWW[[#This Row],['#_Water sources tested for fecal coliform ]],"no test")</f>
        <v>no test</v>
      </c>
      <c r="CF116" s="760" t="str">
        <f>IFERROR(WWWW[[#This Row],['#_Household passed]]/WWWW[[#This Row],['#_Household water samples tested for fecal coliform]],"no test")</f>
        <v>no test</v>
      </c>
      <c r="CG116" s="761" t="str">
        <f>IF(AND(WWWW[[#This Row],[% of water sources passed]]="no test",WWWW[[#This Row],[% Household passed]]="no test"),"No Test","Tested")</f>
        <v>No Test</v>
      </c>
      <c r="CH116" s="761">
        <f>WWWW[[#This Row],['#_Constructed/existing protected hand dug well]]-WWWW[[#This Row],['#_Non-functional protected hand dug well]]</f>
        <v>0</v>
      </c>
      <c r="CI116" s="761">
        <f>(WWWW[[#This Row],['#_Constructed/Existing tube wells/boreholes/handpumps_WASH_agency]]+WWWW[[#This Row],['#_Non-Cluster partner water tube-wells/boreholes/handpumps]])-WWWW[[#This Row],['#_Non-functional tube wells/boreholes/handpumps]]</f>
        <v>1</v>
      </c>
      <c r="CJ116" s="761">
        <f>WWWW[[#This Row],['#_Constructed/Existingwater storage tank with gravity fed reticulation system]]-WWWW[[#This Row],['#_Non-functional storage tank gravity fed reticulation system]]</f>
        <v>0</v>
      </c>
      <c r="CK116" s="761">
        <f>(WWWW[[#This Row],['#_Water_Liters_supplied_by_Water boating or water trucking]]/90)/15</f>
        <v>0</v>
      </c>
      <c r="CL116" s="761">
        <f>WWWW[[#This Row],['#_Water_Liters_from_Constructed/Existing water distribution system from river or natural spring]]/90/15</f>
        <v>0</v>
      </c>
      <c r="CM116" s="425">
        <f>IF(WWWW[[#This Row],['#_of water points in TLS/CFS]]*500&gt;WWWW[[#This Row],[Total PoP ]],WWWW[[#This Row],[Total PoP ]],WWWW[[#This Row],['#_of water points in TLS/CFS]]*500)</f>
        <v>0</v>
      </c>
      <c r="CN116" s="425">
        <f>IF(WWWW[[#This Row],['#_of water points in THF]]*500&gt;WWWW[[#This Row],[Total PoP ]],WWWW[[#This Row],[Total PoP ]],WWWW[[#This Row],['#_of water points in THF]]*500)</f>
        <v>0</v>
      </c>
      <c r="CO11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6" s="760">
        <f>IF(WWWW[[#This Row],[Location Type 1]]="Village",WWWW[[#This Row],[Access to safe drinking water for Village]],WWWW[[#This Row],[Access to safe drinking water for Camp]])</f>
        <v>1</v>
      </c>
      <c r="CR116" s="758">
        <f>WWWW[[#This Row],[%Equitable and continuous access to sufficient quantity of safe drinking water]]*WWWW[[#This Row],[Total PoP ]]</f>
        <v>91</v>
      </c>
      <c r="CS116" s="760">
        <f>IF((WWWW[[#This Row],['#_Constructed/Existing protected/fenced ponds]]*250)/WWWW[[#This Row],[Total PoP ]]&gt;1,1,(WWWW[[#This Row],['#_Constructed/Existing protected/fenced ponds]]*250)/WWWW[[#This Row],[Total PoP ]])</f>
        <v>0</v>
      </c>
      <c r="CT116" s="758">
        <f>WWWW[[#This Row],[% Access to unimproved water points]]*WWWW[[#This Row],[Total PoP ]]</f>
        <v>0</v>
      </c>
      <c r="CU11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CW116" s="758">
        <f>WWWW[[#This Row],[HRP1]]/500</f>
        <v>0.182</v>
      </c>
      <c r="CX116" s="763">
        <f>1-WWWW[[#This Row],[% Equitable and continuous access to sufficient quantity of domestic water]]</f>
        <v>0</v>
      </c>
      <c r="CY116" s="758">
        <f>WWWW[[#This Row],[%equitable and continuous access to sufficient quantity of safe drinking and domestic water''s GAP]]*WWWW[[#This Row],[Total PoP ]]</f>
        <v>0</v>
      </c>
      <c r="CZ116" s="761">
        <f>IF(WWWW[[#This Row],[Total required water points]]-WWWW[[#This Row],['#Water points coverage]]&lt;0,0,WWWW[[#This Row],[Total required water points]]-WWWW[[#This Row],['#Water points coverage]])</f>
        <v>0.81800000000000006</v>
      </c>
      <c r="DA116" s="761">
        <f>ROUND(IF(WWWW[[#This Row],[Total PoP ]]&lt;500,1,WWWW[[#This Row],[Total PoP ]]/500),0)</f>
        <v>1</v>
      </c>
      <c r="DB116" s="761">
        <f>(WWWW[[#This Row],['#_Constructed latrines_by_WASHAgencies]]+WWWW[[#This Row],['#_Non Cluster partner latrines]])-WWWW[[#This Row],['#_Non-functional latrines]]</f>
        <v>6</v>
      </c>
      <c r="DC116" s="634">
        <f>WWWW[[#This Row],[HRP2]]/WWWW[[#This Row],[Total PoP ]]</f>
        <v>1</v>
      </c>
      <c r="DD11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91</v>
      </c>
      <c r="DE11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6" s="425">
        <f>IF(WWWW[[#This Row],['# of functional latrines in THF supported by WASH partners during the reporting period2]]="",0,WWWW[[#This Row],['# of functional latrines in THF supported by WASH partners during the reporting period2]]*50)</f>
        <v>0</v>
      </c>
      <c r="DH116" s="761">
        <f>ROUND(IF(WWWW[[#This Row],[Location Type 1]]="camp",WWWW[[#This Row],[Total PoP ]]/20,IF(WWWW[[#This Row],[Location Type 1]]="Temporary Location",WWWW[[#This Row],[Total PoP ]]/50,(WWWW[[#This Row],[Total PoP ]]/6))),0)</f>
        <v>5</v>
      </c>
      <c r="DI116" s="761">
        <f>IF(WWWW[[#This Row],[Total required Latrines]]-(WWWW[[#This Row],['#_Constructed latrines_by_WASHAgencies]]+WWWW[[#This Row],['#_Non Cluster partner latrines]])&lt;0,0,WWWW[[#This Row],[Total required Latrines]]-(WWWW[[#This Row],['#_Constructed latrines_by_WASHAgencies]]+WWWW[[#This Row],['#_Non Cluster partner latrines]]))</f>
        <v>0</v>
      </c>
      <c r="DJ116" s="763">
        <f>1-WWWW[[#This Row],[% people access to functioning Latrine]]</f>
        <v>0</v>
      </c>
      <c r="DK116" s="762">
        <f>IF(OR(WWWW[[#This Row],['#_Non-functional latrines]]="",WWWW[[#This Row],['#_Non-functional latrines]]=0),0,WWWW[[#This Row],['#_Non-functional latrines]]/(WWWW[[#This Row],['#_Constructed latrines_by_WASHAgencies]]+WWWW[[#This Row],['#_Non Cluster partner latrines]]))</f>
        <v>0</v>
      </c>
      <c r="DL116" s="758">
        <f>IF(500*(WWWW[[#This Row],['#_male hygiene promoters]]+WWWW[[#This Row],['#_female hygiene promoters]])&gt;WWWW[[#This Row],[Total PoP ]],WWWW[[#This Row],[Total PoP ]],500*(WWWW[[#This Row],['#_male hygiene promoters]]+WWWW[[#This Row],['#_female hygiene promoters]]))</f>
        <v>0</v>
      </c>
      <c r="DM11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1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16" s="761">
        <f>IF(WWWW[[#This Row],['# People with access to soap]]&gt;WWWW[[#This Row],['# People with access to Sanity Pads]],WWWW[[#This Row],['# People with access to soap]],WWWW[[#This Row],['# People with access to Sanity Pads]])</f>
        <v>91</v>
      </c>
      <c r="DP116" s="761">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16" s="763">
        <f>IF(WWWW[[#This Row],[HRP3]]/WWWW[[#This Row],[Total PoP ]]&gt;1,1,WWWW[[#This Row],[HRP3]]/WWWW[[#This Row],[Total PoP ]])</f>
        <v>1</v>
      </c>
      <c r="DR116" s="762">
        <f>1-WWWW[[#This Row],[Hygiene Coverage%]]</f>
        <v>0</v>
      </c>
      <c r="DS116" s="760">
        <f>WWWW[[#This Row],['# people reached by regular dedicated hygiene promotion_5]]/WWWW[[#This Row],[Total PoP ]]</f>
        <v>0</v>
      </c>
      <c r="DT11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1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16" s="761">
        <f>WWWW[[#This Row],['#_Constructed/Existing hand washing stations]]-WWWW[[#This Row],['#_Non-Functional_hand_washing_stations]]</f>
        <v>7</v>
      </c>
      <c r="DW116" s="758">
        <f>IF(WWWW[[#This Row],['# Functional hand washing stations during reporting period]]*20&gt;WWWW[[#This Row],[Total HH]],WWWW[[#This Row],[Total HH]],WWWW[[#This Row],['# Functional hand washing stations during reporting period]]*20)</f>
        <v>16</v>
      </c>
      <c r="DX116" s="758">
        <f>IF(WWWW[[#This Row],[Is sufficient soap available for TLS? (Yes/No)]]="yes",WWWW[[#This Row],['#_Constructed/Existing hand washing stations at TLS/CFS/THF]],0)</f>
        <v>0</v>
      </c>
      <c r="DY116" s="429">
        <f>IF(WWWW[[#This Row],['# Functional hand washing stations during reporting period]]*100&gt;WWWW[[#This Row],[Total PoP ]],WWWW[[#This Row],[Total PoP ]],WWWW[[#This Row],['# Functional hand washing stations during reporting period]]*100)</f>
        <v>91</v>
      </c>
      <c r="DZ116" s="429" t="str">
        <f>IF(OR(WWWW[[#This Row],['#_students at TLS_CFS]]="",WWWW[[#This Row],['#_students at TLS_CFS]]=0),"No","Yes")</f>
        <v>No</v>
      </c>
      <c r="EA11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6" s="754">
        <f>VLOOKUP(WWWW[[#This Row],[Site Name]],SiteDB6[[Site Name]:[CCCM Management]],6,FALSE)</f>
        <v>0</v>
      </c>
      <c r="EF116" s="754" t="str">
        <f>VLOOKUP(WWWW[[#This Row],[Site Name]],SiteDB6[[Site Name]:[CCCM Focal Agency]],7,FALSE)</f>
        <v>uncovered</v>
      </c>
      <c r="EG116" s="754" t="str">
        <f>VLOOKUP(WWWW[[#This Row],[Site Name]],SiteDB6[[Site Name]:[Location Type 1]],9,FALSE)</f>
        <v>Camp</v>
      </c>
      <c r="EH116" s="754" t="str">
        <f>VLOOKUP(WWWW[[#This Row],[Site Name]],SiteDB6[[Site Name]:[Type of Accommodation]],10,FALSE)</f>
        <v>Closed Camp</v>
      </c>
      <c r="EI116" s="754" t="str">
        <f>VLOOKUP(WWWW[[#This Row],[Site Name]],SiteDB6[[Site Name]:[Ethnic or GCA/NGCA]],11,FALSE)</f>
        <v>GCA</v>
      </c>
      <c r="EJ116" s="754">
        <f>VLOOKUP(WWWW[[#This Row],[Site Name]],SiteDB6[[Site Name]:[Lat]],12,FALSE)</f>
        <v>22.765999999999998</v>
      </c>
      <c r="EK116" s="754">
        <f>VLOOKUP(WWWW[[#This Row],[Site Name]],SiteDB6[[Site Name]:[Long]],13,FALSE)</f>
        <v>97.358999999999995</v>
      </c>
      <c r="EL116" s="754" t="str">
        <f>VLOOKUP(WWWW[[#This Row],[Site Name]],SiteDB6[[Site Name]:[Pcode]],3,FALSE)</f>
        <v>MMR015CMP221</v>
      </c>
      <c r="EM116" s="759" t="str">
        <f t="shared" si="1"/>
        <v>Covered</v>
      </c>
      <c r="EN116" s="759"/>
      <c r="EO116" s="754">
        <f>VLOOKUP(WWWW[[#This Row],[Site Name]],SiteDB6[[Site Name]:[Pop
(Kachin/Shan-CCCM as of July 2021)]],16,FALSE)</f>
        <v>3</v>
      </c>
      <c r="EP116" s="754">
        <f>VLOOKUP(WWWW[[#This Row],[Site Name]],SiteDB6[[Site Name]:[Pop
(Kachin/Shan-CCCM as of July 2021)]],17,FALSE)</f>
        <v>17</v>
      </c>
    </row>
    <row r="117" spans="1:146" hidden="1">
      <c r="A117" s="752" t="s">
        <v>2785</v>
      </c>
      <c r="B117" s="752" t="s">
        <v>192</v>
      </c>
      <c r="C117" s="753" t="s">
        <v>192</v>
      </c>
      <c r="D117" s="753" t="s">
        <v>2701</v>
      </c>
      <c r="E117" s="753" t="s">
        <v>37</v>
      </c>
      <c r="F117" s="753" t="s">
        <v>214</v>
      </c>
      <c r="G117" s="594" t="str">
        <f>VLOOKUP(WWWW[[#This Row],[Site Name]],SiteDB6[[Site Name]:[Location Type]],8,FALSE)</f>
        <v>Camp</v>
      </c>
      <c r="H117" s="753" t="s">
        <v>216</v>
      </c>
      <c r="I117" s="755">
        <v>43</v>
      </c>
      <c r="J117" s="755">
        <v>182</v>
      </c>
      <c r="K117" s="756" t="s">
        <v>2692</v>
      </c>
      <c r="L117" s="757" t="s">
        <v>2702</v>
      </c>
      <c r="M117" s="755"/>
      <c r="N117" s="755"/>
      <c r="O117" s="755"/>
      <c r="P117" s="755"/>
      <c r="Q117" s="758" t="s">
        <v>41</v>
      </c>
      <c r="R117" s="755">
        <v>1</v>
      </c>
      <c r="S117" s="755">
        <v>1</v>
      </c>
      <c r="T117" s="449"/>
      <c r="U117" s="755"/>
      <c r="V117" s="755"/>
      <c r="W117" s="755"/>
      <c r="X117" s="755">
        <v>1</v>
      </c>
      <c r="Y117" s="755"/>
      <c r="Z117" s="755"/>
      <c r="AA117" s="755"/>
      <c r="AB117" s="755"/>
      <c r="AC117" s="755"/>
      <c r="AD117" s="755"/>
      <c r="AE117" s="755"/>
      <c r="AF117" s="755"/>
      <c r="AG117" s="755"/>
      <c r="AH117" s="755"/>
      <c r="AI117" s="755"/>
      <c r="AJ117" s="755"/>
      <c r="AK117" s="755"/>
      <c r="AL117" s="755"/>
      <c r="AM117" s="755"/>
      <c r="AN117" s="755"/>
      <c r="AO117" s="755"/>
      <c r="AP117" s="759"/>
      <c r="AQ117" s="755">
        <v>9</v>
      </c>
      <c r="AR117" s="755"/>
      <c r="AS117" s="760"/>
      <c r="AT117" s="755"/>
      <c r="AU117" s="755"/>
      <c r="AV117" s="755"/>
      <c r="AW117" s="755"/>
      <c r="AX117" s="755"/>
      <c r="AY117" s="754" t="s">
        <v>41</v>
      </c>
      <c r="AZ117" s="759" t="s">
        <v>137</v>
      </c>
      <c r="BA117" s="755"/>
      <c r="BB117" s="755"/>
      <c r="BC117" s="755"/>
      <c r="BD117" s="449"/>
      <c r="BE117" s="449"/>
      <c r="BF117" s="754"/>
      <c r="BG117" s="755">
        <v>3</v>
      </c>
      <c r="BH117" s="755"/>
      <c r="BI117" s="755"/>
      <c r="BJ117" s="755">
        <v>2</v>
      </c>
      <c r="BK117" s="755"/>
      <c r="BL117" s="755"/>
      <c r="BM117" s="755">
        <v>1</v>
      </c>
      <c r="BN117" s="755">
        <v>10</v>
      </c>
      <c r="BO117" s="755">
        <v>18</v>
      </c>
      <c r="BP117" s="754"/>
      <c r="BQ117" s="761"/>
      <c r="BR117" s="760"/>
      <c r="BS117" s="754"/>
      <c r="BT117" s="424"/>
      <c r="BU117" s="424"/>
      <c r="BV117" s="426"/>
      <c r="BW117" s="424"/>
      <c r="BX117" s="449"/>
      <c r="BY117" s="449"/>
      <c r="BZ117" s="449"/>
      <c r="CA117" s="449"/>
      <c r="CB117" s="449"/>
      <c r="CC117" s="807"/>
      <c r="CD117" s="449"/>
      <c r="CE117" s="762" t="str">
        <f>IFERROR(WWWW[[#This Row],['#_Water sources passed]]/WWWW[[#This Row],['#_Water sources tested for fecal coliform ]],"no test")</f>
        <v>no test</v>
      </c>
      <c r="CF117" s="760" t="str">
        <f>IFERROR(WWWW[[#This Row],['#_Household passed]]/WWWW[[#This Row],['#_Household water samples tested for fecal coliform]],"no test")</f>
        <v>no test</v>
      </c>
      <c r="CG117" s="761" t="str">
        <f>IF(AND(WWWW[[#This Row],[% of water sources passed]]="no test",WWWW[[#This Row],[% Household passed]]="no test"),"No Test","Tested")</f>
        <v>No Test</v>
      </c>
      <c r="CH117" s="761">
        <f>WWWW[[#This Row],['#_Constructed/existing protected hand dug well]]-WWWW[[#This Row],['#_Non-functional protected hand dug well]]</f>
        <v>0</v>
      </c>
      <c r="CI117" s="761">
        <f>(WWWW[[#This Row],['#_Constructed/Existing tube wells/boreholes/handpumps_WASH_agency]]+WWWW[[#This Row],['#_Non-Cluster partner water tube-wells/boreholes/handpumps]])-WWWW[[#This Row],['#_Non-functional tube wells/boreholes/handpumps]]</f>
        <v>1</v>
      </c>
      <c r="CJ117" s="761">
        <f>WWWW[[#This Row],['#_Constructed/Existingwater storage tank with gravity fed reticulation system]]-WWWW[[#This Row],['#_Non-functional storage tank gravity fed reticulation system]]</f>
        <v>0</v>
      </c>
      <c r="CK117" s="761">
        <f>(WWWW[[#This Row],['#_Water_Liters_supplied_by_Water boating or water trucking]]/90)/15</f>
        <v>0</v>
      </c>
      <c r="CL117" s="761">
        <f>WWWW[[#This Row],['#_Water_Liters_from_Constructed/Existing water distribution system from river or natural spring]]/90/15</f>
        <v>0</v>
      </c>
      <c r="CM117" s="425">
        <f>IF(WWWW[[#This Row],['#_of water points in TLS/CFS]]*500&gt;WWWW[[#This Row],[Total PoP ]],WWWW[[#This Row],[Total PoP ]],WWWW[[#This Row],['#_of water points in TLS/CFS]]*500)</f>
        <v>0</v>
      </c>
      <c r="CN117" s="425">
        <f>IF(WWWW[[#This Row],['#_of water points in THF]]*500&gt;WWWW[[#This Row],[Total PoP ]],WWWW[[#This Row],[Total PoP ]],WWWW[[#This Row],['#_of water points in THF]]*500)</f>
        <v>0</v>
      </c>
      <c r="CO11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1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17" s="760">
        <f>IF(WWWW[[#This Row],[Location Type 1]]="Village",WWWW[[#This Row],[Access to safe drinking water for Village]],WWWW[[#This Row],[Access to safe drinking water for Camp]])</f>
        <v>1</v>
      </c>
      <c r="CR117" s="758">
        <f>WWWW[[#This Row],[%Equitable and continuous access to sufficient quantity of safe drinking water]]*WWWW[[#This Row],[Total PoP ]]</f>
        <v>182</v>
      </c>
      <c r="CS117" s="760">
        <f>IF((WWWW[[#This Row],['#_Constructed/Existing protected/fenced ponds]]*250)/WWWW[[#This Row],[Total PoP ]]&gt;1,1,(WWWW[[#This Row],['#_Constructed/Existing protected/fenced ponds]]*250)/WWWW[[#This Row],[Total PoP ]])</f>
        <v>0</v>
      </c>
      <c r="CT117" s="758">
        <f>WWWW[[#This Row],[% Access to unimproved water points]]*WWWW[[#This Row],[Total PoP ]]</f>
        <v>0</v>
      </c>
      <c r="CU11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1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117" s="758">
        <f>WWWW[[#This Row],[HRP1]]/500</f>
        <v>0.36399999999999999</v>
      </c>
      <c r="CX117" s="763">
        <f>1-WWWW[[#This Row],[% Equitable and continuous access to sufficient quantity of domestic water]]</f>
        <v>0</v>
      </c>
      <c r="CY117" s="758">
        <f>WWWW[[#This Row],[%equitable and continuous access to sufficient quantity of safe drinking and domestic water''s GAP]]*WWWW[[#This Row],[Total PoP ]]</f>
        <v>0</v>
      </c>
      <c r="CZ117" s="761">
        <f>IF(WWWW[[#This Row],[Total required water points]]-WWWW[[#This Row],['#Water points coverage]]&lt;0,0,WWWW[[#This Row],[Total required water points]]-WWWW[[#This Row],['#Water points coverage]])</f>
        <v>0.63600000000000001</v>
      </c>
      <c r="DA117" s="761">
        <f>ROUND(IF(WWWW[[#This Row],[Total PoP ]]&lt;500,1,WWWW[[#This Row],[Total PoP ]]/500),0)</f>
        <v>1</v>
      </c>
      <c r="DB117" s="761">
        <f>(WWWW[[#This Row],['#_Constructed latrines_by_WASHAgencies]]+WWWW[[#This Row],['#_Non Cluster partner latrines]])-WWWW[[#This Row],['#_Non-functional latrines]]</f>
        <v>9</v>
      </c>
      <c r="DC117" s="634">
        <f>WWWW[[#This Row],[HRP2]]/WWWW[[#This Row],[Total PoP ]]</f>
        <v>0.98901098901098905</v>
      </c>
      <c r="DD11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1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7" s="425">
        <f>IF(WWWW[[#This Row],['# of functional latrines in THF supported by WASH partners during the reporting period2]]="",0,WWWW[[#This Row],['# of functional latrines in THF supported by WASH partners during the reporting period2]]*50)</f>
        <v>0</v>
      </c>
      <c r="DH117" s="761">
        <f>ROUND(IF(WWWW[[#This Row],[Location Type 1]]="camp",WWWW[[#This Row],[Total PoP ]]/20,IF(WWWW[[#This Row],[Location Type 1]]="Temporary Location",WWWW[[#This Row],[Total PoP ]]/50,(WWWW[[#This Row],[Total PoP ]]/6))),0)</f>
        <v>9</v>
      </c>
      <c r="DI117" s="761">
        <f>IF(WWWW[[#This Row],[Total required Latrines]]-(WWWW[[#This Row],['#_Constructed latrines_by_WASHAgencies]]+WWWW[[#This Row],['#_Non Cluster partner latrines]])&lt;0,0,WWWW[[#This Row],[Total required Latrines]]-(WWWW[[#This Row],['#_Constructed latrines_by_WASHAgencies]]+WWWW[[#This Row],['#_Non Cluster partner latrines]]))</f>
        <v>0</v>
      </c>
      <c r="DJ117" s="763">
        <f>1-WWWW[[#This Row],[% people access to functioning Latrine]]</f>
        <v>1.098901098901095E-2</v>
      </c>
      <c r="DK117" s="762">
        <f>IF(OR(WWWW[[#This Row],['#_Non-functional latrines]]="",WWWW[[#This Row],['#_Non-functional latrines]]=0),0,WWWW[[#This Row],['#_Non-functional latrines]]/(WWWW[[#This Row],['#_Constructed latrines_by_WASHAgencies]]+WWWW[[#This Row],['#_Non Cluster partner latrines]]))</f>
        <v>0</v>
      </c>
      <c r="DL117" s="758">
        <f>IF(500*(WWWW[[#This Row],['#_male hygiene promoters]]+WWWW[[#This Row],['#_female hygiene promoters]])&gt;WWWW[[#This Row],[Total PoP ]],WWWW[[#This Row],[Total PoP ]],500*(WWWW[[#This Row],['#_male hygiene promoters]]+WWWW[[#This Row],['#_female hygiene promoters]]))</f>
        <v>182</v>
      </c>
      <c r="DM11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1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17" s="761">
        <f>IF(WWWW[[#This Row],['# People with access to soap]]&gt;WWWW[[#This Row],['# People with access to Sanity Pads]],WWWW[[#This Row],['# People with access to soap]],WWWW[[#This Row],['# People with access to Sanity Pads]])</f>
        <v>50</v>
      </c>
      <c r="DP117" s="761">
        <f>IF(WWWW[[#This Row],['# people reached by regular dedicated hygiene promotion_5]]&gt;WWWW[[#This Row],['# People received regular supply of hygiene items_6]],WWWW[[#This Row],['# people reached by regular dedicated hygiene promotion_5]],WWWW[[#This Row],['# People received regular supply of hygiene items_6]])</f>
        <v>182</v>
      </c>
      <c r="DQ117" s="763">
        <f>IF(WWWW[[#This Row],[HRP3]]/WWWW[[#This Row],[Total PoP ]]&gt;1,1,WWWW[[#This Row],[HRP3]]/WWWW[[#This Row],[Total PoP ]])</f>
        <v>1</v>
      </c>
      <c r="DR117" s="762">
        <f>1-WWWW[[#This Row],[Hygiene Coverage%]]</f>
        <v>0</v>
      </c>
      <c r="DS117" s="760">
        <f>WWWW[[#This Row],['# people reached by regular dedicated hygiene promotion_5]]/WWWW[[#This Row],[Total PoP ]]</f>
        <v>1</v>
      </c>
      <c r="DT11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0.93023255813953487</v>
      </c>
      <c r="DU11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0.41860465116279072</v>
      </c>
      <c r="DV117" s="761">
        <f>WWWW[[#This Row],['#_Constructed/Existing hand washing stations]]-WWWW[[#This Row],['#_Non-Functional_hand_washing_stations]]</f>
        <v>3</v>
      </c>
      <c r="DW117" s="758">
        <f>IF(WWWW[[#This Row],['# Functional hand washing stations during reporting period]]*20&gt;WWWW[[#This Row],[Total HH]],WWWW[[#This Row],[Total HH]],WWWW[[#This Row],['# Functional hand washing stations during reporting period]]*20)</f>
        <v>43</v>
      </c>
      <c r="DX117" s="758">
        <f>IF(WWWW[[#This Row],[Is sufficient soap available for TLS? (Yes/No)]]="yes",WWWW[[#This Row],['#_Constructed/Existing hand washing stations at TLS/CFS/THF]],0)</f>
        <v>0</v>
      </c>
      <c r="DY117" s="429">
        <f>IF(WWWW[[#This Row],['# Functional hand washing stations during reporting period]]*100&gt;WWWW[[#This Row],[Total PoP ]],WWWW[[#This Row],[Total PoP ]],WWWW[[#This Row],['# Functional hand washing stations during reporting period]]*100)</f>
        <v>182</v>
      </c>
      <c r="DZ117" s="429" t="str">
        <f>IF(OR(WWWW[[#This Row],['#_students at TLS_CFS]]="",WWWW[[#This Row],['#_students at TLS_CFS]]=0),"No","Yes")</f>
        <v>No</v>
      </c>
      <c r="EA11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1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7" s="754" t="str">
        <f>VLOOKUP(WWWW[[#This Row],[Site Name]],SiteDB6[[Site Name]:[CCCM Management]],6,FALSE)</f>
        <v>Yes</v>
      </c>
      <c r="EF117" s="754" t="str">
        <f>VLOOKUP(WWWW[[#This Row],[Site Name]],SiteDB6[[Site Name]:[CCCM Focal Agency]],7,FALSE)</f>
        <v>KMSS-BMO</v>
      </c>
      <c r="EG117" s="754" t="str">
        <f>VLOOKUP(WWWW[[#This Row],[Site Name]],SiteDB6[[Site Name]:[Location Type 1]],9,FALSE)</f>
        <v>Camp</v>
      </c>
      <c r="EH117" s="754" t="str">
        <f>VLOOKUP(WWWW[[#This Row],[Site Name]],SiteDB6[[Site Name]:[Type of Accommodation]],10,FALSE)</f>
        <v>Camp</v>
      </c>
      <c r="EI117" s="754" t="str">
        <f>VLOOKUP(WWWW[[#This Row],[Site Name]],SiteDB6[[Site Name]:[Ethnic or GCA/NGCA]],11,FALSE)</f>
        <v>GCA</v>
      </c>
      <c r="EJ117" s="754">
        <f>VLOOKUP(WWWW[[#This Row],[Site Name]],SiteDB6[[Site Name]:[Lat]],12,FALSE)</f>
        <v>24.200367</v>
      </c>
      <c r="EK117" s="754">
        <f>VLOOKUP(WWWW[[#This Row],[Site Name]],SiteDB6[[Site Name]:[Long]],13,FALSE)</f>
        <v>96.807353000000006</v>
      </c>
      <c r="EL117" s="754" t="str">
        <f>VLOOKUP(WWWW[[#This Row],[Site Name]],SiteDB6[[Site Name]:[Pcode]],3,FALSE)</f>
        <v>MMR001CMP068</v>
      </c>
      <c r="EM117" s="759" t="str">
        <f t="shared" si="1"/>
        <v>Covered</v>
      </c>
      <c r="EN117" s="759"/>
      <c r="EO117" s="754">
        <f>VLOOKUP(WWWW[[#This Row],[Site Name]],SiteDB6[[Site Name]:[Pop
(Kachin/Shan-CCCM as of July 2021)]],16,FALSE)</f>
        <v>35</v>
      </c>
      <c r="EP117" s="754">
        <f>VLOOKUP(WWWW[[#This Row],[Site Name]],SiteDB6[[Site Name]:[Pop
(Kachin/Shan-CCCM as of July 2021)]],17,FALSE)</f>
        <v>170</v>
      </c>
    </row>
    <row r="118" spans="1:146" hidden="1">
      <c r="A118" s="752" t="s">
        <v>2785</v>
      </c>
      <c r="B118" s="752" t="s">
        <v>192</v>
      </c>
      <c r="C118" s="753" t="s">
        <v>192</v>
      </c>
      <c r="D118" s="753" t="s">
        <v>2701</v>
      </c>
      <c r="E118" s="753" t="s">
        <v>37</v>
      </c>
      <c r="F118" s="753" t="s">
        <v>142</v>
      </c>
      <c r="G118" s="594" t="str">
        <f>VLOOKUP(WWWW[[#This Row],[Site Name]],SiteDB6[[Site Name]:[Location Type]],8,FALSE)</f>
        <v>Camp</v>
      </c>
      <c r="H118" s="753" t="s">
        <v>224</v>
      </c>
      <c r="I118" s="755">
        <v>426.2</v>
      </c>
      <c r="J118" s="755">
        <v>2131</v>
      </c>
      <c r="K118" s="756" t="s">
        <v>2692</v>
      </c>
      <c r="L118" s="757" t="s">
        <v>2702</v>
      </c>
      <c r="M118" s="755"/>
      <c r="N118" s="755"/>
      <c r="O118" s="755"/>
      <c r="P118" s="755"/>
      <c r="Q118" s="758" t="s">
        <v>41</v>
      </c>
      <c r="R118" s="755">
        <v>3</v>
      </c>
      <c r="S118" s="755">
        <v>6</v>
      </c>
      <c r="T118" s="449"/>
      <c r="U118" s="755"/>
      <c r="V118" s="755"/>
      <c r="W118" s="755"/>
      <c r="X118" s="755"/>
      <c r="Y118" s="755"/>
      <c r="Z118" s="755"/>
      <c r="AA118" s="755">
        <v>1</v>
      </c>
      <c r="AB118" s="755"/>
      <c r="AC118" s="755"/>
      <c r="AD118" s="755"/>
      <c r="AE118" s="755"/>
      <c r="AF118" s="755">
        <v>149170</v>
      </c>
      <c r="AG118" s="755"/>
      <c r="AH118" s="755"/>
      <c r="AI118" s="755"/>
      <c r="AJ118" s="755"/>
      <c r="AK118" s="755"/>
      <c r="AL118" s="755"/>
      <c r="AM118" s="755">
        <v>14</v>
      </c>
      <c r="AN118" s="755">
        <v>2</v>
      </c>
      <c r="AO118" s="755"/>
      <c r="AP118" s="759"/>
      <c r="AQ118" s="755">
        <v>89</v>
      </c>
      <c r="AR118" s="755"/>
      <c r="AS118" s="760"/>
      <c r="AT118" s="755"/>
      <c r="AU118" s="755"/>
      <c r="AV118" s="755"/>
      <c r="AW118" s="755"/>
      <c r="AX118" s="755"/>
      <c r="AY118" s="754" t="s">
        <v>41</v>
      </c>
      <c r="AZ118" s="759" t="s">
        <v>137</v>
      </c>
      <c r="BA118" s="755"/>
      <c r="BB118" s="755"/>
      <c r="BC118" s="755"/>
      <c r="BD118" s="449"/>
      <c r="BE118" s="449"/>
      <c r="BF118" s="754" t="s">
        <v>2704</v>
      </c>
      <c r="BG118" s="755">
        <v>3</v>
      </c>
      <c r="BH118" s="755"/>
      <c r="BI118" s="755"/>
      <c r="BJ118" s="755">
        <v>2</v>
      </c>
      <c r="BK118" s="755"/>
      <c r="BL118" s="755"/>
      <c r="BM118" s="755"/>
      <c r="BN118" s="755">
        <v>88</v>
      </c>
      <c r="BO118" s="755">
        <v>100</v>
      </c>
      <c r="BP118" s="754" t="s">
        <v>41</v>
      </c>
      <c r="BQ118" s="761"/>
      <c r="BR118" s="760"/>
      <c r="BS118" s="754"/>
      <c r="BT118" s="424"/>
      <c r="BU118" s="424"/>
      <c r="BV118" s="426"/>
      <c r="BW118" s="424"/>
      <c r="BX118" s="449"/>
      <c r="BY118" s="449"/>
      <c r="BZ118" s="449"/>
      <c r="CA118" s="449"/>
      <c r="CB118" s="449"/>
      <c r="CC118" s="807"/>
      <c r="CD118" s="449"/>
      <c r="CE118" s="762" t="str">
        <f>IFERROR(WWWW[[#This Row],['#_Water sources passed]]/WWWW[[#This Row],['#_Water sources tested for fecal coliform ]],"no test")</f>
        <v>no test</v>
      </c>
      <c r="CF118" s="760" t="str">
        <f>IFERROR(WWWW[[#This Row],['#_Household passed]]/WWWW[[#This Row],['#_Household water samples tested for fecal coliform]],"no test")</f>
        <v>no test</v>
      </c>
      <c r="CG118" s="761" t="str">
        <f>IF(AND(WWWW[[#This Row],[% of water sources passed]]="no test",WWWW[[#This Row],[% Household passed]]="no test"),"No Test","Tested")</f>
        <v>No Test</v>
      </c>
      <c r="CH118" s="761">
        <f>WWWW[[#This Row],['#_Constructed/existing protected hand dug well]]-WWWW[[#This Row],['#_Non-functional protected hand dug well]]</f>
        <v>0</v>
      </c>
      <c r="CI118" s="761">
        <f>(WWWW[[#This Row],['#_Constructed/Existing tube wells/boreholes/handpumps_WASH_agency]]+WWWW[[#This Row],['#_Non-Cluster partner water tube-wells/boreholes/handpumps]])-WWWW[[#This Row],['#_Non-functional tube wells/boreholes/handpumps]]</f>
        <v>0</v>
      </c>
      <c r="CJ118" s="761">
        <f>WWWW[[#This Row],['#_Constructed/Existingwater storage tank with gravity fed reticulation system]]-WWWW[[#This Row],['#_Non-functional storage tank gravity fed reticulation system]]</f>
        <v>1</v>
      </c>
      <c r="CK118" s="761">
        <f>(WWWW[[#This Row],['#_Water_Liters_supplied_by_Water boating or water trucking]]/90)/15</f>
        <v>0</v>
      </c>
      <c r="CL118" s="761">
        <f>WWWW[[#This Row],['#_Water_Liters_from_Constructed/Existing water distribution system from river or natural spring]]/90/15</f>
        <v>110.49629629629629</v>
      </c>
      <c r="CM118" s="425">
        <f>IF(WWWW[[#This Row],['#_of water points in TLS/CFS]]*500&gt;WWWW[[#This Row],[Total PoP ]],WWWW[[#This Row],[Total PoP ]],WWWW[[#This Row],['#_of water points in TLS/CFS]]*500)</f>
        <v>1000</v>
      </c>
      <c r="CN118" s="425">
        <f>IF(WWWW[[#This Row],['#_of water points in THF]]*500&gt;WWWW[[#This Row],[Total PoP ]],WWWW[[#This Row],[Total PoP ]],WWWW[[#This Row],['#_of water points in THF]]*500)</f>
        <v>0</v>
      </c>
      <c r="CO11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8.3136068964318618E-2</v>
      </c>
      <c r="CP11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8.3136068964318618E-2</v>
      </c>
      <c r="CQ118" s="760">
        <f>IF(WWWW[[#This Row],[Location Type 1]]="Village",WWWW[[#This Row],[Access to safe drinking water for Village]],WWWW[[#This Row],[Access to safe drinking water for Camp]])</f>
        <v>8.3136068964318618E-2</v>
      </c>
      <c r="CR118" s="758">
        <f>WWWW[[#This Row],[%Equitable and continuous access to sufficient quantity of safe drinking water]]*WWWW[[#This Row],[Total PoP ]]</f>
        <v>177.16296296296298</v>
      </c>
      <c r="CS118" s="760">
        <f>IF((WWWW[[#This Row],['#_Constructed/Existing protected/fenced ponds]]*250)/WWWW[[#This Row],[Total PoP ]]&gt;1,1,(WWWW[[#This Row],['#_Constructed/Existing protected/fenced ponds]]*250)/WWWW[[#This Row],[Total PoP ]])</f>
        <v>0</v>
      </c>
      <c r="CT118" s="758">
        <f>WWWW[[#This Row],[% Access to unimproved water points]]*WWWW[[#This Row],[Total PoP ]]</f>
        <v>0</v>
      </c>
      <c r="CU11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8.3136068964318618E-2</v>
      </c>
      <c r="CV11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177.16296296296298</v>
      </c>
      <c r="CW118" s="758">
        <f>WWWW[[#This Row],[HRP1]]/500</f>
        <v>0.35432592592592593</v>
      </c>
      <c r="CX118" s="763">
        <f>1-WWWW[[#This Row],[% Equitable and continuous access to sufficient quantity of domestic water]]</f>
        <v>0.91686393103568142</v>
      </c>
      <c r="CY118" s="758">
        <f>WWWW[[#This Row],[%equitable and continuous access to sufficient quantity of safe drinking and domestic water''s GAP]]*WWWW[[#This Row],[Total PoP ]]</f>
        <v>1953.8370370370371</v>
      </c>
      <c r="CZ118" s="761">
        <f>IF(WWWW[[#This Row],[Total required water points]]-WWWW[[#This Row],['#Water points coverage]]&lt;0,0,WWWW[[#This Row],[Total required water points]]-WWWW[[#This Row],['#Water points coverage]])</f>
        <v>3.6456740740740741</v>
      </c>
      <c r="DA118" s="761">
        <f>ROUND(IF(WWWW[[#This Row],[Total PoP ]]&lt;500,1,WWWW[[#This Row],[Total PoP ]]/500),0)</f>
        <v>4</v>
      </c>
      <c r="DB118" s="761">
        <f>(WWWW[[#This Row],['#_Constructed latrines_by_WASHAgencies]]+WWWW[[#This Row],['#_Non Cluster partner latrines]])-WWWW[[#This Row],['#_Non-functional latrines]]</f>
        <v>89</v>
      </c>
      <c r="DC118" s="634">
        <f>WWWW[[#This Row],[HRP2]]/WWWW[[#This Row],[Total PoP ]]</f>
        <v>0.8352885969028625</v>
      </c>
      <c r="DD11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11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8" s="425">
        <f>IF(WWWW[[#This Row],['# of functional latrines in THF supported by WASH partners during the reporting period2]]="",0,WWWW[[#This Row],['# of functional latrines in THF supported by WASH partners during the reporting period2]]*50)</f>
        <v>0</v>
      </c>
      <c r="DH118" s="761">
        <f>ROUND(IF(WWWW[[#This Row],[Location Type 1]]="camp",WWWW[[#This Row],[Total PoP ]]/20,IF(WWWW[[#This Row],[Location Type 1]]="Temporary Location",WWWW[[#This Row],[Total PoP ]]/50,(WWWW[[#This Row],[Total PoP ]]/6))),0)</f>
        <v>107</v>
      </c>
      <c r="DI118" s="761">
        <f>IF(WWWW[[#This Row],[Total required Latrines]]-(WWWW[[#This Row],['#_Constructed latrines_by_WASHAgencies]]+WWWW[[#This Row],['#_Non Cluster partner latrines]])&lt;0,0,WWWW[[#This Row],[Total required Latrines]]-(WWWW[[#This Row],['#_Constructed latrines_by_WASHAgencies]]+WWWW[[#This Row],['#_Non Cluster partner latrines]]))</f>
        <v>18</v>
      </c>
      <c r="DJ118" s="763">
        <f>1-WWWW[[#This Row],[% people access to functioning Latrine]]</f>
        <v>0.1647114030971375</v>
      </c>
      <c r="DK118" s="762">
        <f>IF(OR(WWWW[[#This Row],['#_Non-functional latrines]]="",WWWW[[#This Row],['#_Non-functional latrines]]=0),0,WWWW[[#This Row],['#_Non-functional latrines]]/(WWWW[[#This Row],['#_Constructed latrines_by_WASHAgencies]]+WWWW[[#This Row],['#_Non Cluster partner latrines]]))</f>
        <v>0</v>
      </c>
      <c r="DL118" s="758">
        <f>IF(500*(WWWW[[#This Row],['#_male hygiene promoters]]+WWWW[[#This Row],['#_female hygiene promoters]])&gt;WWWW[[#This Row],[Total PoP ]],WWWW[[#This Row],[Total PoP ]],500*(WWWW[[#This Row],['#_male hygiene promoters]]+WWWW[[#This Row],['#_female hygiene promoters]]))</f>
        <v>0</v>
      </c>
      <c r="DM11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440</v>
      </c>
      <c r="DN11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18" s="761">
        <f>IF(WWWW[[#This Row],['# People with access to soap]]&gt;WWWW[[#This Row],['# People with access to Sanity Pads]],WWWW[[#This Row],['# People with access to soap]],WWWW[[#This Row],['# People with access to Sanity Pads]])</f>
        <v>440</v>
      </c>
      <c r="DP118" s="761">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118" s="763">
        <f>IF(WWWW[[#This Row],[HRP3]]/WWWW[[#This Row],[Total PoP ]]&gt;1,1,WWWW[[#This Row],[HRP3]]/WWWW[[#This Row],[Total PoP ]])</f>
        <v>0.20647583294228061</v>
      </c>
      <c r="DR118" s="762">
        <f>1-WWWW[[#This Row],[Hygiene Coverage%]]</f>
        <v>0.79352416705771933</v>
      </c>
      <c r="DS118" s="760">
        <f>WWWW[[#This Row],['# people reached by regular dedicated hygiene promotion_5]]/WWWW[[#This Row],[Total PoP ]]</f>
        <v>0</v>
      </c>
      <c r="DT11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0.20647583294228061</v>
      </c>
      <c r="DU11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0.23463162834350071</v>
      </c>
      <c r="DV118" s="761">
        <f>WWWW[[#This Row],['#_Constructed/Existing hand washing stations]]-WWWW[[#This Row],['#_Non-Functional_hand_washing_stations]]</f>
        <v>3</v>
      </c>
      <c r="DW118" s="758">
        <f>IF(WWWW[[#This Row],['# Functional hand washing stations during reporting period]]*20&gt;WWWW[[#This Row],[Total HH]],WWWW[[#This Row],[Total HH]],WWWW[[#This Row],['# Functional hand washing stations during reporting period]]*20)</f>
        <v>60</v>
      </c>
      <c r="DX118" s="758">
        <f>IF(WWWW[[#This Row],[Is sufficient soap available for TLS? (Yes/No)]]="yes",WWWW[[#This Row],['#_Constructed/Existing hand washing stations at TLS/CFS/THF]],0)</f>
        <v>14</v>
      </c>
      <c r="DY118" s="429">
        <f>IF(WWWW[[#This Row],['# Functional hand washing stations during reporting period]]*100&gt;WWWW[[#This Row],[Total PoP ]],WWWW[[#This Row],[Total PoP ]],WWWW[[#This Row],['# Functional hand washing stations during reporting period]]*100)</f>
        <v>300</v>
      </c>
      <c r="DZ118" s="429" t="str">
        <f>IF(OR(WWWW[[#This Row],['#_students at TLS_CFS]]="",WWWW[[#This Row],['#_students at TLS_CFS]]=0),"No","Yes")</f>
        <v>No</v>
      </c>
      <c r="EA11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11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8" s="754">
        <f>VLOOKUP(WWWW[[#This Row],[Site Name]],SiteDB6[[Site Name]:[CCCM Management]],6,FALSE)</f>
        <v>0</v>
      </c>
      <c r="EF118" s="754" t="str">
        <f>VLOOKUP(WWWW[[#This Row],[Site Name]],SiteDB6[[Site Name]:[CCCM Focal Agency]],7,FALSE)</f>
        <v>uncovered</v>
      </c>
      <c r="EG118" s="754" t="str">
        <f>VLOOKUP(WWWW[[#This Row],[Site Name]],SiteDB6[[Site Name]:[Location Type 1]],9,FALSE)</f>
        <v>Camp</v>
      </c>
      <c r="EH118" s="754" t="str">
        <f>VLOOKUP(WWWW[[#This Row],[Site Name]],SiteDB6[[Site Name]:[Type of Accommodation]],10,FALSE)</f>
        <v>Boarding School</v>
      </c>
      <c r="EI118" s="754" t="str">
        <f>VLOOKUP(WWWW[[#This Row],[Site Name]],SiteDB6[[Site Name]:[Ethnic or GCA/NGCA]],11,FALSE)</f>
        <v>NGCA</v>
      </c>
      <c r="EJ118" s="754">
        <f>VLOOKUP(WWWW[[#This Row],[Site Name]],SiteDB6[[Site Name]:[Lat]],12,FALSE)</f>
        <v>24.752471</v>
      </c>
      <c r="EK118" s="754">
        <f>VLOOKUP(WWWW[[#This Row],[Site Name]],SiteDB6[[Site Name]:[Long]],13,FALSE)</f>
        <v>97.541793999999996</v>
      </c>
      <c r="EL118" s="754" t="str">
        <f>VLOOKUP(WWWW[[#This Row],[Site Name]],SiteDB6[[Site Name]:[Pcode]],3,FALSE)</f>
        <v>MMR001CMP208</v>
      </c>
      <c r="EM118" s="759" t="str">
        <f t="shared" si="1"/>
        <v>Covered</v>
      </c>
      <c r="EN118" s="759"/>
      <c r="EO118" s="754">
        <f>VLOOKUP(WWWW[[#This Row],[Site Name]],SiteDB6[[Site Name]:[Pop
(Kachin/Shan-CCCM as of July 2021)]],16,FALSE)</f>
        <v>0</v>
      </c>
      <c r="EP118" s="754">
        <f>VLOOKUP(WWWW[[#This Row],[Site Name]],SiteDB6[[Site Name]:[Pop
(Kachin/Shan-CCCM as of July 2021)]],17,FALSE)</f>
        <v>366</v>
      </c>
    </row>
    <row r="119" spans="1:146" hidden="1">
      <c r="A119" s="752" t="s">
        <v>2785</v>
      </c>
      <c r="B119" s="752" t="s">
        <v>192</v>
      </c>
      <c r="C119" s="753" t="s">
        <v>192</v>
      </c>
      <c r="D119" s="753" t="s">
        <v>2701</v>
      </c>
      <c r="E119" s="753" t="s">
        <v>37</v>
      </c>
      <c r="F119" s="753" t="s">
        <v>142</v>
      </c>
      <c r="G119" s="594" t="str">
        <f>VLOOKUP(WWWW[[#This Row],[Site Name]],SiteDB6[[Site Name]:[Location Type]],8,FALSE)</f>
        <v>Camp</v>
      </c>
      <c r="H119" s="753" t="s">
        <v>221</v>
      </c>
      <c r="I119" s="755">
        <v>1294</v>
      </c>
      <c r="J119" s="755">
        <v>6861</v>
      </c>
      <c r="K119" s="756" t="s">
        <v>2692</v>
      </c>
      <c r="L119" s="757" t="s">
        <v>2702</v>
      </c>
      <c r="M119" s="755"/>
      <c r="N119" s="755"/>
      <c r="O119" s="755">
        <v>3</v>
      </c>
      <c r="P119" s="755"/>
      <c r="Q119" s="758" t="s">
        <v>41</v>
      </c>
      <c r="R119" s="755">
        <v>3</v>
      </c>
      <c r="S119" s="755">
        <v>3</v>
      </c>
      <c r="T119" s="449"/>
      <c r="U119" s="755"/>
      <c r="V119" s="755"/>
      <c r="W119" s="755"/>
      <c r="X119" s="755"/>
      <c r="Y119" s="755"/>
      <c r="Z119" s="755"/>
      <c r="AA119" s="755">
        <v>1</v>
      </c>
      <c r="AB119" s="755"/>
      <c r="AC119" s="755"/>
      <c r="AD119" s="755"/>
      <c r="AE119" s="755"/>
      <c r="AF119" s="755">
        <v>480270</v>
      </c>
      <c r="AG119" s="755"/>
      <c r="AH119" s="755"/>
      <c r="AI119" s="755"/>
      <c r="AJ119" s="755"/>
      <c r="AK119" s="755"/>
      <c r="AL119" s="755"/>
      <c r="AM119" s="755">
        <v>12</v>
      </c>
      <c r="AN119" s="755">
        <v>3</v>
      </c>
      <c r="AO119" s="755"/>
      <c r="AP119" s="759"/>
      <c r="AQ119" s="755">
        <v>242</v>
      </c>
      <c r="AR119" s="755"/>
      <c r="AS119" s="760"/>
      <c r="AT119" s="755"/>
      <c r="AU119" s="755"/>
      <c r="AV119" s="755"/>
      <c r="AW119" s="755"/>
      <c r="AX119" s="755"/>
      <c r="AY119" s="754" t="s">
        <v>41</v>
      </c>
      <c r="AZ119" s="759" t="s">
        <v>137</v>
      </c>
      <c r="BA119" s="755">
        <v>4</v>
      </c>
      <c r="BB119" s="755">
        <v>2</v>
      </c>
      <c r="BC119" s="755"/>
      <c r="BD119" s="449"/>
      <c r="BE119" s="449"/>
      <c r="BF119" s="754" t="s">
        <v>2704</v>
      </c>
      <c r="BG119" s="755">
        <v>1</v>
      </c>
      <c r="BH119" s="755"/>
      <c r="BI119" s="755"/>
      <c r="BJ119" s="755">
        <v>1</v>
      </c>
      <c r="BK119" s="755"/>
      <c r="BL119" s="755"/>
      <c r="BM119" s="755">
        <v>3</v>
      </c>
      <c r="BN119" s="755">
        <v>6</v>
      </c>
      <c r="BO119" s="755">
        <v>5</v>
      </c>
      <c r="BP119" s="754" t="s">
        <v>41</v>
      </c>
      <c r="BQ119" s="761"/>
      <c r="BR119" s="760"/>
      <c r="BS119" s="754"/>
      <c r="BT119" s="424"/>
      <c r="BU119" s="424"/>
      <c r="BV119" s="426"/>
      <c r="BW119" s="424"/>
      <c r="BX119" s="449"/>
      <c r="BY119" s="449"/>
      <c r="BZ119" s="449"/>
      <c r="CA119" s="449"/>
      <c r="CB119" s="449"/>
      <c r="CC119" s="807"/>
      <c r="CD119" s="449"/>
      <c r="CE119" s="762" t="str">
        <f>IFERROR(WWWW[[#This Row],['#_Water sources passed]]/WWWW[[#This Row],['#_Water sources tested for fecal coliform ]],"no test")</f>
        <v>no test</v>
      </c>
      <c r="CF119" s="760" t="str">
        <f>IFERROR(WWWW[[#This Row],['#_Household passed]]/WWWW[[#This Row],['#_Household water samples tested for fecal coliform]],"no test")</f>
        <v>no test</v>
      </c>
      <c r="CG119" s="761" t="str">
        <f>IF(AND(WWWW[[#This Row],[% of water sources passed]]="no test",WWWW[[#This Row],[% Household passed]]="no test"),"No Test","Tested")</f>
        <v>No Test</v>
      </c>
      <c r="CH119" s="761">
        <f>WWWW[[#This Row],['#_Constructed/existing protected hand dug well]]-WWWW[[#This Row],['#_Non-functional protected hand dug well]]</f>
        <v>0</v>
      </c>
      <c r="CI119" s="761">
        <f>(WWWW[[#This Row],['#_Constructed/Existing tube wells/boreholes/handpumps_WASH_agency]]+WWWW[[#This Row],['#_Non-Cluster partner water tube-wells/boreholes/handpumps]])-WWWW[[#This Row],['#_Non-functional tube wells/boreholes/handpumps]]</f>
        <v>0</v>
      </c>
      <c r="CJ119" s="761">
        <f>WWWW[[#This Row],['#_Constructed/Existingwater storage tank with gravity fed reticulation system]]-WWWW[[#This Row],['#_Non-functional storage tank gravity fed reticulation system]]</f>
        <v>1</v>
      </c>
      <c r="CK119" s="761">
        <f>(WWWW[[#This Row],['#_Water_Liters_supplied_by_Water boating or water trucking]]/90)/15</f>
        <v>0</v>
      </c>
      <c r="CL119" s="761">
        <f>WWWW[[#This Row],['#_Water_Liters_from_Constructed/Existing water distribution system from river or natural spring]]/90/15</f>
        <v>355.75555555555553</v>
      </c>
      <c r="CM119" s="425">
        <f>IF(WWWW[[#This Row],['#_of water points in TLS/CFS]]*500&gt;WWWW[[#This Row],[Total PoP ]],WWWW[[#This Row],[Total PoP ]],WWWW[[#This Row],['#_of water points in TLS/CFS]]*500)</f>
        <v>1500</v>
      </c>
      <c r="CN119" s="425">
        <f>IF(WWWW[[#This Row],['#_of water points in THF]]*500&gt;WWWW[[#This Row],[Total PoP ]],WWWW[[#This Row],[Total PoP ]],WWWW[[#This Row],['#_of water points in THF]]*500)</f>
        <v>0</v>
      </c>
      <c r="CO11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6.1568608398516578E-2</v>
      </c>
      <c r="CP11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6.1568608398516578E-2</v>
      </c>
      <c r="CQ119" s="760">
        <f>IF(WWWW[[#This Row],[Location Type 1]]="Village",WWWW[[#This Row],[Access to safe drinking water for Village]],WWWW[[#This Row],[Access to safe drinking water for Camp]])</f>
        <v>6.1568608398516578E-2</v>
      </c>
      <c r="CR119" s="758">
        <f>WWWW[[#This Row],[%Equitable and continuous access to sufficient quantity of safe drinking water]]*WWWW[[#This Row],[Total PoP ]]</f>
        <v>422.42222222222222</v>
      </c>
      <c r="CS119" s="760">
        <f>IF((WWWW[[#This Row],['#_Constructed/Existing protected/fenced ponds]]*250)/WWWW[[#This Row],[Total PoP ]]&gt;1,1,(WWWW[[#This Row],['#_Constructed/Existing protected/fenced ponds]]*250)/WWWW[[#This Row],[Total PoP ]])</f>
        <v>0</v>
      </c>
      <c r="CT119" s="758">
        <f>WWWW[[#This Row],[% Access to unimproved water points]]*WWWW[[#This Row],[Total PoP ]]</f>
        <v>0</v>
      </c>
      <c r="CU11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6.1568608398516578E-2</v>
      </c>
      <c r="CV11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422.42222222222222</v>
      </c>
      <c r="CW119" s="758">
        <f>WWWW[[#This Row],[HRP1]]/500</f>
        <v>0.8448444444444444</v>
      </c>
      <c r="CX119" s="763">
        <f>1-WWWW[[#This Row],[% Equitable and continuous access to sufficient quantity of domestic water]]</f>
        <v>0.93843139160148348</v>
      </c>
      <c r="CY119" s="758">
        <f>WWWW[[#This Row],[%equitable and continuous access to sufficient quantity of safe drinking and domestic water''s GAP]]*WWWW[[#This Row],[Total PoP ]]</f>
        <v>6438.5777777777785</v>
      </c>
      <c r="CZ119" s="761">
        <f>IF(WWWW[[#This Row],[Total required water points]]-WWWW[[#This Row],['#Water points coverage]]&lt;0,0,WWWW[[#This Row],[Total required water points]]-WWWW[[#This Row],['#Water points coverage]])</f>
        <v>13.155155555555556</v>
      </c>
      <c r="DA119" s="761">
        <f>ROUND(IF(WWWW[[#This Row],[Total PoP ]]&lt;500,1,WWWW[[#This Row],[Total PoP ]]/500),0)</f>
        <v>14</v>
      </c>
      <c r="DB119" s="761">
        <f>(WWWW[[#This Row],['#_Constructed latrines_by_WASHAgencies]]+WWWW[[#This Row],['#_Non Cluster partner latrines]])-WWWW[[#This Row],['#_Non-functional latrines]]</f>
        <v>242</v>
      </c>
      <c r="DC119" s="634">
        <f>WWWW[[#This Row],[HRP2]]/WWWW[[#This Row],[Total PoP ]]</f>
        <v>0.71709663314385663</v>
      </c>
      <c r="DD11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11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1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19" s="425">
        <f>IF(WWWW[[#This Row],['# of functional latrines in THF supported by WASH partners during the reporting period2]]="",0,WWWW[[#This Row],['# of functional latrines in THF supported by WASH partners during the reporting period2]]*50)</f>
        <v>0</v>
      </c>
      <c r="DH119" s="761">
        <f>ROUND(IF(WWWW[[#This Row],[Location Type 1]]="camp",WWWW[[#This Row],[Total PoP ]]/20,IF(WWWW[[#This Row],[Location Type 1]]="Temporary Location",WWWW[[#This Row],[Total PoP ]]/50,(WWWW[[#This Row],[Total PoP ]]/6))),0)</f>
        <v>343</v>
      </c>
      <c r="DI119" s="761">
        <f>IF(WWWW[[#This Row],[Total required Latrines]]-(WWWW[[#This Row],['#_Constructed latrines_by_WASHAgencies]]+WWWW[[#This Row],['#_Non Cluster partner latrines]])&lt;0,0,WWWW[[#This Row],[Total required Latrines]]-(WWWW[[#This Row],['#_Constructed latrines_by_WASHAgencies]]+WWWW[[#This Row],['#_Non Cluster partner latrines]]))</f>
        <v>101</v>
      </c>
      <c r="DJ119" s="763">
        <f>1-WWWW[[#This Row],[% people access to functioning Latrine]]</f>
        <v>0.28290336685614337</v>
      </c>
      <c r="DK119" s="762">
        <f>IF(OR(WWWW[[#This Row],['#_Non-functional latrines]]="",WWWW[[#This Row],['#_Non-functional latrines]]=0),0,WWWW[[#This Row],['#_Non-functional latrines]]/(WWWW[[#This Row],['#_Constructed latrines_by_WASHAgencies]]+WWWW[[#This Row],['#_Non Cluster partner latrines]]))</f>
        <v>0</v>
      </c>
      <c r="DL119" s="758">
        <f>IF(500*(WWWW[[#This Row],['#_male hygiene promoters]]+WWWW[[#This Row],['#_female hygiene promoters]])&gt;WWWW[[#This Row],[Total PoP ]],WWWW[[#This Row],[Total PoP ]],500*(WWWW[[#This Row],['#_male hygiene promoters]]+WWWW[[#This Row],['#_female hygiene promoters]]))</f>
        <v>1500</v>
      </c>
      <c r="DM11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1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19" s="761">
        <f>IF(WWWW[[#This Row],['# People with access to soap]]&gt;WWWW[[#This Row],['# People with access to Sanity Pads]],WWWW[[#This Row],['# People with access to soap]],WWWW[[#This Row],['# People with access to Sanity Pads]])</f>
        <v>30</v>
      </c>
      <c r="DP119" s="761">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119" s="763">
        <f>IF(WWWW[[#This Row],[HRP3]]/WWWW[[#This Row],[Total PoP ]]&gt;1,1,WWWW[[#This Row],[HRP3]]/WWWW[[#This Row],[Total PoP ]])</f>
        <v>0.21862702229995629</v>
      </c>
      <c r="DR119" s="762">
        <f>1-WWWW[[#This Row],[Hygiene Coverage%]]</f>
        <v>0.78137297770004377</v>
      </c>
      <c r="DS119" s="760">
        <f>WWWW[[#This Row],['# people reached by regular dedicated hygiene promotion_5]]/WWWW[[#This Row],[Total PoP ]]</f>
        <v>0.21862702229995629</v>
      </c>
      <c r="DT11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4.6367851622874804E-3</v>
      </c>
      <c r="DU11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3.8639876352395673E-3</v>
      </c>
      <c r="DV119" s="761">
        <f>WWWW[[#This Row],['#_Constructed/Existing hand washing stations]]-WWWW[[#This Row],['#_Non-Functional_hand_washing_stations]]</f>
        <v>1</v>
      </c>
      <c r="DW119" s="758">
        <f>IF(WWWW[[#This Row],['# Functional hand washing stations during reporting period]]*20&gt;WWWW[[#This Row],[Total HH]],WWWW[[#This Row],[Total HH]],WWWW[[#This Row],['# Functional hand washing stations during reporting period]]*20)</f>
        <v>20</v>
      </c>
      <c r="DX119" s="758">
        <f>IF(WWWW[[#This Row],[Is sufficient soap available for TLS? (Yes/No)]]="yes",WWWW[[#This Row],['#_Constructed/Existing hand washing stations at TLS/CFS/THF]],0)</f>
        <v>12</v>
      </c>
      <c r="DY119" s="429">
        <f>IF(WWWW[[#This Row],['# Functional hand washing stations during reporting period]]*100&gt;WWWW[[#This Row],[Total PoP ]],WWWW[[#This Row],[Total PoP ]],WWWW[[#This Row],['# Functional hand washing stations during reporting period]]*100)</f>
        <v>100</v>
      </c>
      <c r="DZ119" s="429" t="str">
        <f>IF(OR(WWWW[[#This Row],['#_students at TLS_CFS]]="",WWWW[[#This Row],['#_students at TLS_CFS]]=0),"No","Yes")</f>
        <v>No</v>
      </c>
      <c r="EA11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1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1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11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19" s="754" t="str">
        <f>VLOOKUP(WWWW[[#This Row],[Site Name]],SiteDB6[[Site Name]:[CCCM Management]],6,FALSE)</f>
        <v>Yes</v>
      </c>
      <c r="EF119" s="754" t="str">
        <f>VLOOKUP(WWWW[[#This Row],[Site Name]],SiteDB6[[Site Name]:[CCCM Focal Agency]],7,FALSE)</f>
        <v>KMSS-MYT</v>
      </c>
      <c r="EG119" s="754" t="str">
        <f>VLOOKUP(WWWW[[#This Row],[Site Name]],SiteDB6[[Site Name]:[Location Type 1]],9,FALSE)</f>
        <v>Camp</v>
      </c>
      <c r="EH119" s="754" t="str">
        <f>VLOOKUP(WWWW[[#This Row],[Site Name]],SiteDB6[[Site Name]:[Type of Accommodation]],10,FALSE)</f>
        <v>Camp</v>
      </c>
      <c r="EI119" s="754" t="str">
        <f>VLOOKUP(WWWW[[#This Row],[Site Name]],SiteDB6[[Site Name]:[Ethnic or GCA/NGCA]],11,FALSE)</f>
        <v>NGCA</v>
      </c>
      <c r="EJ119" s="754">
        <f>VLOOKUP(WWWW[[#This Row],[Site Name]],SiteDB6[[Site Name]:[Lat]],12,FALSE)</f>
        <v>24.755253</v>
      </c>
      <c r="EK119" s="754">
        <f>VLOOKUP(WWWW[[#This Row],[Site Name]],SiteDB6[[Site Name]:[Long]],13,FALSE)</f>
        <v>97.546893999999995</v>
      </c>
      <c r="EL119" s="754" t="str">
        <f>VLOOKUP(WWWW[[#This Row],[Site Name]],SiteDB6[[Site Name]:[Pcode]],3,FALSE)</f>
        <v>MMR001CMP116</v>
      </c>
      <c r="EM119" s="759" t="str">
        <f t="shared" si="1"/>
        <v>Covered</v>
      </c>
      <c r="EN119" s="759"/>
      <c r="EO119" s="754">
        <f>VLOOKUP(WWWW[[#This Row],[Site Name]],SiteDB6[[Site Name]:[Pop
(Kachin/Shan-CCCM as of July 2021)]],16,FALSE)</f>
        <v>1333</v>
      </c>
      <c r="EP119" s="754">
        <f>VLOOKUP(WWWW[[#This Row],[Site Name]],SiteDB6[[Site Name]:[Pop
(Kachin/Shan-CCCM as of July 2021)]],17,FALSE)</f>
        <v>7163</v>
      </c>
    </row>
    <row r="120" spans="1:146" hidden="1">
      <c r="A120" s="752" t="s">
        <v>2785</v>
      </c>
      <c r="B120" s="752" t="s">
        <v>192</v>
      </c>
      <c r="C120" s="753" t="s">
        <v>192</v>
      </c>
      <c r="D120" s="753" t="s">
        <v>2701</v>
      </c>
      <c r="E120" s="753" t="s">
        <v>37</v>
      </c>
      <c r="F120" s="753" t="s">
        <v>142</v>
      </c>
      <c r="G120" s="594" t="str">
        <f>VLOOKUP(WWWW[[#This Row],[Site Name]],SiteDB6[[Site Name]:[Location Type]],8,FALSE)</f>
        <v>Camp_not registered</v>
      </c>
      <c r="H120" s="753" t="s">
        <v>223</v>
      </c>
      <c r="I120" s="755">
        <v>134</v>
      </c>
      <c r="J120" s="755">
        <v>709</v>
      </c>
      <c r="K120" s="756" t="s">
        <v>2692</v>
      </c>
      <c r="L120" s="757" t="s">
        <v>2702</v>
      </c>
      <c r="M120" s="755"/>
      <c r="N120" s="755"/>
      <c r="O120" s="755"/>
      <c r="P120" s="755"/>
      <c r="Q120" s="758"/>
      <c r="R120" s="755"/>
      <c r="S120" s="755"/>
      <c r="T120" s="449"/>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9"/>
      <c r="AQ120" s="755"/>
      <c r="AR120" s="755"/>
      <c r="AS120" s="760"/>
      <c r="AT120" s="755"/>
      <c r="AU120" s="755"/>
      <c r="AV120" s="755"/>
      <c r="AW120" s="755"/>
      <c r="AX120" s="755"/>
      <c r="AY120" s="754" t="s">
        <v>41</v>
      </c>
      <c r="AZ120" s="759" t="s">
        <v>904</v>
      </c>
      <c r="BA120" s="755"/>
      <c r="BB120" s="755"/>
      <c r="BC120" s="755"/>
      <c r="BD120" s="449"/>
      <c r="BE120" s="449"/>
      <c r="BF120" s="754"/>
      <c r="BG120" s="755">
        <v>8</v>
      </c>
      <c r="BH120" s="755"/>
      <c r="BI120" s="755"/>
      <c r="BJ120" s="755">
        <v>3</v>
      </c>
      <c r="BK120" s="755"/>
      <c r="BL120" s="755"/>
      <c r="BM120" s="755"/>
      <c r="BN120" s="755">
        <v>91</v>
      </c>
      <c r="BO120" s="755">
        <v>124</v>
      </c>
      <c r="BP120" s="754"/>
      <c r="BQ120" s="761"/>
      <c r="BR120" s="760"/>
      <c r="BS120" s="754"/>
      <c r="BT120" s="424"/>
      <c r="BU120" s="424"/>
      <c r="BV120" s="426"/>
      <c r="BW120" s="424"/>
      <c r="BX120" s="449"/>
      <c r="BY120" s="449"/>
      <c r="BZ120" s="449"/>
      <c r="CA120" s="449"/>
      <c r="CB120" s="449"/>
      <c r="CC120" s="807"/>
      <c r="CD120" s="449"/>
      <c r="CE120" s="762" t="str">
        <f>IFERROR(WWWW[[#This Row],['#_Water sources passed]]/WWWW[[#This Row],['#_Water sources tested for fecal coliform ]],"no test")</f>
        <v>no test</v>
      </c>
      <c r="CF120" s="760" t="str">
        <f>IFERROR(WWWW[[#This Row],['#_Household passed]]/WWWW[[#This Row],['#_Household water samples tested for fecal coliform]],"no test")</f>
        <v>no test</v>
      </c>
      <c r="CG120" s="761" t="str">
        <f>IF(AND(WWWW[[#This Row],[% of water sources passed]]="no test",WWWW[[#This Row],[% Household passed]]="no test"),"No Test","Tested")</f>
        <v>No Test</v>
      </c>
      <c r="CH120" s="761">
        <f>WWWW[[#This Row],['#_Constructed/existing protected hand dug well]]-WWWW[[#This Row],['#_Non-functional protected hand dug well]]</f>
        <v>0</v>
      </c>
      <c r="CI120" s="761">
        <f>(WWWW[[#This Row],['#_Constructed/Existing tube wells/boreholes/handpumps_WASH_agency]]+WWWW[[#This Row],['#_Non-Cluster partner water tube-wells/boreholes/handpumps]])-WWWW[[#This Row],['#_Non-functional tube wells/boreholes/handpumps]]</f>
        <v>0</v>
      </c>
      <c r="CJ120" s="761">
        <f>WWWW[[#This Row],['#_Constructed/Existingwater storage tank with gravity fed reticulation system]]-WWWW[[#This Row],['#_Non-functional storage tank gravity fed reticulation system]]</f>
        <v>0</v>
      </c>
      <c r="CK120" s="761">
        <f>(WWWW[[#This Row],['#_Water_Liters_supplied_by_Water boating or water trucking]]/90)/15</f>
        <v>0</v>
      </c>
      <c r="CL120" s="761">
        <f>WWWW[[#This Row],['#_Water_Liters_from_Constructed/Existing water distribution system from river or natural spring]]/90/15</f>
        <v>0</v>
      </c>
      <c r="CM120" s="425">
        <f>IF(WWWW[[#This Row],['#_of water points in TLS/CFS]]*500&gt;WWWW[[#This Row],[Total PoP ]],WWWW[[#This Row],[Total PoP ]],WWWW[[#This Row],['#_of water points in TLS/CFS]]*500)</f>
        <v>0</v>
      </c>
      <c r="CN120" s="425">
        <f>IF(WWWW[[#This Row],['#_of water points in THF]]*500&gt;WWWW[[#This Row],[Total PoP ]],WWWW[[#This Row],[Total PoP ]],WWWW[[#This Row],['#_of water points in THF]]*500)</f>
        <v>0</v>
      </c>
      <c r="CO12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0" s="760">
        <f>IF(WWWW[[#This Row],[Location Type 1]]="Village",WWWW[[#This Row],[Access to safe drinking water for Village]],WWWW[[#This Row],[Access to safe drinking water for Camp]])</f>
        <v>0</v>
      </c>
      <c r="CR120" s="758">
        <f>WWWW[[#This Row],[%Equitable and continuous access to sufficient quantity of safe drinking water]]*WWWW[[#This Row],[Total PoP ]]</f>
        <v>0</v>
      </c>
      <c r="CS120" s="760">
        <f>IF((WWWW[[#This Row],['#_Constructed/Existing protected/fenced ponds]]*250)/WWWW[[#This Row],[Total PoP ]]&gt;1,1,(WWWW[[#This Row],['#_Constructed/Existing protected/fenced ponds]]*250)/WWWW[[#This Row],[Total PoP ]])</f>
        <v>0</v>
      </c>
      <c r="CT120" s="758">
        <f>WWWW[[#This Row],[% Access to unimproved water points]]*WWWW[[#This Row],[Total PoP ]]</f>
        <v>0</v>
      </c>
      <c r="CU12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0" s="758">
        <f>WWWW[[#This Row],[HRP1]]/500</f>
        <v>0</v>
      </c>
      <c r="CX120" s="763">
        <f>1-WWWW[[#This Row],[% Equitable and continuous access to sufficient quantity of domestic water]]</f>
        <v>1</v>
      </c>
      <c r="CY120" s="758">
        <f>WWWW[[#This Row],[%equitable and continuous access to sufficient quantity of safe drinking and domestic water''s GAP]]*WWWW[[#This Row],[Total PoP ]]</f>
        <v>709</v>
      </c>
      <c r="CZ120" s="761">
        <f>IF(WWWW[[#This Row],[Total required water points]]-WWWW[[#This Row],['#Water points coverage]]&lt;0,0,WWWW[[#This Row],[Total required water points]]-WWWW[[#This Row],['#Water points coverage]])</f>
        <v>1</v>
      </c>
      <c r="DA120" s="761">
        <f>ROUND(IF(WWWW[[#This Row],[Total PoP ]]&lt;500,1,WWWW[[#This Row],[Total PoP ]]/500),0)</f>
        <v>1</v>
      </c>
      <c r="DB120" s="761">
        <f>(WWWW[[#This Row],['#_Constructed latrines_by_WASHAgencies]]+WWWW[[#This Row],['#_Non Cluster partner latrines]])-WWWW[[#This Row],['#_Non-functional latrines]]</f>
        <v>0</v>
      </c>
      <c r="DC120" s="634">
        <f>WWWW[[#This Row],[HRP2]]/WWWW[[#This Row],[Total PoP ]]</f>
        <v>0</v>
      </c>
      <c r="DD12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0" s="425">
        <f>IF(WWWW[[#This Row],['# of functional latrines in THF supported by WASH partners during the reporting period2]]="",0,WWWW[[#This Row],['# of functional latrines in THF supported by WASH partners during the reporting period2]]*50)</f>
        <v>0</v>
      </c>
      <c r="DH120" s="761">
        <f>ROUND(IF(WWWW[[#This Row],[Location Type 1]]="camp",WWWW[[#This Row],[Total PoP ]]/20,IF(WWWW[[#This Row],[Location Type 1]]="Temporary Location",WWWW[[#This Row],[Total PoP ]]/50,(WWWW[[#This Row],[Total PoP ]]/6))),0)</f>
        <v>35</v>
      </c>
      <c r="DI120" s="761">
        <f>IF(WWWW[[#This Row],[Total required Latrines]]-(WWWW[[#This Row],['#_Constructed latrines_by_WASHAgencies]]+WWWW[[#This Row],['#_Non Cluster partner latrines]])&lt;0,0,WWWW[[#This Row],[Total required Latrines]]-(WWWW[[#This Row],['#_Constructed latrines_by_WASHAgencies]]+WWWW[[#This Row],['#_Non Cluster partner latrines]]))</f>
        <v>35</v>
      </c>
      <c r="DJ120" s="763">
        <f>1-WWWW[[#This Row],[% people access to functioning Latrine]]</f>
        <v>1</v>
      </c>
      <c r="DK120" s="762">
        <f>IF(OR(WWWW[[#This Row],['#_Non-functional latrines]]="",WWWW[[#This Row],['#_Non-functional latrines]]=0),0,WWWW[[#This Row],['#_Non-functional latrines]]/(WWWW[[#This Row],['#_Constructed latrines_by_WASHAgencies]]+WWWW[[#This Row],['#_Non Cluster partner latrines]]))</f>
        <v>0</v>
      </c>
      <c r="DL120" s="758">
        <f>IF(500*(WWWW[[#This Row],['#_male hygiene promoters]]+WWWW[[#This Row],['#_female hygiene promoters]])&gt;WWWW[[#This Row],[Total PoP ]],WWWW[[#This Row],[Total PoP ]],500*(WWWW[[#This Row],['#_male hygiene promoters]]+WWWW[[#This Row],['#_female hygiene promoters]]))</f>
        <v>0</v>
      </c>
      <c r="DM12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2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20" s="761">
        <f>IF(WWWW[[#This Row],['# People with access to soap]]&gt;WWWW[[#This Row],['# People with access to Sanity Pads]],WWWW[[#This Row],['# People with access to soap]],WWWW[[#This Row],['# People with access to Sanity Pads]])</f>
        <v>455</v>
      </c>
      <c r="DP120" s="761">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20" s="763">
        <f>IF(WWWW[[#This Row],[HRP3]]/WWWW[[#This Row],[Total PoP ]]&gt;1,1,WWWW[[#This Row],[HRP3]]/WWWW[[#This Row],[Total PoP ]])</f>
        <v>0.64174894217207334</v>
      </c>
      <c r="DR120" s="762">
        <f>1-WWWW[[#This Row],[Hygiene Coverage%]]</f>
        <v>0.35825105782792666</v>
      </c>
      <c r="DS120" s="760">
        <f>WWWW[[#This Row],['# people reached by regular dedicated hygiene promotion_5]]/WWWW[[#This Row],[Total PoP ]]</f>
        <v>0</v>
      </c>
      <c r="DT12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0.67910447761194026</v>
      </c>
      <c r="DU12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0.92537313432835822</v>
      </c>
      <c r="DV120" s="761">
        <f>WWWW[[#This Row],['#_Constructed/Existing hand washing stations]]-WWWW[[#This Row],['#_Non-Functional_hand_washing_stations]]</f>
        <v>8</v>
      </c>
      <c r="DW120" s="758">
        <f>IF(WWWW[[#This Row],['# Functional hand washing stations during reporting period]]*20&gt;WWWW[[#This Row],[Total HH]],WWWW[[#This Row],[Total HH]],WWWW[[#This Row],['# Functional hand washing stations during reporting period]]*20)</f>
        <v>134</v>
      </c>
      <c r="DX120" s="758">
        <f>IF(WWWW[[#This Row],[Is sufficient soap available for TLS? (Yes/No)]]="yes",WWWW[[#This Row],['#_Constructed/Existing hand washing stations at TLS/CFS/THF]],0)</f>
        <v>0</v>
      </c>
      <c r="DY120" s="429">
        <f>IF(WWWW[[#This Row],['# Functional hand washing stations during reporting period]]*100&gt;WWWW[[#This Row],[Total PoP ]],WWWW[[#This Row],[Total PoP ]],WWWW[[#This Row],['# Functional hand washing stations during reporting period]]*100)</f>
        <v>709</v>
      </c>
      <c r="DZ120" s="429" t="str">
        <f>IF(OR(WWWW[[#This Row],['#_students at TLS_CFS]]="",WWWW[[#This Row],['#_students at TLS_CFS]]=0),"No","Yes")</f>
        <v>No</v>
      </c>
      <c r="EA12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0" s="754">
        <f>VLOOKUP(WWWW[[#This Row],[Site Name]],SiteDB6[[Site Name]:[CCCM Management]],6,FALSE)</f>
        <v>0</v>
      </c>
      <c r="EF120" s="754">
        <f>VLOOKUP(WWWW[[#This Row],[Site Name]],SiteDB6[[Site Name]:[CCCM Focal Agency]],7,FALSE)</f>
        <v>0</v>
      </c>
      <c r="EG120" s="754" t="str">
        <f>VLOOKUP(WWWW[[#This Row],[Site Name]],SiteDB6[[Site Name]:[Location Type 1]],9,FALSE)</f>
        <v>Camp</v>
      </c>
      <c r="EH120" s="754" t="str">
        <f>VLOOKUP(WWWW[[#This Row],[Site Name]],SiteDB6[[Site Name]:[Type of Accommodation]],10,FALSE)</f>
        <v>CAMP</v>
      </c>
      <c r="EI120" s="754" t="str">
        <f>VLOOKUP(WWWW[[#This Row],[Site Name]],SiteDB6[[Site Name]:[Ethnic or GCA/NGCA]],11,FALSE)</f>
        <v>NGCA</v>
      </c>
      <c r="EJ120" s="754">
        <f>VLOOKUP(WWWW[[#This Row],[Site Name]],SiteDB6[[Site Name]:[Lat]],12,FALSE)</f>
        <v>0</v>
      </c>
      <c r="EK120" s="754">
        <f>VLOOKUP(WWWW[[#This Row],[Site Name]],SiteDB6[[Site Name]:[Long]],13,FALSE)</f>
        <v>0</v>
      </c>
      <c r="EL120" s="754">
        <f>VLOOKUP(WWWW[[#This Row],[Site Name]],SiteDB6[[Site Name]:[Pcode]],3,FALSE)</f>
        <v>0</v>
      </c>
      <c r="EM120" s="759" t="str">
        <f t="shared" si="1"/>
        <v>Covered</v>
      </c>
      <c r="EN120" s="759"/>
      <c r="EO120" s="754">
        <f>VLOOKUP(WWWW[[#This Row],[Site Name]],SiteDB6[[Site Name]:[Pop
(Kachin/Shan-CCCM as of July 2021)]],16,FALSE)</f>
        <v>0</v>
      </c>
      <c r="EP120" s="754">
        <f>VLOOKUP(WWWW[[#This Row],[Site Name]],SiteDB6[[Site Name]:[Pop
(Kachin/Shan-CCCM as of July 2021)]],17,FALSE)</f>
        <v>0</v>
      </c>
    </row>
    <row r="121" spans="1:146" hidden="1">
      <c r="A121" s="752" t="s">
        <v>2785</v>
      </c>
      <c r="B121" s="752" t="s">
        <v>192</v>
      </c>
      <c r="C121" s="753" t="s">
        <v>192</v>
      </c>
      <c r="D121" s="753" t="s">
        <v>2701</v>
      </c>
      <c r="E121" s="753" t="s">
        <v>37</v>
      </c>
      <c r="F121" s="753" t="s">
        <v>142</v>
      </c>
      <c r="G121" s="594" t="str">
        <f>VLOOKUP(WWWW[[#This Row],[Site Name]],SiteDB6[[Site Name]:[Location Type]],8,FALSE)</f>
        <v>Camp_not registered</v>
      </c>
      <c r="H121" s="753" t="s">
        <v>222</v>
      </c>
      <c r="I121" s="755">
        <v>546</v>
      </c>
      <c r="J121" s="755">
        <v>2550</v>
      </c>
      <c r="K121" s="756" t="s">
        <v>2692</v>
      </c>
      <c r="L121" s="757" t="s">
        <v>2702</v>
      </c>
      <c r="M121" s="755"/>
      <c r="N121" s="755"/>
      <c r="O121" s="755"/>
      <c r="P121" s="755"/>
      <c r="Q121" s="758"/>
      <c r="R121" s="755"/>
      <c r="S121" s="755"/>
      <c r="T121" s="449"/>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9"/>
      <c r="AQ121" s="755"/>
      <c r="AR121" s="755"/>
      <c r="AS121" s="760"/>
      <c r="AT121" s="755"/>
      <c r="AU121" s="755"/>
      <c r="AV121" s="755"/>
      <c r="AW121" s="755"/>
      <c r="AX121" s="755"/>
      <c r="AY121" s="754" t="s">
        <v>136</v>
      </c>
      <c r="AZ121" s="759" t="s">
        <v>136</v>
      </c>
      <c r="BA121" s="755"/>
      <c r="BB121" s="755"/>
      <c r="BC121" s="755"/>
      <c r="BD121" s="449"/>
      <c r="BE121" s="449"/>
      <c r="BF121" s="754"/>
      <c r="BG121" s="755">
        <v>7</v>
      </c>
      <c r="BH121" s="755"/>
      <c r="BI121" s="755"/>
      <c r="BJ121" s="755">
        <v>7</v>
      </c>
      <c r="BK121" s="755"/>
      <c r="BL121" s="755"/>
      <c r="BM121" s="755"/>
      <c r="BN121" s="755">
        <v>104</v>
      </c>
      <c r="BO121" s="755">
        <v>148</v>
      </c>
      <c r="BP121" s="754"/>
      <c r="BQ121" s="761"/>
      <c r="BR121" s="760"/>
      <c r="BS121" s="754"/>
      <c r="BT121" s="424"/>
      <c r="BU121" s="424"/>
      <c r="BV121" s="426"/>
      <c r="BW121" s="424"/>
      <c r="BX121" s="449"/>
      <c r="BY121" s="449"/>
      <c r="BZ121" s="449"/>
      <c r="CA121" s="449"/>
      <c r="CB121" s="449"/>
      <c r="CC121" s="807"/>
      <c r="CD121" s="449"/>
      <c r="CE121" s="762" t="str">
        <f>IFERROR(WWWW[[#This Row],['#_Water sources passed]]/WWWW[[#This Row],['#_Water sources tested for fecal coliform ]],"no test")</f>
        <v>no test</v>
      </c>
      <c r="CF121" s="760" t="str">
        <f>IFERROR(WWWW[[#This Row],['#_Household passed]]/WWWW[[#This Row],['#_Household water samples tested for fecal coliform]],"no test")</f>
        <v>no test</v>
      </c>
      <c r="CG121" s="761" t="str">
        <f>IF(AND(WWWW[[#This Row],[% of water sources passed]]="no test",WWWW[[#This Row],[% Household passed]]="no test"),"No Test","Tested")</f>
        <v>No Test</v>
      </c>
      <c r="CH121" s="761">
        <f>WWWW[[#This Row],['#_Constructed/existing protected hand dug well]]-WWWW[[#This Row],['#_Non-functional protected hand dug well]]</f>
        <v>0</v>
      </c>
      <c r="CI121" s="761">
        <f>(WWWW[[#This Row],['#_Constructed/Existing tube wells/boreholes/handpumps_WASH_agency]]+WWWW[[#This Row],['#_Non-Cluster partner water tube-wells/boreholes/handpumps]])-WWWW[[#This Row],['#_Non-functional tube wells/boreholes/handpumps]]</f>
        <v>0</v>
      </c>
      <c r="CJ121" s="761">
        <f>WWWW[[#This Row],['#_Constructed/Existingwater storage tank with gravity fed reticulation system]]-WWWW[[#This Row],['#_Non-functional storage tank gravity fed reticulation system]]</f>
        <v>0</v>
      </c>
      <c r="CK121" s="761">
        <f>(WWWW[[#This Row],['#_Water_Liters_supplied_by_Water boating or water trucking]]/90)/15</f>
        <v>0</v>
      </c>
      <c r="CL121" s="761">
        <f>WWWW[[#This Row],['#_Water_Liters_from_Constructed/Existing water distribution system from river or natural spring]]/90/15</f>
        <v>0</v>
      </c>
      <c r="CM121" s="425">
        <f>IF(WWWW[[#This Row],['#_of water points in TLS/CFS]]*500&gt;WWWW[[#This Row],[Total PoP ]],WWWW[[#This Row],[Total PoP ]],WWWW[[#This Row],['#_of water points in TLS/CFS]]*500)</f>
        <v>0</v>
      </c>
      <c r="CN121" s="425">
        <f>IF(WWWW[[#This Row],['#_of water points in THF]]*500&gt;WWWW[[#This Row],[Total PoP ]],WWWW[[#This Row],[Total PoP ]],WWWW[[#This Row],['#_of water points in THF]]*500)</f>
        <v>0</v>
      </c>
      <c r="CO12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1" s="760">
        <f>IF(WWWW[[#This Row],[Location Type 1]]="Village",WWWW[[#This Row],[Access to safe drinking water for Village]],WWWW[[#This Row],[Access to safe drinking water for Camp]])</f>
        <v>0</v>
      </c>
      <c r="CR121" s="758">
        <f>WWWW[[#This Row],[%Equitable and continuous access to sufficient quantity of safe drinking water]]*WWWW[[#This Row],[Total PoP ]]</f>
        <v>0</v>
      </c>
      <c r="CS121" s="760">
        <f>IF((WWWW[[#This Row],['#_Constructed/Existing protected/fenced ponds]]*250)/WWWW[[#This Row],[Total PoP ]]&gt;1,1,(WWWW[[#This Row],['#_Constructed/Existing protected/fenced ponds]]*250)/WWWW[[#This Row],[Total PoP ]])</f>
        <v>0</v>
      </c>
      <c r="CT121" s="758">
        <f>WWWW[[#This Row],[% Access to unimproved water points]]*WWWW[[#This Row],[Total PoP ]]</f>
        <v>0</v>
      </c>
      <c r="CU12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1" s="758">
        <f>WWWW[[#This Row],[HRP1]]/500</f>
        <v>0</v>
      </c>
      <c r="CX121" s="763">
        <f>1-WWWW[[#This Row],[% Equitable and continuous access to sufficient quantity of domestic water]]</f>
        <v>1</v>
      </c>
      <c r="CY121" s="758">
        <f>WWWW[[#This Row],[%equitable and continuous access to sufficient quantity of safe drinking and domestic water''s GAP]]*WWWW[[#This Row],[Total PoP ]]</f>
        <v>2550</v>
      </c>
      <c r="CZ121" s="761">
        <f>IF(WWWW[[#This Row],[Total required water points]]-WWWW[[#This Row],['#Water points coverage]]&lt;0,0,WWWW[[#This Row],[Total required water points]]-WWWW[[#This Row],['#Water points coverage]])</f>
        <v>5</v>
      </c>
      <c r="DA121" s="761">
        <f>ROUND(IF(WWWW[[#This Row],[Total PoP ]]&lt;500,1,WWWW[[#This Row],[Total PoP ]]/500),0)</f>
        <v>5</v>
      </c>
      <c r="DB121" s="761">
        <f>(WWWW[[#This Row],['#_Constructed latrines_by_WASHAgencies]]+WWWW[[#This Row],['#_Non Cluster partner latrines]])-WWWW[[#This Row],['#_Non-functional latrines]]</f>
        <v>0</v>
      </c>
      <c r="DC121" s="634">
        <f>WWWW[[#This Row],[HRP2]]/WWWW[[#This Row],[Total PoP ]]</f>
        <v>0</v>
      </c>
      <c r="DD12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1" s="425">
        <f>IF(WWWW[[#This Row],['# of functional latrines in THF supported by WASH partners during the reporting period2]]="",0,WWWW[[#This Row],['# of functional latrines in THF supported by WASH partners during the reporting period2]]*50)</f>
        <v>0</v>
      </c>
      <c r="DH121" s="761">
        <f>ROUND(IF(WWWW[[#This Row],[Location Type 1]]="camp",WWWW[[#This Row],[Total PoP ]]/20,IF(WWWW[[#This Row],[Location Type 1]]="Temporary Location",WWWW[[#This Row],[Total PoP ]]/50,(WWWW[[#This Row],[Total PoP ]]/6))),0)</f>
        <v>128</v>
      </c>
      <c r="DI121" s="761">
        <f>IF(WWWW[[#This Row],[Total required Latrines]]-(WWWW[[#This Row],['#_Constructed latrines_by_WASHAgencies]]+WWWW[[#This Row],['#_Non Cluster partner latrines]])&lt;0,0,WWWW[[#This Row],[Total required Latrines]]-(WWWW[[#This Row],['#_Constructed latrines_by_WASHAgencies]]+WWWW[[#This Row],['#_Non Cluster partner latrines]]))</f>
        <v>128</v>
      </c>
      <c r="DJ121" s="763">
        <f>1-WWWW[[#This Row],[% people access to functioning Latrine]]</f>
        <v>1</v>
      </c>
      <c r="DK121" s="762">
        <f>IF(OR(WWWW[[#This Row],['#_Non-functional latrines]]="",WWWW[[#This Row],['#_Non-functional latrines]]=0),0,WWWW[[#This Row],['#_Non-functional latrines]]/(WWWW[[#This Row],['#_Constructed latrines_by_WASHAgencies]]+WWWW[[#This Row],['#_Non Cluster partner latrines]]))</f>
        <v>0</v>
      </c>
      <c r="DL121" s="758">
        <f>IF(500*(WWWW[[#This Row],['#_male hygiene promoters]]+WWWW[[#This Row],['#_female hygiene promoters]])&gt;WWWW[[#This Row],[Total PoP ]],WWWW[[#This Row],[Total PoP ]],500*(WWWW[[#This Row],['#_male hygiene promoters]]+WWWW[[#This Row],['#_female hygiene promoters]]))</f>
        <v>0</v>
      </c>
      <c r="DM12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2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21" s="761">
        <f>IF(WWWW[[#This Row],['# People with access to soap]]&gt;WWWW[[#This Row],['# People with access to Sanity Pads]],WWWW[[#This Row],['# People with access to soap]],WWWW[[#This Row],['# People with access to Sanity Pads]])</f>
        <v>520</v>
      </c>
      <c r="DP121" s="761">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21" s="763">
        <f>IF(WWWW[[#This Row],[HRP3]]/WWWW[[#This Row],[Total PoP ]]&gt;1,1,WWWW[[#This Row],[HRP3]]/WWWW[[#This Row],[Total PoP ]])</f>
        <v>0.20392156862745098</v>
      </c>
      <c r="DR121" s="762">
        <f>1-WWWW[[#This Row],[Hygiene Coverage%]]</f>
        <v>0.79607843137254908</v>
      </c>
      <c r="DS121" s="760">
        <f>WWWW[[#This Row],['# people reached by regular dedicated hygiene promotion_5]]/WWWW[[#This Row],[Total PoP ]]</f>
        <v>0</v>
      </c>
      <c r="DT12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0.19047619047619047</v>
      </c>
      <c r="DU12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0.27106227106227104</v>
      </c>
      <c r="DV121" s="761">
        <f>WWWW[[#This Row],['#_Constructed/Existing hand washing stations]]-WWWW[[#This Row],['#_Non-Functional_hand_washing_stations]]</f>
        <v>7</v>
      </c>
      <c r="DW121" s="758">
        <f>IF(WWWW[[#This Row],['# Functional hand washing stations during reporting period]]*20&gt;WWWW[[#This Row],[Total HH]],WWWW[[#This Row],[Total HH]],WWWW[[#This Row],['# Functional hand washing stations during reporting period]]*20)</f>
        <v>140</v>
      </c>
      <c r="DX121" s="758">
        <f>IF(WWWW[[#This Row],[Is sufficient soap available for TLS? (Yes/No)]]="yes",WWWW[[#This Row],['#_Constructed/Existing hand washing stations at TLS/CFS/THF]],0)</f>
        <v>0</v>
      </c>
      <c r="DY121" s="429">
        <f>IF(WWWW[[#This Row],['# Functional hand washing stations during reporting period]]*100&gt;WWWW[[#This Row],[Total PoP ]],WWWW[[#This Row],[Total PoP ]],WWWW[[#This Row],['# Functional hand washing stations during reporting period]]*100)</f>
        <v>700</v>
      </c>
      <c r="DZ121" s="429" t="str">
        <f>IF(OR(WWWW[[#This Row],['#_students at TLS_CFS]]="",WWWW[[#This Row],['#_students at TLS_CFS]]=0),"No","Yes")</f>
        <v>No</v>
      </c>
      <c r="EA12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1" s="754">
        <f>VLOOKUP(WWWW[[#This Row],[Site Name]],SiteDB6[[Site Name]:[CCCM Management]],6,FALSE)</f>
        <v>0</v>
      </c>
      <c r="EF121" s="754">
        <f>VLOOKUP(WWWW[[#This Row],[Site Name]],SiteDB6[[Site Name]:[CCCM Focal Agency]],7,FALSE)</f>
        <v>0</v>
      </c>
      <c r="EG121" s="754" t="str">
        <f>VLOOKUP(WWWW[[#This Row],[Site Name]],SiteDB6[[Site Name]:[Location Type 1]],9,FALSE)</f>
        <v>Camp</v>
      </c>
      <c r="EH121" s="754" t="str">
        <f>VLOOKUP(WWWW[[#This Row],[Site Name]],SiteDB6[[Site Name]:[Type of Accommodation]],10,FALSE)</f>
        <v>Host Families</v>
      </c>
      <c r="EI121" s="754" t="str">
        <f>VLOOKUP(WWWW[[#This Row],[Site Name]],SiteDB6[[Site Name]:[Ethnic or GCA/NGCA]],11,FALSE)</f>
        <v>NGCA</v>
      </c>
      <c r="EJ121" s="754">
        <f>VLOOKUP(WWWW[[#This Row],[Site Name]],SiteDB6[[Site Name]:[Lat]],12,FALSE)</f>
        <v>0</v>
      </c>
      <c r="EK121" s="754">
        <f>VLOOKUP(WWWW[[#This Row],[Site Name]],SiteDB6[[Site Name]:[Long]],13,FALSE)</f>
        <v>0</v>
      </c>
      <c r="EL121" s="754">
        <f>VLOOKUP(WWWW[[#This Row],[Site Name]],SiteDB6[[Site Name]:[Pcode]],3,FALSE)</f>
        <v>0</v>
      </c>
      <c r="EM121" s="759" t="str">
        <f t="shared" si="1"/>
        <v>Covered</v>
      </c>
      <c r="EN121" s="759"/>
      <c r="EO121" s="754">
        <f>VLOOKUP(WWWW[[#This Row],[Site Name]],SiteDB6[[Site Name]:[Pop
(Kachin/Shan-CCCM as of July 2021)]],16,FALSE)</f>
        <v>0</v>
      </c>
      <c r="EP121" s="754">
        <f>VLOOKUP(WWWW[[#This Row],[Site Name]],SiteDB6[[Site Name]:[Pop
(Kachin/Shan-CCCM as of July 2021)]],17,FALSE)</f>
        <v>0</v>
      </c>
    </row>
    <row r="122" spans="1:146" hidden="1">
      <c r="A122" s="752" t="s">
        <v>2785</v>
      </c>
      <c r="B122" s="752" t="s">
        <v>2373</v>
      </c>
      <c r="C122" s="753" t="s">
        <v>2373</v>
      </c>
      <c r="D122" s="753" t="s">
        <v>2695</v>
      </c>
      <c r="E122" s="753" t="s">
        <v>515</v>
      </c>
      <c r="F122" s="753" t="s">
        <v>516</v>
      </c>
      <c r="G122" s="594" t="str">
        <f>VLOOKUP(WWWW[[#This Row],[Site Name]],SiteDB6[[Site Name]:[Location Type]],8,FALSE)</f>
        <v>Camp</v>
      </c>
      <c r="H122" s="753" t="s">
        <v>527</v>
      </c>
      <c r="I122" s="755">
        <v>85</v>
      </c>
      <c r="J122" s="755">
        <v>396</v>
      </c>
      <c r="K122" s="591" t="s">
        <v>2789</v>
      </c>
      <c r="L122" s="592" t="s">
        <v>2790</v>
      </c>
      <c r="M122" s="755"/>
      <c r="N122" s="755">
        <v>2</v>
      </c>
      <c r="O122" s="755"/>
      <c r="P122" s="755"/>
      <c r="Q122" s="758" t="s">
        <v>41</v>
      </c>
      <c r="R122" s="755">
        <v>7</v>
      </c>
      <c r="S122" s="755">
        <v>9</v>
      </c>
      <c r="T122" s="449"/>
      <c r="U122" s="755"/>
      <c r="V122" s="755"/>
      <c r="W122" s="755"/>
      <c r="X122" s="755">
        <v>1</v>
      </c>
      <c r="Y122" s="755"/>
      <c r="Z122" s="755"/>
      <c r="AA122" s="755">
        <v>1</v>
      </c>
      <c r="AB122" s="755"/>
      <c r="AC122" s="755"/>
      <c r="AD122" s="755"/>
      <c r="AE122" s="755"/>
      <c r="AF122" s="755"/>
      <c r="AG122" s="755"/>
      <c r="AH122" s="755">
        <v>2</v>
      </c>
      <c r="AI122" s="755"/>
      <c r="AJ122" s="755"/>
      <c r="AK122" s="755"/>
      <c r="AL122" s="755"/>
      <c r="AM122" s="755">
        <v>8</v>
      </c>
      <c r="AN122" s="755"/>
      <c r="AO122" s="755"/>
      <c r="AP122" s="759"/>
      <c r="AQ122" s="755">
        <v>14</v>
      </c>
      <c r="AR122" s="755">
        <v>6</v>
      </c>
      <c r="AS122" s="760"/>
      <c r="AT122" s="755"/>
      <c r="AU122" s="755"/>
      <c r="AV122" s="755"/>
      <c r="AW122" s="755"/>
      <c r="AX122" s="755">
        <v>14</v>
      </c>
      <c r="AY122" s="754" t="s">
        <v>41</v>
      </c>
      <c r="AZ122" s="759" t="s">
        <v>137</v>
      </c>
      <c r="BA122" s="755"/>
      <c r="BB122" s="755"/>
      <c r="BC122" s="755"/>
      <c r="BD122" s="449"/>
      <c r="BE122" s="449"/>
      <c r="BF122" s="754"/>
      <c r="BG122" s="755">
        <v>3</v>
      </c>
      <c r="BH122" s="755"/>
      <c r="BI122" s="755"/>
      <c r="BJ122" s="755">
        <v>2</v>
      </c>
      <c r="BK122" s="755"/>
      <c r="BL122" s="755">
        <v>1</v>
      </c>
      <c r="BM122" s="755">
        <v>1</v>
      </c>
      <c r="BN122" s="755">
        <v>88</v>
      </c>
      <c r="BO122" s="755">
        <v>100</v>
      </c>
      <c r="BP122" s="754"/>
      <c r="BQ122" s="761"/>
      <c r="BR122" s="760"/>
      <c r="BS122" s="754"/>
      <c r="BT122" s="424"/>
      <c r="BU122" s="424"/>
      <c r="BV122" s="426"/>
      <c r="BW122" s="424"/>
      <c r="BX122" s="449"/>
      <c r="BY122" s="449"/>
      <c r="BZ122" s="449"/>
      <c r="CA122" s="449"/>
      <c r="CB122" s="449"/>
      <c r="CC122" s="807"/>
      <c r="CD122" s="449"/>
      <c r="CE122" s="762" t="str">
        <f>IFERROR(WWWW[[#This Row],['#_Water sources passed]]/WWWW[[#This Row],['#_Water sources tested for fecal coliform ]],"no test")</f>
        <v>no test</v>
      </c>
      <c r="CF122" s="760" t="str">
        <f>IFERROR(WWWW[[#This Row],['#_Household passed]]/WWWW[[#This Row],['#_Household water samples tested for fecal coliform]],"no test")</f>
        <v>no test</v>
      </c>
      <c r="CG122" s="761" t="str">
        <f>IF(AND(WWWW[[#This Row],[% of water sources passed]]="no test",WWWW[[#This Row],[% Household passed]]="no test"),"No Test","Tested")</f>
        <v>No Test</v>
      </c>
      <c r="CH122" s="761">
        <f>WWWW[[#This Row],['#_Constructed/existing protected hand dug well]]-WWWW[[#This Row],['#_Non-functional protected hand dug well]]</f>
        <v>0</v>
      </c>
      <c r="CI122" s="761">
        <f>(WWWW[[#This Row],['#_Constructed/Existing tube wells/boreholes/handpumps_WASH_agency]]+WWWW[[#This Row],['#_Non-Cluster partner water tube-wells/boreholes/handpumps]])-WWWW[[#This Row],['#_Non-functional tube wells/boreholes/handpumps]]</f>
        <v>1</v>
      </c>
      <c r="CJ122" s="761">
        <f>WWWW[[#This Row],['#_Constructed/Existingwater storage tank with gravity fed reticulation system]]-WWWW[[#This Row],['#_Non-functional storage tank gravity fed reticulation system]]</f>
        <v>1</v>
      </c>
      <c r="CK122" s="761">
        <f>(WWWW[[#This Row],['#_Water_Liters_supplied_by_Water boating or water trucking]]/90)/15</f>
        <v>0</v>
      </c>
      <c r="CL122" s="761">
        <f>WWWW[[#This Row],['#_Water_Liters_from_Constructed/Existing water distribution system from river or natural spring]]/90/15</f>
        <v>0</v>
      </c>
      <c r="CM122" s="425">
        <f>IF(WWWW[[#This Row],['#_of water points in TLS/CFS]]*500&gt;WWWW[[#This Row],[Total PoP ]],WWWW[[#This Row],[Total PoP ]],WWWW[[#This Row],['#_of water points in TLS/CFS]]*500)</f>
        <v>0</v>
      </c>
      <c r="CN122" s="425">
        <f>IF(WWWW[[#This Row],['#_of water points in THF]]*500&gt;WWWW[[#This Row],[Total PoP ]],WWWW[[#This Row],[Total PoP ]],WWWW[[#This Row],['#_of water points in THF]]*500)</f>
        <v>0</v>
      </c>
      <c r="CO12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122" s="760">
        <f>IF(WWWW[[#This Row],[Location Type 1]]="Village",WWWW[[#This Row],[Access to safe drinking water for Village]],WWWW[[#This Row],[Access to safe drinking water for Camp]])</f>
        <v>1</v>
      </c>
      <c r="CR122" s="758">
        <f>WWWW[[#This Row],[%Equitable and continuous access to sufficient quantity of safe drinking water]]*WWWW[[#This Row],[Total PoP ]]</f>
        <v>396</v>
      </c>
      <c r="CS122" s="760">
        <f>IF((WWWW[[#This Row],['#_Constructed/Existing protected/fenced ponds]]*250)/WWWW[[#This Row],[Total PoP ]]&gt;1,1,(WWWW[[#This Row],['#_Constructed/Existing protected/fenced ponds]]*250)/WWWW[[#This Row],[Total PoP ]])</f>
        <v>0</v>
      </c>
      <c r="CT122" s="758">
        <f>WWWW[[#This Row],[% Access to unimproved water points]]*WWWW[[#This Row],[Total PoP ]]</f>
        <v>0</v>
      </c>
      <c r="CU12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122" s="758">
        <f>WWWW[[#This Row],[HRP1]]/500</f>
        <v>0.79200000000000004</v>
      </c>
      <c r="CX122" s="763">
        <f>1-WWWW[[#This Row],[% Equitable and continuous access to sufficient quantity of domestic water]]</f>
        <v>0</v>
      </c>
      <c r="CY122" s="758">
        <f>WWWW[[#This Row],[%equitable and continuous access to sufficient quantity of safe drinking and domestic water''s GAP]]*WWWW[[#This Row],[Total PoP ]]</f>
        <v>0</v>
      </c>
      <c r="CZ122" s="761">
        <f>IF(WWWW[[#This Row],[Total required water points]]-WWWW[[#This Row],['#Water points coverage]]&lt;0,0,WWWW[[#This Row],[Total required water points]]-WWWW[[#This Row],['#Water points coverage]])</f>
        <v>0.20799999999999996</v>
      </c>
      <c r="DA122" s="761">
        <f>ROUND(IF(WWWW[[#This Row],[Total PoP ]]&lt;500,1,WWWW[[#This Row],[Total PoP ]]/500),0)</f>
        <v>1</v>
      </c>
      <c r="DB122" s="761">
        <f>(WWWW[[#This Row],['#_Constructed latrines_by_WASHAgencies]]+WWWW[[#This Row],['#_Non Cluster partner latrines]])-WWWW[[#This Row],['#_Non-functional latrines]]</f>
        <v>20</v>
      </c>
      <c r="DC122" s="634">
        <f>WWWW[[#This Row],[HRP2]]/WWWW[[#This Row],[Total PoP ]]</f>
        <v>1</v>
      </c>
      <c r="DD12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12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2" s="425">
        <f>IF(WWWW[[#This Row],['# of functional latrines in THF supported by WASH partners during the reporting period2]]="",0,WWWW[[#This Row],['# of functional latrines in THF supported by WASH partners during the reporting period2]]*50)</f>
        <v>0</v>
      </c>
      <c r="DH122" s="761">
        <f>ROUND(IF(WWWW[[#This Row],[Location Type 1]]="camp",WWWW[[#This Row],[Total PoP ]]/20,IF(WWWW[[#This Row],[Location Type 1]]="Temporary Location",WWWW[[#This Row],[Total PoP ]]/50,(WWWW[[#This Row],[Total PoP ]]/6))),0)</f>
        <v>20</v>
      </c>
      <c r="DI122" s="761">
        <f>IF(WWWW[[#This Row],[Total required Latrines]]-(WWWW[[#This Row],['#_Constructed latrines_by_WASHAgencies]]+WWWW[[#This Row],['#_Non Cluster partner latrines]])&lt;0,0,WWWW[[#This Row],[Total required Latrines]]-(WWWW[[#This Row],['#_Constructed latrines_by_WASHAgencies]]+WWWW[[#This Row],['#_Non Cluster partner latrines]]))</f>
        <v>0</v>
      </c>
      <c r="DJ122" s="763">
        <f>1-WWWW[[#This Row],[% people access to functioning Latrine]]</f>
        <v>0</v>
      </c>
      <c r="DK122" s="762">
        <f>IF(OR(WWWW[[#This Row],['#_Non-functional latrines]]="",WWWW[[#This Row],['#_Non-functional latrines]]=0),0,WWWW[[#This Row],['#_Non-functional latrines]]/(WWWW[[#This Row],['#_Constructed latrines_by_WASHAgencies]]+WWWW[[#This Row],['#_Non Cluster partner latrines]]))</f>
        <v>0</v>
      </c>
      <c r="DL122" s="758">
        <f>IF(500*(WWWW[[#This Row],['#_male hygiene promoters]]+WWWW[[#This Row],['#_female hygiene promoters]])&gt;WWWW[[#This Row],[Total PoP ]],WWWW[[#This Row],[Total PoP ]],500*(WWWW[[#This Row],['#_male hygiene promoters]]+WWWW[[#This Row],['#_female hygiene promoters]]))</f>
        <v>396</v>
      </c>
      <c r="DM12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396</v>
      </c>
      <c r="DN12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22" s="761">
        <f>IF(WWWW[[#This Row],['# People with access to soap]]&gt;WWWW[[#This Row],['# People with access to Sanity Pads]],WWWW[[#This Row],['# People with access to soap]],WWWW[[#This Row],['# People with access to Sanity Pads]])</f>
        <v>396</v>
      </c>
      <c r="DP122" s="761">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122" s="763">
        <f>IF(WWWW[[#This Row],[HRP3]]/WWWW[[#This Row],[Total PoP ]]&gt;1,1,WWWW[[#This Row],[HRP3]]/WWWW[[#This Row],[Total PoP ]])</f>
        <v>1</v>
      </c>
      <c r="DR122" s="762">
        <f>1-WWWW[[#This Row],[Hygiene Coverage%]]</f>
        <v>0</v>
      </c>
      <c r="DS122" s="760">
        <f>WWWW[[#This Row],['# people reached by regular dedicated hygiene promotion_5]]/WWWW[[#This Row],[Total PoP ]]</f>
        <v>1</v>
      </c>
      <c r="DT12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2" s="761">
        <f>WWWW[[#This Row],['#_Constructed/Existing hand washing stations]]-WWWW[[#This Row],['#_Non-Functional_hand_washing_stations]]</f>
        <v>3</v>
      </c>
      <c r="DW122" s="758">
        <f>IF(WWWW[[#This Row],['# Functional hand washing stations during reporting period]]*20&gt;WWWW[[#This Row],[Total HH]],WWWW[[#This Row],[Total HH]],WWWW[[#This Row],['# Functional hand washing stations during reporting period]]*20)</f>
        <v>60</v>
      </c>
      <c r="DX122" s="758">
        <f>IF(WWWW[[#This Row],[Is sufficient soap available for TLS? (Yes/No)]]="yes",WWWW[[#This Row],['#_Constructed/Existing hand washing stations at TLS/CFS/THF]],0)</f>
        <v>0</v>
      </c>
      <c r="DY122" s="429">
        <f>IF(WWWW[[#This Row],['# Functional hand washing stations during reporting period]]*100&gt;WWWW[[#This Row],[Total PoP ]],WWWW[[#This Row],[Total PoP ]],WWWW[[#This Row],['# Functional hand washing stations during reporting period]]*100)</f>
        <v>300</v>
      </c>
      <c r="DZ122" s="429" t="str">
        <f>IF(OR(WWWW[[#This Row],['#_students at TLS_CFS]]="",WWWW[[#This Row],['#_students at TLS_CFS]]=0),"No","Yes")</f>
        <v>No</v>
      </c>
      <c r="EA12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2" s="754" t="str">
        <f>VLOOKUP(WWWW[[#This Row],[Site Name]],SiteDB6[[Site Name]:[CCCM Management]],6,FALSE)</f>
        <v>Yes</v>
      </c>
      <c r="EF122" s="754" t="str">
        <f>VLOOKUP(WWWW[[#This Row],[Site Name]],SiteDB6[[Site Name]:[CCCM Focal Agency]],7,FALSE)</f>
        <v>KBC-NSS</v>
      </c>
      <c r="EG122" s="754" t="str">
        <f>VLOOKUP(WWWW[[#This Row],[Site Name]],SiteDB6[[Site Name]:[Location Type 1]],9,FALSE)</f>
        <v>Camp</v>
      </c>
      <c r="EH122" s="754" t="str">
        <f>VLOOKUP(WWWW[[#This Row],[Site Name]],SiteDB6[[Site Name]:[Type of Accommodation]],10,FALSE)</f>
        <v>Camp</v>
      </c>
      <c r="EI122" s="754" t="str">
        <f>VLOOKUP(WWWW[[#This Row],[Site Name]],SiteDB6[[Site Name]:[Ethnic or GCA/NGCA]],11,FALSE)</f>
        <v>GCA</v>
      </c>
      <c r="EJ122" s="754">
        <f>VLOOKUP(WWWW[[#This Row],[Site Name]],SiteDB6[[Site Name]:[Lat]],12,FALSE)</f>
        <v>23.821380000000001</v>
      </c>
      <c r="EK122" s="754">
        <f>VLOOKUP(WWWW[[#This Row],[Site Name]],SiteDB6[[Site Name]:[Long]],13,FALSE)</f>
        <v>97.681970000000007</v>
      </c>
      <c r="EL122" s="754" t="str">
        <f>VLOOKUP(WWWW[[#This Row],[Site Name]],SiteDB6[[Site Name]:[Pcode]],3,FALSE)</f>
        <v>MMR015CMP004</v>
      </c>
      <c r="EM122" s="759" t="str">
        <f t="shared" si="1"/>
        <v>Covered</v>
      </c>
      <c r="EN122" s="759"/>
      <c r="EO122" s="754">
        <f>VLOOKUP(WWWW[[#This Row],[Site Name]],SiteDB6[[Site Name]:[Pop
(Kachin/Shan-CCCM as of July 2021)]],16,FALSE)</f>
        <v>89</v>
      </c>
      <c r="EP122" s="754">
        <f>VLOOKUP(WWWW[[#This Row],[Site Name]],SiteDB6[[Site Name]:[Pop
(Kachin/Shan-CCCM as of July 2021)]],17,FALSE)</f>
        <v>401</v>
      </c>
    </row>
    <row r="123" spans="1:146" hidden="1">
      <c r="A123" s="752" t="s">
        <v>2785</v>
      </c>
      <c r="B123" s="752" t="s">
        <v>2373</v>
      </c>
      <c r="C123" s="753" t="s">
        <v>2373</v>
      </c>
      <c r="D123" s="753" t="s">
        <v>2695</v>
      </c>
      <c r="E123" s="753" t="s">
        <v>515</v>
      </c>
      <c r="F123" s="753" t="s">
        <v>516</v>
      </c>
      <c r="G123" s="594" t="str">
        <f>VLOOKUP(WWWW[[#This Row],[Site Name]],SiteDB6[[Site Name]:[Location Type]],8,FALSE)</f>
        <v>Camp</v>
      </c>
      <c r="H123" s="753" t="s">
        <v>517</v>
      </c>
      <c r="I123" s="755">
        <v>44</v>
      </c>
      <c r="J123" s="755">
        <v>213</v>
      </c>
      <c r="K123" s="591" t="s">
        <v>2789</v>
      </c>
      <c r="L123" s="592" t="s">
        <v>2790</v>
      </c>
      <c r="M123" s="755"/>
      <c r="N123" s="755">
        <v>2</v>
      </c>
      <c r="O123" s="755"/>
      <c r="P123" s="755"/>
      <c r="Q123" s="758" t="s">
        <v>41</v>
      </c>
      <c r="R123" s="755">
        <v>3</v>
      </c>
      <c r="S123" s="755">
        <v>9</v>
      </c>
      <c r="T123" s="449">
        <v>1</v>
      </c>
      <c r="U123" s="755"/>
      <c r="V123" s="755"/>
      <c r="W123" s="755"/>
      <c r="X123" s="755">
        <v>2</v>
      </c>
      <c r="Y123" s="755"/>
      <c r="Z123" s="755"/>
      <c r="AA123" s="755"/>
      <c r="AB123" s="755"/>
      <c r="AC123" s="755"/>
      <c r="AD123" s="755"/>
      <c r="AE123" s="755">
        <v>1</v>
      </c>
      <c r="AF123" s="755"/>
      <c r="AG123" s="755"/>
      <c r="AH123" s="755">
        <v>2</v>
      </c>
      <c r="AI123" s="755"/>
      <c r="AJ123" s="755"/>
      <c r="AK123" s="755"/>
      <c r="AL123" s="755"/>
      <c r="AM123" s="755">
        <v>3</v>
      </c>
      <c r="AN123" s="755"/>
      <c r="AO123" s="755"/>
      <c r="AP123" s="759"/>
      <c r="AQ123" s="755">
        <v>14</v>
      </c>
      <c r="AR123" s="755"/>
      <c r="AS123" s="760"/>
      <c r="AT123" s="755"/>
      <c r="AU123" s="755"/>
      <c r="AV123" s="755"/>
      <c r="AW123" s="755"/>
      <c r="AX123" s="755">
        <v>14</v>
      </c>
      <c r="AY123" s="754" t="s">
        <v>41</v>
      </c>
      <c r="AZ123" s="759" t="s">
        <v>137</v>
      </c>
      <c r="BA123" s="755"/>
      <c r="BB123" s="755"/>
      <c r="BC123" s="755"/>
      <c r="BD123" s="449"/>
      <c r="BE123" s="449"/>
      <c r="BF123" s="754"/>
      <c r="BG123" s="755">
        <v>3</v>
      </c>
      <c r="BH123" s="755"/>
      <c r="BI123" s="755"/>
      <c r="BJ123" s="755">
        <v>2</v>
      </c>
      <c r="BK123" s="755"/>
      <c r="BL123" s="755">
        <v>1</v>
      </c>
      <c r="BM123" s="755">
        <v>1</v>
      </c>
      <c r="BN123" s="755">
        <v>10</v>
      </c>
      <c r="BO123" s="755">
        <v>18</v>
      </c>
      <c r="BP123" s="754"/>
      <c r="BQ123" s="761"/>
      <c r="BR123" s="760"/>
      <c r="BS123" s="754"/>
      <c r="BT123" s="424"/>
      <c r="BU123" s="424"/>
      <c r="BV123" s="426"/>
      <c r="BW123" s="424"/>
      <c r="BX123" s="449"/>
      <c r="BY123" s="449"/>
      <c r="BZ123" s="449"/>
      <c r="CA123" s="449"/>
      <c r="CB123" s="449"/>
      <c r="CC123" s="807"/>
      <c r="CD123" s="449"/>
      <c r="CE123" s="762" t="str">
        <f>IFERROR(WWWW[[#This Row],['#_Water sources passed]]/WWWW[[#This Row],['#_Water sources tested for fecal coliform ]],"no test")</f>
        <v>no test</v>
      </c>
      <c r="CF123" s="760" t="str">
        <f>IFERROR(WWWW[[#This Row],['#_Household passed]]/WWWW[[#This Row],['#_Household water samples tested for fecal coliform]],"no test")</f>
        <v>no test</v>
      </c>
      <c r="CG123" s="761" t="str">
        <f>IF(AND(WWWW[[#This Row],[% of water sources passed]]="no test",WWWW[[#This Row],[% Household passed]]="no test"),"No Test","Tested")</f>
        <v>No Test</v>
      </c>
      <c r="CH123" s="761">
        <f>WWWW[[#This Row],['#_Constructed/existing protected hand dug well]]-WWWW[[#This Row],['#_Non-functional protected hand dug well]]</f>
        <v>1</v>
      </c>
      <c r="CI123" s="761">
        <f>(WWWW[[#This Row],['#_Constructed/Existing tube wells/boreholes/handpumps_WASH_agency]]+WWWW[[#This Row],['#_Non-Cluster partner water tube-wells/boreholes/handpumps]])-WWWW[[#This Row],['#_Non-functional tube wells/boreholes/handpumps]]</f>
        <v>2</v>
      </c>
      <c r="CJ123" s="761">
        <f>WWWW[[#This Row],['#_Constructed/Existingwater storage tank with gravity fed reticulation system]]-WWWW[[#This Row],['#_Non-functional storage tank gravity fed reticulation system]]</f>
        <v>0</v>
      </c>
      <c r="CK123" s="761">
        <f>(WWWW[[#This Row],['#_Water_Liters_supplied_by_Water boating or water trucking]]/90)/15</f>
        <v>0</v>
      </c>
      <c r="CL123" s="761">
        <f>WWWW[[#This Row],['#_Water_Liters_from_Constructed/Existing water distribution system from river or natural spring]]/90/15</f>
        <v>0</v>
      </c>
      <c r="CM123" s="425">
        <f>IF(WWWW[[#This Row],['#_of water points in TLS/CFS]]*500&gt;WWWW[[#This Row],[Total PoP ]],WWWW[[#This Row],[Total PoP ]],WWWW[[#This Row],['#_of water points in TLS/CFS]]*500)</f>
        <v>0</v>
      </c>
      <c r="CN123" s="425">
        <f>IF(WWWW[[#This Row],['#_of water points in THF]]*500&gt;WWWW[[#This Row],[Total PoP ]],WWWW[[#This Row],[Total PoP ]],WWWW[[#This Row],['#_of water points in THF]]*500)</f>
        <v>0</v>
      </c>
      <c r="CO12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3" s="760">
        <f>IF(WWWW[[#This Row],[Location Type 1]]="Village",WWWW[[#This Row],[Access to safe drinking water for Village]],WWWW[[#This Row],[Access to safe drinking water for Camp]])</f>
        <v>1</v>
      </c>
      <c r="CR123" s="758">
        <f>WWWW[[#This Row],[%Equitable and continuous access to sufficient quantity of safe drinking water]]*WWWW[[#This Row],[Total PoP ]]</f>
        <v>213</v>
      </c>
      <c r="CS123" s="760">
        <f>IF((WWWW[[#This Row],['#_Constructed/Existing protected/fenced ponds]]*250)/WWWW[[#This Row],[Total PoP ]]&gt;1,1,(WWWW[[#This Row],['#_Constructed/Existing protected/fenced ponds]]*250)/WWWW[[#This Row],[Total PoP ]])</f>
        <v>1</v>
      </c>
      <c r="CT123" s="758">
        <f>WWWW[[#This Row],[% Access to unimproved water points]]*WWWW[[#This Row],[Total PoP ]]</f>
        <v>213</v>
      </c>
      <c r="CU12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123" s="758">
        <f>WWWW[[#This Row],[HRP1]]/500</f>
        <v>0.42599999999999999</v>
      </c>
      <c r="CX123" s="763">
        <f>1-WWWW[[#This Row],[% Equitable and continuous access to sufficient quantity of domestic water]]</f>
        <v>0</v>
      </c>
      <c r="CY123" s="758">
        <f>WWWW[[#This Row],[%equitable and continuous access to sufficient quantity of safe drinking and domestic water''s GAP]]*WWWW[[#This Row],[Total PoP ]]</f>
        <v>0</v>
      </c>
      <c r="CZ123" s="761">
        <f>IF(WWWW[[#This Row],[Total required water points]]-WWWW[[#This Row],['#Water points coverage]]&lt;0,0,WWWW[[#This Row],[Total required water points]]-WWWW[[#This Row],['#Water points coverage]])</f>
        <v>0.57400000000000007</v>
      </c>
      <c r="DA123" s="761">
        <f>ROUND(IF(WWWW[[#This Row],[Total PoP ]]&lt;500,1,WWWW[[#This Row],[Total PoP ]]/500),0)</f>
        <v>1</v>
      </c>
      <c r="DB123" s="761">
        <f>(WWWW[[#This Row],['#_Constructed latrines_by_WASHAgencies]]+WWWW[[#This Row],['#_Non Cluster partner latrines]])-WWWW[[#This Row],['#_Non-functional latrines]]</f>
        <v>14</v>
      </c>
      <c r="DC123" s="634">
        <f>WWWW[[#This Row],[HRP2]]/WWWW[[#This Row],[Total PoP ]]</f>
        <v>1</v>
      </c>
      <c r="DD12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12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3" s="425">
        <f>IF(WWWW[[#This Row],['# of functional latrines in THF supported by WASH partners during the reporting period2]]="",0,WWWW[[#This Row],['# of functional latrines in THF supported by WASH partners during the reporting period2]]*50)</f>
        <v>0</v>
      </c>
      <c r="DH123" s="761">
        <f>ROUND(IF(WWWW[[#This Row],[Location Type 1]]="camp",WWWW[[#This Row],[Total PoP ]]/20,IF(WWWW[[#This Row],[Location Type 1]]="Temporary Location",WWWW[[#This Row],[Total PoP ]]/50,(WWWW[[#This Row],[Total PoP ]]/6))),0)</f>
        <v>11</v>
      </c>
      <c r="DI123" s="761">
        <f>IF(WWWW[[#This Row],[Total required Latrines]]-(WWWW[[#This Row],['#_Constructed latrines_by_WASHAgencies]]+WWWW[[#This Row],['#_Non Cluster partner latrines]])&lt;0,0,WWWW[[#This Row],[Total required Latrines]]-(WWWW[[#This Row],['#_Constructed latrines_by_WASHAgencies]]+WWWW[[#This Row],['#_Non Cluster partner latrines]]))</f>
        <v>0</v>
      </c>
      <c r="DJ123" s="763">
        <f>1-WWWW[[#This Row],[% people access to functioning Latrine]]</f>
        <v>0</v>
      </c>
      <c r="DK123" s="762">
        <f>IF(OR(WWWW[[#This Row],['#_Non-functional latrines]]="",WWWW[[#This Row],['#_Non-functional latrines]]=0),0,WWWW[[#This Row],['#_Non-functional latrines]]/(WWWW[[#This Row],['#_Constructed latrines_by_WASHAgencies]]+WWWW[[#This Row],['#_Non Cluster partner latrines]]))</f>
        <v>0</v>
      </c>
      <c r="DL123" s="758">
        <f>IF(500*(WWWW[[#This Row],['#_male hygiene promoters]]+WWWW[[#This Row],['#_female hygiene promoters]])&gt;WWWW[[#This Row],[Total PoP ]],WWWW[[#This Row],[Total PoP ]],500*(WWWW[[#This Row],['#_male hygiene promoters]]+WWWW[[#This Row],['#_female hygiene promoters]]))</f>
        <v>213</v>
      </c>
      <c r="DM12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2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23" s="761">
        <f>IF(WWWW[[#This Row],['# People with access to soap]]&gt;WWWW[[#This Row],['# People with access to Sanity Pads]],WWWW[[#This Row],['# People with access to soap]],WWWW[[#This Row],['# People with access to Sanity Pads]])</f>
        <v>50</v>
      </c>
      <c r="DP123" s="761">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123" s="763">
        <f>IF(WWWW[[#This Row],[HRP3]]/WWWW[[#This Row],[Total PoP ]]&gt;1,1,WWWW[[#This Row],[HRP3]]/WWWW[[#This Row],[Total PoP ]])</f>
        <v>1</v>
      </c>
      <c r="DR123" s="762">
        <f>1-WWWW[[#This Row],[Hygiene Coverage%]]</f>
        <v>0</v>
      </c>
      <c r="DS123" s="760">
        <f>WWWW[[#This Row],['# people reached by regular dedicated hygiene promotion_5]]/WWWW[[#This Row],[Total PoP ]]</f>
        <v>1</v>
      </c>
      <c r="DT12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0.90909090909090906</v>
      </c>
      <c r="DU12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0.40909090909090912</v>
      </c>
      <c r="DV123" s="761">
        <f>WWWW[[#This Row],['#_Constructed/Existing hand washing stations]]-WWWW[[#This Row],['#_Non-Functional_hand_washing_stations]]</f>
        <v>3</v>
      </c>
      <c r="DW123" s="758">
        <f>IF(WWWW[[#This Row],['# Functional hand washing stations during reporting period]]*20&gt;WWWW[[#This Row],[Total HH]],WWWW[[#This Row],[Total HH]],WWWW[[#This Row],['# Functional hand washing stations during reporting period]]*20)</f>
        <v>44</v>
      </c>
      <c r="DX123" s="758">
        <f>IF(WWWW[[#This Row],[Is sufficient soap available for TLS? (Yes/No)]]="yes",WWWW[[#This Row],['#_Constructed/Existing hand washing stations at TLS/CFS/THF]],0)</f>
        <v>0</v>
      </c>
      <c r="DY123" s="429">
        <f>IF(WWWW[[#This Row],['# Functional hand washing stations during reporting period]]*100&gt;WWWW[[#This Row],[Total PoP ]],WWWW[[#This Row],[Total PoP ]],WWWW[[#This Row],['# Functional hand washing stations during reporting period]]*100)</f>
        <v>213</v>
      </c>
      <c r="DZ123" s="429" t="str">
        <f>IF(OR(WWWW[[#This Row],['#_students at TLS_CFS]]="",WWWW[[#This Row],['#_students at TLS_CFS]]=0),"No","Yes")</f>
        <v>No</v>
      </c>
      <c r="EA12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3" s="754" t="str">
        <f>VLOOKUP(WWWW[[#This Row],[Site Name]],SiteDB6[[Site Name]:[CCCM Management]],6,FALSE)</f>
        <v>Yes</v>
      </c>
      <c r="EF123" s="754" t="str">
        <f>VLOOKUP(WWWW[[#This Row],[Site Name]],SiteDB6[[Site Name]:[CCCM Focal Agency]],7,FALSE)</f>
        <v>KMSS-LSO</v>
      </c>
      <c r="EG123" s="754" t="str">
        <f>VLOOKUP(WWWW[[#This Row],[Site Name]],SiteDB6[[Site Name]:[Location Type 1]],9,FALSE)</f>
        <v>Camp</v>
      </c>
      <c r="EH123" s="754" t="str">
        <f>VLOOKUP(WWWW[[#This Row],[Site Name]],SiteDB6[[Site Name]:[Type of Accommodation]],10,FALSE)</f>
        <v>Camp</v>
      </c>
      <c r="EI123" s="754" t="str">
        <f>VLOOKUP(WWWW[[#This Row],[Site Name]],SiteDB6[[Site Name]:[Ethnic or GCA/NGCA]],11,FALSE)</f>
        <v>GCA</v>
      </c>
      <c r="EJ123" s="754">
        <f>VLOOKUP(WWWW[[#This Row],[Site Name]],SiteDB6[[Site Name]:[Lat]],12,FALSE)</f>
        <v>23.828150000000001</v>
      </c>
      <c r="EK123" s="754">
        <f>VLOOKUP(WWWW[[#This Row],[Site Name]],SiteDB6[[Site Name]:[Long]],13,FALSE)</f>
        <v>97.670360000000002</v>
      </c>
      <c r="EL123" s="754" t="str">
        <f>VLOOKUP(WWWW[[#This Row],[Site Name]],SiteDB6[[Site Name]:[Pcode]],3,FALSE)</f>
        <v>MMR015CMP003</v>
      </c>
      <c r="EM123" s="759" t="str">
        <f t="shared" si="1"/>
        <v>Covered</v>
      </c>
      <c r="EN123" s="759"/>
      <c r="EO123" s="754">
        <f>VLOOKUP(WWWW[[#This Row],[Site Name]],SiteDB6[[Site Name]:[Pop
(Kachin/Shan-CCCM as of July 2021)]],16,FALSE)</f>
        <v>44</v>
      </c>
      <c r="EP123" s="754">
        <f>VLOOKUP(WWWW[[#This Row],[Site Name]],SiteDB6[[Site Name]:[Pop
(Kachin/Shan-CCCM as of July 2021)]],17,FALSE)</f>
        <v>217</v>
      </c>
    </row>
    <row r="124" spans="1:146" hidden="1">
      <c r="A124" s="752" t="s">
        <v>2785</v>
      </c>
      <c r="B124" s="752" t="s">
        <v>2791</v>
      </c>
      <c r="C124" s="753" t="s">
        <v>2792</v>
      </c>
      <c r="D124" s="370" t="s">
        <v>2695</v>
      </c>
      <c r="E124" s="753" t="s">
        <v>515</v>
      </c>
      <c r="F124" s="753" t="s">
        <v>522</v>
      </c>
      <c r="G124" s="594" t="str">
        <f>VLOOKUP(WWWW[[#This Row],[Site Name]],SiteDB6[[Site Name]:[Location Type]],8,FALSE)</f>
        <v>Camp</v>
      </c>
      <c r="H124" s="753" t="s">
        <v>523</v>
      </c>
      <c r="I124" s="449">
        <v>30</v>
      </c>
      <c r="J124" s="449">
        <v>157</v>
      </c>
      <c r="K124" s="591" t="s">
        <v>2789</v>
      </c>
      <c r="L124" s="592" t="s">
        <v>2790</v>
      </c>
      <c r="M124" s="755"/>
      <c r="N124" s="755">
        <v>2</v>
      </c>
      <c r="O124" s="755"/>
      <c r="P124" s="755"/>
      <c r="Q124" s="758" t="s">
        <v>41</v>
      </c>
      <c r="R124" s="755">
        <v>2</v>
      </c>
      <c r="S124" s="755">
        <v>8</v>
      </c>
      <c r="T124" s="449">
        <v>1</v>
      </c>
      <c r="U124" s="755"/>
      <c r="V124" s="755"/>
      <c r="W124" s="755">
        <v>2</v>
      </c>
      <c r="X124" s="755"/>
      <c r="Y124" s="755"/>
      <c r="Z124" s="755"/>
      <c r="AA124" s="755"/>
      <c r="AB124" s="755"/>
      <c r="AC124" s="755"/>
      <c r="AD124" s="755"/>
      <c r="AE124" s="755">
        <v>2</v>
      </c>
      <c r="AF124" s="755"/>
      <c r="AG124" s="755"/>
      <c r="AH124" s="755">
        <v>1</v>
      </c>
      <c r="AI124" s="755"/>
      <c r="AJ124" s="755"/>
      <c r="AK124" s="755"/>
      <c r="AL124" s="755"/>
      <c r="AM124" s="755">
        <v>4</v>
      </c>
      <c r="AN124" s="755"/>
      <c r="AO124" s="755"/>
      <c r="AP124" s="759"/>
      <c r="AQ124" s="755">
        <v>8</v>
      </c>
      <c r="AR124" s="755"/>
      <c r="AS124" s="760"/>
      <c r="AT124" s="755"/>
      <c r="AU124" s="755"/>
      <c r="AV124" s="755"/>
      <c r="AW124" s="755"/>
      <c r="AX124" s="755">
        <v>8</v>
      </c>
      <c r="AY124" s="754" t="s">
        <v>41</v>
      </c>
      <c r="AZ124" s="759" t="s">
        <v>137</v>
      </c>
      <c r="BA124" s="755"/>
      <c r="BB124" s="755"/>
      <c r="BC124" s="755"/>
      <c r="BD124" s="449"/>
      <c r="BE124" s="449"/>
      <c r="BF124" s="754"/>
      <c r="BG124" s="755">
        <v>1</v>
      </c>
      <c r="BH124" s="755"/>
      <c r="BI124" s="755"/>
      <c r="BJ124" s="755">
        <v>3</v>
      </c>
      <c r="BK124" s="755"/>
      <c r="BL124" s="755"/>
      <c r="BM124" s="755">
        <v>2</v>
      </c>
      <c r="BN124" s="755">
        <v>41</v>
      </c>
      <c r="BO124" s="755">
        <v>85</v>
      </c>
      <c r="BP124" s="754"/>
      <c r="BQ124" s="761"/>
      <c r="BR124" s="760"/>
      <c r="BS124" s="754"/>
      <c r="BT124" s="424"/>
      <c r="BU124" s="424"/>
      <c r="BV124" s="426"/>
      <c r="BW124" s="424"/>
      <c r="BX124" s="449"/>
      <c r="BY124" s="449"/>
      <c r="BZ124" s="449"/>
      <c r="CA124" s="449"/>
      <c r="CB124" s="449"/>
      <c r="CC124" s="807"/>
      <c r="CD124" s="449"/>
      <c r="CE124" s="762" t="str">
        <f>IFERROR(WWWW[[#This Row],['#_Water sources passed]]/WWWW[[#This Row],['#_Water sources tested for fecal coliform ]],"no test")</f>
        <v>no test</v>
      </c>
      <c r="CF124" s="760" t="str">
        <f>IFERROR(WWWW[[#This Row],['#_Household passed]]/WWWW[[#This Row],['#_Household water samples tested for fecal coliform]],"no test")</f>
        <v>no test</v>
      </c>
      <c r="CG124" s="761" t="str">
        <f>IF(AND(WWWW[[#This Row],[% of water sources passed]]="no test",WWWW[[#This Row],[% Household passed]]="no test"),"No Test","Tested")</f>
        <v>No Test</v>
      </c>
      <c r="CH124" s="761">
        <f>WWWW[[#This Row],['#_Constructed/existing protected hand dug well]]-WWWW[[#This Row],['#_Non-functional protected hand dug well]]</f>
        <v>1</v>
      </c>
      <c r="CI124" s="761">
        <f>(WWWW[[#This Row],['#_Constructed/Existing tube wells/boreholes/handpumps_WASH_agency]]+WWWW[[#This Row],['#_Non-Cluster partner water tube-wells/boreholes/handpumps]])-WWWW[[#This Row],['#_Non-functional tube wells/boreholes/handpumps]]</f>
        <v>2</v>
      </c>
      <c r="CJ124" s="761">
        <f>WWWW[[#This Row],['#_Constructed/Existingwater storage tank with gravity fed reticulation system]]-WWWW[[#This Row],['#_Non-functional storage tank gravity fed reticulation system]]</f>
        <v>0</v>
      </c>
      <c r="CK124" s="761">
        <f>(WWWW[[#This Row],['#_Water_Liters_supplied_by_Water boating or water trucking]]/90)/15</f>
        <v>0</v>
      </c>
      <c r="CL124" s="761">
        <f>WWWW[[#This Row],['#_Water_Liters_from_Constructed/Existing water distribution system from river or natural spring]]/90/15</f>
        <v>0</v>
      </c>
      <c r="CM124" s="425">
        <f>IF(WWWW[[#This Row],['#_of water points in TLS/CFS]]*500&gt;WWWW[[#This Row],[Total PoP ]],WWWW[[#This Row],[Total PoP ]],WWWW[[#This Row],['#_of water points in TLS/CFS]]*500)</f>
        <v>0</v>
      </c>
      <c r="CN124" s="425">
        <f>IF(WWWW[[#This Row],['#_of water points in THF]]*500&gt;WWWW[[#This Row],[Total PoP ]],WWWW[[#This Row],[Total PoP ]],WWWW[[#This Row],['#_of water points in THF]]*500)</f>
        <v>0</v>
      </c>
      <c r="CO12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2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24" s="760">
        <f>IF(WWWW[[#This Row],[Location Type 1]]="Village",WWWW[[#This Row],[Access to safe drinking water for Village]],WWWW[[#This Row],[Access to safe drinking water for Camp]])</f>
        <v>1</v>
      </c>
      <c r="CR124" s="758">
        <f>WWWW[[#This Row],[%Equitable and continuous access to sufficient quantity of safe drinking water]]*WWWW[[#This Row],[Total PoP ]]</f>
        <v>157</v>
      </c>
      <c r="CS124" s="760">
        <f>IF((WWWW[[#This Row],['#_Constructed/Existing protected/fenced ponds]]*250)/WWWW[[#This Row],[Total PoP ]]&gt;1,1,(WWWW[[#This Row],['#_Constructed/Existing protected/fenced ponds]]*250)/WWWW[[#This Row],[Total PoP ]])</f>
        <v>1</v>
      </c>
      <c r="CT124" s="758">
        <f>WWWW[[#This Row],[% Access to unimproved water points]]*WWWW[[#This Row],[Total PoP ]]</f>
        <v>157</v>
      </c>
      <c r="CU12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2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124" s="758">
        <f>WWWW[[#This Row],[HRP1]]/500</f>
        <v>0.314</v>
      </c>
      <c r="CX124" s="763">
        <f>1-WWWW[[#This Row],[% Equitable and continuous access to sufficient quantity of domestic water]]</f>
        <v>0</v>
      </c>
      <c r="CY124" s="758">
        <f>WWWW[[#This Row],[%equitable and continuous access to sufficient quantity of safe drinking and domestic water''s GAP]]*WWWW[[#This Row],[Total PoP ]]</f>
        <v>0</v>
      </c>
      <c r="CZ124" s="761">
        <f>IF(WWWW[[#This Row],[Total required water points]]-WWWW[[#This Row],['#Water points coverage]]&lt;0,0,WWWW[[#This Row],[Total required water points]]-WWWW[[#This Row],['#Water points coverage]])</f>
        <v>0.68599999999999994</v>
      </c>
      <c r="DA124" s="761">
        <f>ROUND(IF(WWWW[[#This Row],[Total PoP ]]&lt;500,1,WWWW[[#This Row],[Total PoP ]]/500),0)</f>
        <v>1</v>
      </c>
      <c r="DB124" s="761">
        <f>(WWWW[[#This Row],['#_Constructed latrines_by_WASHAgencies]]+WWWW[[#This Row],['#_Non Cluster partner latrines]])-WWWW[[#This Row],['#_Non-functional latrines]]</f>
        <v>8</v>
      </c>
      <c r="DC124" s="634">
        <f>WWWW[[#This Row],[HRP2]]/WWWW[[#This Row],[Total PoP ]]</f>
        <v>1</v>
      </c>
      <c r="DD12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12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4" s="425">
        <f>IF(WWWW[[#This Row],['# of functional latrines in THF supported by WASH partners during the reporting period2]]="",0,WWWW[[#This Row],['# of functional latrines in THF supported by WASH partners during the reporting period2]]*50)</f>
        <v>0</v>
      </c>
      <c r="DH124" s="761">
        <f>ROUND(IF(WWWW[[#This Row],[Location Type 1]]="camp",WWWW[[#This Row],[Total PoP ]]/20,IF(WWWW[[#This Row],[Location Type 1]]="Temporary Location",WWWW[[#This Row],[Total PoP ]]/50,(WWWW[[#This Row],[Total PoP ]]/6))),0)</f>
        <v>8</v>
      </c>
      <c r="DI124" s="761">
        <f>IF(WWWW[[#This Row],[Total required Latrines]]-(WWWW[[#This Row],['#_Constructed latrines_by_WASHAgencies]]+WWWW[[#This Row],['#_Non Cluster partner latrines]])&lt;0,0,WWWW[[#This Row],[Total required Latrines]]-(WWWW[[#This Row],['#_Constructed latrines_by_WASHAgencies]]+WWWW[[#This Row],['#_Non Cluster partner latrines]]))</f>
        <v>0</v>
      </c>
      <c r="DJ124" s="763">
        <f>1-WWWW[[#This Row],[% people access to functioning Latrine]]</f>
        <v>0</v>
      </c>
      <c r="DK124" s="762">
        <f>IF(OR(WWWW[[#This Row],['#_Non-functional latrines]]="",WWWW[[#This Row],['#_Non-functional latrines]]=0),0,WWWW[[#This Row],['#_Non-functional latrines]]/(WWWW[[#This Row],['#_Constructed latrines_by_WASHAgencies]]+WWWW[[#This Row],['#_Non Cluster partner latrines]]))</f>
        <v>0</v>
      </c>
      <c r="DL124" s="758">
        <f>IF(500*(WWWW[[#This Row],['#_male hygiene promoters]]+WWWW[[#This Row],['#_female hygiene promoters]])&gt;WWWW[[#This Row],[Total PoP ]],WWWW[[#This Row],[Total PoP ]],500*(WWWW[[#This Row],['#_male hygiene promoters]]+WWWW[[#This Row],['#_female hygiene promoters]]))</f>
        <v>157</v>
      </c>
      <c r="DM12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157</v>
      </c>
      <c r="DN12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24" s="761">
        <f>IF(WWWW[[#This Row],['# People with access to soap]]&gt;WWWW[[#This Row],['# People with access to Sanity Pads]],WWWW[[#This Row],['# People with access to soap]],WWWW[[#This Row],['# People with access to Sanity Pads]])</f>
        <v>157</v>
      </c>
      <c r="DP124" s="761">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124" s="763">
        <f>IF(WWWW[[#This Row],[HRP3]]/WWWW[[#This Row],[Total PoP ]]&gt;1,1,WWWW[[#This Row],[HRP3]]/WWWW[[#This Row],[Total PoP ]])</f>
        <v>1</v>
      </c>
      <c r="DR124" s="762">
        <f>1-WWWW[[#This Row],[Hygiene Coverage%]]</f>
        <v>0</v>
      </c>
      <c r="DS124" s="760">
        <f>WWWW[[#This Row],['# people reached by regular dedicated hygiene promotion_5]]/WWWW[[#This Row],[Total PoP ]]</f>
        <v>1</v>
      </c>
      <c r="DT12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4" s="761">
        <f>WWWW[[#This Row],['#_Constructed/Existing hand washing stations]]-WWWW[[#This Row],['#_Non-Functional_hand_washing_stations]]</f>
        <v>1</v>
      </c>
      <c r="DW124" s="758">
        <f>IF(WWWW[[#This Row],['# Functional hand washing stations during reporting period]]*20&gt;WWWW[[#This Row],[Total HH]],WWWW[[#This Row],[Total HH]],WWWW[[#This Row],['# Functional hand washing stations during reporting period]]*20)</f>
        <v>20</v>
      </c>
      <c r="DX124" s="758">
        <f>IF(WWWW[[#This Row],[Is sufficient soap available for TLS? (Yes/No)]]="yes",WWWW[[#This Row],['#_Constructed/Existing hand washing stations at TLS/CFS/THF]],0)</f>
        <v>0</v>
      </c>
      <c r="DY124" s="429">
        <f>IF(WWWW[[#This Row],['# Functional hand washing stations during reporting period]]*100&gt;WWWW[[#This Row],[Total PoP ]],WWWW[[#This Row],[Total PoP ]],WWWW[[#This Row],['# Functional hand washing stations during reporting period]]*100)</f>
        <v>100</v>
      </c>
      <c r="DZ124" s="429" t="str">
        <f>IF(OR(WWWW[[#This Row],['#_students at TLS_CFS]]="",WWWW[[#This Row],['#_students at TLS_CFS]]=0),"No","Yes")</f>
        <v>No</v>
      </c>
      <c r="EA12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4" s="754" t="str">
        <f>VLOOKUP(WWWW[[#This Row],[Site Name]],SiteDB6[[Site Name]:[CCCM Management]],6,FALSE)</f>
        <v>Yes</v>
      </c>
      <c r="EF124" s="754" t="str">
        <f>VLOOKUP(WWWW[[#This Row],[Site Name]],SiteDB6[[Site Name]:[CCCM Focal Agency]],7,FALSE)</f>
        <v>KMSS-LSO</v>
      </c>
      <c r="EG124" s="754" t="str">
        <f>VLOOKUP(WWWW[[#This Row],[Site Name]],SiteDB6[[Site Name]:[Location Type 1]],9,FALSE)</f>
        <v>Camp</v>
      </c>
      <c r="EH124" s="754" t="str">
        <f>VLOOKUP(WWWW[[#This Row],[Site Name]],SiteDB6[[Site Name]:[Type of Accommodation]],10,FALSE)</f>
        <v>Camp</v>
      </c>
      <c r="EI124" s="754" t="str">
        <f>VLOOKUP(WWWW[[#This Row],[Site Name]],SiteDB6[[Site Name]:[Ethnic or GCA/NGCA]],11,FALSE)</f>
        <v>GCA</v>
      </c>
      <c r="EJ124" s="754">
        <f>VLOOKUP(WWWW[[#This Row],[Site Name]],SiteDB6[[Site Name]:[Lat]],12,FALSE)</f>
        <v>23.24661</v>
      </c>
      <c r="EK124" s="754">
        <f>VLOOKUP(WWWW[[#This Row],[Site Name]],SiteDB6[[Site Name]:[Long]],13,FALSE)</f>
        <v>97.116680000000002</v>
      </c>
      <c r="EL124" s="754" t="str">
        <f>VLOOKUP(WWWW[[#This Row],[Site Name]],SiteDB6[[Site Name]:[Pcode]],3,FALSE)</f>
        <v>MMR015CMP027</v>
      </c>
      <c r="EM124" s="759" t="str">
        <f t="shared" si="1"/>
        <v>Covered</v>
      </c>
      <c r="EN124" s="759"/>
      <c r="EO124" s="754">
        <f>VLOOKUP(WWWW[[#This Row],[Site Name]],SiteDB6[[Site Name]:[Pop
(Kachin/Shan-CCCM as of July 2021)]],16,FALSE)</f>
        <v>30</v>
      </c>
      <c r="EP124" s="754">
        <f>VLOOKUP(WWWW[[#This Row],[Site Name]],SiteDB6[[Site Name]:[Pop
(Kachin/Shan-CCCM as of July 2021)]],17,FALSE)</f>
        <v>159</v>
      </c>
    </row>
    <row r="125" spans="1:146" hidden="1">
      <c r="A125" s="752" t="s">
        <v>2785</v>
      </c>
      <c r="B125" s="752" t="s">
        <v>309</v>
      </c>
      <c r="C125" s="753" t="s">
        <v>309</v>
      </c>
      <c r="D125" s="753"/>
      <c r="E125" s="753" t="s">
        <v>37</v>
      </c>
      <c r="F125" s="753" t="s">
        <v>195</v>
      </c>
      <c r="G125" s="594" t="str">
        <f>VLOOKUP(WWWW[[#This Row],[Site Name]],SiteDB6[[Site Name]:[Location Type]],8,FALSE)</f>
        <v>Camp</v>
      </c>
      <c r="H125" s="753" t="s">
        <v>3054</v>
      </c>
      <c r="I125" s="755">
        <v>12</v>
      </c>
      <c r="J125" s="755">
        <v>60</v>
      </c>
      <c r="K125" s="756"/>
      <c r="L125" s="757"/>
      <c r="M125" s="755"/>
      <c r="N125" s="755"/>
      <c r="O125" s="755"/>
      <c r="P125" s="755"/>
      <c r="Q125" s="758"/>
      <c r="R125" s="755"/>
      <c r="S125" s="755"/>
      <c r="T125" s="449"/>
      <c r="U125" s="755"/>
      <c r="V125" s="755"/>
      <c r="W125" s="755"/>
      <c r="X125" s="755"/>
      <c r="Y125" s="755"/>
      <c r="Z125" s="755"/>
      <c r="AA125" s="755"/>
      <c r="AB125" s="755"/>
      <c r="AC125" s="755"/>
      <c r="AD125" s="755"/>
      <c r="AE125" s="755"/>
      <c r="AF125" s="755"/>
      <c r="AG125" s="755"/>
      <c r="AH125" s="755"/>
      <c r="AI125" s="755"/>
      <c r="AJ125" s="755"/>
      <c r="AK125" s="755"/>
      <c r="AL125" s="755"/>
      <c r="AM125" s="755"/>
      <c r="AN125" s="755"/>
      <c r="AO125" s="755"/>
      <c r="AP125" s="759"/>
      <c r="AQ125" s="755"/>
      <c r="AR125" s="755"/>
      <c r="AS125" s="760"/>
      <c r="AT125" s="755"/>
      <c r="AU125" s="755"/>
      <c r="AV125" s="755"/>
      <c r="AW125" s="755"/>
      <c r="AX125" s="755"/>
      <c r="AY125" s="426" t="s">
        <v>140</v>
      </c>
      <c r="AZ125" s="891" t="s">
        <v>140</v>
      </c>
      <c r="BA125" s="755"/>
      <c r="BB125" s="755"/>
      <c r="BC125" s="755"/>
      <c r="BD125" s="449"/>
      <c r="BE125" s="449"/>
      <c r="BF125" s="754"/>
      <c r="BG125" s="755">
        <v>1</v>
      </c>
      <c r="BH125" s="755"/>
      <c r="BI125" s="755"/>
      <c r="BJ125" s="755">
        <v>1</v>
      </c>
      <c r="BK125" s="755"/>
      <c r="BL125" s="755"/>
      <c r="BM125" s="755"/>
      <c r="BN125" s="755">
        <v>6</v>
      </c>
      <c r="BO125" s="755">
        <v>5</v>
      </c>
      <c r="BP125" s="754"/>
      <c r="BQ125" s="761"/>
      <c r="BR125" s="760"/>
      <c r="BS125" s="754"/>
      <c r="BT125" s="424"/>
      <c r="BU125" s="424"/>
      <c r="BV125" s="426"/>
      <c r="BW125" s="424"/>
      <c r="BX125" s="449"/>
      <c r="BY125" s="449"/>
      <c r="BZ125" s="449"/>
      <c r="CA125" s="449"/>
      <c r="CB125" s="449"/>
      <c r="CC125" s="807"/>
      <c r="CD125" s="449"/>
      <c r="CE125" s="762" t="str">
        <f>IFERROR(WWWW[[#This Row],['#_Water sources passed]]/WWWW[[#This Row],['#_Water sources tested for fecal coliform ]],"no test")</f>
        <v>no test</v>
      </c>
      <c r="CF125" s="760" t="str">
        <f>IFERROR(WWWW[[#This Row],['#_Household passed]]/WWWW[[#This Row],['#_Household water samples tested for fecal coliform]],"no test")</f>
        <v>no test</v>
      </c>
      <c r="CG125" s="761" t="str">
        <f>IF(AND(WWWW[[#This Row],[% of water sources passed]]="no test",WWWW[[#This Row],[% Household passed]]="no test"),"No Test","Tested")</f>
        <v>No Test</v>
      </c>
      <c r="CH125" s="761">
        <f>WWWW[[#This Row],['#_Constructed/existing protected hand dug well]]-WWWW[[#This Row],['#_Non-functional protected hand dug well]]</f>
        <v>0</v>
      </c>
      <c r="CI125" s="761">
        <f>(WWWW[[#This Row],['#_Constructed/Existing tube wells/boreholes/handpumps_WASH_agency]]+WWWW[[#This Row],['#_Non-Cluster partner water tube-wells/boreholes/handpumps]])-WWWW[[#This Row],['#_Non-functional tube wells/boreholes/handpumps]]</f>
        <v>0</v>
      </c>
      <c r="CJ125" s="761">
        <f>WWWW[[#This Row],['#_Constructed/Existingwater storage tank with gravity fed reticulation system]]-WWWW[[#This Row],['#_Non-functional storage tank gravity fed reticulation system]]</f>
        <v>0</v>
      </c>
      <c r="CK125" s="761">
        <f>(WWWW[[#This Row],['#_Water_Liters_supplied_by_Water boating or water trucking]]/90)/15</f>
        <v>0</v>
      </c>
      <c r="CL125" s="761">
        <f>WWWW[[#This Row],['#_Water_Liters_from_Constructed/Existing water distribution system from river or natural spring]]/90/15</f>
        <v>0</v>
      </c>
      <c r="CM125" s="425">
        <f>IF(WWWW[[#This Row],['#_of water points in TLS/CFS]]*500&gt;WWWW[[#This Row],[Total PoP ]],WWWW[[#This Row],[Total PoP ]],WWWW[[#This Row],['#_of water points in TLS/CFS]]*500)</f>
        <v>0</v>
      </c>
      <c r="CN125" s="425">
        <f>IF(WWWW[[#This Row],['#_of water points in THF]]*500&gt;WWWW[[#This Row],[Total PoP ]],WWWW[[#This Row],[Total PoP ]],WWWW[[#This Row],['#_of water points in THF]]*500)</f>
        <v>0</v>
      </c>
      <c r="CO12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5" s="760">
        <f>IF(WWWW[[#This Row],[Location Type 1]]="Village",WWWW[[#This Row],[Access to safe drinking water for Village]],WWWW[[#This Row],[Access to safe drinking water for Camp]])</f>
        <v>0</v>
      </c>
      <c r="CR125" s="758">
        <f>WWWW[[#This Row],[%Equitable and continuous access to sufficient quantity of safe drinking water]]*WWWW[[#This Row],[Total PoP ]]</f>
        <v>0</v>
      </c>
      <c r="CS125" s="760">
        <f>IF((WWWW[[#This Row],['#_Constructed/Existing protected/fenced ponds]]*250)/WWWW[[#This Row],[Total PoP ]]&gt;1,1,(WWWW[[#This Row],['#_Constructed/Existing protected/fenced ponds]]*250)/WWWW[[#This Row],[Total PoP ]])</f>
        <v>0</v>
      </c>
      <c r="CT125" s="758">
        <f>WWWW[[#This Row],[% Access to unimproved water points]]*WWWW[[#This Row],[Total PoP ]]</f>
        <v>0</v>
      </c>
      <c r="CU12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5" s="758">
        <f>WWWW[[#This Row],[HRP1]]/500</f>
        <v>0</v>
      </c>
      <c r="CX125" s="763">
        <f>1-WWWW[[#This Row],[% Equitable and continuous access to sufficient quantity of domestic water]]</f>
        <v>1</v>
      </c>
      <c r="CY125" s="758">
        <f>WWWW[[#This Row],[%equitable and continuous access to sufficient quantity of safe drinking and domestic water''s GAP]]*WWWW[[#This Row],[Total PoP ]]</f>
        <v>60</v>
      </c>
      <c r="CZ125" s="761">
        <f>IF(WWWW[[#This Row],[Total required water points]]-WWWW[[#This Row],['#Water points coverage]]&lt;0,0,WWWW[[#This Row],[Total required water points]]-WWWW[[#This Row],['#Water points coverage]])</f>
        <v>1</v>
      </c>
      <c r="DA125" s="761">
        <f>ROUND(IF(WWWW[[#This Row],[Total PoP ]]&lt;500,1,WWWW[[#This Row],[Total PoP ]]/500),0)</f>
        <v>1</v>
      </c>
      <c r="DB125" s="761">
        <f>(WWWW[[#This Row],['#_Constructed latrines_by_WASHAgencies]]+WWWW[[#This Row],['#_Non Cluster partner latrines]])-WWWW[[#This Row],['#_Non-functional latrines]]</f>
        <v>0</v>
      </c>
      <c r="DC125" s="634">
        <f>WWWW[[#This Row],[HRP2]]/WWWW[[#This Row],[Total PoP ]]</f>
        <v>0</v>
      </c>
      <c r="DD12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5" s="425">
        <f>IF(WWWW[[#This Row],['# of functional latrines in THF supported by WASH partners during the reporting period2]]="",0,WWWW[[#This Row],['# of functional latrines in THF supported by WASH partners during the reporting period2]]*50)</f>
        <v>0</v>
      </c>
      <c r="DH125" s="761">
        <f>ROUND(IF(WWWW[[#This Row],[Location Type 1]]="camp",WWWW[[#This Row],[Total PoP ]]/20,IF(WWWW[[#This Row],[Location Type 1]]="Temporary Location",WWWW[[#This Row],[Total PoP ]]/50,(WWWW[[#This Row],[Total PoP ]]/6))),0)</f>
        <v>3</v>
      </c>
      <c r="DI125" s="761">
        <f>IF(WWWW[[#This Row],[Total required Latrines]]-(WWWW[[#This Row],['#_Constructed latrines_by_WASHAgencies]]+WWWW[[#This Row],['#_Non Cluster partner latrines]])&lt;0,0,WWWW[[#This Row],[Total required Latrines]]-(WWWW[[#This Row],['#_Constructed latrines_by_WASHAgencies]]+WWWW[[#This Row],['#_Non Cluster partner latrines]]))</f>
        <v>3</v>
      </c>
      <c r="DJ125" s="763">
        <f>1-WWWW[[#This Row],[% people access to functioning Latrine]]</f>
        <v>1</v>
      </c>
      <c r="DK125" s="762">
        <f>IF(OR(WWWW[[#This Row],['#_Non-functional latrines]]="",WWWW[[#This Row],['#_Non-functional latrines]]=0),0,WWWW[[#This Row],['#_Non-functional latrines]]/(WWWW[[#This Row],['#_Constructed latrines_by_WASHAgencies]]+WWWW[[#This Row],['#_Non Cluster partner latrines]]))</f>
        <v>0</v>
      </c>
      <c r="DL125" s="758">
        <f>IF(500*(WWWW[[#This Row],['#_male hygiene promoters]]+WWWW[[#This Row],['#_female hygiene promoters]])&gt;WWWW[[#This Row],[Total PoP ]],WWWW[[#This Row],[Total PoP ]],500*(WWWW[[#This Row],['#_male hygiene promoters]]+WWWW[[#This Row],['#_female hygiene promoters]]))</f>
        <v>0</v>
      </c>
      <c r="DM12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2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25" s="761">
        <f>IF(WWWW[[#This Row],['# People with access to soap]]&gt;WWWW[[#This Row],['# People with access to Sanity Pads]],WWWW[[#This Row],['# People with access to soap]],WWWW[[#This Row],['# People with access to Sanity Pads]])</f>
        <v>30</v>
      </c>
      <c r="DP125"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25" s="763">
        <f>IF(WWWW[[#This Row],[HRP3]]/WWWW[[#This Row],[Total PoP ]]&gt;1,1,WWWW[[#This Row],[HRP3]]/WWWW[[#This Row],[Total PoP ]])</f>
        <v>0.5</v>
      </c>
      <c r="DR125" s="762">
        <f>1-WWWW[[#This Row],[Hygiene Coverage%]]</f>
        <v>0.5</v>
      </c>
      <c r="DS125" s="760">
        <f>WWWW[[#This Row],['# people reached by regular dedicated hygiene promotion_5]]/WWWW[[#This Row],[Total PoP ]]</f>
        <v>0</v>
      </c>
      <c r="DT12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0.41666666666666669</v>
      </c>
      <c r="DV125" s="761">
        <f>WWWW[[#This Row],['#_Constructed/Existing hand washing stations]]-WWWW[[#This Row],['#_Non-Functional_hand_washing_stations]]</f>
        <v>1</v>
      </c>
      <c r="DW125" s="758">
        <f>IF(WWWW[[#This Row],['# Functional hand washing stations during reporting period]]*20&gt;WWWW[[#This Row],[Total HH]],WWWW[[#This Row],[Total HH]],WWWW[[#This Row],['# Functional hand washing stations during reporting period]]*20)</f>
        <v>12</v>
      </c>
      <c r="DX125" s="758">
        <f>IF(WWWW[[#This Row],[Is sufficient soap available for TLS? (Yes/No)]]="yes",WWWW[[#This Row],['#_Constructed/Existing hand washing stations at TLS/CFS/THF]],0)</f>
        <v>0</v>
      </c>
      <c r="DY125" s="429">
        <f>IF(WWWW[[#This Row],['# Functional hand washing stations during reporting period]]*100&gt;WWWW[[#This Row],[Total PoP ]],WWWW[[#This Row],[Total PoP ]],WWWW[[#This Row],['# Functional hand washing stations during reporting period]]*100)</f>
        <v>60</v>
      </c>
      <c r="DZ125" s="429" t="str">
        <f>IF(OR(WWWW[[#This Row],['#_students at TLS_CFS]]="",WWWW[[#This Row],['#_students at TLS_CFS]]=0),"No","Yes")</f>
        <v>No</v>
      </c>
      <c r="EA12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5" s="754" t="str">
        <f>VLOOKUP(WWWW[[#This Row],[Site Name]],SiteDB6[[Site Name]:[CCCM Management]],6,FALSE)</f>
        <v>Yes</v>
      </c>
      <c r="EF125" s="754" t="str">
        <f>VLOOKUP(WWWW[[#This Row],[Site Name]],SiteDB6[[Site Name]:[CCCM Focal Agency]],7,FALSE)</f>
        <v>Shalom</v>
      </c>
      <c r="EG125" s="754" t="str">
        <f>VLOOKUP(WWWW[[#This Row],[Site Name]],SiteDB6[[Site Name]:[Location Type 1]],9,FALSE)</f>
        <v>Camp</v>
      </c>
      <c r="EH125" s="754" t="str">
        <f>VLOOKUP(WWWW[[#This Row],[Site Name]],SiteDB6[[Site Name]:[Type of Accommodation]],10,FALSE)</f>
        <v>Camp</v>
      </c>
      <c r="EI125" s="754" t="str">
        <f>VLOOKUP(WWWW[[#This Row],[Site Name]],SiteDB6[[Site Name]:[Ethnic or GCA/NGCA]],11,FALSE)</f>
        <v>GCA</v>
      </c>
      <c r="EJ125" s="754">
        <f>VLOOKUP(WWWW[[#This Row],[Site Name]],SiteDB6[[Site Name]:[Lat]],12,FALSE)</f>
        <v>24.154199999999999</v>
      </c>
      <c r="EK125" s="754">
        <f>VLOOKUP(WWWW[[#This Row],[Site Name]],SiteDB6[[Site Name]:[Long]],13,FALSE)</f>
        <v>97.160600000000002</v>
      </c>
      <c r="EL125" s="754" t="str">
        <f>VLOOKUP(WWWW[[#This Row],[Site Name]],SiteDB6[[Site Name]:[Pcode]],3,FALSE)</f>
        <v>MMR001CMP281</v>
      </c>
      <c r="EM125" s="759" t="str">
        <f t="shared" si="1"/>
        <v>Notcovered</v>
      </c>
      <c r="EN125" s="759"/>
      <c r="EO125" s="754">
        <f>VLOOKUP(WWWW[[#This Row],[Site Name]],SiteDB6[[Site Name]:[Pop
(Kachin/Shan-CCCM as of July 2021)]],16,FALSE)</f>
        <v>97</v>
      </c>
      <c r="EP125" s="754">
        <f>VLOOKUP(WWWW[[#This Row],[Site Name]],SiteDB6[[Site Name]:[Pop
(Kachin/Shan-CCCM as of July 2021)]],17,FALSE)</f>
        <v>480</v>
      </c>
    </row>
    <row r="126" spans="1:146" hidden="1">
      <c r="A126" s="752" t="s">
        <v>2785</v>
      </c>
      <c r="B126" s="370" t="s">
        <v>309</v>
      </c>
      <c r="C126" s="370" t="s">
        <v>309</v>
      </c>
      <c r="D126" s="753"/>
      <c r="E126" s="753" t="s">
        <v>37</v>
      </c>
      <c r="F126" s="753" t="s">
        <v>195</v>
      </c>
      <c r="G126" s="594" t="str">
        <f>VLOOKUP(WWWW[[#This Row],[Site Name]],SiteDB6[[Site Name]:[Location Type]],8,FALSE)</f>
        <v>Camp_not registered</v>
      </c>
      <c r="H126" s="753" t="s">
        <v>2205</v>
      </c>
      <c r="I126" s="755"/>
      <c r="J126" s="755"/>
      <c r="K126" s="756">
        <v>43833</v>
      </c>
      <c r="L126" s="757">
        <v>44620</v>
      </c>
      <c r="M126" s="755"/>
      <c r="N126" s="755"/>
      <c r="O126" s="755"/>
      <c r="P126" s="755"/>
      <c r="Q126" s="758" t="s">
        <v>41</v>
      </c>
      <c r="R126" s="755"/>
      <c r="S126" s="755"/>
      <c r="T126" s="449"/>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9"/>
      <c r="AQ126" s="755">
        <v>8</v>
      </c>
      <c r="AR126" s="755"/>
      <c r="AS126" s="760"/>
      <c r="AT126" s="755"/>
      <c r="AU126" s="755"/>
      <c r="AV126" s="755"/>
      <c r="AW126" s="755"/>
      <c r="AX126" s="755"/>
      <c r="AY126" s="754" t="s">
        <v>41</v>
      </c>
      <c r="AZ126" s="759" t="s">
        <v>140</v>
      </c>
      <c r="BA126" s="755"/>
      <c r="BB126" s="755"/>
      <c r="BC126" s="755"/>
      <c r="BD126" s="449"/>
      <c r="BE126" s="449"/>
      <c r="BF126" s="754"/>
      <c r="BG126" s="755">
        <v>1</v>
      </c>
      <c r="BH126" s="755"/>
      <c r="BI126" s="755"/>
      <c r="BJ126" s="755">
        <v>3</v>
      </c>
      <c r="BK126" s="755"/>
      <c r="BL126" s="755"/>
      <c r="BM126" s="755"/>
      <c r="BN126" s="755">
        <v>41</v>
      </c>
      <c r="BO126" s="755">
        <v>85</v>
      </c>
      <c r="BP126" s="754"/>
      <c r="BQ126" s="761"/>
      <c r="BR126" s="760"/>
      <c r="BS126" s="754"/>
      <c r="BT126" s="424"/>
      <c r="BU126" s="424"/>
      <c r="BV126" s="426"/>
      <c r="BW126" s="424"/>
      <c r="BX126" s="449"/>
      <c r="BY126" s="449"/>
      <c r="BZ126" s="449"/>
      <c r="CA126" s="449"/>
      <c r="CB126" s="449"/>
      <c r="CC126" s="807"/>
      <c r="CD126" s="449"/>
      <c r="CE126" s="762" t="str">
        <f>IFERROR(WWWW[[#This Row],['#_Water sources passed]]/WWWW[[#This Row],['#_Water sources tested for fecal coliform ]],"no test")</f>
        <v>no test</v>
      </c>
      <c r="CF126" s="760" t="str">
        <f>IFERROR(WWWW[[#This Row],['#_Household passed]]/WWWW[[#This Row],['#_Household water samples tested for fecal coliform]],"no test")</f>
        <v>no test</v>
      </c>
      <c r="CG126" s="761" t="str">
        <f>IF(AND(WWWW[[#This Row],[% of water sources passed]]="no test",WWWW[[#This Row],[% Household passed]]="no test"),"No Test","Tested")</f>
        <v>No Test</v>
      </c>
      <c r="CH126" s="761">
        <f>WWWW[[#This Row],['#_Constructed/existing protected hand dug well]]-WWWW[[#This Row],['#_Non-functional protected hand dug well]]</f>
        <v>0</v>
      </c>
      <c r="CI126" s="761">
        <f>(WWWW[[#This Row],['#_Constructed/Existing tube wells/boreholes/handpumps_WASH_agency]]+WWWW[[#This Row],['#_Non-Cluster partner water tube-wells/boreholes/handpumps]])-WWWW[[#This Row],['#_Non-functional tube wells/boreholes/handpumps]]</f>
        <v>0</v>
      </c>
      <c r="CJ126" s="761">
        <f>WWWW[[#This Row],['#_Constructed/Existingwater storage tank with gravity fed reticulation system]]-WWWW[[#This Row],['#_Non-functional storage tank gravity fed reticulation system]]</f>
        <v>0</v>
      </c>
      <c r="CK126" s="761">
        <f>(WWWW[[#This Row],['#_Water_Liters_supplied_by_Water boating or water trucking]]/90)/15</f>
        <v>0</v>
      </c>
      <c r="CL126" s="761">
        <f>WWWW[[#This Row],['#_Water_Liters_from_Constructed/Existing water distribution system from river or natural spring]]/90/15</f>
        <v>0</v>
      </c>
      <c r="CM126" s="425">
        <f>IF(WWWW[[#This Row],['#_of water points in TLS/CFS]]*500&gt;WWWW[[#This Row],[Total PoP ]],WWWW[[#This Row],[Total PoP ]],WWWW[[#This Row],['#_of water points in TLS/CFS]]*500)</f>
        <v>0</v>
      </c>
      <c r="CN126" s="425">
        <f>IF(WWWW[[#This Row],['#_of water points in THF]]*500&gt;WWWW[[#This Row],[Total PoP ]],WWWW[[#This Row],[Total PoP ]],WWWW[[#This Row],['#_of water points in THF]]*500)</f>
        <v>0</v>
      </c>
      <c r="CO126" s="762"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26" s="762"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26" s="760" t="str">
        <f>IF(WWWW[[#This Row],[Location Type 1]]="Village",WWWW[[#This Row],[Access to safe drinking water for Village]],WWWW[[#This Row],[Access to safe drinking water for Camp]])</f>
        <v/>
      </c>
      <c r="CR126" s="758"/>
      <c r="CS126" s="760"/>
      <c r="CT126" s="758">
        <f>WWWW[[#This Row],[% Access to unimproved water points]]*WWWW[[#This Row],[Total PoP ]]</f>
        <v>0</v>
      </c>
      <c r="CU126" s="760"/>
      <c r="CV126" s="758"/>
      <c r="CW126" s="758">
        <f>WWWW[[#This Row],[HRP1]]/500</f>
        <v>0</v>
      </c>
      <c r="CX126" s="763"/>
      <c r="CY126" s="758"/>
      <c r="CZ126" s="761">
        <f>IF(WWWW[[#This Row],[Total required water points]]-WWWW[[#This Row],['#Water points coverage]]&lt;0,0,WWWW[[#This Row],[Total required water points]]-WWWW[[#This Row],['#Water points coverage]])</f>
        <v>1</v>
      </c>
      <c r="DA126" s="761">
        <f>ROUND(IF(WWWW[[#This Row],[Total PoP ]]&lt;500,1,WWWW[[#This Row],[Total PoP ]]/500),0)</f>
        <v>1</v>
      </c>
      <c r="DB126" s="761">
        <f>(WWWW[[#This Row],['#_Constructed latrines_by_WASHAgencies]]+WWWW[[#This Row],['#_Non Cluster partner latrines]])-WWWW[[#This Row],['#_Non-functional latrines]]</f>
        <v>8</v>
      </c>
      <c r="DC126" s="634"/>
      <c r="DD12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6" s="425">
        <f>IF(WWWW[[#This Row],['# of functional latrines in THF supported by WASH partners during the reporting period2]]="",0,WWWW[[#This Row],['# of functional latrines in THF supported by WASH partners during the reporting period2]]*50)</f>
        <v>0</v>
      </c>
      <c r="DH126" s="761">
        <f>ROUND(IF(WWWW[[#This Row],[Location Type 1]]="camp",WWWW[[#This Row],[Total PoP ]]/20,IF(WWWW[[#This Row],[Location Type 1]]="Temporary Location",WWWW[[#This Row],[Total PoP ]]/50,(WWWW[[#This Row],[Total PoP ]]/6))),0)</f>
        <v>0</v>
      </c>
      <c r="DI126" s="761">
        <f>IF(WWWW[[#This Row],[Total required Latrines]]-(WWWW[[#This Row],['#_Constructed latrines_by_WASHAgencies]]+WWWW[[#This Row],['#_Non Cluster partner latrines]])&lt;0,0,WWWW[[#This Row],[Total required Latrines]]-(WWWW[[#This Row],['#_Constructed latrines_by_WASHAgencies]]+WWWW[[#This Row],['#_Non Cluster partner latrines]]))</f>
        <v>0</v>
      </c>
      <c r="DJ126" s="763"/>
      <c r="DK126" s="762"/>
      <c r="DL126" s="758">
        <f>IF(500*(WWWW[[#This Row],['#_male hygiene promoters]]+WWWW[[#This Row],['#_female hygiene promoters]])&gt;WWWW[[#This Row],[Total PoP ]],WWWW[[#This Row],[Total PoP ]],500*(WWWW[[#This Row],['#_male hygiene promoters]]+WWWW[[#This Row],['#_female hygiene promoters]]))</f>
        <v>0</v>
      </c>
      <c r="DM12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2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26" s="761">
        <f>IF(WWWW[[#This Row],['# People with access to soap]]&gt;WWWW[[#This Row],['# People with access to Sanity Pads]],WWWW[[#This Row],['# People with access to soap]],WWWW[[#This Row],['# People with access to Sanity Pads]])</f>
        <v>0</v>
      </c>
      <c r="DP126" s="761">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26" s="763"/>
      <c r="DR126" s="762"/>
      <c r="DS126" s="760"/>
      <c r="DT126" s="762"/>
      <c r="DU126" s="760"/>
      <c r="DV126" s="761">
        <f>WWWW[[#This Row],['#_Constructed/Existing hand washing stations]]-WWWW[[#This Row],['#_Non-Functional_hand_washing_stations]]</f>
        <v>1</v>
      </c>
      <c r="DW126" s="758">
        <f>IF(WWWW[[#This Row],['# Functional hand washing stations during reporting period]]*20&gt;WWWW[[#This Row],[Total HH]],WWWW[[#This Row],[Total HH]],WWWW[[#This Row],['# Functional hand washing stations during reporting period]]*20)</f>
        <v>0</v>
      </c>
      <c r="DX126" s="758">
        <f>IF(WWWW[[#This Row],[Is sufficient soap available for TLS? (Yes/No)]]="yes",WWWW[[#This Row],['#_Constructed/Existing hand washing stations at TLS/CFS/THF]],0)</f>
        <v>0</v>
      </c>
      <c r="DY126" s="429">
        <f>IF(WWWW[[#This Row],['# Functional hand washing stations during reporting period]]*100&gt;WWWW[[#This Row],[Total PoP ]],WWWW[[#This Row],[Total PoP ]],WWWW[[#This Row],['# Functional hand washing stations during reporting period]]*100)</f>
        <v>0</v>
      </c>
      <c r="DZ126" s="429" t="str">
        <f>IF(OR(WWWW[[#This Row],['#_students at TLS_CFS]]="",WWWW[[#This Row],['#_students at TLS_CFS]]=0),"No","Yes")</f>
        <v>No</v>
      </c>
      <c r="EA12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6" s="754">
        <f>VLOOKUP(WWWW[[#This Row],[Site Name]],SiteDB6[[Site Name]:[CCCM Management]],6,FALSE)</f>
        <v>0</v>
      </c>
      <c r="EF126" s="754">
        <f>VLOOKUP(WWWW[[#This Row],[Site Name]],SiteDB6[[Site Name]:[CCCM Focal Agency]],7,FALSE)</f>
        <v>0</v>
      </c>
      <c r="EG126" s="754" t="str">
        <f>VLOOKUP(WWWW[[#This Row],[Site Name]],SiteDB6[[Site Name]:[Location Type 1]],9,FALSE)</f>
        <v>Camp</v>
      </c>
      <c r="EH126" s="754" t="str">
        <f>VLOOKUP(WWWW[[#This Row],[Site Name]],SiteDB6[[Site Name]:[Type of Accommodation]],10,FALSE)</f>
        <v>School</v>
      </c>
      <c r="EI126" s="754" t="str">
        <f>VLOOKUP(WWWW[[#This Row],[Site Name]],SiteDB6[[Site Name]:[Ethnic or GCA/NGCA]],11,FALSE)</f>
        <v>GCA</v>
      </c>
      <c r="EJ126" s="754">
        <f>VLOOKUP(WWWW[[#This Row],[Site Name]],SiteDB6[[Site Name]:[Lat]],12,FALSE)</f>
        <v>0</v>
      </c>
      <c r="EK126" s="754">
        <f>VLOOKUP(WWWW[[#This Row],[Site Name]],SiteDB6[[Site Name]:[Long]],13,FALSE)</f>
        <v>0</v>
      </c>
      <c r="EL126" s="754">
        <f>VLOOKUP(WWWW[[#This Row],[Site Name]],SiteDB6[[Site Name]:[Pcode]],3,FALSE)</f>
        <v>0</v>
      </c>
      <c r="EM126" s="759" t="str">
        <f t="shared" si="1"/>
        <v>Notcovered</v>
      </c>
      <c r="EN126" s="759"/>
      <c r="EO126" s="754">
        <f>VLOOKUP(WWWW[[#This Row],[Site Name]],SiteDB6[[Site Name]:[Pop
(Kachin/Shan-CCCM as of July 2021)]],16,FALSE)</f>
        <v>0</v>
      </c>
      <c r="EP126" s="754">
        <f>VLOOKUP(WWWW[[#This Row],[Site Name]],SiteDB6[[Site Name]:[Pop
(Kachin/Shan-CCCM as of July 2021)]],17,FALSE)</f>
        <v>0</v>
      </c>
    </row>
    <row r="127" spans="1:146" hidden="1">
      <c r="A127" s="752" t="s">
        <v>2785</v>
      </c>
      <c r="B127" s="752" t="s">
        <v>309</v>
      </c>
      <c r="C127" s="753" t="s">
        <v>309</v>
      </c>
      <c r="D127" s="753"/>
      <c r="E127" s="753" t="s">
        <v>37</v>
      </c>
      <c r="F127" s="753" t="s">
        <v>195</v>
      </c>
      <c r="G127" s="594" t="str">
        <f>VLOOKUP(WWWW[[#This Row],[Site Name]],SiteDB6[[Site Name]:[Location Type]],8,FALSE)</f>
        <v>Camp</v>
      </c>
      <c r="H127" s="753" t="s">
        <v>3044</v>
      </c>
      <c r="I127" s="755">
        <v>181</v>
      </c>
      <c r="J127" s="755">
        <v>906</v>
      </c>
      <c r="K127" s="756" t="s">
        <v>2672</v>
      </c>
      <c r="L127" s="757" t="s">
        <v>2673</v>
      </c>
      <c r="M127" s="755"/>
      <c r="N127" s="755"/>
      <c r="O127" s="755"/>
      <c r="P127" s="755"/>
      <c r="Q127" s="758"/>
      <c r="R127" s="755"/>
      <c r="S127" s="755">
        <v>4</v>
      </c>
      <c r="T127" s="449"/>
      <c r="U127" s="755"/>
      <c r="V127" s="755"/>
      <c r="W127" s="755"/>
      <c r="X127" s="755"/>
      <c r="Y127" s="755"/>
      <c r="Z127" s="755"/>
      <c r="AA127" s="755"/>
      <c r="AB127" s="755"/>
      <c r="AC127" s="755"/>
      <c r="AD127" s="755"/>
      <c r="AE127" s="755"/>
      <c r="AF127" s="755"/>
      <c r="AG127" s="755"/>
      <c r="AH127" s="755"/>
      <c r="AI127" s="755"/>
      <c r="AJ127" s="755"/>
      <c r="AK127" s="755"/>
      <c r="AL127" s="755"/>
      <c r="AM127" s="755"/>
      <c r="AN127" s="755"/>
      <c r="AO127" s="755"/>
      <c r="AP127" s="759"/>
      <c r="AQ127" s="755"/>
      <c r="AR127" s="755"/>
      <c r="AS127" s="760"/>
      <c r="AT127" s="755"/>
      <c r="AU127" s="755"/>
      <c r="AV127" s="755"/>
      <c r="AW127" s="755"/>
      <c r="AX127" s="755"/>
      <c r="AY127" s="426" t="s">
        <v>140</v>
      </c>
      <c r="AZ127" s="891" t="s">
        <v>140</v>
      </c>
      <c r="BA127" s="755"/>
      <c r="BB127" s="755"/>
      <c r="BC127" s="755"/>
      <c r="BD127" s="449"/>
      <c r="BE127" s="449"/>
      <c r="BF127" s="754"/>
      <c r="BG127" s="755">
        <v>7</v>
      </c>
      <c r="BH127" s="755"/>
      <c r="BI127" s="755"/>
      <c r="BJ127" s="755">
        <v>7</v>
      </c>
      <c r="BK127" s="755"/>
      <c r="BL127" s="755"/>
      <c r="BM127" s="755"/>
      <c r="BN127" s="755">
        <v>104</v>
      </c>
      <c r="BO127" s="755">
        <v>148</v>
      </c>
      <c r="BP127" s="754"/>
      <c r="BQ127" s="761"/>
      <c r="BR127" s="760"/>
      <c r="BS127" s="754"/>
      <c r="BT127" s="424"/>
      <c r="BU127" s="424"/>
      <c r="BV127" s="426"/>
      <c r="BW127" s="424"/>
      <c r="BX127" s="449"/>
      <c r="BY127" s="449"/>
      <c r="BZ127" s="449"/>
      <c r="CA127" s="449"/>
      <c r="CB127" s="449"/>
      <c r="CC127" s="807"/>
      <c r="CD127" s="449"/>
      <c r="CE127" s="762" t="str">
        <f>IFERROR(WWWW[[#This Row],['#_Water sources passed]]/WWWW[[#This Row],['#_Water sources tested for fecal coliform ]],"no test")</f>
        <v>no test</v>
      </c>
      <c r="CF127" s="760" t="str">
        <f>IFERROR(WWWW[[#This Row],['#_Household passed]]/WWWW[[#This Row],['#_Household water samples tested for fecal coliform]],"no test")</f>
        <v>no test</v>
      </c>
      <c r="CG127" s="761" t="str">
        <f>IF(AND(WWWW[[#This Row],[% of water sources passed]]="no test",WWWW[[#This Row],[% Household passed]]="no test"),"No Test","Tested")</f>
        <v>No Test</v>
      </c>
      <c r="CH127" s="761">
        <f>WWWW[[#This Row],['#_Constructed/existing protected hand dug well]]-WWWW[[#This Row],['#_Non-functional protected hand dug well]]</f>
        <v>0</v>
      </c>
      <c r="CI127" s="761">
        <f>(WWWW[[#This Row],['#_Constructed/Existing tube wells/boreholes/handpumps_WASH_agency]]+WWWW[[#This Row],['#_Non-Cluster partner water tube-wells/boreholes/handpumps]])-WWWW[[#This Row],['#_Non-functional tube wells/boreholes/handpumps]]</f>
        <v>0</v>
      </c>
      <c r="CJ127" s="761">
        <f>WWWW[[#This Row],['#_Constructed/Existingwater storage tank with gravity fed reticulation system]]-WWWW[[#This Row],['#_Non-functional storage tank gravity fed reticulation system]]</f>
        <v>0</v>
      </c>
      <c r="CK127" s="761">
        <f>(WWWW[[#This Row],['#_Water_Liters_supplied_by_Water boating or water trucking]]/90)/15</f>
        <v>0</v>
      </c>
      <c r="CL127" s="761">
        <f>WWWW[[#This Row],['#_Water_Liters_from_Constructed/Existing water distribution system from river or natural spring]]/90/15</f>
        <v>0</v>
      </c>
      <c r="CM127" s="425">
        <f>IF(WWWW[[#This Row],['#_of water points in TLS/CFS]]*500&gt;WWWW[[#This Row],[Total PoP ]],WWWW[[#This Row],[Total PoP ]],WWWW[[#This Row],['#_of water points in TLS/CFS]]*500)</f>
        <v>0</v>
      </c>
      <c r="CN127" s="425">
        <f>IF(WWWW[[#This Row],['#_of water points in THF]]*500&gt;WWWW[[#This Row],[Total PoP ]],WWWW[[#This Row],[Total PoP ]],WWWW[[#This Row],['#_of water points in THF]]*500)</f>
        <v>0</v>
      </c>
      <c r="CO12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7" s="760">
        <f>IF(WWWW[[#This Row],[Location Type 1]]="Village",WWWW[[#This Row],[Access to safe drinking water for Village]],WWWW[[#This Row],[Access to safe drinking water for Camp]])</f>
        <v>0</v>
      </c>
      <c r="CR127" s="758">
        <f>WWWW[[#This Row],[%Equitable and continuous access to sufficient quantity of safe drinking water]]*WWWW[[#This Row],[Total PoP ]]</f>
        <v>0</v>
      </c>
      <c r="CS127" s="760">
        <f>IF((WWWW[[#This Row],['#_Constructed/Existing protected/fenced ponds]]*250)/WWWW[[#This Row],[Total PoP ]]&gt;1,1,(WWWW[[#This Row],['#_Constructed/Existing protected/fenced ponds]]*250)/WWWW[[#This Row],[Total PoP ]])</f>
        <v>0</v>
      </c>
      <c r="CT127" s="758">
        <f>WWWW[[#This Row],[% Access to unimproved water points]]*WWWW[[#This Row],[Total PoP ]]</f>
        <v>0</v>
      </c>
      <c r="CU12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7" s="758">
        <f>WWWW[[#This Row],[HRP1]]/500</f>
        <v>0</v>
      </c>
      <c r="CX127" s="763">
        <f>1-WWWW[[#This Row],[% Equitable and continuous access to sufficient quantity of domestic water]]</f>
        <v>1</v>
      </c>
      <c r="CY127" s="758">
        <f>WWWW[[#This Row],[%equitable and continuous access to sufficient quantity of safe drinking and domestic water''s GAP]]*WWWW[[#This Row],[Total PoP ]]</f>
        <v>906</v>
      </c>
      <c r="CZ127" s="761">
        <f>IF(WWWW[[#This Row],[Total required water points]]-WWWW[[#This Row],['#Water points coverage]]&lt;0,0,WWWW[[#This Row],[Total required water points]]-WWWW[[#This Row],['#Water points coverage]])</f>
        <v>2</v>
      </c>
      <c r="DA127" s="761">
        <f>ROUND(IF(WWWW[[#This Row],[Total PoP ]]&lt;500,1,WWWW[[#This Row],[Total PoP ]]/500),0)</f>
        <v>2</v>
      </c>
      <c r="DB127" s="761">
        <f>(WWWW[[#This Row],['#_Constructed latrines_by_WASHAgencies]]+WWWW[[#This Row],['#_Non Cluster partner latrines]])-WWWW[[#This Row],['#_Non-functional latrines]]</f>
        <v>0</v>
      </c>
      <c r="DC127" s="634">
        <f>WWWW[[#This Row],[HRP2]]/WWWW[[#This Row],[Total PoP ]]</f>
        <v>0</v>
      </c>
      <c r="DD12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7" s="425">
        <f>IF(WWWW[[#This Row],['# of functional latrines in THF supported by WASH partners during the reporting period2]]="",0,WWWW[[#This Row],['# of functional latrines in THF supported by WASH partners during the reporting period2]]*50)</f>
        <v>0</v>
      </c>
      <c r="DH127" s="761">
        <f>ROUND(IF(WWWW[[#This Row],[Location Type 1]]="camp",WWWW[[#This Row],[Total PoP ]]/20,IF(WWWW[[#This Row],[Location Type 1]]="Temporary Location",WWWW[[#This Row],[Total PoP ]]/50,(WWWW[[#This Row],[Total PoP ]]/6))),0)</f>
        <v>45</v>
      </c>
      <c r="DI127" s="761">
        <f>IF(WWWW[[#This Row],[Total required Latrines]]-(WWWW[[#This Row],['#_Constructed latrines_by_WASHAgencies]]+WWWW[[#This Row],['#_Non Cluster partner latrines]])&lt;0,0,WWWW[[#This Row],[Total required Latrines]]-(WWWW[[#This Row],['#_Constructed latrines_by_WASHAgencies]]+WWWW[[#This Row],['#_Non Cluster partner latrines]]))</f>
        <v>45</v>
      </c>
      <c r="DJ127" s="763">
        <f>1-WWWW[[#This Row],[% people access to functioning Latrine]]</f>
        <v>1</v>
      </c>
      <c r="DK127" s="762">
        <f>IF(OR(WWWW[[#This Row],['#_Non-functional latrines]]="",WWWW[[#This Row],['#_Non-functional latrines]]=0),0,WWWW[[#This Row],['#_Non-functional latrines]]/(WWWW[[#This Row],['#_Constructed latrines_by_WASHAgencies]]+WWWW[[#This Row],['#_Non Cluster partner latrines]]))</f>
        <v>0</v>
      </c>
      <c r="DL127" s="758">
        <f>IF(500*(WWWW[[#This Row],['#_male hygiene promoters]]+WWWW[[#This Row],['#_female hygiene promoters]])&gt;WWWW[[#This Row],[Total PoP ]],WWWW[[#This Row],[Total PoP ]],500*(WWWW[[#This Row],['#_male hygiene promoters]]+WWWW[[#This Row],['#_female hygiene promoters]]))</f>
        <v>0</v>
      </c>
      <c r="DM12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12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27" s="761">
        <f>IF(WWWW[[#This Row],['# People with access to soap]]&gt;WWWW[[#This Row],['# People with access to Sanity Pads]],WWWW[[#This Row],['# People with access to soap]],WWWW[[#This Row],['# People with access to Sanity Pads]])</f>
        <v>520</v>
      </c>
      <c r="DP127" s="761">
        <f>IF(WWWW[[#This Row],['# people reached by regular dedicated hygiene promotion_5]]&gt;WWWW[[#This Row],['# People received regular supply of hygiene items_6]],WWWW[[#This Row],['# people reached by regular dedicated hygiene promotion_5]],WWWW[[#This Row],['# People received regular supply of hygiene items_6]])</f>
        <v>520</v>
      </c>
      <c r="DQ127" s="763">
        <f>IF(WWWW[[#This Row],[HRP3]]/WWWW[[#This Row],[Total PoP ]]&gt;1,1,WWWW[[#This Row],[HRP3]]/WWWW[[#This Row],[Total PoP ]])</f>
        <v>0.57395143487858724</v>
      </c>
      <c r="DR127" s="762">
        <f>1-WWWW[[#This Row],[Hygiene Coverage%]]</f>
        <v>0.42604856512141276</v>
      </c>
      <c r="DS127" s="760">
        <f>WWWW[[#This Row],['# people reached by regular dedicated hygiene promotion_5]]/WWWW[[#This Row],[Total PoP ]]</f>
        <v>0</v>
      </c>
      <c r="DT12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0.81767955801104975</v>
      </c>
      <c r="DV127" s="761">
        <f>WWWW[[#This Row],['#_Constructed/Existing hand washing stations]]-WWWW[[#This Row],['#_Non-Functional_hand_washing_stations]]</f>
        <v>7</v>
      </c>
      <c r="DW127" s="758">
        <f>IF(WWWW[[#This Row],['# Functional hand washing stations during reporting period]]*20&gt;WWWW[[#This Row],[Total HH]],WWWW[[#This Row],[Total HH]],WWWW[[#This Row],['# Functional hand washing stations during reporting period]]*20)</f>
        <v>140</v>
      </c>
      <c r="DX127" s="758">
        <f>IF(WWWW[[#This Row],[Is sufficient soap available for TLS? (Yes/No)]]="yes",WWWW[[#This Row],['#_Constructed/Existing hand washing stations at TLS/CFS/THF]],0)</f>
        <v>0</v>
      </c>
      <c r="DY127" s="429">
        <f>IF(WWWW[[#This Row],['# Functional hand washing stations during reporting period]]*100&gt;WWWW[[#This Row],[Total PoP ]],WWWW[[#This Row],[Total PoP ]],WWWW[[#This Row],['# Functional hand washing stations during reporting period]]*100)</f>
        <v>700</v>
      </c>
      <c r="DZ127" s="429" t="str">
        <f>IF(OR(WWWW[[#This Row],['#_students at TLS_CFS]]="",WWWW[[#This Row],['#_students at TLS_CFS]]=0),"No","Yes")</f>
        <v>No</v>
      </c>
      <c r="EA12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7" s="754">
        <f>VLOOKUP(WWWW[[#This Row],[Site Name]],SiteDB6[[Site Name]:[CCCM Management]],6,FALSE)</f>
        <v>0</v>
      </c>
      <c r="EF127" s="754" t="str">
        <f>VLOOKUP(WWWW[[#This Row],[Site Name]],SiteDB6[[Site Name]:[CCCM Focal Agency]],7,FALSE)</f>
        <v>uncovered</v>
      </c>
      <c r="EG127" s="754" t="str">
        <f>VLOOKUP(WWWW[[#This Row],[Site Name]],SiteDB6[[Site Name]:[Location Type 1]],9,FALSE)</f>
        <v>Camp</v>
      </c>
      <c r="EH127" s="754" t="str">
        <f>VLOOKUP(WWWW[[#This Row],[Site Name]],SiteDB6[[Site Name]:[Type of Accommodation]],10,FALSE)</f>
        <v>IDPs in host</v>
      </c>
      <c r="EI127" s="754" t="str">
        <f>VLOOKUP(WWWW[[#This Row],[Site Name]],SiteDB6[[Site Name]:[Ethnic or GCA/NGCA]],11,FALSE)</f>
        <v>GCA</v>
      </c>
      <c r="EJ127" s="754">
        <f>VLOOKUP(WWWW[[#This Row],[Site Name]],SiteDB6[[Site Name]:[Lat]],12,FALSE)</f>
        <v>24.263786</v>
      </c>
      <c r="EK127" s="754">
        <f>VLOOKUP(WWWW[[#This Row],[Site Name]],SiteDB6[[Site Name]:[Long]],13,FALSE)</f>
        <v>97.228835000000004</v>
      </c>
      <c r="EL127" s="754" t="str">
        <f>VLOOKUP(WWWW[[#This Row],[Site Name]],SiteDB6[[Site Name]:[Pcode]],3,FALSE)</f>
        <v>MMR001CMP163</v>
      </c>
      <c r="EM127" s="759" t="str">
        <f t="shared" si="1"/>
        <v>Notcovered</v>
      </c>
      <c r="EN127" s="759"/>
      <c r="EO127" s="754">
        <f>VLOOKUP(WWWW[[#This Row],[Site Name]],SiteDB6[[Site Name]:[Pop
(Kachin/Shan-CCCM as of July 2021)]],16,FALSE)</f>
        <v>65</v>
      </c>
      <c r="EP127" s="754">
        <f>VLOOKUP(WWWW[[#This Row],[Site Name]],SiteDB6[[Site Name]:[Pop
(Kachin/Shan-CCCM as of July 2021)]],17,FALSE)</f>
        <v>337</v>
      </c>
    </row>
    <row r="128" spans="1:146" hidden="1">
      <c r="A128" s="752" t="s">
        <v>2785</v>
      </c>
      <c r="B128" s="752" t="s">
        <v>309</v>
      </c>
      <c r="C128" s="753" t="s">
        <v>309</v>
      </c>
      <c r="D128" s="816"/>
      <c r="E128" s="816" t="s">
        <v>37</v>
      </c>
      <c r="F128" s="816" t="s">
        <v>195</v>
      </c>
      <c r="G128" s="594" t="str">
        <f>VLOOKUP(WWWW[[#This Row],[Site Name]],SiteDB6[[Site Name]:[Location Type]],8,FALSE)</f>
        <v>Camp</v>
      </c>
      <c r="H128" s="816" t="s">
        <v>2795</v>
      </c>
      <c r="I128" s="818">
        <v>40</v>
      </c>
      <c r="J128" s="818">
        <v>168</v>
      </c>
      <c r="K128" s="819"/>
      <c r="L128" s="820"/>
      <c r="M128" s="818"/>
      <c r="N128" s="818"/>
      <c r="O128" s="818"/>
      <c r="P128" s="818"/>
      <c r="Q128" s="821"/>
      <c r="R128" s="818"/>
      <c r="S128" s="818"/>
      <c r="T128" s="449"/>
      <c r="U128" s="818"/>
      <c r="V128" s="818"/>
      <c r="W128" s="818"/>
      <c r="X128" s="818"/>
      <c r="Y128" s="818"/>
      <c r="Z128" s="818"/>
      <c r="AA128" s="818"/>
      <c r="AB128" s="818"/>
      <c r="AC128" s="818"/>
      <c r="AD128" s="818"/>
      <c r="AE128" s="818"/>
      <c r="AF128" s="818"/>
      <c r="AG128" s="818"/>
      <c r="AH128" s="818"/>
      <c r="AI128" s="818"/>
      <c r="AJ128" s="818"/>
      <c r="AK128" s="818"/>
      <c r="AL128" s="818"/>
      <c r="AM128" s="818"/>
      <c r="AN128" s="818"/>
      <c r="AO128" s="818"/>
      <c r="AP128" s="822"/>
      <c r="AQ128" s="818"/>
      <c r="AR128" s="818"/>
      <c r="AS128" s="823"/>
      <c r="AT128" s="818"/>
      <c r="AU128" s="818"/>
      <c r="AV128" s="818"/>
      <c r="AW128" s="818"/>
      <c r="AX128" s="818"/>
      <c r="AY128" s="426" t="s">
        <v>140</v>
      </c>
      <c r="AZ128" s="891" t="s">
        <v>140</v>
      </c>
      <c r="BA128" s="818"/>
      <c r="BB128" s="818"/>
      <c r="BC128" s="818"/>
      <c r="BD128" s="449"/>
      <c r="BE128" s="449"/>
      <c r="BF128" s="817"/>
      <c r="BG128" s="818">
        <v>8</v>
      </c>
      <c r="BH128" s="818"/>
      <c r="BI128" s="818"/>
      <c r="BJ128" s="818">
        <v>3</v>
      </c>
      <c r="BK128" s="818"/>
      <c r="BL128" s="818"/>
      <c r="BM128" s="818"/>
      <c r="BN128" s="818">
        <v>91</v>
      </c>
      <c r="BO128" s="818">
        <v>124</v>
      </c>
      <c r="BP128" s="817"/>
      <c r="BQ128" s="824"/>
      <c r="BR128" s="823"/>
      <c r="BS128" s="817"/>
      <c r="BT128" s="424"/>
      <c r="BU128" s="424"/>
      <c r="BV128" s="426"/>
      <c r="BW128" s="424"/>
      <c r="BX128" s="449"/>
      <c r="BY128" s="449"/>
      <c r="BZ128" s="449"/>
      <c r="CA128" s="449"/>
      <c r="CB128" s="449"/>
      <c r="CC128" s="807"/>
      <c r="CD128" s="449"/>
      <c r="CE128" s="825" t="str">
        <f>IFERROR(WWWW[[#This Row],['#_Water sources passed]]/WWWW[[#This Row],['#_Water sources tested for fecal coliform ]],"no test")</f>
        <v>no test</v>
      </c>
      <c r="CF128" s="823" t="str">
        <f>IFERROR(WWWW[[#This Row],['#_Household passed]]/WWWW[[#This Row],['#_Household water samples tested for fecal coliform]],"no test")</f>
        <v>no test</v>
      </c>
      <c r="CG128" s="824" t="str">
        <f>IF(AND(WWWW[[#This Row],[% of water sources passed]]="no test",WWWW[[#This Row],[% Household passed]]="no test"),"No Test","Tested")</f>
        <v>No Test</v>
      </c>
      <c r="CH128" s="824">
        <f>WWWW[[#This Row],['#_Constructed/existing protected hand dug well]]-WWWW[[#This Row],['#_Non-functional protected hand dug well]]</f>
        <v>0</v>
      </c>
      <c r="CI128" s="824">
        <f>(WWWW[[#This Row],['#_Constructed/Existing tube wells/boreholes/handpumps_WASH_agency]]+WWWW[[#This Row],['#_Non-Cluster partner water tube-wells/boreholes/handpumps]])-WWWW[[#This Row],['#_Non-functional tube wells/boreholes/handpumps]]</f>
        <v>0</v>
      </c>
      <c r="CJ128" s="824">
        <f>WWWW[[#This Row],['#_Constructed/Existingwater storage tank with gravity fed reticulation system]]-WWWW[[#This Row],['#_Non-functional storage tank gravity fed reticulation system]]</f>
        <v>0</v>
      </c>
      <c r="CK128" s="824">
        <f>(WWWW[[#This Row],['#_Water_Liters_supplied_by_Water boating or water trucking]]/90)/15</f>
        <v>0</v>
      </c>
      <c r="CL128" s="824">
        <f>WWWW[[#This Row],['#_Water_Liters_from_Constructed/Existing water distribution system from river or natural spring]]/90/15</f>
        <v>0</v>
      </c>
      <c r="CM128" s="425">
        <f>IF(WWWW[[#This Row],['#_of water points in TLS/CFS]]*500&gt;WWWW[[#This Row],[Total PoP ]],WWWW[[#This Row],[Total PoP ]],WWWW[[#This Row],['#_of water points in TLS/CFS]]*500)</f>
        <v>0</v>
      </c>
      <c r="CN128" s="425">
        <f>IF(WWWW[[#This Row],['#_of water points in THF]]*500&gt;WWWW[[#This Row],[Total PoP ]],WWWW[[#This Row],[Total PoP ]],WWWW[[#This Row],['#_of water points in THF]]*500)</f>
        <v>0</v>
      </c>
      <c r="CO128"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28"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28" s="823">
        <f>IF(WWWW[[#This Row],[Location Type 1]]="Village",WWWW[[#This Row],[Access to safe drinking water for Village]],WWWW[[#This Row],[Access to safe drinking water for Camp]])</f>
        <v>0</v>
      </c>
      <c r="CR128" s="821">
        <f>WWWW[[#This Row],[%Equitable and continuous access to sufficient quantity of safe drinking water]]*WWWW[[#This Row],[Total PoP ]]</f>
        <v>0</v>
      </c>
      <c r="CS128" s="823">
        <f>IF((WWWW[[#This Row],['#_Constructed/Existing protected/fenced ponds]]*250)/WWWW[[#This Row],[Total PoP ]]&gt;1,1,(WWWW[[#This Row],['#_Constructed/Existing protected/fenced ponds]]*250)/WWWW[[#This Row],[Total PoP ]])</f>
        <v>0</v>
      </c>
      <c r="CT128" s="821">
        <f>WWWW[[#This Row],[% Access to unimproved water points]]*WWWW[[#This Row],[Total PoP ]]</f>
        <v>0</v>
      </c>
      <c r="CU128"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28"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28" s="821">
        <f>WWWW[[#This Row],[HRP1]]/500</f>
        <v>0</v>
      </c>
      <c r="CX128" s="826">
        <f>1-WWWW[[#This Row],[% Equitable and continuous access to sufficient quantity of domestic water]]</f>
        <v>1</v>
      </c>
      <c r="CY128" s="821">
        <f>WWWW[[#This Row],[%equitable and continuous access to sufficient quantity of safe drinking and domestic water''s GAP]]*WWWW[[#This Row],[Total PoP ]]</f>
        <v>168</v>
      </c>
      <c r="CZ128" s="824">
        <f>IF(WWWW[[#This Row],[Total required water points]]-WWWW[[#This Row],['#Water points coverage]]&lt;0,0,WWWW[[#This Row],[Total required water points]]-WWWW[[#This Row],['#Water points coverage]])</f>
        <v>1</v>
      </c>
      <c r="DA128" s="824">
        <f>ROUND(IF(WWWW[[#This Row],[Total PoP ]]&lt;500,1,WWWW[[#This Row],[Total PoP ]]/500),0)</f>
        <v>1</v>
      </c>
      <c r="DB128" s="824">
        <f>(WWWW[[#This Row],['#_Constructed latrines_by_WASHAgencies]]+WWWW[[#This Row],['#_Non Cluster partner latrines]])-WWWW[[#This Row],['#_Non-functional latrines]]</f>
        <v>0</v>
      </c>
      <c r="DC128" s="634">
        <f>WWWW[[#This Row],[HRP2]]/WWWW[[#This Row],[Total PoP ]]</f>
        <v>0</v>
      </c>
      <c r="DD128"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8"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8"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8" s="425">
        <f>IF(WWWW[[#This Row],['# of functional latrines in THF supported by WASH partners during the reporting period2]]="",0,WWWW[[#This Row],['# of functional latrines in THF supported by WASH partners during the reporting period2]]*50)</f>
        <v>0</v>
      </c>
      <c r="DH128" s="824">
        <f>ROUND(IF(WWWW[[#This Row],[Location Type 1]]="camp",WWWW[[#This Row],[Total PoP ]]/20,IF(WWWW[[#This Row],[Location Type 1]]="Temporary Location",WWWW[[#This Row],[Total PoP ]]/50,(WWWW[[#This Row],[Total PoP ]]/6))),0)</f>
        <v>8</v>
      </c>
      <c r="DI128" s="824">
        <f>IF(WWWW[[#This Row],[Total required Latrines]]-(WWWW[[#This Row],['#_Constructed latrines_by_WASHAgencies]]+WWWW[[#This Row],['#_Non Cluster partner latrines]])&lt;0,0,WWWW[[#This Row],[Total required Latrines]]-(WWWW[[#This Row],['#_Constructed latrines_by_WASHAgencies]]+WWWW[[#This Row],['#_Non Cluster partner latrines]]))</f>
        <v>8</v>
      </c>
      <c r="DJ128" s="826">
        <f>1-WWWW[[#This Row],[% people access to functioning Latrine]]</f>
        <v>1</v>
      </c>
      <c r="DK128" s="825">
        <f>IF(OR(WWWW[[#This Row],['#_Non-functional latrines]]="",WWWW[[#This Row],['#_Non-functional latrines]]=0),0,WWWW[[#This Row],['#_Non-functional latrines]]/(WWWW[[#This Row],['#_Constructed latrines_by_WASHAgencies]]+WWWW[[#This Row],['#_Non Cluster partner latrines]]))</f>
        <v>0</v>
      </c>
      <c r="DL128" s="821">
        <f>IF(500*(WWWW[[#This Row],['#_male hygiene promoters]]+WWWW[[#This Row],['#_female hygiene promoters]])&gt;WWWW[[#This Row],[Total PoP ]],WWWW[[#This Row],[Total PoP ]],500*(WWWW[[#This Row],['#_male hygiene promoters]]+WWWW[[#This Row],['#_female hygiene promoters]]))</f>
        <v>0</v>
      </c>
      <c r="DM128"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128"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28" s="824">
        <f>IF(WWWW[[#This Row],['# People with access to soap]]&gt;WWWW[[#This Row],['# People with access to Sanity Pads]],WWWW[[#This Row],['# People with access to soap]],WWWW[[#This Row],['# People with access to Sanity Pads]])</f>
        <v>168</v>
      </c>
      <c r="DP128" s="824">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128" s="826">
        <f>IF(WWWW[[#This Row],[HRP3]]/WWWW[[#This Row],[Total PoP ]]&gt;1,1,WWWW[[#This Row],[HRP3]]/WWWW[[#This Row],[Total PoP ]])</f>
        <v>1</v>
      </c>
      <c r="DR128" s="825">
        <f>1-WWWW[[#This Row],[Hygiene Coverage%]]</f>
        <v>0</v>
      </c>
      <c r="DS128" s="823">
        <f>WWWW[[#This Row],['# people reached by regular dedicated hygiene promotion_5]]/WWWW[[#This Row],[Total PoP ]]</f>
        <v>0</v>
      </c>
      <c r="DT128"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28"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28" s="824">
        <f>WWWW[[#This Row],['#_Constructed/Existing hand washing stations]]-WWWW[[#This Row],['#_Non-Functional_hand_washing_stations]]</f>
        <v>8</v>
      </c>
      <c r="DW128" s="821">
        <f>IF(WWWW[[#This Row],['# Functional hand washing stations during reporting period]]*20&gt;WWWW[[#This Row],[Total HH]],WWWW[[#This Row],[Total HH]],WWWW[[#This Row],['# Functional hand washing stations during reporting period]]*20)</f>
        <v>40</v>
      </c>
      <c r="DX128" s="821">
        <f>IF(WWWW[[#This Row],[Is sufficient soap available for TLS? (Yes/No)]]="yes",WWWW[[#This Row],['#_Constructed/Existing hand washing stations at TLS/CFS/THF]],0)</f>
        <v>0</v>
      </c>
      <c r="DY128" s="429">
        <f>IF(WWWW[[#This Row],['# Functional hand washing stations during reporting period]]*100&gt;WWWW[[#This Row],[Total PoP ]],WWWW[[#This Row],[Total PoP ]],WWWW[[#This Row],['# Functional hand washing stations during reporting period]]*100)</f>
        <v>168</v>
      </c>
      <c r="DZ128" s="429" t="str">
        <f>IF(OR(WWWW[[#This Row],['#_students at TLS_CFS]]="",WWWW[[#This Row],['#_students at TLS_CFS]]=0),"No","Yes")</f>
        <v>No</v>
      </c>
      <c r="EA12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8" s="817">
        <f>VLOOKUP(WWWW[[#This Row],[Site Name]],SiteDB6[[Site Name]:[CCCM Management]],6,FALSE)</f>
        <v>0</v>
      </c>
      <c r="EF128" s="817">
        <f>VLOOKUP(WWWW[[#This Row],[Site Name]],SiteDB6[[Site Name]:[CCCM Focal Agency]],7,FALSE)</f>
        <v>0</v>
      </c>
      <c r="EG128" s="817" t="str">
        <f>VLOOKUP(WWWW[[#This Row],[Site Name]],SiteDB6[[Site Name]:[Location Type 1]],9,FALSE)</f>
        <v>Camp</v>
      </c>
      <c r="EH128" s="817" t="str">
        <f>VLOOKUP(WWWW[[#This Row],[Site Name]],SiteDB6[[Site Name]:[Type of Accommodation]],10,FALSE)</f>
        <v>Camp</v>
      </c>
      <c r="EI128" s="817" t="str">
        <f>VLOOKUP(WWWW[[#This Row],[Site Name]],SiteDB6[[Site Name]:[Ethnic or GCA/NGCA]],11,FALSE)</f>
        <v>GCA</v>
      </c>
      <c r="EJ128" s="817">
        <f>VLOOKUP(WWWW[[#This Row],[Site Name]],SiteDB6[[Site Name]:[Lat]],12,FALSE)</f>
        <v>24.314934000000001</v>
      </c>
      <c r="EK128" s="817">
        <f>VLOOKUP(WWWW[[#This Row],[Site Name]],SiteDB6[[Site Name]:[Long]],13,FALSE)</f>
        <v>97.305190999999994</v>
      </c>
      <c r="EL128" s="817" t="str">
        <f>VLOOKUP(WWWW[[#This Row],[Site Name]],SiteDB6[[Site Name]:[Pcode]],3,FALSE)</f>
        <v>MMR001CMP285</v>
      </c>
      <c r="EM128" s="822" t="str">
        <f t="shared" si="1"/>
        <v>Notcovered</v>
      </c>
      <c r="EN128" s="822"/>
      <c r="EO128" s="817">
        <f>VLOOKUP(WWWW[[#This Row],[Site Name]],SiteDB6[[Site Name]:[Pop
(Kachin/Shan-CCCM as of July 2021)]],16,FALSE)</f>
        <v>40</v>
      </c>
      <c r="EP128" s="817">
        <f>VLOOKUP(WWWW[[#This Row],[Site Name]],SiteDB6[[Site Name]:[Pop
(Kachin/Shan-CCCM as of July 2021)]],17,FALSE)</f>
        <v>190</v>
      </c>
    </row>
    <row r="129" spans="1:146" hidden="1">
      <c r="A129" s="752" t="s">
        <v>2785</v>
      </c>
      <c r="B129" s="370" t="s">
        <v>309</v>
      </c>
      <c r="C129" s="370" t="s">
        <v>309</v>
      </c>
      <c r="D129" s="753"/>
      <c r="E129" s="753" t="s">
        <v>37</v>
      </c>
      <c r="F129" s="753" t="s">
        <v>195</v>
      </c>
      <c r="G129" s="594" t="str">
        <f>VLOOKUP(WWWW[[#This Row],[Site Name]],SiteDB6[[Site Name]:[Location Type]],8,FALSE)</f>
        <v>Camp_not registered</v>
      </c>
      <c r="H129" s="753" t="s">
        <v>2204</v>
      </c>
      <c r="I129" s="755"/>
      <c r="J129" s="755"/>
      <c r="K129" s="756">
        <v>43833</v>
      </c>
      <c r="L129" s="757">
        <v>44620</v>
      </c>
      <c r="M129" s="755"/>
      <c r="N129" s="755"/>
      <c r="O129" s="755"/>
      <c r="P129" s="755"/>
      <c r="Q129" s="758" t="s">
        <v>41</v>
      </c>
      <c r="R129" s="755"/>
      <c r="S129" s="755"/>
      <c r="T129" s="449"/>
      <c r="U129" s="755"/>
      <c r="V129" s="755"/>
      <c r="W129" s="755">
        <v>5</v>
      </c>
      <c r="X129" s="755"/>
      <c r="Y129" s="755"/>
      <c r="Z129" s="755"/>
      <c r="AA129" s="755"/>
      <c r="AB129" s="755"/>
      <c r="AC129" s="755"/>
      <c r="AD129" s="755"/>
      <c r="AE129" s="755"/>
      <c r="AF129" s="755"/>
      <c r="AG129" s="755"/>
      <c r="AH129" s="755"/>
      <c r="AI129" s="755"/>
      <c r="AJ129" s="755"/>
      <c r="AK129" s="755"/>
      <c r="AL129" s="755"/>
      <c r="AM129" s="755"/>
      <c r="AN129" s="755"/>
      <c r="AO129" s="755"/>
      <c r="AP129" s="759"/>
      <c r="AQ129" s="755">
        <v>18</v>
      </c>
      <c r="AR129" s="755"/>
      <c r="AS129" s="760"/>
      <c r="AT129" s="755"/>
      <c r="AU129" s="755"/>
      <c r="AV129" s="755"/>
      <c r="AW129" s="755"/>
      <c r="AX129" s="755"/>
      <c r="AY129" s="754" t="s">
        <v>41</v>
      </c>
      <c r="AZ129" s="759" t="s">
        <v>140</v>
      </c>
      <c r="BA129" s="755"/>
      <c r="BB129" s="755"/>
      <c r="BC129" s="755"/>
      <c r="BD129" s="449"/>
      <c r="BE129" s="449"/>
      <c r="BF129" s="754"/>
      <c r="BG129" s="755">
        <v>7</v>
      </c>
      <c r="BH129" s="755"/>
      <c r="BI129" s="755"/>
      <c r="BJ129" s="755">
        <v>4</v>
      </c>
      <c r="BK129" s="755"/>
      <c r="BL129" s="755"/>
      <c r="BM129" s="755"/>
      <c r="BN129" s="755">
        <v>124</v>
      </c>
      <c r="BO129" s="755">
        <v>198</v>
      </c>
      <c r="BP129" s="754"/>
      <c r="BQ129" s="761"/>
      <c r="BR129" s="760"/>
      <c r="BS129" s="754"/>
      <c r="BT129" s="424"/>
      <c r="BU129" s="424"/>
      <c r="BV129" s="426"/>
      <c r="BW129" s="424"/>
      <c r="BX129" s="449"/>
      <c r="BY129" s="449"/>
      <c r="BZ129" s="449"/>
      <c r="CA129" s="449"/>
      <c r="CB129" s="449"/>
      <c r="CC129" s="807"/>
      <c r="CD129" s="449"/>
      <c r="CE129" s="762" t="str">
        <f>IFERROR(WWWW[[#This Row],['#_Water sources passed]]/WWWW[[#This Row],['#_Water sources tested for fecal coliform ]],"no test")</f>
        <v>no test</v>
      </c>
      <c r="CF129" s="760" t="str">
        <f>IFERROR(WWWW[[#This Row],['#_Household passed]]/WWWW[[#This Row],['#_Household water samples tested for fecal coliform]],"no test")</f>
        <v>no test</v>
      </c>
      <c r="CG129" s="761" t="str">
        <f>IF(AND(WWWW[[#This Row],[% of water sources passed]]="no test",WWWW[[#This Row],[% Household passed]]="no test"),"No Test","Tested")</f>
        <v>No Test</v>
      </c>
      <c r="CH129" s="761">
        <f>WWWW[[#This Row],['#_Constructed/existing protected hand dug well]]-WWWW[[#This Row],['#_Non-functional protected hand dug well]]</f>
        <v>0</v>
      </c>
      <c r="CI129" s="761">
        <f>(WWWW[[#This Row],['#_Constructed/Existing tube wells/boreholes/handpumps_WASH_agency]]+WWWW[[#This Row],['#_Non-Cluster partner water tube-wells/boreholes/handpumps]])-WWWW[[#This Row],['#_Non-functional tube wells/boreholes/handpumps]]</f>
        <v>5</v>
      </c>
      <c r="CJ129" s="761">
        <f>WWWW[[#This Row],['#_Constructed/Existingwater storage tank with gravity fed reticulation system]]-WWWW[[#This Row],['#_Non-functional storage tank gravity fed reticulation system]]</f>
        <v>0</v>
      </c>
      <c r="CK129" s="761">
        <f>(WWWW[[#This Row],['#_Water_Liters_supplied_by_Water boating or water trucking]]/90)/15</f>
        <v>0</v>
      </c>
      <c r="CL129" s="761">
        <f>WWWW[[#This Row],['#_Water_Liters_from_Constructed/Existing water distribution system from river or natural spring]]/90/15</f>
        <v>0</v>
      </c>
      <c r="CM129" s="425">
        <f>IF(WWWW[[#This Row],['#_of water points in TLS/CFS]]*500&gt;WWWW[[#This Row],[Total PoP ]],WWWW[[#This Row],[Total PoP ]],WWWW[[#This Row],['#_of water points in TLS/CFS]]*500)</f>
        <v>0</v>
      </c>
      <c r="CN129" s="425">
        <f>IF(WWWW[[#This Row],['#_of water points in THF]]*500&gt;WWWW[[#This Row],[Total PoP ]],WWWW[[#This Row],[Total PoP ]],WWWW[[#This Row],['#_of water points in THF]]*500)</f>
        <v>0</v>
      </c>
      <c r="CO129" s="762"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29" s="762"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29" s="760" t="str">
        <f>IF(WWWW[[#This Row],[Location Type 1]]="Village",WWWW[[#This Row],[Access to safe drinking water for Village]],WWWW[[#This Row],[Access to safe drinking water for Camp]])</f>
        <v/>
      </c>
      <c r="CR129" s="758"/>
      <c r="CS129" s="760"/>
      <c r="CT129" s="758">
        <f>WWWW[[#This Row],[% Access to unimproved water points]]*WWWW[[#This Row],[Total PoP ]]</f>
        <v>0</v>
      </c>
      <c r="CU129" s="760"/>
      <c r="CV129" s="758"/>
      <c r="CW129" s="758">
        <f>WWWW[[#This Row],[HRP1]]/500</f>
        <v>0</v>
      </c>
      <c r="CX129" s="763"/>
      <c r="CY129" s="758"/>
      <c r="CZ129" s="761">
        <f>IF(WWWW[[#This Row],[Total required water points]]-WWWW[[#This Row],['#Water points coverage]]&lt;0,0,WWWW[[#This Row],[Total required water points]]-WWWW[[#This Row],['#Water points coverage]])</f>
        <v>1</v>
      </c>
      <c r="DA129" s="761">
        <f>ROUND(IF(WWWW[[#This Row],[Total PoP ]]&lt;500,1,WWWW[[#This Row],[Total PoP ]]/500),0)</f>
        <v>1</v>
      </c>
      <c r="DB129" s="761">
        <f>(WWWW[[#This Row],['#_Constructed latrines_by_WASHAgencies]]+WWWW[[#This Row],['#_Non Cluster partner latrines]])-WWWW[[#This Row],['#_Non-functional latrines]]</f>
        <v>18</v>
      </c>
      <c r="DC129" s="634"/>
      <c r="DD12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2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2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29" s="425">
        <f>IF(WWWW[[#This Row],['# of functional latrines in THF supported by WASH partners during the reporting period2]]="",0,WWWW[[#This Row],['# of functional latrines in THF supported by WASH partners during the reporting period2]]*50)</f>
        <v>0</v>
      </c>
      <c r="DH129" s="761">
        <f>ROUND(IF(WWWW[[#This Row],[Location Type 1]]="camp",WWWW[[#This Row],[Total PoP ]]/20,IF(WWWW[[#This Row],[Location Type 1]]="Temporary Location",WWWW[[#This Row],[Total PoP ]]/50,(WWWW[[#This Row],[Total PoP ]]/6))),0)</f>
        <v>0</v>
      </c>
      <c r="DI129" s="761">
        <f>IF(WWWW[[#This Row],[Total required Latrines]]-(WWWW[[#This Row],['#_Constructed latrines_by_WASHAgencies]]+WWWW[[#This Row],['#_Non Cluster partner latrines]])&lt;0,0,WWWW[[#This Row],[Total required Latrines]]-(WWWW[[#This Row],['#_Constructed latrines_by_WASHAgencies]]+WWWW[[#This Row],['#_Non Cluster partner latrines]]))</f>
        <v>0</v>
      </c>
      <c r="DJ129" s="763"/>
      <c r="DK129" s="762"/>
      <c r="DL129" s="758">
        <f>IF(500*(WWWW[[#This Row],['#_male hygiene promoters]]+WWWW[[#This Row],['#_female hygiene promoters]])&gt;WWWW[[#This Row],[Total PoP ]],WWWW[[#This Row],[Total PoP ]],500*(WWWW[[#This Row],['#_male hygiene promoters]]+WWWW[[#This Row],['#_female hygiene promoters]]))</f>
        <v>0</v>
      </c>
      <c r="DM12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2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29" s="761">
        <f>IF(WWWW[[#This Row],['# People with access to soap]]&gt;WWWW[[#This Row],['# People with access to Sanity Pads]],WWWW[[#This Row],['# People with access to soap]],WWWW[[#This Row],['# People with access to Sanity Pads]])</f>
        <v>0</v>
      </c>
      <c r="DP129" s="761">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29" s="763"/>
      <c r="DR129" s="762"/>
      <c r="DS129" s="760"/>
      <c r="DT129" s="762"/>
      <c r="DU129" s="760"/>
      <c r="DV129" s="761">
        <f>WWWW[[#This Row],['#_Constructed/Existing hand washing stations]]-WWWW[[#This Row],['#_Non-Functional_hand_washing_stations]]</f>
        <v>7</v>
      </c>
      <c r="DW129" s="758">
        <f>IF(WWWW[[#This Row],['# Functional hand washing stations during reporting period]]*20&gt;WWWW[[#This Row],[Total HH]],WWWW[[#This Row],[Total HH]],WWWW[[#This Row],['# Functional hand washing stations during reporting period]]*20)</f>
        <v>0</v>
      </c>
      <c r="DX129" s="758">
        <f>IF(WWWW[[#This Row],[Is sufficient soap available for TLS? (Yes/No)]]="yes",WWWW[[#This Row],['#_Constructed/Existing hand washing stations at TLS/CFS/THF]],0)</f>
        <v>0</v>
      </c>
      <c r="DY129" s="429">
        <f>IF(WWWW[[#This Row],['# Functional hand washing stations during reporting period]]*100&gt;WWWW[[#This Row],[Total PoP ]],WWWW[[#This Row],[Total PoP ]],WWWW[[#This Row],['# Functional hand washing stations during reporting period]]*100)</f>
        <v>0</v>
      </c>
      <c r="DZ129" s="429" t="str">
        <f>IF(OR(WWWW[[#This Row],['#_students at TLS_CFS]]="",WWWW[[#This Row],['#_students at TLS_CFS]]=0),"No","Yes")</f>
        <v>No</v>
      </c>
      <c r="EA12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2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2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2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29" s="754" t="str">
        <f>VLOOKUP(WWWW[[#This Row],[Site Name]],SiteDB6[[Site Name]:[CCCM Management]],6,FALSE)</f>
        <v>No</v>
      </c>
      <c r="EF129" s="754">
        <f>VLOOKUP(WWWW[[#This Row],[Site Name]],SiteDB6[[Site Name]:[CCCM Focal Agency]],7,FALSE)</f>
        <v>0</v>
      </c>
      <c r="EG129" s="754" t="str">
        <f>VLOOKUP(WWWW[[#This Row],[Site Name]],SiteDB6[[Site Name]:[Location Type 1]],9,FALSE)</f>
        <v>Camp</v>
      </c>
      <c r="EH129" s="754" t="str">
        <f>VLOOKUP(WWWW[[#This Row],[Site Name]],SiteDB6[[Site Name]:[Type of Accommodation]],10,FALSE)</f>
        <v>Camp</v>
      </c>
      <c r="EI129" s="754" t="str">
        <f>VLOOKUP(WWWW[[#This Row],[Site Name]],SiteDB6[[Site Name]:[Ethnic or GCA/NGCA]],11,FALSE)</f>
        <v>GCA</v>
      </c>
      <c r="EJ129" s="754">
        <f>VLOOKUP(WWWW[[#This Row],[Site Name]],SiteDB6[[Site Name]:[Lat]],12,FALSE)</f>
        <v>0</v>
      </c>
      <c r="EK129" s="754">
        <f>VLOOKUP(WWWW[[#This Row],[Site Name]],SiteDB6[[Site Name]:[Long]],13,FALSE)</f>
        <v>0</v>
      </c>
      <c r="EL129" s="754">
        <f>VLOOKUP(WWWW[[#This Row],[Site Name]],SiteDB6[[Site Name]:[Pcode]],3,FALSE)</f>
        <v>0</v>
      </c>
      <c r="EM129" s="759" t="str">
        <f t="shared" si="1"/>
        <v>Notcovered</v>
      </c>
      <c r="EN129" s="759"/>
      <c r="EO129" s="754">
        <f>VLOOKUP(WWWW[[#This Row],[Site Name]],SiteDB6[[Site Name]:[Pop
(Kachin/Shan-CCCM as of July 2021)]],16,FALSE)</f>
        <v>0</v>
      </c>
      <c r="EP129" s="754">
        <f>VLOOKUP(WWWW[[#This Row],[Site Name]],SiteDB6[[Site Name]:[Pop
(Kachin/Shan-CCCM as of July 2021)]],17,FALSE)</f>
        <v>0</v>
      </c>
    </row>
    <row r="130" spans="1:146" hidden="1">
      <c r="A130" s="752" t="s">
        <v>2785</v>
      </c>
      <c r="B130" s="729" t="s">
        <v>309</v>
      </c>
      <c r="C130" s="729" t="s">
        <v>309</v>
      </c>
      <c r="D130" s="370"/>
      <c r="E130" s="753" t="s">
        <v>37</v>
      </c>
      <c r="F130" s="753" t="s">
        <v>146</v>
      </c>
      <c r="G130" s="594" t="str">
        <f>VLOOKUP(WWWW[[#This Row],[Site Name]],SiteDB6[[Site Name]:[Location Type]],8,FALSE)</f>
        <v>Camp</v>
      </c>
      <c r="H130" s="753" t="s">
        <v>3047</v>
      </c>
      <c r="I130" s="755">
        <v>57</v>
      </c>
      <c r="J130" s="755">
        <v>264</v>
      </c>
      <c r="K130" s="756"/>
      <c r="L130" s="757"/>
      <c r="M130" s="755"/>
      <c r="N130" s="755"/>
      <c r="O130" s="755"/>
      <c r="P130" s="755"/>
      <c r="Q130" s="758" t="s">
        <v>41</v>
      </c>
      <c r="R130" s="755"/>
      <c r="S130" s="755"/>
      <c r="T130" s="449"/>
      <c r="U130" s="755"/>
      <c r="V130" s="755"/>
      <c r="W130" s="755"/>
      <c r="X130" s="755"/>
      <c r="Y130" s="755"/>
      <c r="Z130" s="755"/>
      <c r="AA130" s="755"/>
      <c r="AB130" s="755"/>
      <c r="AC130" s="755"/>
      <c r="AD130" s="755"/>
      <c r="AE130" s="755"/>
      <c r="AF130" s="755"/>
      <c r="AG130" s="755"/>
      <c r="AH130" s="755"/>
      <c r="AI130" s="755"/>
      <c r="AJ130" s="755"/>
      <c r="AK130" s="755"/>
      <c r="AL130" s="755"/>
      <c r="AM130" s="755"/>
      <c r="AN130" s="755"/>
      <c r="AO130" s="755"/>
      <c r="AP130" s="759"/>
      <c r="AQ130" s="755">
        <v>28</v>
      </c>
      <c r="AR130" s="755"/>
      <c r="AS130" s="760"/>
      <c r="AT130" s="755"/>
      <c r="AU130" s="755"/>
      <c r="AV130" s="755"/>
      <c r="AW130" s="755"/>
      <c r="AX130" s="755"/>
      <c r="AY130" s="754" t="s">
        <v>41</v>
      </c>
      <c r="AZ130" s="759" t="s">
        <v>137</v>
      </c>
      <c r="BA130" s="755">
        <v>2</v>
      </c>
      <c r="BB130" s="755"/>
      <c r="BC130" s="755"/>
      <c r="BD130" s="449"/>
      <c r="BE130" s="449"/>
      <c r="BF130" s="754"/>
      <c r="BG130" s="755">
        <v>3</v>
      </c>
      <c r="BH130" s="755"/>
      <c r="BI130" s="755"/>
      <c r="BJ130" s="755">
        <v>2</v>
      </c>
      <c r="BK130" s="755"/>
      <c r="BL130" s="755"/>
      <c r="BM130" s="755"/>
      <c r="BN130" s="755">
        <v>88</v>
      </c>
      <c r="BO130" s="755">
        <v>100</v>
      </c>
      <c r="BP130" s="754"/>
      <c r="BQ130" s="761"/>
      <c r="BR130" s="760"/>
      <c r="BS130" s="754"/>
      <c r="BT130" s="424"/>
      <c r="BU130" s="424"/>
      <c r="BV130" s="426"/>
      <c r="BW130" s="424"/>
      <c r="BX130" s="449"/>
      <c r="BY130" s="449"/>
      <c r="BZ130" s="449"/>
      <c r="CA130" s="449"/>
      <c r="CB130" s="449"/>
      <c r="CC130" s="807"/>
      <c r="CD130" s="449"/>
      <c r="CE130" s="762" t="str">
        <f>IFERROR(WWWW[[#This Row],['#_Water sources passed]]/WWWW[[#This Row],['#_Water sources tested for fecal coliform ]],"no test")</f>
        <v>no test</v>
      </c>
      <c r="CF130" s="760" t="str">
        <f>IFERROR(WWWW[[#This Row],['#_Household passed]]/WWWW[[#This Row],['#_Household water samples tested for fecal coliform]],"no test")</f>
        <v>no test</v>
      </c>
      <c r="CG130" s="761" t="str">
        <f>IF(AND(WWWW[[#This Row],[% of water sources passed]]="no test",WWWW[[#This Row],[% Household passed]]="no test"),"No Test","Tested")</f>
        <v>No Test</v>
      </c>
      <c r="CH130" s="761">
        <f>WWWW[[#This Row],['#_Constructed/existing protected hand dug well]]-WWWW[[#This Row],['#_Non-functional protected hand dug well]]</f>
        <v>0</v>
      </c>
      <c r="CI130" s="761">
        <f>(WWWW[[#This Row],['#_Constructed/Existing tube wells/boreholes/handpumps_WASH_agency]]+WWWW[[#This Row],['#_Non-Cluster partner water tube-wells/boreholes/handpumps]])-WWWW[[#This Row],['#_Non-functional tube wells/boreholes/handpumps]]</f>
        <v>0</v>
      </c>
      <c r="CJ130" s="761">
        <f>WWWW[[#This Row],['#_Constructed/Existingwater storage tank with gravity fed reticulation system]]-WWWW[[#This Row],['#_Non-functional storage tank gravity fed reticulation system]]</f>
        <v>0</v>
      </c>
      <c r="CK130" s="761">
        <f>(WWWW[[#This Row],['#_Water_Liters_supplied_by_Water boating or water trucking]]/90)/15</f>
        <v>0</v>
      </c>
      <c r="CL130" s="761">
        <f>WWWW[[#This Row],['#_Water_Liters_from_Constructed/Existing water distribution system from river or natural spring]]/90/15</f>
        <v>0</v>
      </c>
      <c r="CM130" s="425">
        <f>IF(WWWW[[#This Row],['#_of water points in TLS/CFS]]*500&gt;WWWW[[#This Row],[Total PoP ]],WWWW[[#This Row],[Total PoP ]],WWWW[[#This Row],['#_of water points in TLS/CFS]]*500)</f>
        <v>0</v>
      </c>
      <c r="CN130" s="425">
        <f>IF(WWWW[[#This Row],['#_of water points in THF]]*500&gt;WWWW[[#This Row],[Total PoP ]],WWWW[[#This Row],[Total PoP ]],WWWW[[#This Row],['#_of water points in THF]]*500)</f>
        <v>0</v>
      </c>
      <c r="CO13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0" s="760">
        <f>IF(WWWW[[#This Row],[Location Type 1]]="Village",WWWW[[#This Row],[Access to safe drinking water for Village]],WWWW[[#This Row],[Access to safe drinking water for Camp]])</f>
        <v>0</v>
      </c>
      <c r="CR130" s="758">
        <f>WWWW[[#This Row],[%Equitable and continuous access to sufficient quantity of safe drinking water]]*WWWW[[#This Row],[Total PoP ]]</f>
        <v>0</v>
      </c>
      <c r="CS130" s="760">
        <f>IF((WWWW[[#This Row],['#_Constructed/Existing protected/fenced ponds]]*250)/WWWW[[#This Row],[Total PoP ]]&gt;1,1,(WWWW[[#This Row],['#_Constructed/Existing protected/fenced ponds]]*250)/WWWW[[#This Row],[Total PoP ]])</f>
        <v>0</v>
      </c>
      <c r="CT130" s="758">
        <f>WWWW[[#This Row],[% Access to unimproved water points]]*WWWW[[#This Row],[Total PoP ]]</f>
        <v>0</v>
      </c>
      <c r="CU13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0" s="758">
        <f>WWWW[[#This Row],[HRP1]]/500</f>
        <v>0</v>
      </c>
      <c r="CX130" s="763">
        <f>1-WWWW[[#This Row],[% Equitable and continuous access to sufficient quantity of domestic water]]</f>
        <v>1</v>
      </c>
      <c r="CY130" s="758">
        <f>WWWW[[#This Row],[%equitable and continuous access to sufficient quantity of safe drinking and domestic water''s GAP]]*WWWW[[#This Row],[Total PoP ]]</f>
        <v>264</v>
      </c>
      <c r="CZ130" s="761">
        <f>IF(WWWW[[#This Row],[Total required water points]]-WWWW[[#This Row],['#Water points coverage]]&lt;0,0,WWWW[[#This Row],[Total required water points]]-WWWW[[#This Row],['#Water points coverage]])</f>
        <v>1</v>
      </c>
      <c r="DA130" s="761">
        <f>ROUND(IF(WWWW[[#This Row],[Total PoP ]]&lt;500,1,WWWW[[#This Row],[Total PoP ]]/500),0)</f>
        <v>1</v>
      </c>
      <c r="DB130" s="761">
        <f>(WWWW[[#This Row],['#_Constructed latrines_by_WASHAgencies]]+WWWW[[#This Row],['#_Non Cluster partner latrines]])-WWWW[[#This Row],['#_Non-functional latrines]]</f>
        <v>28</v>
      </c>
      <c r="DC130" s="634">
        <f>WWWW[[#This Row],[HRP2]]/WWWW[[#This Row],[Total PoP ]]</f>
        <v>1</v>
      </c>
      <c r="DD13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13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0" s="425">
        <f>IF(WWWW[[#This Row],['# of functional latrines in THF supported by WASH partners during the reporting period2]]="",0,WWWW[[#This Row],['# of functional latrines in THF supported by WASH partners during the reporting period2]]*50)</f>
        <v>0</v>
      </c>
      <c r="DH130" s="761">
        <f>ROUND(IF(WWWW[[#This Row],[Location Type 1]]="camp",WWWW[[#This Row],[Total PoP ]]/20,IF(WWWW[[#This Row],[Location Type 1]]="Temporary Location",WWWW[[#This Row],[Total PoP ]]/50,(WWWW[[#This Row],[Total PoP ]]/6))),0)</f>
        <v>13</v>
      </c>
      <c r="DI130" s="761">
        <f>IF(WWWW[[#This Row],[Total required Latrines]]-(WWWW[[#This Row],['#_Constructed latrines_by_WASHAgencies]]+WWWW[[#This Row],['#_Non Cluster partner latrines]])&lt;0,0,WWWW[[#This Row],[Total required Latrines]]-(WWWW[[#This Row],['#_Constructed latrines_by_WASHAgencies]]+WWWW[[#This Row],['#_Non Cluster partner latrines]]))</f>
        <v>0</v>
      </c>
      <c r="DJ130" s="763">
        <f>1-WWWW[[#This Row],[% people access to functioning Latrine]]</f>
        <v>0</v>
      </c>
      <c r="DK130" s="762">
        <f>IF(OR(WWWW[[#This Row],['#_Non-functional latrines]]="",WWWW[[#This Row],['#_Non-functional latrines]]=0),0,WWWW[[#This Row],['#_Non-functional latrines]]/(WWWW[[#This Row],['#_Constructed latrines_by_WASHAgencies]]+WWWW[[#This Row],['#_Non Cluster partner latrines]]))</f>
        <v>0</v>
      </c>
      <c r="DL130" s="758">
        <f>IF(500*(WWWW[[#This Row],['#_male hygiene promoters]]+WWWW[[#This Row],['#_female hygiene promoters]])&gt;WWWW[[#This Row],[Total PoP ]],WWWW[[#This Row],[Total PoP ]],500*(WWWW[[#This Row],['#_male hygiene promoters]]+WWWW[[#This Row],['#_female hygiene promoters]]))</f>
        <v>0</v>
      </c>
      <c r="DM13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264</v>
      </c>
      <c r="DN13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30" s="761">
        <f>IF(WWWW[[#This Row],['# People with access to soap]]&gt;WWWW[[#This Row],['# People with access to Sanity Pads]],WWWW[[#This Row],['# People with access to soap]],WWWW[[#This Row],['# People with access to Sanity Pads]])</f>
        <v>264</v>
      </c>
      <c r="DP130" s="761">
        <f>IF(WWWW[[#This Row],['# people reached by regular dedicated hygiene promotion_5]]&gt;WWWW[[#This Row],['# People received regular supply of hygiene items_6]],WWWW[[#This Row],['# people reached by regular dedicated hygiene promotion_5]],WWWW[[#This Row],['# People received regular supply of hygiene items_6]])</f>
        <v>264</v>
      </c>
      <c r="DQ130" s="763">
        <f>IF(WWWW[[#This Row],[HRP3]]/WWWW[[#This Row],[Total PoP ]]&gt;1,1,WWWW[[#This Row],[HRP3]]/WWWW[[#This Row],[Total PoP ]])</f>
        <v>1</v>
      </c>
      <c r="DR130" s="762">
        <f>1-WWWW[[#This Row],[Hygiene Coverage%]]</f>
        <v>0</v>
      </c>
      <c r="DS130" s="760">
        <f>WWWW[[#This Row],['# people reached by regular dedicated hygiene promotion_5]]/WWWW[[#This Row],[Total PoP ]]</f>
        <v>0</v>
      </c>
      <c r="DT13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0" s="761">
        <f>WWWW[[#This Row],['#_Constructed/Existing hand washing stations]]-WWWW[[#This Row],['#_Non-Functional_hand_washing_stations]]</f>
        <v>3</v>
      </c>
      <c r="DW130" s="758">
        <f>IF(WWWW[[#This Row],['# Functional hand washing stations during reporting period]]*20&gt;WWWW[[#This Row],[Total HH]],WWWW[[#This Row],[Total HH]],WWWW[[#This Row],['# Functional hand washing stations during reporting period]]*20)</f>
        <v>57</v>
      </c>
      <c r="DX130" s="758">
        <f>IF(WWWW[[#This Row],[Is sufficient soap available for TLS? (Yes/No)]]="yes",WWWW[[#This Row],['#_Constructed/Existing hand washing stations at TLS/CFS/THF]],0)</f>
        <v>0</v>
      </c>
      <c r="DY130" s="429">
        <f>IF(WWWW[[#This Row],['# Functional hand washing stations during reporting period]]*100&gt;WWWW[[#This Row],[Total PoP ]],WWWW[[#This Row],[Total PoP ]],WWWW[[#This Row],['# Functional hand washing stations during reporting period]]*100)</f>
        <v>264</v>
      </c>
      <c r="DZ130" s="429" t="str">
        <f>IF(OR(WWWW[[#This Row],['#_students at TLS_CFS]]="",WWWW[[#This Row],['#_students at TLS_CFS]]=0),"No","Yes")</f>
        <v>No</v>
      </c>
      <c r="EA13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0" s="754" t="str">
        <f>VLOOKUP(WWWW[[#This Row],[Site Name]],SiteDB6[[Site Name]:[CCCM Management]],6,FALSE)</f>
        <v>Yes</v>
      </c>
      <c r="EF130" s="754" t="str">
        <f>VLOOKUP(WWWW[[#This Row],[Site Name]],SiteDB6[[Site Name]:[CCCM Focal Agency]],7,FALSE)</f>
        <v>KMSS-MYT</v>
      </c>
      <c r="EG130" s="754" t="str">
        <f>VLOOKUP(WWWW[[#This Row],[Site Name]],SiteDB6[[Site Name]:[Location Type 1]],9,FALSE)</f>
        <v>Camp</v>
      </c>
      <c r="EH130" s="754" t="str">
        <f>VLOOKUP(WWWW[[#This Row],[Site Name]],SiteDB6[[Site Name]:[Type of Accommodation]],10,FALSE)</f>
        <v>IDPs in host</v>
      </c>
      <c r="EI130" s="754" t="str">
        <f>VLOOKUP(WWWW[[#This Row],[Site Name]],SiteDB6[[Site Name]:[Ethnic or GCA/NGCA]],11,FALSE)</f>
        <v>GCA</v>
      </c>
      <c r="EJ130" s="754">
        <f>VLOOKUP(WWWW[[#This Row],[Site Name]],SiteDB6[[Site Name]:[Lat]],12,FALSE)</f>
        <v>25.60867</v>
      </c>
      <c r="EK130" s="754">
        <f>VLOOKUP(WWWW[[#This Row],[Site Name]],SiteDB6[[Site Name]:[Long]],13,FALSE)</f>
        <v>98.377780000000001</v>
      </c>
      <c r="EL130" s="754" t="str">
        <f>VLOOKUP(WWWW[[#This Row],[Site Name]],SiteDB6[[Site Name]:[Pcode]],3,FALSE)</f>
        <v>MMR001CMP210</v>
      </c>
      <c r="EM130" s="759" t="str">
        <f t="shared" si="1"/>
        <v>Notcovered</v>
      </c>
      <c r="EN130" s="759"/>
      <c r="EO130" s="754">
        <f>VLOOKUP(WWWW[[#This Row],[Site Name]],SiteDB6[[Site Name]:[Pop
(Kachin/Shan-CCCM as of July 2021)]],16,FALSE)</f>
        <v>4</v>
      </c>
      <c r="EP130" s="754">
        <f>VLOOKUP(WWWW[[#This Row],[Site Name]],SiteDB6[[Site Name]:[Pop
(Kachin/Shan-CCCM as of July 2021)]],17,FALSE)</f>
        <v>20</v>
      </c>
    </row>
    <row r="131" spans="1:146" hidden="1">
      <c r="A131" s="752" t="s">
        <v>2785</v>
      </c>
      <c r="B131" s="729" t="s">
        <v>309</v>
      </c>
      <c r="C131" s="729" t="s">
        <v>309</v>
      </c>
      <c r="D131" s="753"/>
      <c r="E131" s="753" t="s">
        <v>37</v>
      </c>
      <c r="F131" s="753" t="s">
        <v>148</v>
      </c>
      <c r="G131" s="594" t="str">
        <f>VLOOKUP(WWWW[[#This Row],[Site Name]],SiteDB6[[Site Name]:[Location Type]],8,FALSE)</f>
        <v>Camp</v>
      </c>
      <c r="H131" s="753" t="s">
        <v>1562</v>
      </c>
      <c r="I131" s="755">
        <v>49</v>
      </c>
      <c r="J131" s="755">
        <v>242</v>
      </c>
      <c r="K131" s="756"/>
      <c r="L131" s="757"/>
      <c r="M131" s="755"/>
      <c r="N131" s="755"/>
      <c r="O131" s="755"/>
      <c r="P131" s="755"/>
      <c r="Q131" s="758" t="s">
        <v>41</v>
      </c>
      <c r="R131" s="755">
        <v>1</v>
      </c>
      <c r="S131" s="755">
        <v>2</v>
      </c>
      <c r="T131" s="449">
        <v>1</v>
      </c>
      <c r="U131" s="755"/>
      <c r="V131" s="755"/>
      <c r="W131" s="755"/>
      <c r="X131" s="755">
        <v>1</v>
      </c>
      <c r="Y131" s="755"/>
      <c r="Z131" s="755"/>
      <c r="AA131" s="755"/>
      <c r="AB131" s="755"/>
      <c r="AC131" s="755"/>
      <c r="AD131" s="755"/>
      <c r="AE131" s="755"/>
      <c r="AF131" s="755"/>
      <c r="AG131" s="755"/>
      <c r="AH131" s="755"/>
      <c r="AI131" s="755"/>
      <c r="AJ131" s="755"/>
      <c r="AK131" s="755"/>
      <c r="AL131" s="755"/>
      <c r="AM131" s="755">
        <v>2</v>
      </c>
      <c r="AN131" s="755"/>
      <c r="AO131" s="755"/>
      <c r="AP131" s="759"/>
      <c r="AQ131" s="755">
        <v>8</v>
      </c>
      <c r="AR131" s="755">
        <v>4</v>
      </c>
      <c r="AS131" s="760"/>
      <c r="AT131" s="755"/>
      <c r="AU131" s="755"/>
      <c r="AV131" s="755"/>
      <c r="AW131" s="755"/>
      <c r="AX131" s="755"/>
      <c r="AY131" s="754" t="s">
        <v>41</v>
      </c>
      <c r="AZ131" s="759" t="s">
        <v>136</v>
      </c>
      <c r="BA131" s="755">
        <v>2</v>
      </c>
      <c r="BB131" s="755"/>
      <c r="BC131" s="755"/>
      <c r="BD131" s="449"/>
      <c r="BE131" s="449"/>
      <c r="BF131" s="754"/>
      <c r="BG131" s="755">
        <v>7</v>
      </c>
      <c r="BH131" s="755"/>
      <c r="BI131" s="755">
        <v>2</v>
      </c>
      <c r="BJ131" s="755">
        <v>4</v>
      </c>
      <c r="BK131" s="755"/>
      <c r="BL131" s="755"/>
      <c r="BM131" s="755"/>
      <c r="BN131" s="755">
        <v>124</v>
      </c>
      <c r="BO131" s="755">
        <v>198</v>
      </c>
      <c r="BP131" s="754"/>
      <c r="BQ131" s="761"/>
      <c r="BR131" s="760"/>
      <c r="BS131" s="754"/>
      <c r="BT131" s="424"/>
      <c r="BU131" s="424"/>
      <c r="BV131" s="426"/>
      <c r="BW131" s="424"/>
      <c r="BX131" s="449"/>
      <c r="BY131" s="449"/>
      <c r="BZ131" s="449"/>
      <c r="CA131" s="449"/>
      <c r="CB131" s="449"/>
      <c r="CC131" s="807"/>
      <c r="CD131" s="449"/>
      <c r="CE131" s="762" t="str">
        <f>IFERROR(WWWW[[#This Row],['#_Water sources passed]]/WWWW[[#This Row],['#_Water sources tested for fecal coliform ]],"no test")</f>
        <v>no test</v>
      </c>
      <c r="CF131" s="760" t="str">
        <f>IFERROR(WWWW[[#This Row],['#_Household passed]]/WWWW[[#This Row],['#_Household water samples tested for fecal coliform]],"no test")</f>
        <v>no test</v>
      </c>
      <c r="CG131" s="761" t="str">
        <f>IF(AND(WWWW[[#This Row],[% of water sources passed]]="no test",WWWW[[#This Row],[% Household passed]]="no test"),"No Test","Tested")</f>
        <v>No Test</v>
      </c>
      <c r="CH131" s="761">
        <f>WWWW[[#This Row],['#_Constructed/existing protected hand dug well]]-WWWW[[#This Row],['#_Non-functional protected hand dug well]]</f>
        <v>1</v>
      </c>
      <c r="CI131" s="761">
        <f>(WWWW[[#This Row],['#_Constructed/Existing tube wells/boreholes/handpumps_WASH_agency]]+WWWW[[#This Row],['#_Non-Cluster partner water tube-wells/boreholes/handpumps]])-WWWW[[#This Row],['#_Non-functional tube wells/boreholes/handpumps]]</f>
        <v>1</v>
      </c>
      <c r="CJ131" s="761">
        <f>WWWW[[#This Row],['#_Constructed/Existingwater storage tank with gravity fed reticulation system]]-WWWW[[#This Row],['#_Non-functional storage tank gravity fed reticulation system]]</f>
        <v>0</v>
      </c>
      <c r="CK131" s="761">
        <f>(WWWW[[#This Row],['#_Water_Liters_supplied_by_Water boating or water trucking]]/90)/15</f>
        <v>0</v>
      </c>
      <c r="CL131" s="761">
        <f>WWWW[[#This Row],['#_Water_Liters_from_Constructed/Existing water distribution system from river or natural spring]]/90/15</f>
        <v>0</v>
      </c>
      <c r="CM131" s="425">
        <f>IF(WWWW[[#This Row],['#_of water points in TLS/CFS]]*500&gt;WWWW[[#This Row],[Total PoP ]],WWWW[[#This Row],[Total PoP ]],WWWW[[#This Row],['#_of water points in TLS/CFS]]*500)</f>
        <v>0</v>
      </c>
      <c r="CN131" s="425">
        <f>IF(WWWW[[#This Row],['#_of water points in THF]]*500&gt;WWWW[[#This Row],[Total PoP ]],WWWW[[#This Row],[Total PoP ]],WWWW[[#This Row],['#_of water points in THF]]*500)</f>
        <v>0</v>
      </c>
      <c r="CO13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1" s="760">
        <f>IF(WWWW[[#This Row],[Location Type 1]]="Village",WWWW[[#This Row],[Access to safe drinking water for Village]],WWWW[[#This Row],[Access to safe drinking water for Camp]])</f>
        <v>1</v>
      </c>
      <c r="CR131" s="758">
        <f>WWWW[[#This Row],[%Equitable and continuous access to sufficient quantity of safe drinking water]]*WWWW[[#This Row],[Total PoP ]]</f>
        <v>242</v>
      </c>
      <c r="CS131" s="760">
        <f>IF((WWWW[[#This Row],['#_Constructed/Existing protected/fenced ponds]]*250)/WWWW[[#This Row],[Total PoP ]]&gt;1,1,(WWWW[[#This Row],['#_Constructed/Existing protected/fenced ponds]]*250)/WWWW[[#This Row],[Total PoP ]])</f>
        <v>0</v>
      </c>
      <c r="CT131" s="758">
        <f>WWWW[[#This Row],[% Access to unimproved water points]]*WWWW[[#This Row],[Total PoP ]]</f>
        <v>0</v>
      </c>
      <c r="CU13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v>
      </c>
      <c r="CW131" s="758">
        <f>WWWW[[#This Row],[HRP1]]/500</f>
        <v>0.48399999999999999</v>
      </c>
      <c r="CX131" s="763">
        <f>1-WWWW[[#This Row],[% Equitable and continuous access to sufficient quantity of domestic water]]</f>
        <v>0</v>
      </c>
      <c r="CY131" s="758">
        <f>WWWW[[#This Row],[%equitable and continuous access to sufficient quantity of safe drinking and domestic water''s GAP]]*WWWW[[#This Row],[Total PoP ]]</f>
        <v>0</v>
      </c>
      <c r="CZ131" s="761">
        <f>IF(WWWW[[#This Row],[Total required water points]]-WWWW[[#This Row],['#Water points coverage]]&lt;0,0,WWWW[[#This Row],[Total required water points]]-WWWW[[#This Row],['#Water points coverage]])</f>
        <v>0.51600000000000001</v>
      </c>
      <c r="DA131" s="761">
        <f>ROUND(IF(WWWW[[#This Row],[Total PoP ]]&lt;500,1,WWWW[[#This Row],[Total PoP ]]/500),0)</f>
        <v>1</v>
      </c>
      <c r="DB131" s="761">
        <f>(WWWW[[#This Row],['#_Constructed latrines_by_WASHAgencies]]+WWWW[[#This Row],['#_Non Cluster partner latrines]])-WWWW[[#This Row],['#_Non-functional latrines]]</f>
        <v>12</v>
      </c>
      <c r="DC131" s="634">
        <f>WWWW[[#This Row],[HRP2]]/WWWW[[#This Row],[Total PoP ]]</f>
        <v>1</v>
      </c>
      <c r="DD13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242</v>
      </c>
      <c r="DE13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1" s="425">
        <f>IF(WWWW[[#This Row],['# of functional latrines in THF supported by WASH partners during the reporting period2]]="",0,WWWW[[#This Row],['# of functional latrines in THF supported by WASH partners during the reporting period2]]*50)</f>
        <v>0</v>
      </c>
      <c r="DH131" s="761">
        <f>ROUND(IF(WWWW[[#This Row],[Location Type 1]]="camp",WWWW[[#This Row],[Total PoP ]]/20,IF(WWWW[[#This Row],[Location Type 1]]="Temporary Location",WWWW[[#This Row],[Total PoP ]]/50,(WWWW[[#This Row],[Total PoP ]]/6))),0)</f>
        <v>12</v>
      </c>
      <c r="DI131" s="761">
        <f>IF(WWWW[[#This Row],[Total required Latrines]]-(WWWW[[#This Row],['#_Constructed latrines_by_WASHAgencies]]+WWWW[[#This Row],['#_Non Cluster partner latrines]])&lt;0,0,WWWW[[#This Row],[Total required Latrines]]-(WWWW[[#This Row],['#_Constructed latrines_by_WASHAgencies]]+WWWW[[#This Row],['#_Non Cluster partner latrines]]))</f>
        <v>0</v>
      </c>
      <c r="DJ131" s="763">
        <f>1-WWWW[[#This Row],[% people access to functioning Latrine]]</f>
        <v>0</v>
      </c>
      <c r="DK131" s="762">
        <f>IF(OR(WWWW[[#This Row],['#_Non-functional latrines]]="",WWWW[[#This Row],['#_Non-functional latrines]]=0),0,WWWW[[#This Row],['#_Non-functional latrines]]/(WWWW[[#This Row],['#_Constructed latrines_by_WASHAgencies]]+WWWW[[#This Row],['#_Non Cluster partner latrines]]))</f>
        <v>0</v>
      </c>
      <c r="DL131" s="758">
        <f>IF(500*(WWWW[[#This Row],['#_male hygiene promoters]]+WWWW[[#This Row],['#_female hygiene promoters]])&gt;WWWW[[#This Row],[Total PoP ]],WWWW[[#This Row],[Total PoP ]],500*(WWWW[[#This Row],['#_male hygiene promoters]]+WWWW[[#This Row],['#_female hygiene promoters]]))</f>
        <v>0</v>
      </c>
      <c r="DM13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242</v>
      </c>
      <c r="DN13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31" s="761">
        <f>IF(WWWW[[#This Row],['# People with access to soap]]&gt;WWWW[[#This Row],['# People with access to Sanity Pads]],WWWW[[#This Row],['# People with access to soap]],WWWW[[#This Row],['# People with access to Sanity Pads]])</f>
        <v>242</v>
      </c>
      <c r="DP131" s="761">
        <f>IF(WWWW[[#This Row],['# people reached by regular dedicated hygiene promotion_5]]&gt;WWWW[[#This Row],['# People received regular supply of hygiene items_6]],WWWW[[#This Row],['# people reached by regular dedicated hygiene promotion_5]],WWWW[[#This Row],['# People received regular supply of hygiene items_6]])</f>
        <v>242</v>
      </c>
      <c r="DQ131" s="763">
        <f>IF(WWWW[[#This Row],[HRP3]]/WWWW[[#This Row],[Total PoP ]]&gt;1,1,WWWW[[#This Row],[HRP3]]/WWWW[[#This Row],[Total PoP ]])</f>
        <v>1</v>
      </c>
      <c r="DR131" s="762">
        <f>1-WWWW[[#This Row],[Hygiene Coverage%]]</f>
        <v>0</v>
      </c>
      <c r="DS131" s="760">
        <f>WWWW[[#This Row],['# people reached by regular dedicated hygiene promotion_5]]/WWWW[[#This Row],[Total PoP ]]</f>
        <v>0</v>
      </c>
      <c r="DT13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1" s="761">
        <f>WWWW[[#This Row],['#_Constructed/Existing hand washing stations]]-WWWW[[#This Row],['#_Non-Functional_hand_washing_stations]]</f>
        <v>7</v>
      </c>
      <c r="DW131" s="758">
        <f>IF(WWWW[[#This Row],['# Functional hand washing stations during reporting period]]*20&gt;WWWW[[#This Row],[Total HH]],WWWW[[#This Row],[Total HH]],WWWW[[#This Row],['# Functional hand washing stations during reporting period]]*20)</f>
        <v>49</v>
      </c>
      <c r="DX131" s="758">
        <f>IF(WWWW[[#This Row],[Is sufficient soap available for TLS? (Yes/No)]]="yes",WWWW[[#This Row],['#_Constructed/Existing hand washing stations at TLS/CFS/THF]],0)</f>
        <v>0</v>
      </c>
      <c r="DY131" s="429">
        <f>IF(WWWW[[#This Row],['# Functional hand washing stations during reporting period]]*100&gt;WWWW[[#This Row],[Total PoP ]],WWWW[[#This Row],[Total PoP ]],WWWW[[#This Row],['# Functional hand washing stations during reporting period]]*100)</f>
        <v>242</v>
      </c>
      <c r="DZ131" s="429" t="str">
        <f>IF(OR(WWWW[[#This Row],['#_students at TLS_CFS]]="",WWWW[[#This Row],['#_students at TLS_CFS]]=0),"No","Yes")</f>
        <v>No</v>
      </c>
      <c r="EA13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1" s="754">
        <f>VLOOKUP(WWWW[[#This Row],[Site Name]],SiteDB6[[Site Name]:[CCCM Management]],6,FALSE)</f>
        <v>0</v>
      </c>
      <c r="EF131" s="754" t="str">
        <f>VLOOKUP(WWWW[[#This Row],[Site Name]],SiteDB6[[Site Name]:[CCCM Focal Agency]],7,FALSE)</f>
        <v>KMSS-MYT</v>
      </c>
      <c r="EG131" s="754" t="str">
        <f>VLOOKUP(WWWW[[#This Row],[Site Name]],SiteDB6[[Site Name]:[Location Type 1]],9,FALSE)</f>
        <v>Camp</v>
      </c>
      <c r="EH131" s="754" t="str">
        <f>VLOOKUP(WWWW[[#This Row],[Site Name]],SiteDB6[[Site Name]:[Type of Accommodation]],10,FALSE)</f>
        <v>Closed Camp</v>
      </c>
      <c r="EI131" s="754" t="str">
        <f>VLOOKUP(WWWW[[#This Row],[Site Name]],SiteDB6[[Site Name]:[Ethnic or GCA/NGCA]],11,FALSE)</f>
        <v>GCA</v>
      </c>
      <c r="EJ131" s="754">
        <f>VLOOKUP(WWWW[[#This Row],[Site Name]],SiteDB6[[Site Name]:[Lat]],12,FALSE)</f>
        <v>25.54677963</v>
      </c>
      <c r="EK131" s="754">
        <f>VLOOKUP(WWWW[[#This Row],[Site Name]],SiteDB6[[Site Name]:[Long]],13,FALSE)</f>
        <v>96.793539999999993</v>
      </c>
      <c r="EL131" s="754" t="str">
        <f>VLOOKUP(WWWW[[#This Row],[Site Name]],SiteDB6[[Site Name]:[Pcode]],3,FALSE)</f>
        <v>MMR001CMP268</v>
      </c>
      <c r="EM131" s="759" t="str">
        <f t="shared" si="1"/>
        <v>Notcovered</v>
      </c>
      <c r="EN131" s="759"/>
      <c r="EO131" s="754">
        <f>VLOOKUP(WWWW[[#This Row],[Site Name]],SiteDB6[[Site Name]:[Pop
(Kachin/Shan-CCCM as of July 2021)]],16,FALSE)</f>
        <v>50</v>
      </c>
      <c r="EP131" s="754">
        <f>VLOOKUP(WWWW[[#This Row],[Site Name]],SiteDB6[[Site Name]:[Pop
(Kachin/Shan-CCCM as of July 2021)]],17,FALSE)</f>
        <v>250</v>
      </c>
    </row>
    <row r="132" spans="1:146" hidden="1">
      <c r="A132" s="752" t="s">
        <v>2785</v>
      </c>
      <c r="B132" s="752" t="s">
        <v>309</v>
      </c>
      <c r="C132" s="753" t="s">
        <v>309</v>
      </c>
      <c r="D132" s="753"/>
      <c r="E132" s="753" t="s">
        <v>37</v>
      </c>
      <c r="F132" s="753" t="s">
        <v>148</v>
      </c>
      <c r="G132" s="594" t="str">
        <f>VLOOKUP(WWWW[[#This Row],[Site Name]],SiteDB6[[Site Name]:[Location Type]],8,FALSE)</f>
        <v>Camp</v>
      </c>
      <c r="H132" s="753" t="s">
        <v>257</v>
      </c>
      <c r="I132" s="755">
        <v>3</v>
      </c>
      <c r="J132" s="755">
        <v>15</v>
      </c>
      <c r="K132" s="756" t="s">
        <v>2672</v>
      </c>
      <c r="L132" s="757" t="s">
        <v>2673</v>
      </c>
      <c r="M132" s="755"/>
      <c r="N132" s="755">
        <v>0</v>
      </c>
      <c r="O132" s="755"/>
      <c r="P132" s="755"/>
      <c r="Q132" s="758" t="s">
        <v>41</v>
      </c>
      <c r="R132" s="755"/>
      <c r="S132" s="755">
        <v>5</v>
      </c>
      <c r="T132" s="449">
        <v>1</v>
      </c>
      <c r="U132" s="755"/>
      <c r="V132" s="755"/>
      <c r="W132" s="755">
        <v>1</v>
      </c>
      <c r="X132" s="755"/>
      <c r="Y132" s="755"/>
      <c r="Z132" s="755"/>
      <c r="AA132" s="755"/>
      <c r="AB132" s="755"/>
      <c r="AC132" s="755"/>
      <c r="AD132" s="755"/>
      <c r="AE132" s="755"/>
      <c r="AF132" s="755"/>
      <c r="AG132" s="755"/>
      <c r="AH132" s="755">
        <v>1</v>
      </c>
      <c r="AI132" s="755"/>
      <c r="AJ132" s="755"/>
      <c r="AK132" s="755"/>
      <c r="AL132" s="755"/>
      <c r="AM132" s="755"/>
      <c r="AN132" s="755"/>
      <c r="AO132" s="755"/>
      <c r="AP132" s="759"/>
      <c r="AQ132" s="755">
        <v>0</v>
      </c>
      <c r="AR132" s="755"/>
      <c r="AS132" s="760"/>
      <c r="AT132" s="755"/>
      <c r="AU132" s="755"/>
      <c r="AV132" s="755"/>
      <c r="AW132" s="755"/>
      <c r="AX132" s="755">
        <v>0</v>
      </c>
      <c r="AY132" s="754" t="s">
        <v>41</v>
      </c>
      <c r="AZ132" s="759" t="s">
        <v>904</v>
      </c>
      <c r="BA132" s="755"/>
      <c r="BB132" s="755"/>
      <c r="BC132" s="755"/>
      <c r="BD132" s="449"/>
      <c r="BE132" s="449"/>
      <c r="BF132" s="754"/>
      <c r="BG132" s="755">
        <v>7</v>
      </c>
      <c r="BH132" s="755"/>
      <c r="BI132" s="755">
        <v>0</v>
      </c>
      <c r="BJ132" s="755">
        <v>4</v>
      </c>
      <c r="BK132" s="755"/>
      <c r="BL132" s="755"/>
      <c r="BM132" s="755"/>
      <c r="BN132" s="755">
        <v>124</v>
      </c>
      <c r="BO132" s="755">
        <v>198</v>
      </c>
      <c r="BP132" s="754"/>
      <c r="BQ132" s="761"/>
      <c r="BR132" s="760"/>
      <c r="BS132" s="754"/>
      <c r="BT132" s="424"/>
      <c r="BU132" s="424"/>
      <c r="BV132" s="426"/>
      <c r="BW132" s="424"/>
      <c r="BX132" s="449"/>
      <c r="BY132" s="449"/>
      <c r="BZ132" s="449"/>
      <c r="CA132" s="449"/>
      <c r="CB132" s="449"/>
      <c r="CC132" s="807"/>
      <c r="CD132" s="449"/>
      <c r="CE132" s="762" t="str">
        <f>IFERROR(WWWW[[#This Row],['#_Water sources passed]]/WWWW[[#This Row],['#_Water sources tested for fecal coliform ]],"no test")</f>
        <v>no test</v>
      </c>
      <c r="CF132" s="760" t="str">
        <f>IFERROR(WWWW[[#This Row],['#_Household passed]]/WWWW[[#This Row],['#_Household water samples tested for fecal coliform]],"no test")</f>
        <v>no test</v>
      </c>
      <c r="CG132" s="761" t="str">
        <f>IF(AND(WWWW[[#This Row],[% of water sources passed]]="no test",WWWW[[#This Row],[% Household passed]]="no test"),"No Test","Tested")</f>
        <v>No Test</v>
      </c>
      <c r="CH132" s="761">
        <f>WWWW[[#This Row],['#_Constructed/existing protected hand dug well]]-WWWW[[#This Row],['#_Non-functional protected hand dug well]]</f>
        <v>1</v>
      </c>
      <c r="CI132" s="761">
        <f>(WWWW[[#This Row],['#_Constructed/Existing tube wells/boreholes/handpumps_WASH_agency]]+WWWW[[#This Row],['#_Non-Cluster partner water tube-wells/boreholes/handpumps]])-WWWW[[#This Row],['#_Non-functional tube wells/boreholes/handpumps]]</f>
        <v>1</v>
      </c>
      <c r="CJ132" s="761">
        <f>WWWW[[#This Row],['#_Constructed/Existingwater storage tank with gravity fed reticulation system]]-WWWW[[#This Row],['#_Non-functional storage tank gravity fed reticulation system]]</f>
        <v>0</v>
      </c>
      <c r="CK132" s="761">
        <f>(WWWW[[#This Row],['#_Water_Liters_supplied_by_Water boating or water trucking]]/90)/15</f>
        <v>0</v>
      </c>
      <c r="CL132" s="761">
        <f>WWWW[[#This Row],['#_Water_Liters_from_Constructed/Existing water distribution system from river or natural spring]]/90/15</f>
        <v>0</v>
      </c>
      <c r="CM132" s="425">
        <f>IF(WWWW[[#This Row],['#_of water points in TLS/CFS]]*500&gt;WWWW[[#This Row],[Total PoP ]],WWWW[[#This Row],[Total PoP ]],WWWW[[#This Row],['#_of water points in TLS/CFS]]*500)</f>
        <v>0</v>
      </c>
      <c r="CN132" s="425">
        <f>IF(WWWW[[#This Row],['#_of water points in THF]]*500&gt;WWWW[[#This Row],[Total PoP ]],WWWW[[#This Row],[Total PoP ]],WWWW[[#This Row],['#_of water points in THF]]*500)</f>
        <v>0</v>
      </c>
      <c r="CO13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32" s="760">
        <f>IF(WWWW[[#This Row],[Location Type 1]]="Village",WWWW[[#This Row],[Access to safe drinking water for Village]],WWWW[[#This Row],[Access to safe drinking water for Camp]])</f>
        <v>1</v>
      </c>
      <c r="CR132" s="758">
        <f>WWWW[[#This Row],[%Equitable and continuous access to sufficient quantity of safe drinking water]]*WWWW[[#This Row],[Total PoP ]]</f>
        <v>15</v>
      </c>
      <c r="CS132" s="760">
        <f>IF((WWWW[[#This Row],['#_Constructed/Existing protected/fenced ponds]]*250)/WWWW[[#This Row],[Total PoP ]]&gt;1,1,(WWWW[[#This Row],['#_Constructed/Existing protected/fenced ponds]]*250)/WWWW[[#This Row],[Total PoP ]])</f>
        <v>0</v>
      </c>
      <c r="CT132" s="758">
        <f>WWWW[[#This Row],[% Access to unimproved water points]]*WWWW[[#This Row],[Total PoP ]]</f>
        <v>0</v>
      </c>
      <c r="CU13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132" s="758">
        <f>WWWW[[#This Row],[HRP1]]/500</f>
        <v>0.03</v>
      </c>
      <c r="CX132" s="763">
        <f>1-WWWW[[#This Row],[% Equitable and continuous access to sufficient quantity of domestic water]]</f>
        <v>0</v>
      </c>
      <c r="CY132" s="758">
        <f>WWWW[[#This Row],[%equitable and continuous access to sufficient quantity of safe drinking and domestic water''s GAP]]*WWWW[[#This Row],[Total PoP ]]</f>
        <v>0</v>
      </c>
      <c r="CZ132" s="761">
        <f>IF(WWWW[[#This Row],[Total required water points]]-WWWW[[#This Row],['#Water points coverage]]&lt;0,0,WWWW[[#This Row],[Total required water points]]-WWWW[[#This Row],['#Water points coverage]])</f>
        <v>0.97</v>
      </c>
      <c r="DA132" s="761">
        <f>ROUND(IF(WWWW[[#This Row],[Total PoP ]]&lt;500,1,WWWW[[#This Row],[Total PoP ]]/500),0)</f>
        <v>1</v>
      </c>
      <c r="DB132" s="761">
        <f>(WWWW[[#This Row],['#_Constructed latrines_by_WASHAgencies]]+WWWW[[#This Row],['#_Non Cluster partner latrines]])-WWWW[[#This Row],['#_Non-functional latrines]]</f>
        <v>0</v>
      </c>
      <c r="DC132" s="634">
        <f>WWWW[[#This Row],[HRP2]]/WWWW[[#This Row],[Total PoP ]]</f>
        <v>0</v>
      </c>
      <c r="DD13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2" s="425">
        <f>IF(WWWW[[#This Row],['# of functional latrines in THF supported by WASH partners during the reporting period2]]="",0,WWWW[[#This Row],['# of functional latrines in THF supported by WASH partners during the reporting period2]]*50)</f>
        <v>0</v>
      </c>
      <c r="DH132" s="761">
        <f>ROUND(IF(WWWW[[#This Row],[Location Type 1]]="camp",WWWW[[#This Row],[Total PoP ]]/20,IF(WWWW[[#This Row],[Location Type 1]]="Temporary Location",WWWW[[#This Row],[Total PoP ]]/50,(WWWW[[#This Row],[Total PoP ]]/6))),0)</f>
        <v>1</v>
      </c>
      <c r="DI132" s="761">
        <f>IF(WWWW[[#This Row],[Total required Latrines]]-(WWWW[[#This Row],['#_Constructed latrines_by_WASHAgencies]]+WWWW[[#This Row],['#_Non Cluster partner latrines]])&lt;0,0,WWWW[[#This Row],[Total required Latrines]]-(WWWW[[#This Row],['#_Constructed latrines_by_WASHAgencies]]+WWWW[[#This Row],['#_Non Cluster partner latrines]]))</f>
        <v>1</v>
      </c>
      <c r="DJ132" s="763">
        <f>1-WWWW[[#This Row],[% people access to functioning Latrine]]</f>
        <v>1</v>
      </c>
      <c r="DK132" s="762">
        <f>IF(OR(WWWW[[#This Row],['#_Non-functional latrines]]="",WWWW[[#This Row],['#_Non-functional latrines]]=0),0,WWWW[[#This Row],['#_Non-functional latrines]]/(WWWW[[#This Row],['#_Constructed latrines_by_WASHAgencies]]+WWWW[[#This Row],['#_Non Cluster partner latrines]]))</f>
        <v>0</v>
      </c>
      <c r="DL132" s="758">
        <f>IF(500*(WWWW[[#This Row],['#_male hygiene promoters]]+WWWW[[#This Row],['#_female hygiene promoters]])&gt;WWWW[[#This Row],[Total PoP ]],WWWW[[#This Row],[Total PoP ]],500*(WWWW[[#This Row],['#_male hygiene promoters]]+WWWW[[#This Row],['#_female hygiene promoters]]))</f>
        <v>0</v>
      </c>
      <c r="DM13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v>
      </c>
      <c r="DN13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v>
      </c>
      <c r="DO132" s="761">
        <f>IF(WWWW[[#This Row],['# People with access to soap]]&gt;WWWW[[#This Row],['# People with access to Sanity Pads]],WWWW[[#This Row],['# People with access to soap]],WWWW[[#This Row],['# People with access to Sanity Pads]])</f>
        <v>15</v>
      </c>
      <c r="DP132" s="761">
        <f>IF(WWWW[[#This Row],['# people reached by regular dedicated hygiene promotion_5]]&gt;WWWW[[#This Row],['# People received regular supply of hygiene items_6]],WWWW[[#This Row],['# people reached by regular dedicated hygiene promotion_5]],WWWW[[#This Row],['# People received regular supply of hygiene items_6]])</f>
        <v>15</v>
      </c>
      <c r="DQ132" s="763">
        <f>IF(WWWW[[#This Row],[HRP3]]/WWWW[[#This Row],[Total PoP ]]&gt;1,1,WWWW[[#This Row],[HRP3]]/WWWW[[#This Row],[Total PoP ]])</f>
        <v>1</v>
      </c>
      <c r="DR132" s="762">
        <f>1-WWWW[[#This Row],[Hygiene Coverage%]]</f>
        <v>0</v>
      </c>
      <c r="DS132" s="760">
        <f>WWWW[[#This Row],['# people reached by regular dedicated hygiene promotion_5]]/WWWW[[#This Row],[Total PoP ]]</f>
        <v>0</v>
      </c>
      <c r="DT13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2" s="761">
        <f>WWWW[[#This Row],['#_Constructed/Existing hand washing stations]]-WWWW[[#This Row],['#_Non-Functional_hand_washing_stations]]</f>
        <v>7</v>
      </c>
      <c r="DW132" s="758">
        <f>IF(WWWW[[#This Row],['# Functional hand washing stations during reporting period]]*20&gt;WWWW[[#This Row],[Total HH]],WWWW[[#This Row],[Total HH]],WWWW[[#This Row],['# Functional hand washing stations during reporting period]]*20)</f>
        <v>3</v>
      </c>
      <c r="DX132" s="758">
        <f>IF(WWWW[[#This Row],[Is sufficient soap available for TLS? (Yes/No)]]="yes",WWWW[[#This Row],['#_Constructed/Existing hand washing stations at TLS/CFS/THF]],0)</f>
        <v>0</v>
      </c>
      <c r="DY132" s="429">
        <f>IF(WWWW[[#This Row],['# Functional hand washing stations during reporting period]]*100&gt;WWWW[[#This Row],[Total PoP ]],WWWW[[#This Row],[Total PoP ]],WWWW[[#This Row],['# Functional hand washing stations during reporting period]]*100)</f>
        <v>15</v>
      </c>
      <c r="DZ132" s="429" t="str">
        <f>IF(OR(WWWW[[#This Row],['#_students at TLS_CFS]]="",WWWW[[#This Row],['#_students at TLS_CFS]]=0),"No","Yes")</f>
        <v>No</v>
      </c>
      <c r="EA13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2" s="754" t="str">
        <f>VLOOKUP(WWWW[[#This Row],[Site Name]],SiteDB6[[Site Name]:[CCCM Management]],6,FALSE)</f>
        <v>Yes</v>
      </c>
      <c r="EF132" s="754" t="str">
        <f>VLOOKUP(WWWW[[#This Row],[Site Name]],SiteDB6[[Site Name]:[CCCM Focal Agency]],7,FALSE)</f>
        <v>Shalom</v>
      </c>
      <c r="EG132" s="754" t="str">
        <f>VLOOKUP(WWWW[[#This Row],[Site Name]],SiteDB6[[Site Name]:[Location Type 1]],9,FALSE)</f>
        <v>Camp</v>
      </c>
      <c r="EH132" s="754" t="str">
        <f>VLOOKUP(WWWW[[#This Row],[Site Name]],SiteDB6[[Site Name]:[Type of Accommodation]],10,FALSE)</f>
        <v>Camp like setting</v>
      </c>
      <c r="EI132" s="754" t="str">
        <f>VLOOKUP(WWWW[[#This Row],[Site Name]],SiteDB6[[Site Name]:[Ethnic or GCA/NGCA]],11,FALSE)</f>
        <v>GCA</v>
      </c>
      <c r="EJ132" s="754">
        <f>VLOOKUP(WWWW[[#This Row],[Site Name]],SiteDB6[[Site Name]:[Lat]],12,FALSE)</f>
        <v>25.6145</v>
      </c>
      <c r="EK132" s="754">
        <f>VLOOKUP(WWWW[[#This Row],[Site Name]],SiteDB6[[Site Name]:[Long]],13,FALSE)</f>
        <v>96.319829999999996</v>
      </c>
      <c r="EL132" s="754" t="str">
        <f>VLOOKUP(WWWW[[#This Row],[Site Name]],SiteDB6[[Site Name]:[Pcode]],3,FALSE)</f>
        <v>MMR001CMP091</v>
      </c>
      <c r="EM132" s="759" t="str">
        <f t="shared" si="1"/>
        <v>Notcovered</v>
      </c>
      <c r="EN132" s="759"/>
      <c r="EO132" s="754">
        <f>VLOOKUP(WWWW[[#This Row],[Site Name]],SiteDB6[[Site Name]:[Pop
(Kachin/Shan-CCCM as of July 2021)]],16,FALSE)</f>
        <v>3</v>
      </c>
      <c r="EP132" s="754">
        <f>VLOOKUP(WWWW[[#This Row],[Site Name]],SiteDB6[[Site Name]:[Pop
(Kachin/Shan-CCCM as of July 2021)]],17,FALSE)</f>
        <v>14</v>
      </c>
    </row>
    <row r="133" spans="1:146" hidden="1">
      <c r="A133" s="752" t="s">
        <v>2785</v>
      </c>
      <c r="B133" s="752" t="s">
        <v>309</v>
      </c>
      <c r="C133" s="753" t="s">
        <v>309</v>
      </c>
      <c r="D133" s="753"/>
      <c r="E133" s="753" t="s">
        <v>37</v>
      </c>
      <c r="F133" s="753" t="s">
        <v>148</v>
      </c>
      <c r="G133" s="594" t="str">
        <f>VLOOKUP(WWWW[[#This Row],[Site Name]],SiteDB6[[Site Name]:[Location Type]],8,FALSE)</f>
        <v>Camp</v>
      </c>
      <c r="H133" s="753" t="s">
        <v>3045</v>
      </c>
      <c r="I133" s="755">
        <v>95</v>
      </c>
      <c r="J133" s="755">
        <v>472</v>
      </c>
      <c r="K133" s="756"/>
      <c r="L133" s="757"/>
      <c r="M133" s="755"/>
      <c r="N133" s="755"/>
      <c r="O133" s="755"/>
      <c r="P133" s="755"/>
      <c r="Q133" s="758"/>
      <c r="R133" s="755"/>
      <c r="S133" s="755"/>
      <c r="T133" s="449"/>
      <c r="U133" s="755"/>
      <c r="V133" s="755"/>
      <c r="W133" s="755"/>
      <c r="X133" s="755"/>
      <c r="Y133" s="755"/>
      <c r="Z133" s="755"/>
      <c r="AA133" s="755"/>
      <c r="AB133" s="755"/>
      <c r="AC133" s="755"/>
      <c r="AD133" s="755"/>
      <c r="AE133" s="755"/>
      <c r="AF133" s="755"/>
      <c r="AG133" s="755"/>
      <c r="AH133" s="755"/>
      <c r="AI133" s="755"/>
      <c r="AJ133" s="755"/>
      <c r="AK133" s="755"/>
      <c r="AL133" s="755"/>
      <c r="AM133" s="755"/>
      <c r="AN133" s="755"/>
      <c r="AO133" s="755"/>
      <c r="AP133" s="759"/>
      <c r="AQ133" s="755"/>
      <c r="AR133" s="755"/>
      <c r="AS133" s="760"/>
      <c r="AT133" s="755"/>
      <c r="AU133" s="755"/>
      <c r="AV133" s="755"/>
      <c r="AW133" s="755"/>
      <c r="AX133" s="755"/>
      <c r="AY133" s="426" t="s">
        <v>140</v>
      </c>
      <c r="AZ133" s="891" t="s">
        <v>140</v>
      </c>
      <c r="BA133" s="755"/>
      <c r="BB133" s="755"/>
      <c r="BC133" s="755"/>
      <c r="BD133" s="449"/>
      <c r="BE133" s="449"/>
      <c r="BF133" s="754"/>
      <c r="BG133" s="755">
        <v>8</v>
      </c>
      <c r="BH133" s="755"/>
      <c r="BI133" s="755"/>
      <c r="BJ133" s="755">
        <v>3</v>
      </c>
      <c r="BK133" s="755"/>
      <c r="BL133" s="755"/>
      <c r="BM133" s="755"/>
      <c r="BN133" s="755">
        <v>91</v>
      </c>
      <c r="BO133" s="755">
        <v>124</v>
      </c>
      <c r="BP133" s="754"/>
      <c r="BQ133" s="761"/>
      <c r="BR133" s="760"/>
      <c r="BS133" s="754"/>
      <c r="BT133" s="424"/>
      <c r="BU133" s="424"/>
      <c r="BV133" s="426"/>
      <c r="BW133" s="424"/>
      <c r="BX133" s="449"/>
      <c r="BY133" s="449"/>
      <c r="BZ133" s="449"/>
      <c r="CA133" s="449"/>
      <c r="CB133" s="449"/>
      <c r="CC133" s="807"/>
      <c r="CD133" s="449"/>
      <c r="CE133" s="762" t="str">
        <f>IFERROR(WWWW[[#This Row],['#_Water sources passed]]/WWWW[[#This Row],['#_Water sources tested for fecal coliform ]],"no test")</f>
        <v>no test</v>
      </c>
      <c r="CF133" s="760" t="str">
        <f>IFERROR(WWWW[[#This Row],['#_Household passed]]/WWWW[[#This Row],['#_Household water samples tested for fecal coliform]],"no test")</f>
        <v>no test</v>
      </c>
      <c r="CG133" s="761" t="str">
        <f>IF(AND(WWWW[[#This Row],[% of water sources passed]]="no test",WWWW[[#This Row],[% Household passed]]="no test"),"No Test","Tested")</f>
        <v>No Test</v>
      </c>
      <c r="CH133" s="761">
        <f>WWWW[[#This Row],['#_Constructed/existing protected hand dug well]]-WWWW[[#This Row],['#_Non-functional protected hand dug well]]</f>
        <v>0</v>
      </c>
      <c r="CI133" s="761">
        <f>(WWWW[[#This Row],['#_Constructed/Existing tube wells/boreholes/handpumps_WASH_agency]]+WWWW[[#This Row],['#_Non-Cluster partner water tube-wells/boreholes/handpumps]])-WWWW[[#This Row],['#_Non-functional tube wells/boreholes/handpumps]]</f>
        <v>0</v>
      </c>
      <c r="CJ133" s="761">
        <f>WWWW[[#This Row],['#_Constructed/Existingwater storage tank with gravity fed reticulation system]]-WWWW[[#This Row],['#_Non-functional storage tank gravity fed reticulation system]]</f>
        <v>0</v>
      </c>
      <c r="CK133" s="761">
        <f>(WWWW[[#This Row],['#_Water_Liters_supplied_by_Water boating or water trucking]]/90)/15</f>
        <v>0</v>
      </c>
      <c r="CL133" s="761">
        <f>WWWW[[#This Row],['#_Water_Liters_from_Constructed/Existing water distribution system from river or natural spring]]/90/15</f>
        <v>0</v>
      </c>
      <c r="CM133" s="425">
        <f>IF(WWWW[[#This Row],['#_of water points in TLS/CFS]]*500&gt;WWWW[[#This Row],[Total PoP ]],WWWW[[#This Row],[Total PoP ]],WWWW[[#This Row],['#_of water points in TLS/CFS]]*500)</f>
        <v>0</v>
      </c>
      <c r="CN133" s="425">
        <f>IF(WWWW[[#This Row],['#_of water points in THF]]*500&gt;WWWW[[#This Row],[Total PoP ]],WWWW[[#This Row],[Total PoP ]],WWWW[[#This Row],['#_of water points in THF]]*500)</f>
        <v>0</v>
      </c>
      <c r="CO13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3" s="760">
        <f>IF(WWWW[[#This Row],[Location Type 1]]="Village",WWWW[[#This Row],[Access to safe drinking water for Village]],WWWW[[#This Row],[Access to safe drinking water for Camp]])</f>
        <v>0</v>
      </c>
      <c r="CR133" s="758">
        <f>WWWW[[#This Row],[%Equitable and continuous access to sufficient quantity of safe drinking water]]*WWWW[[#This Row],[Total PoP ]]</f>
        <v>0</v>
      </c>
      <c r="CS133" s="760">
        <f>IF((WWWW[[#This Row],['#_Constructed/Existing protected/fenced ponds]]*250)/WWWW[[#This Row],[Total PoP ]]&gt;1,1,(WWWW[[#This Row],['#_Constructed/Existing protected/fenced ponds]]*250)/WWWW[[#This Row],[Total PoP ]])</f>
        <v>0</v>
      </c>
      <c r="CT133" s="758">
        <f>WWWW[[#This Row],[% Access to unimproved water points]]*WWWW[[#This Row],[Total PoP ]]</f>
        <v>0</v>
      </c>
      <c r="CU13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3" s="758">
        <f>WWWW[[#This Row],[HRP1]]/500</f>
        <v>0</v>
      </c>
      <c r="CX133" s="763">
        <f>1-WWWW[[#This Row],[% Equitable and continuous access to sufficient quantity of domestic water]]</f>
        <v>1</v>
      </c>
      <c r="CY133" s="758">
        <f>WWWW[[#This Row],[%equitable and continuous access to sufficient quantity of safe drinking and domestic water''s GAP]]*WWWW[[#This Row],[Total PoP ]]</f>
        <v>472</v>
      </c>
      <c r="CZ133" s="761">
        <f>IF(WWWW[[#This Row],[Total required water points]]-WWWW[[#This Row],['#Water points coverage]]&lt;0,0,WWWW[[#This Row],[Total required water points]]-WWWW[[#This Row],['#Water points coverage]])</f>
        <v>1</v>
      </c>
      <c r="DA133" s="761">
        <f>ROUND(IF(WWWW[[#This Row],[Total PoP ]]&lt;500,1,WWWW[[#This Row],[Total PoP ]]/500),0)</f>
        <v>1</v>
      </c>
      <c r="DB133" s="761">
        <f>(WWWW[[#This Row],['#_Constructed latrines_by_WASHAgencies]]+WWWW[[#This Row],['#_Non Cluster partner latrines]])-WWWW[[#This Row],['#_Non-functional latrines]]</f>
        <v>0</v>
      </c>
      <c r="DC133" s="634">
        <f>WWWW[[#This Row],[HRP2]]/WWWW[[#This Row],[Total PoP ]]</f>
        <v>0</v>
      </c>
      <c r="DD13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3" s="425">
        <f>IF(WWWW[[#This Row],['# of functional latrines in THF supported by WASH partners during the reporting period2]]="",0,WWWW[[#This Row],['# of functional latrines in THF supported by WASH partners during the reporting period2]]*50)</f>
        <v>0</v>
      </c>
      <c r="DH133" s="761">
        <f>ROUND(IF(WWWW[[#This Row],[Location Type 1]]="camp",WWWW[[#This Row],[Total PoP ]]/20,IF(WWWW[[#This Row],[Location Type 1]]="Temporary Location",WWWW[[#This Row],[Total PoP ]]/50,(WWWW[[#This Row],[Total PoP ]]/6))),0)</f>
        <v>24</v>
      </c>
      <c r="DI133" s="761">
        <f>IF(WWWW[[#This Row],[Total required Latrines]]-(WWWW[[#This Row],['#_Constructed latrines_by_WASHAgencies]]+WWWW[[#This Row],['#_Non Cluster partner latrines]])&lt;0,0,WWWW[[#This Row],[Total required Latrines]]-(WWWW[[#This Row],['#_Constructed latrines_by_WASHAgencies]]+WWWW[[#This Row],['#_Non Cluster partner latrines]]))</f>
        <v>24</v>
      </c>
      <c r="DJ133" s="763">
        <f>1-WWWW[[#This Row],[% people access to functioning Latrine]]</f>
        <v>1</v>
      </c>
      <c r="DK133" s="762">
        <f>IF(OR(WWWW[[#This Row],['#_Non-functional latrines]]="",WWWW[[#This Row],['#_Non-functional latrines]]=0),0,WWWW[[#This Row],['#_Non-functional latrines]]/(WWWW[[#This Row],['#_Constructed latrines_by_WASHAgencies]]+WWWW[[#This Row],['#_Non Cluster partner latrines]]))</f>
        <v>0</v>
      </c>
      <c r="DL133" s="758">
        <f>IF(500*(WWWW[[#This Row],['#_male hygiene promoters]]+WWWW[[#This Row],['#_female hygiene promoters]])&gt;WWWW[[#This Row],[Total PoP ]],WWWW[[#This Row],[Total PoP ]],500*(WWWW[[#This Row],['#_male hygiene promoters]]+WWWW[[#This Row],['#_female hygiene promoters]]))</f>
        <v>0</v>
      </c>
      <c r="DM13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3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33" s="761">
        <f>IF(WWWW[[#This Row],['# People with access to soap]]&gt;WWWW[[#This Row],['# People with access to Sanity Pads]],WWWW[[#This Row],['# People with access to soap]],WWWW[[#This Row],['# People with access to Sanity Pads]])</f>
        <v>455</v>
      </c>
      <c r="DP133" s="761">
        <f>IF(WWWW[[#This Row],['# people reached by regular dedicated hygiene promotion_5]]&gt;WWWW[[#This Row],['# People received regular supply of hygiene items_6]],WWWW[[#This Row],['# people reached by regular dedicated hygiene promotion_5]],WWWW[[#This Row],['# People received regular supply of hygiene items_6]])</f>
        <v>455</v>
      </c>
      <c r="DQ133" s="763">
        <f>IF(WWWW[[#This Row],[HRP3]]/WWWW[[#This Row],[Total PoP ]]&gt;1,1,WWWW[[#This Row],[HRP3]]/WWWW[[#This Row],[Total PoP ]])</f>
        <v>0.96398305084745761</v>
      </c>
      <c r="DR133" s="762">
        <f>1-WWWW[[#This Row],[Hygiene Coverage%]]</f>
        <v>3.6016949152542388E-2</v>
      </c>
      <c r="DS133" s="760">
        <f>WWWW[[#This Row],['# people reached by regular dedicated hygiene promotion_5]]/WWWW[[#This Row],[Total PoP ]]</f>
        <v>0</v>
      </c>
      <c r="DT13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3" s="761">
        <f>WWWW[[#This Row],['#_Constructed/Existing hand washing stations]]-WWWW[[#This Row],['#_Non-Functional_hand_washing_stations]]</f>
        <v>8</v>
      </c>
      <c r="DW133" s="758">
        <f>IF(WWWW[[#This Row],['# Functional hand washing stations during reporting period]]*20&gt;WWWW[[#This Row],[Total HH]],WWWW[[#This Row],[Total HH]],WWWW[[#This Row],['# Functional hand washing stations during reporting period]]*20)</f>
        <v>95</v>
      </c>
      <c r="DX133" s="758">
        <f>IF(WWWW[[#This Row],[Is sufficient soap available for TLS? (Yes/No)]]="yes",WWWW[[#This Row],['#_Constructed/Existing hand washing stations at TLS/CFS/THF]],0)</f>
        <v>0</v>
      </c>
      <c r="DY133" s="429">
        <f>IF(WWWW[[#This Row],['# Functional hand washing stations during reporting period]]*100&gt;WWWW[[#This Row],[Total PoP ]],WWWW[[#This Row],[Total PoP ]],WWWW[[#This Row],['# Functional hand washing stations during reporting period]]*100)</f>
        <v>472</v>
      </c>
      <c r="DZ133" s="429" t="str">
        <f>IF(OR(WWWW[[#This Row],['#_students at TLS_CFS]]="",WWWW[[#This Row],['#_students at TLS_CFS]]=0),"No","Yes")</f>
        <v>No</v>
      </c>
      <c r="EA13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3" s="754" t="str">
        <f>VLOOKUP(WWWW[[#This Row],[Site Name]],SiteDB6[[Site Name]:[CCCM Management]],6,FALSE)</f>
        <v>Yes</v>
      </c>
      <c r="EF133" s="754" t="str">
        <f>VLOOKUP(WWWW[[#This Row],[Site Name]],SiteDB6[[Site Name]:[CCCM Focal Agency]],7,FALSE)</f>
        <v>KMSS-MYT</v>
      </c>
      <c r="EG133" s="754" t="str">
        <f>VLOOKUP(WWWW[[#This Row],[Site Name]],SiteDB6[[Site Name]:[Location Type 1]],9,FALSE)</f>
        <v>Camp</v>
      </c>
      <c r="EH133" s="754" t="str">
        <f>VLOOKUP(WWWW[[#This Row],[Site Name]],SiteDB6[[Site Name]:[Type of Accommodation]],10,FALSE)</f>
        <v>Camp</v>
      </c>
      <c r="EI133" s="754" t="str">
        <f>VLOOKUP(WWWW[[#This Row],[Site Name]],SiteDB6[[Site Name]:[Ethnic or GCA/NGCA]],11,FALSE)</f>
        <v>GCA</v>
      </c>
      <c r="EJ133" s="754">
        <f>VLOOKUP(WWWW[[#This Row],[Site Name]],SiteDB6[[Site Name]:[Lat]],12,FALSE)</f>
        <v>25.656009999999998</v>
      </c>
      <c r="EK133" s="754">
        <f>VLOOKUP(WWWW[[#This Row],[Site Name]],SiteDB6[[Site Name]:[Long]],13,FALSE)</f>
        <v>96.361609999999999</v>
      </c>
      <c r="EL133" s="754" t="str">
        <f>VLOOKUP(WWWW[[#This Row],[Site Name]],SiteDB6[[Site Name]:[Pcode]],3,FALSE)</f>
        <v>MMR001CMP168</v>
      </c>
      <c r="EM133" s="759" t="str">
        <f t="shared" si="1"/>
        <v>Notcovered</v>
      </c>
      <c r="EN133" s="759"/>
      <c r="EO133" s="754">
        <f>VLOOKUP(WWWW[[#This Row],[Site Name]],SiteDB6[[Site Name]:[Pop
(Kachin/Shan-CCCM as of July 2021)]],16,FALSE)</f>
        <v>90</v>
      </c>
      <c r="EP133" s="754">
        <f>VLOOKUP(WWWW[[#This Row],[Site Name]],SiteDB6[[Site Name]:[Pop
(Kachin/Shan-CCCM as of July 2021)]],17,FALSE)</f>
        <v>456</v>
      </c>
    </row>
    <row r="134" spans="1:146" hidden="1">
      <c r="A134" s="752" t="s">
        <v>2785</v>
      </c>
      <c r="B134" s="752" t="s">
        <v>309</v>
      </c>
      <c r="C134" s="753" t="s">
        <v>309</v>
      </c>
      <c r="D134" s="753"/>
      <c r="E134" s="753" t="s">
        <v>515</v>
      </c>
      <c r="F134" s="753" t="s">
        <v>556</v>
      </c>
      <c r="G134" s="594" t="str">
        <f>VLOOKUP(WWWW[[#This Row],[Site Name]],SiteDB6[[Site Name]:[Location Type]],8,FALSE)</f>
        <v>Camp</v>
      </c>
      <c r="H134" s="753" t="s">
        <v>2717</v>
      </c>
      <c r="I134" s="755">
        <v>13</v>
      </c>
      <c r="J134" s="755">
        <v>29</v>
      </c>
      <c r="K134" s="756"/>
      <c r="L134" s="757"/>
      <c r="M134" s="755"/>
      <c r="N134" s="755"/>
      <c r="O134" s="755"/>
      <c r="P134" s="755"/>
      <c r="Q134" s="758"/>
      <c r="R134" s="755"/>
      <c r="S134" s="755"/>
      <c r="T134" s="449"/>
      <c r="U134" s="755"/>
      <c r="V134" s="755"/>
      <c r="W134" s="755"/>
      <c r="X134" s="755"/>
      <c r="Y134" s="755"/>
      <c r="Z134" s="755"/>
      <c r="AA134" s="755"/>
      <c r="AB134" s="755"/>
      <c r="AC134" s="755"/>
      <c r="AD134" s="755"/>
      <c r="AE134" s="755"/>
      <c r="AF134" s="755"/>
      <c r="AG134" s="755"/>
      <c r="AH134" s="755"/>
      <c r="AI134" s="755"/>
      <c r="AJ134" s="755"/>
      <c r="AK134" s="755"/>
      <c r="AL134" s="755"/>
      <c r="AM134" s="755"/>
      <c r="AN134" s="755"/>
      <c r="AO134" s="755"/>
      <c r="AP134" s="759"/>
      <c r="AQ134" s="755"/>
      <c r="AR134" s="755"/>
      <c r="AS134" s="760"/>
      <c r="AT134" s="755"/>
      <c r="AU134" s="755"/>
      <c r="AV134" s="755"/>
      <c r="AW134" s="755"/>
      <c r="AX134" s="755"/>
      <c r="AY134" s="426" t="s">
        <v>140</v>
      </c>
      <c r="AZ134" s="891" t="s">
        <v>140</v>
      </c>
      <c r="BA134" s="755"/>
      <c r="BB134" s="755"/>
      <c r="BC134" s="755"/>
      <c r="BD134" s="449"/>
      <c r="BE134" s="449"/>
      <c r="BF134" s="754"/>
      <c r="BG134" s="755">
        <v>1</v>
      </c>
      <c r="BH134" s="755"/>
      <c r="BI134" s="755"/>
      <c r="BJ134" s="755">
        <v>3</v>
      </c>
      <c r="BK134" s="755"/>
      <c r="BL134" s="755"/>
      <c r="BM134" s="755"/>
      <c r="BN134" s="755">
        <v>41</v>
      </c>
      <c r="BO134" s="755">
        <v>85</v>
      </c>
      <c r="BP134" s="754"/>
      <c r="BQ134" s="761"/>
      <c r="BR134" s="760"/>
      <c r="BS134" s="754"/>
      <c r="BT134" s="424"/>
      <c r="BU134" s="424"/>
      <c r="BV134" s="426"/>
      <c r="BW134" s="424"/>
      <c r="BX134" s="449"/>
      <c r="BY134" s="449"/>
      <c r="BZ134" s="449"/>
      <c r="CA134" s="449"/>
      <c r="CB134" s="449"/>
      <c r="CC134" s="807"/>
      <c r="CD134" s="449"/>
      <c r="CE134" s="762" t="str">
        <f>IFERROR(WWWW[[#This Row],['#_Water sources passed]]/WWWW[[#This Row],['#_Water sources tested for fecal coliform ]],"no test")</f>
        <v>no test</v>
      </c>
      <c r="CF134" s="760" t="str">
        <f>IFERROR(WWWW[[#This Row],['#_Household passed]]/WWWW[[#This Row],['#_Household water samples tested for fecal coliform]],"no test")</f>
        <v>no test</v>
      </c>
      <c r="CG134" s="761" t="str">
        <f>IF(AND(WWWW[[#This Row],[% of water sources passed]]="no test",WWWW[[#This Row],[% Household passed]]="no test"),"No Test","Tested")</f>
        <v>No Test</v>
      </c>
      <c r="CH134" s="761">
        <f>WWWW[[#This Row],['#_Constructed/existing protected hand dug well]]-WWWW[[#This Row],['#_Non-functional protected hand dug well]]</f>
        <v>0</v>
      </c>
      <c r="CI134" s="761">
        <f>(WWWW[[#This Row],['#_Constructed/Existing tube wells/boreholes/handpumps_WASH_agency]]+WWWW[[#This Row],['#_Non-Cluster partner water tube-wells/boreholes/handpumps]])-WWWW[[#This Row],['#_Non-functional tube wells/boreholes/handpumps]]</f>
        <v>0</v>
      </c>
      <c r="CJ134" s="761">
        <f>WWWW[[#This Row],['#_Constructed/Existingwater storage tank with gravity fed reticulation system]]-WWWW[[#This Row],['#_Non-functional storage tank gravity fed reticulation system]]</f>
        <v>0</v>
      </c>
      <c r="CK134" s="761">
        <f>(WWWW[[#This Row],['#_Water_Liters_supplied_by_Water boating or water trucking]]/90)/15</f>
        <v>0</v>
      </c>
      <c r="CL134" s="761">
        <f>WWWW[[#This Row],['#_Water_Liters_from_Constructed/Existing water distribution system from river or natural spring]]/90/15</f>
        <v>0</v>
      </c>
      <c r="CM134" s="425">
        <f>IF(WWWW[[#This Row],['#_of water points in TLS/CFS]]*500&gt;WWWW[[#This Row],[Total PoP ]],WWWW[[#This Row],[Total PoP ]],WWWW[[#This Row],['#_of water points in TLS/CFS]]*500)</f>
        <v>0</v>
      </c>
      <c r="CN134" s="425">
        <f>IF(WWWW[[#This Row],['#_of water points in THF]]*500&gt;WWWW[[#This Row],[Total PoP ]],WWWW[[#This Row],[Total PoP ]],WWWW[[#This Row],['#_of water points in THF]]*500)</f>
        <v>0</v>
      </c>
      <c r="CO13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4" s="760">
        <f>IF(WWWW[[#This Row],[Location Type 1]]="Village",WWWW[[#This Row],[Access to safe drinking water for Village]],WWWW[[#This Row],[Access to safe drinking water for Camp]])</f>
        <v>0</v>
      </c>
      <c r="CR134" s="758">
        <f>WWWW[[#This Row],[%Equitable and continuous access to sufficient quantity of safe drinking water]]*WWWW[[#This Row],[Total PoP ]]</f>
        <v>0</v>
      </c>
      <c r="CS134" s="760">
        <f>IF((WWWW[[#This Row],['#_Constructed/Existing protected/fenced ponds]]*250)/WWWW[[#This Row],[Total PoP ]]&gt;1,1,(WWWW[[#This Row],['#_Constructed/Existing protected/fenced ponds]]*250)/WWWW[[#This Row],[Total PoP ]])</f>
        <v>0</v>
      </c>
      <c r="CT134" s="758">
        <f>WWWW[[#This Row],[% Access to unimproved water points]]*WWWW[[#This Row],[Total PoP ]]</f>
        <v>0</v>
      </c>
      <c r="CU13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4" s="758">
        <f>WWWW[[#This Row],[HRP1]]/500</f>
        <v>0</v>
      </c>
      <c r="CX134" s="763">
        <f>1-WWWW[[#This Row],[% Equitable and continuous access to sufficient quantity of domestic water]]</f>
        <v>1</v>
      </c>
      <c r="CY134" s="758">
        <f>WWWW[[#This Row],[%equitable and continuous access to sufficient quantity of safe drinking and domestic water''s GAP]]*WWWW[[#This Row],[Total PoP ]]</f>
        <v>29</v>
      </c>
      <c r="CZ134" s="761">
        <f>IF(WWWW[[#This Row],[Total required water points]]-WWWW[[#This Row],['#Water points coverage]]&lt;0,0,WWWW[[#This Row],[Total required water points]]-WWWW[[#This Row],['#Water points coverage]])</f>
        <v>1</v>
      </c>
      <c r="DA134" s="761">
        <f>ROUND(IF(WWWW[[#This Row],[Total PoP ]]&lt;500,1,WWWW[[#This Row],[Total PoP ]]/500),0)</f>
        <v>1</v>
      </c>
      <c r="DB134" s="761">
        <f>(WWWW[[#This Row],['#_Constructed latrines_by_WASHAgencies]]+WWWW[[#This Row],['#_Non Cluster partner latrines]])-WWWW[[#This Row],['#_Non-functional latrines]]</f>
        <v>0</v>
      </c>
      <c r="DC134" s="634">
        <f>WWWW[[#This Row],[HRP2]]/WWWW[[#This Row],[Total PoP ]]</f>
        <v>0</v>
      </c>
      <c r="DD13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4" s="425">
        <f>IF(WWWW[[#This Row],['# of functional latrines in THF supported by WASH partners during the reporting period2]]="",0,WWWW[[#This Row],['# of functional latrines in THF supported by WASH partners during the reporting period2]]*50)</f>
        <v>0</v>
      </c>
      <c r="DH134" s="761">
        <f>ROUND(IF(WWWW[[#This Row],[Location Type 1]]="camp",WWWW[[#This Row],[Total PoP ]]/20,IF(WWWW[[#This Row],[Location Type 1]]="Temporary Location",WWWW[[#This Row],[Total PoP ]]/50,(WWWW[[#This Row],[Total PoP ]]/6))),0)</f>
        <v>1</v>
      </c>
      <c r="DI134" s="761">
        <f>IF(WWWW[[#This Row],[Total required Latrines]]-(WWWW[[#This Row],['#_Constructed latrines_by_WASHAgencies]]+WWWW[[#This Row],['#_Non Cluster partner latrines]])&lt;0,0,WWWW[[#This Row],[Total required Latrines]]-(WWWW[[#This Row],['#_Constructed latrines_by_WASHAgencies]]+WWWW[[#This Row],['#_Non Cluster partner latrines]]))</f>
        <v>1</v>
      </c>
      <c r="DJ134" s="763">
        <f>1-WWWW[[#This Row],[% people access to functioning Latrine]]</f>
        <v>1</v>
      </c>
      <c r="DK134" s="762">
        <f>IF(OR(WWWW[[#This Row],['#_Non-functional latrines]]="",WWWW[[#This Row],['#_Non-functional latrines]]=0),0,WWWW[[#This Row],['#_Non-functional latrines]]/(WWWW[[#This Row],['#_Constructed latrines_by_WASHAgencies]]+WWWW[[#This Row],['#_Non Cluster partner latrines]]))</f>
        <v>0</v>
      </c>
      <c r="DL134" s="758">
        <f>IF(500*(WWWW[[#This Row],['#_male hygiene promoters]]+WWWW[[#This Row],['#_female hygiene promoters]])&gt;WWWW[[#This Row],[Total PoP ]],WWWW[[#This Row],[Total PoP ]],500*(WWWW[[#This Row],['#_male hygiene promoters]]+WWWW[[#This Row],['#_female hygiene promoters]]))</f>
        <v>0</v>
      </c>
      <c r="DM13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v>
      </c>
      <c r="DN13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O134" s="761">
        <f>IF(WWWW[[#This Row],['# People with access to soap]]&gt;WWWW[[#This Row],['# People with access to Sanity Pads]],WWWW[[#This Row],['# People with access to soap]],WWWW[[#This Row],['# People with access to Sanity Pads]])</f>
        <v>29</v>
      </c>
      <c r="DP134" s="761">
        <f>IF(WWWW[[#This Row],['# people reached by regular dedicated hygiene promotion_5]]&gt;WWWW[[#This Row],['# People received regular supply of hygiene items_6]],WWWW[[#This Row],['# people reached by regular dedicated hygiene promotion_5]],WWWW[[#This Row],['# People received regular supply of hygiene items_6]])</f>
        <v>29</v>
      </c>
      <c r="DQ134" s="763">
        <f>IF(WWWW[[#This Row],[HRP3]]/WWWW[[#This Row],[Total PoP ]]&gt;1,1,WWWW[[#This Row],[HRP3]]/WWWW[[#This Row],[Total PoP ]])</f>
        <v>1</v>
      </c>
      <c r="DR134" s="762">
        <f>1-WWWW[[#This Row],[Hygiene Coverage%]]</f>
        <v>0</v>
      </c>
      <c r="DS134" s="760">
        <f>WWWW[[#This Row],['# people reached by regular dedicated hygiene promotion_5]]/WWWW[[#This Row],[Total PoP ]]</f>
        <v>0</v>
      </c>
      <c r="DT13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4" s="761">
        <f>WWWW[[#This Row],['#_Constructed/Existing hand washing stations]]-WWWW[[#This Row],['#_Non-Functional_hand_washing_stations]]</f>
        <v>1</v>
      </c>
      <c r="DW134" s="758">
        <f>IF(WWWW[[#This Row],['# Functional hand washing stations during reporting period]]*20&gt;WWWW[[#This Row],[Total HH]],WWWW[[#This Row],[Total HH]],WWWW[[#This Row],['# Functional hand washing stations during reporting period]]*20)</f>
        <v>13</v>
      </c>
      <c r="DX134" s="758">
        <f>IF(WWWW[[#This Row],[Is sufficient soap available for TLS? (Yes/No)]]="yes",WWWW[[#This Row],['#_Constructed/Existing hand washing stations at TLS/CFS/THF]],0)</f>
        <v>0</v>
      </c>
      <c r="DY134" s="429">
        <f>IF(WWWW[[#This Row],['# Functional hand washing stations during reporting period]]*100&gt;WWWW[[#This Row],[Total PoP ]],WWWW[[#This Row],[Total PoP ]],WWWW[[#This Row],['# Functional hand washing stations during reporting period]]*100)</f>
        <v>29</v>
      </c>
      <c r="DZ134" s="429" t="str">
        <f>IF(OR(WWWW[[#This Row],['#_students at TLS_CFS]]="",WWWW[[#This Row],['#_students at TLS_CFS]]=0),"No","Yes")</f>
        <v>No</v>
      </c>
      <c r="EA13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4" s="754">
        <f>VLOOKUP(WWWW[[#This Row],[Site Name]],SiteDB6[[Site Name]:[CCCM Management]],6,FALSE)</f>
        <v>0</v>
      </c>
      <c r="EF134" s="754" t="str">
        <f>VLOOKUP(WWWW[[#This Row],[Site Name]],SiteDB6[[Site Name]:[CCCM Focal Agency]],7,FALSE)</f>
        <v>uncovered</v>
      </c>
      <c r="EG134" s="754" t="str">
        <f>VLOOKUP(WWWW[[#This Row],[Site Name]],SiteDB6[[Site Name]:[Location Type 1]],9,FALSE)</f>
        <v>Camp</v>
      </c>
      <c r="EH134" s="754" t="str">
        <f>VLOOKUP(WWWW[[#This Row],[Site Name]],SiteDB6[[Site Name]:[Type of Accommodation]],10,FALSE)</f>
        <v>Closed Camp</v>
      </c>
      <c r="EI134" s="754" t="str">
        <f>VLOOKUP(WWWW[[#This Row],[Site Name]],SiteDB6[[Site Name]:[Ethnic or GCA/NGCA]],11,FALSE)</f>
        <v>GCA</v>
      </c>
      <c r="EJ134" s="754">
        <f>VLOOKUP(WWWW[[#This Row],[Site Name]],SiteDB6[[Site Name]:[Lat]],12,FALSE)</f>
        <v>22.6923503875732</v>
      </c>
      <c r="EK134" s="754">
        <f>VLOOKUP(WWWW[[#This Row],[Site Name]],SiteDB6[[Site Name]:[Long]],13,FALSE)</f>
        <v>97.434150695800795</v>
      </c>
      <c r="EL134" s="754" t="str">
        <f>VLOOKUP(WWWW[[#This Row],[Site Name]],SiteDB6[[Site Name]:[Pcode]],3,FALSE)</f>
        <v>MMR015CMP084</v>
      </c>
      <c r="EM134" s="759" t="str">
        <f t="shared" si="1"/>
        <v>Notcovered</v>
      </c>
      <c r="EN134" s="759"/>
      <c r="EO134" s="754">
        <f>VLOOKUP(WWWW[[#This Row],[Site Name]],SiteDB6[[Site Name]:[Pop
(Kachin/Shan-CCCM as of July 2021)]],16,FALSE)</f>
        <v>13</v>
      </c>
      <c r="EP134" s="754">
        <f>VLOOKUP(WWWW[[#This Row],[Site Name]],SiteDB6[[Site Name]:[Pop
(Kachin/Shan-CCCM as of July 2021)]],17,FALSE)</f>
        <v>29</v>
      </c>
    </row>
    <row r="135" spans="1:146" hidden="1">
      <c r="A135" s="752" t="s">
        <v>2785</v>
      </c>
      <c r="B135" s="752" t="s">
        <v>309</v>
      </c>
      <c r="C135" s="753" t="s">
        <v>309</v>
      </c>
      <c r="D135" s="753"/>
      <c r="E135" s="753" t="s">
        <v>515</v>
      </c>
      <c r="F135" s="753" t="s">
        <v>556</v>
      </c>
      <c r="G135" s="594" t="str">
        <f>VLOOKUP(WWWW[[#This Row],[Site Name]],SiteDB6[[Site Name]:[Location Type]],8,FALSE)</f>
        <v>Camp</v>
      </c>
      <c r="H135" s="753" t="s">
        <v>557</v>
      </c>
      <c r="I135" s="755">
        <v>37</v>
      </c>
      <c r="J135" s="755">
        <v>120</v>
      </c>
      <c r="K135" s="756"/>
      <c r="L135" s="757"/>
      <c r="M135" s="755"/>
      <c r="N135" s="755"/>
      <c r="O135" s="755"/>
      <c r="P135" s="755"/>
      <c r="Q135" s="758"/>
      <c r="R135" s="755"/>
      <c r="S135" s="755"/>
      <c r="T135" s="449"/>
      <c r="U135" s="755"/>
      <c r="V135" s="755"/>
      <c r="W135" s="755"/>
      <c r="X135" s="755"/>
      <c r="Y135" s="755"/>
      <c r="Z135" s="755"/>
      <c r="AA135" s="755"/>
      <c r="AB135" s="755"/>
      <c r="AC135" s="755"/>
      <c r="AD135" s="755"/>
      <c r="AE135" s="755"/>
      <c r="AF135" s="755"/>
      <c r="AG135" s="755"/>
      <c r="AH135" s="755"/>
      <c r="AI135" s="755"/>
      <c r="AJ135" s="755"/>
      <c r="AK135" s="755"/>
      <c r="AL135" s="755"/>
      <c r="AM135" s="755"/>
      <c r="AN135" s="755"/>
      <c r="AO135" s="755"/>
      <c r="AP135" s="759"/>
      <c r="AQ135" s="755"/>
      <c r="AR135" s="755"/>
      <c r="AS135" s="760"/>
      <c r="AT135" s="755"/>
      <c r="AU135" s="755"/>
      <c r="AV135" s="755"/>
      <c r="AW135" s="755"/>
      <c r="AX135" s="755"/>
      <c r="AY135" s="426" t="s">
        <v>140</v>
      </c>
      <c r="AZ135" s="891" t="s">
        <v>140</v>
      </c>
      <c r="BA135" s="755"/>
      <c r="BB135" s="755"/>
      <c r="BC135" s="755"/>
      <c r="BD135" s="449"/>
      <c r="BE135" s="449"/>
      <c r="BF135" s="754"/>
      <c r="BG135" s="755">
        <v>1</v>
      </c>
      <c r="BH135" s="755"/>
      <c r="BI135" s="755"/>
      <c r="BJ135" s="755">
        <v>1</v>
      </c>
      <c r="BK135" s="755"/>
      <c r="BL135" s="755"/>
      <c r="BM135" s="755"/>
      <c r="BN135" s="755">
        <v>6</v>
      </c>
      <c r="BO135" s="755">
        <v>5</v>
      </c>
      <c r="BP135" s="754"/>
      <c r="BQ135" s="761"/>
      <c r="BR135" s="760"/>
      <c r="BS135" s="754"/>
      <c r="BT135" s="424"/>
      <c r="BU135" s="424"/>
      <c r="BV135" s="426"/>
      <c r="BW135" s="424"/>
      <c r="BX135" s="449"/>
      <c r="BY135" s="449"/>
      <c r="BZ135" s="449"/>
      <c r="CA135" s="449"/>
      <c r="CB135" s="449"/>
      <c r="CC135" s="807"/>
      <c r="CD135" s="449"/>
      <c r="CE135" s="762" t="str">
        <f>IFERROR(WWWW[[#This Row],['#_Water sources passed]]/WWWW[[#This Row],['#_Water sources tested for fecal coliform ]],"no test")</f>
        <v>no test</v>
      </c>
      <c r="CF135" s="760" t="str">
        <f>IFERROR(WWWW[[#This Row],['#_Household passed]]/WWWW[[#This Row],['#_Household water samples tested for fecal coliform]],"no test")</f>
        <v>no test</v>
      </c>
      <c r="CG135" s="761" t="str">
        <f>IF(AND(WWWW[[#This Row],[% of water sources passed]]="no test",WWWW[[#This Row],[% Household passed]]="no test"),"No Test","Tested")</f>
        <v>No Test</v>
      </c>
      <c r="CH135" s="761">
        <f>WWWW[[#This Row],['#_Constructed/existing protected hand dug well]]-WWWW[[#This Row],['#_Non-functional protected hand dug well]]</f>
        <v>0</v>
      </c>
      <c r="CI135" s="761">
        <f>(WWWW[[#This Row],['#_Constructed/Existing tube wells/boreholes/handpumps_WASH_agency]]+WWWW[[#This Row],['#_Non-Cluster partner water tube-wells/boreholes/handpumps]])-WWWW[[#This Row],['#_Non-functional tube wells/boreholes/handpumps]]</f>
        <v>0</v>
      </c>
      <c r="CJ135" s="761">
        <f>WWWW[[#This Row],['#_Constructed/Existingwater storage tank with gravity fed reticulation system]]-WWWW[[#This Row],['#_Non-functional storage tank gravity fed reticulation system]]</f>
        <v>0</v>
      </c>
      <c r="CK135" s="761">
        <f>(WWWW[[#This Row],['#_Water_Liters_supplied_by_Water boating or water trucking]]/90)/15</f>
        <v>0</v>
      </c>
      <c r="CL135" s="761">
        <f>WWWW[[#This Row],['#_Water_Liters_from_Constructed/Existing water distribution system from river or natural spring]]/90/15</f>
        <v>0</v>
      </c>
      <c r="CM135" s="425">
        <f>IF(WWWW[[#This Row],['#_of water points in TLS/CFS]]*500&gt;WWWW[[#This Row],[Total PoP ]],WWWW[[#This Row],[Total PoP ]],WWWW[[#This Row],['#_of water points in TLS/CFS]]*500)</f>
        <v>0</v>
      </c>
      <c r="CN135" s="425">
        <f>IF(WWWW[[#This Row],['#_of water points in THF]]*500&gt;WWWW[[#This Row],[Total PoP ]],WWWW[[#This Row],[Total PoP ]],WWWW[[#This Row],['#_of water points in THF]]*500)</f>
        <v>0</v>
      </c>
      <c r="CO13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5" s="760">
        <f>IF(WWWW[[#This Row],[Location Type 1]]="Village",WWWW[[#This Row],[Access to safe drinking water for Village]],WWWW[[#This Row],[Access to safe drinking water for Camp]])</f>
        <v>0</v>
      </c>
      <c r="CR135" s="758">
        <f>WWWW[[#This Row],[%Equitable and continuous access to sufficient quantity of safe drinking water]]*WWWW[[#This Row],[Total PoP ]]</f>
        <v>0</v>
      </c>
      <c r="CS135" s="760">
        <f>IF((WWWW[[#This Row],['#_Constructed/Existing protected/fenced ponds]]*250)/WWWW[[#This Row],[Total PoP ]]&gt;1,1,(WWWW[[#This Row],['#_Constructed/Existing protected/fenced ponds]]*250)/WWWW[[#This Row],[Total PoP ]])</f>
        <v>0</v>
      </c>
      <c r="CT135" s="758">
        <f>WWWW[[#This Row],[% Access to unimproved water points]]*WWWW[[#This Row],[Total PoP ]]</f>
        <v>0</v>
      </c>
      <c r="CU13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5" s="758">
        <f>WWWW[[#This Row],[HRP1]]/500</f>
        <v>0</v>
      </c>
      <c r="CX135" s="763">
        <f>1-WWWW[[#This Row],[% Equitable and continuous access to sufficient quantity of domestic water]]</f>
        <v>1</v>
      </c>
      <c r="CY135" s="758">
        <f>WWWW[[#This Row],[%equitable and continuous access to sufficient quantity of safe drinking and domestic water''s GAP]]*WWWW[[#This Row],[Total PoP ]]</f>
        <v>120</v>
      </c>
      <c r="CZ135" s="761">
        <f>IF(WWWW[[#This Row],[Total required water points]]-WWWW[[#This Row],['#Water points coverage]]&lt;0,0,WWWW[[#This Row],[Total required water points]]-WWWW[[#This Row],['#Water points coverage]])</f>
        <v>1</v>
      </c>
      <c r="DA135" s="761">
        <f>ROUND(IF(WWWW[[#This Row],[Total PoP ]]&lt;500,1,WWWW[[#This Row],[Total PoP ]]/500),0)</f>
        <v>1</v>
      </c>
      <c r="DB135" s="761">
        <f>(WWWW[[#This Row],['#_Constructed latrines_by_WASHAgencies]]+WWWW[[#This Row],['#_Non Cluster partner latrines]])-WWWW[[#This Row],['#_Non-functional latrines]]</f>
        <v>0</v>
      </c>
      <c r="DC135" s="634">
        <f>WWWW[[#This Row],[HRP2]]/WWWW[[#This Row],[Total PoP ]]</f>
        <v>0</v>
      </c>
      <c r="DD13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5" s="425">
        <f>IF(WWWW[[#This Row],['# of functional latrines in THF supported by WASH partners during the reporting period2]]="",0,WWWW[[#This Row],['# of functional latrines in THF supported by WASH partners during the reporting period2]]*50)</f>
        <v>0</v>
      </c>
      <c r="DH135" s="761">
        <f>ROUND(IF(WWWW[[#This Row],[Location Type 1]]="camp",WWWW[[#This Row],[Total PoP ]]/20,IF(WWWW[[#This Row],[Location Type 1]]="Temporary Location",WWWW[[#This Row],[Total PoP ]]/50,(WWWW[[#This Row],[Total PoP ]]/6))),0)</f>
        <v>6</v>
      </c>
      <c r="DI135" s="761">
        <f>IF(WWWW[[#This Row],[Total required Latrines]]-(WWWW[[#This Row],['#_Constructed latrines_by_WASHAgencies]]+WWWW[[#This Row],['#_Non Cluster partner latrines]])&lt;0,0,WWWW[[#This Row],[Total required Latrines]]-(WWWW[[#This Row],['#_Constructed latrines_by_WASHAgencies]]+WWWW[[#This Row],['#_Non Cluster partner latrines]]))</f>
        <v>6</v>
      </c>
      <c r="DJ135" s="763">
        <f>1-WWWW[[#This Row],[% people access to functioning Latrine]]</f>
        <v>1</v>
      </c>
      <c r="DK135" s="762">
        <f>IF(OR(WWWW[[#This Row],['#_Non-functional latrines]]="",WWWW[[#This Row],['#_Non-functional latrines]]=0),0,WWWW[[#This Row],['#_Non-functional latrines]]/(WWWW[[#This Row],['#_Constructed latrines_by_WASHAgencies]]+WWWW[[#This Row],['#_Non Cluster partner latrines]]))</f>
        <v>0</v>
      </c>
      <c r="DL135" s="758">
        <f>IF(500*(WWWW[[#This Row],['#_male hygiene promoters]]+WWWW[[#This Row],['#_female hygiene promoters]])&gt;WWWW[[#This Row],[Total PoP ]],WWWW[[#This Row],[Total PoP ]],500*(WWWW[[#This Row],['#_male hygiene promoters]]+WWWW[[#This Row],['#_female hygiene promoters]]))</f>
        <v>0</v>
      </c>
      <c r="DM13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3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35" s="761">
        <f>IF(WWWW[[#This Row],['# People with access to soap]]&gt;WWWW[[#This Row],['# People with access to Sanity Pads]],WWWW[[#This Row],['# People with access to soap]],WWWW[[#This Row],['# People with access to Sanity Pads]])</f>
        <v>30</v>
      </c>
      <c r="DP135"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35" s="763">
        <f>IF(WWWW[[#This Row],[HRP3]]/WWWW[[#This Row],[Total PoP ]]&gt;1,1,WWWW[[#This Row],[HRP3]]/WWWW[[#This Row],[Total PoP ]])</f>
        <v>0.25</v>
      </c>
      <c r="DR135" s="762">
        <f>1-WWWW[[#This Row],[Hygiene Coverage%]]</f>
        <v>0.75</v>
      </c>
      <c r="DS135" s="760">
        <f>WWWW[[#This Row],['# people reached by regular dedicated hygiene promotion_5]]/WWWW[[#This Row],[Total PoP ]]</f>
        <v>0</v>
      </c>
      <c r="DT13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0.64864864864864868</v>
      </c>
      <c r="DU13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0.13513513513513514</v>
      </c>
      <c r="DV135" s="761">
        <f>WWWW[[#This Row],['#_Constructed/Existing hand washing stations]]-WWWW[[#This Row],['#_Non-Functional_hand_washing_stations]]</f>
        <v>1</v>
      </c>
      <c r="DW135" s="758">
        <f>IF(WWWW[[#This Row],['# Functional hand washing stations during reporting period]]*20&gt;WWWW[[#This Row],[Total HH]],WWWW[[#This Row],[Total HH]],WWWW[[#This Row],['# Functional hand washing stations during reporting period]]*20)</f>
        <v>20</v>
      </c>
      <c r="DX135" s="758">
        <f>IF(WWWW[[#This Row],[Is sufficient soap available for TLS? (Yes/No)]]="yes",WWWW[[#This Row],['#_Constructed/Existing hand washing stations at TLS/CFS/THF]],0)</f>
        <v>0</v>
      </c>
      <c r="DY135" s="429">
        <f>IF(WWWW[[#This Row],['# Functional hand washing stations during reporting period]]*100&gt;WWWW[[#This Row],[Total PoP ]],WWWW[[#This Row],[Total PoP ]],WWWW[[#This Row],['# Functional hand washing stations during reporting period]]*100)</f>
        <v>100</v>
      </c>
      <c r="DZ135" s="429" t="str">
        <f>IF(OR(WWWW[[#This Row],['#_students at TLS_CFS]]="",WWWW[[#This Row],['#_students at TLS_CFS]]=0),"No","Yes")</f>
        <v>No</v>
      </c>
      <c r="EA13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5" s="754">
        <f>VLOOKUP(WWWW[[#This Row],[Site Name]],SiteDB6[[Site Name]:[CCCM Management]],6,FALSE)</f>
        <v>0</v>
      </c>
      <c r="EF135" s="754" t="str">
        <f>VLOOKUP(WWWW[[#This Row],[Site Name]],SiteDB6[[Site Name]:[CCCM Focal Agency]],7,FALSE)</f>
        <v>uncovered</v>
      </c>
      <c r="EG135" s="754" t="str">
        <f>VLOOKUP(WWWW[[#This Row],[Site Name]],SiteDB6[[Site Name]:[Location Type 1]],9,FALSE)</f>
        <v>Camp</v>
      </c>
      <c r="EH135" s="754" t="str">
        <f>VLOOKUP(WWWW[[#This Row],[Site Name]],SiteDB6[[Site Name]:[Type of Accommodation]],10,FALSE)</f>
        <v>Camp like setting</v>
      </c>
      <c r="EI135" s="754" t="str">
        <f>VLOOKUP(WWWW[[#This Row],[Site Name]],SiteDB6[[Site Name]:[Ethnic or GCA/NGCA]],11,FALSE)</f>
        <v>GCA</v>
      </c>
      <c r="EJ135" s="754">
        <f>VLOOKUP(WWWW[[#This Row],[Site Name]],SiteDB6[[Site Name]:[Lat]],12,FALSE)</f>
        <v>22.677008000000001</v>
      </c>
      <c r="EK135" s="754">
        <f>VLOOKUP(WWWW[[#This Row],[Site Name]],SiteDB6[[Site Name]:[Long]],13,FALSE)</f>
        <v>97.314762999999999</v>
      </c>
      <c r="EL135" s="754" t="str">
        <f>VLOOKUP(WWWW[[#This Row],[Site Name]],SiteDB6[[Site Name]:[Pcode]],3,FALSE)</f>
        <v>MMR015CMP062</v>
      </c>
      <c r="EM135" s="759" t="str">
        <f t="shared" ref="EM135:EM197" si="2">IF(C135="none","Notcovered","Covered")</f>
        <v>Notcovered</v>
      </c>
      <c r="EN135" s="759"/>
      <c r="EO135" s="754">
        <f>VLOOKUP(WWWW[[#This Row],[Site Name]],SiteDB6[[Site Name]:[Pop
(Kachin/Shan-CCCM as of July 2021)]],16,FALSE)</f>
        <v>37</v>
      </c>
      <c r="EP135" s="754">
        <f>VLOOKUP(WWWW[[#This Row],[Site Name]],SiteDB6[[Site Name]:[Pop
(Kachin/Shan-CCCM as of July 2021)]],17,FALSE)</f>
        <v>120</v>
      </c>
    </row>
    <row r="136" spans="1:146" hidden="1">
      <c r="A136" s="752" t="s">
        <v>2785</v>
      </c>
      <c r="B136" s="752" t="s">
        <v>309</v>
      </c>
      <c r="C136" s="753" t="s">
        <v>309</v>
      </c>
      <c r="D136" s="753"/>
      <c r="E136" s="753" t="s">
        <v>515</v>
      </c>
      <c r="F136" s="753" t="s">
        <v>960</v>
      </c>
      <c r="G136" s="594" t="str">
        <f>VLOOKUP(WWWW[[#This Row],[Site Name]],SiteDB6[[Site Name]:[Location Type]],8,FALSE)</f>
        <v>Camp</v>
      </c>
      <c r="H136" s="753" t="s">
        <v>2718</v>
      </c>
      <c r="I136" s="755">
        <v>142</v>
      </c>
      <c r="J136" s="755">
        <v>504</v>
      </c>
      <c r="K136" s="756"/>
      <c r="L136" s="757"/>
      <c r="M136" s="755"/>
      <c r="N136" s="755"/>
      <c r="O136" s="755"/>
      <c r="P136" s="755"/>
      <c r="Q136" s="758"/>
      <c r="R136" s="755"/>
      <c r="S136" s="755"/>
      <c r="T136" s="449"/>
      <c r="U136" s="755"/>
      <c r="V136" s="755"/>
      <c r="W136" s="755"/>
      <c r="X136" s="755"/>
      <c r="Y136" s="755"/>
      <c r="Z136" s="755"/>
      <c r="AA136" s="755"/>
      <c r="AB136" s="755"/>
      <c r="AC136" s="755"/>
      <c r="AD136" s="755"/>
      <c r="AE136" s="755"/>
      <c r="AF136" s="755"/>
      <c r="AG136" s="755"/>
      <c r="AH136" s="755"/>
      <c r="AI136" s="755"/>
      <c r="AJ136" s="755"/>
      <c r="AK136" s="755"/>
      <c r="AL136" s="755"/>
      <c r="AM136" s="755"/>
      <c r="AN136" s="755"/>
      <c r="AO136" s="755"/>
      <c r="AP136" s="759"/>
      <c r="AQ136" s="755"/>
      <c r="AR136" s="755"/>
      <c r="AS136" s="760"/>
      <c r="AT136" s="755"/>
      <c r="AU136" s="755"/>
      <c r="AV136" s="755"/>
      <c r="AW136" s="755"/>
      <c r="AX136" s="755"/>
      <c r="AY136" s="426" t="s">
        <v>140</v>
      </c>
      <c r="AZ136" s="891" t="s">
        <v>140</v>
      </c>
      <c r="BA136" s="755"/>
      <c r="BB136" s="755"/>
      <c r="BC136" s="755"/>
      <c r="BD136" s="449"/>
      <c r="BE136" s="449"/>
      <c r="BF136" s="754"/>
      <c r="BG136" s="755">
        <v>7</v>
      </c>
      <c r="BH136" s="755"/>
      <c r="BI136" s="755"/>
      <c r="BJ136" s="755">
        <v>7</v>
      </c>
      <c r="BK136" s="755"/>
      <c r="BL136" s="755"/>
      <c r="BM136" s="755"/>
      <c r="BN136" s="755">
        <v>104</v>
      </c>
      <c r="BO136" s="755">
        <v>148</v>
      </c>
      <c r="BP136" s="754"/>
      <c r="BQ136" s="761"/>
      <c r="BR136" s="760"/>
      <c r="BS136" s="754"/>
      <c r="BT136" s="424"/>
      <c r="BU136" s="424"/>
      <c r="BV136" s="426"/>
      <c r="BW136" s="424"/>
      <c r="BX136" s="449"/>
      <c r="BY136" s="449"/>
      <c r="BZ136" s="449"/>
      <c r="CA136" s="449"/>
      <c r="CB136" s="449"/>
      <c r="CC136" s="807"/>
      <c r="CD136" s="449"/>
      <c r="CE136" s="762" t="str">
        <f>IFERROR(WWWW[[#This Row],['#_Water sources passed]]/WWWW[[#This Row],['#_Water sources tested for fecal coliform ]],"no test")</f>
        <v>no test</v>
      </c>
      <c r="CF136" s="760" t="str">
        <f>IFERROR(WWWW[[#This Row],['#_Household passed]]/WWWW[[#This Row],['#_Household water samples tested for fecal coliform]],"no test")</f>
        <v>no test</v>
      </c>
      <c r="CG136" s="761" t="str">
        <f>IF(AND(WWWW[[#This Row],[% of water sources passed]]="no test",WWWW[[#This Row],[% Household passed]]="no test"),"No Test","Tested")</f>
        <v>No Test</v>
      </c>
      <c r="CH136" s="761">
        <f>WWWW[[#This Row],['#_Constructed/existing protected hand dug well]]-WWWW[[#This Row],['#_Non-functional protected hand dug well]]</f>
        <v>0</v>
      </c>
      <c r="CI136" s="761">
        <f>(WWWW[[#This Row],['#_Constructed/Existing tube wells/boreholes/handpumps_WASH_agency]]+WWWW[[#This Row],['#_Non-Cluster partner water tube-wells/boreholes/handpumps]])-WWWW[[#This Row],['#_Non-functional tube wells/boreholes/handpumps]]</f>
        <v>0</v>
      </c>
      <c r="CJ136" s="761">
        <f>WWWW[[#This Row],['#_Constructed/Existingwater storage tank with gravity fed reticulation system]]-WWWW[[#This Row],['#_Non-functional storage tank gravity fed reticulation system]]</f>
        <v>0</v>
      </c>
      <c r="CK136" s="761">
        <f>(WWWW[[#This Row],['#_Water_Liters_supplied_by_Water boating or water trucking]]/90)/15</f>
        <v>0</v>
      </c>
      <c r="CL136" s="761">
        <f>WWWW[[#This Row],['#_Water_Liters_from_Constructed/Existing water distribution system from river or natural spring]]/90/15</f>
        <v>0</v>
      </c>
      <c r="CM136" s="425">
        <f>IF(WWWW[[#This Row],['#_of water points in TLS/CFS]]*500&gt;WWWW[[#This Row],[Total PoP ]],WWWW[[#This Row],[Total PoP ]],WWWW[[#This Row],['#_of water points in TLS/CFS]]*500)</f>
        <v>0</v>
      </c>
      <c r="CN136" s="425">
        <f>IF(WWWW[[#This Row],['#_of water points in THF]]*500&gt;WWWW[[#This Row],[Total PoP ]],WWWW[[#This Row],[Total PoP ]],WWWW[[#This Row],['#_of water points in THF]]*500)</f>
        <v>0</v>
      </c>
      <c r="CO13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6" s="760">
        <f>IF(WWWW[[#This Row],[Location Type 1]]="Village",WWWW[[#This Row],[Access to safe drinking water for Village]],WWWW[[#This Row],[Access to safe drinking water for Camp]])</f>
        <v>0</v>
      </c>
      <c r="CR136" s="758">
        <f>WWWW[[#This Row],[%Equitable and continuous access to sufficient quantity of safe drinking water]]*WWWW[[#This Row],[Total PoP ]]</f>
        <v>0</v>
      </c>
      <c r="CS136" s="760">
        <f>IF((WWWW[[#This Row],['#_Constructed/Existing protected/fenced ponds]]*250)/WWWW[[#This Row],[Total PoP ]]&gt;1,1,(WWWW[[#This Row],['#_Constructed/Existing protected/fenced ponds]]*250)/WWWW[[#This Row],[Total PoP ]])</f>
        <v>0</v>
      </c>
      <c r="CT136" s="758">
        <f>WWWW[[#This Row],[% Access to unimproved water points]]*WWWW[[#This Row],[Total PoP ]]</f>
        <v>0</v>
      </c>
      <c r="CU13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6" s="758">
        <f>WWWW[[#This Row],[HRP1]]/500</f>
        <v>0</v>
      </c>
      <c r="CX136" s="763">
        <f>1-WWWW[[#This Row],[% Equitable and continuous access to sufficient quantity of domestic water]]</f>
        <v>1</v>
      </c>
      <c r="CY136" s="758">
        <f>WWWW[[#This Row],[%equitable and continuous access to sufficient quantity of safe drinking and domestic water''s GAP]]*WWWW[[#This Row],[Total PoP ]]</f>
        <v>504</v>
      </c>
      <c r="CZ136" s="761">
        <f>IF(WWWW[[#This Row],[Total required water points]]-WWWW[[#This Row],['#Water points coverage]]&lt;0,0,WWWW[[#This Row],[Total required water points]]-WWWW[[#This Row],['#Water points coverage]])</f>
        <v>1</v>
      </c>
      <c r="DA136" s="761">
        <f>ROUND(IF(WWWW[[#This Row],[Total PoP ]]&lt;500,1,WWWW[[#This Row],[Total PoP ]]/500),0)</f>
        <v>1</v>
      </c>
      <c r="DB136" s="761">
        <f>(WWWW[[#This Row],['#_Constructed latrines_by_WASHAgencies]]+WWWW[[#This Row],['#_Non Cluster partner latrines]])-WWWW[[#This Row],['#_Non-functional latrines]]</f>
        <v>0</v>
      </c>
      <c r="DC136" s="634">
        <f>WWWW[[#This Row],[HRP2]]/WWWW[[#This Row],[Total PoP ]]</f>
        <v>0</v>
      </c>
      <c r="DD13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6" s="425">
        <f>IF(WWWW[[#This Row],['# of functional latrines in THF supported by WASH partners during the reporting period2]]="",0,WWWW[[#This Row],['# of functional latrines in THF supported by WASH partners during the reporting period2]]*50)</f>
        <v>0</v>
      </c>
      <c r="DH136" s="761">
        <f>ROUND(IF(WWWW[[#This Row],[Location Type 1]]="camp",WWWW[[#This Row],[Total PoP ]]/20,IF(WWWW[[#This Row],[Location Type 1]]="Temporary Location",WWWW[[#This Row],[Total PoP ]]/50,(WWWW[[#This Row],[Total PoP ]]/6))),0)</f>
        <v>25</v>
      </c>
      <c r="DI136" s="761">
        <f>IF(WWWW[[#This Row],[Total required Latrines]]-(WWWW[[#This Row],['#_Constructed latrines_by_WASHAgencies]]+WWWW[[#This Row],['#_Non Cluster partner latrines]])&lt;0,0,WWWW[[#This Row],[Total required Latrines]]-(WWWW[[#This Row],['#_Constructed latrines_by_WASHAgencies]]+WWWW[[#This Row],['#_Non Cluster partner latrines]]))</f>
        <v>25</v>
      </c>
      <c r="DJ136" s="763">
        <f>1-WWWW[[#This Row],[% people access to functioning Latrine]]</f>
        <v>1</v>
      </c>
      <c r="DK136" s="762">
        <f>IF(OR(WWWW[[#This Row],['#_Non-functional latrines]]="",WWWW[[#This Row],['#_Non-functional latrines]]=0),0,WWWW[[#This Row],['#_Non-functional latrines]]/(WWWW[[#This Row],['#_Constructed latrines_by_WASHAgencies]]+WWWW[[#This Row],['#_Non Cluster partner latrines]]))</f>
        <v>0</v>
      </c>
      <c r="DL136" s="758">
        <f>IF(500*(WWWW[[#This Row],['#_male hygiene promoters]]+WWWW[[#This Row],['#_female hygiene promoters]])&gt;WWWW[[#This Row],[Total PoP ]],WWWW[[#This Row],[Total PoP ]],500*(WWWW[[#This Row],['#_male hygiene promoters]]+WWWW[[#This Row],['#_female hygiene promoters]]))</f>
        <v>0</v>
      </c>
      <c r="DM13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504</v>
      </c>
      <c r="DN13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36" s="761">
        <f>IF(WWWW[[#This Row],['# People with access to soap]]&gt;WWWW[[#This Row],['# People with access to Sanity Pads]],WWWW[[#This Row],['# People with access to soap]],WWWW[[#This Row],['# People with access to Sanity Pads]])</f>
        <v>504</v>
      </c>
      <c r="DP136" s="761">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136" s="763">
        <f>IF(WWWW[[#This Row],[HRP3]]/WWWW[[#This Row],[Total PoP ]]&gt;1,1,WWWW[[#This Row],[HRP3]]/WWWW[[#This Row],[Total PoP ]])</f>
        <v>1</v>
      </c>
      <c r="DR136" s="762">
        <f>1-WWWW[[#This Row],[Hygiene Coverage%]]</f>
        <v>0</v>
      </c>
      <c r="DS136" s="760">
        <f>WWWW[[#This Row],['# people reached by regular dedicated hygiene promotion_5]]/WWWW[[#This Row],[Total PoP ]]</f>
        <v>0</v>
      </c>
      <c r="DT13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6" s="761">
        <f>WWWW[[#This Row],['#_Constructed/Existing hand washing stations]]-WWWW[[#This Row],['#_Non-Functional_hand_washing_stations]]</f>
        <v>7</v>
      </c>
      <c r="DW136" s="758">
        <f>IF(WWWW[[#This Row],['# Functional hand washing stations during reporting period]]*20&gt;WWWW[[#This Row],[Total HH]],WWWW[[#This Row],[Total HH]],WWWW[[#This Row],['# Functional hand washing stations during reporting period]]*20)</f>
        <v>140</v>
      </c>
      <c r="DX136" s="758">
        <f>IF(WWWW[[#This Row],[Is sufficient soap available for TLS? (Yes/No)]]="yes",WWWW[[#This Row],['#_Constructed/Existing hand washing stations at TLS/CFS/THF]],0)</f>
        <v>0</v>
      </c>
      <c r="DY136" s="429">
        <f>IF(WWWW[[#This Row],['# Functional hand washing stations during reporting period]]*100&gt;WWWW[[#This Row],[Total PoP ]],WWWW[[#This Row],[Total PoP ]],WWWW[[#This Row],['# Functional hand washing stations during reporting period]]*100)</f>
        <v>504</v>
      </c>
      <c r="DZ136" s="429" t="str">
        <f>IF(OR(WWWW[[#This Row],['#_students at TLS_CFS]]="",WWWW[[#This Row],['#_students at TLS_CFS]]=0),"No","Yes")</f>
        <v>No</v>
      </c>
      <c r="EA13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6" s="754">
        <f>VLOOKUP(WWWW[[#This Row],[Site Name]],SiteDB6[[Site Name]:[CCCM Management]],6,FALSE)</f>
        <v>0</v>
      </c>
      <c r="EF136" s="754" t="str">
        <f>VLOOKUP(WWWW[[#This Row],[Site Name]],SiteDB6[[Site Name]:[CCCM Focal Agency]],7,FALSE)</f>
        <v>uncovered</v>
      </c>
      <c r="EG136" s="754" t="str">
        <f>VLOOKUP(WWWW[[#This Row],[Site Name]],SiteDB6[[Site Name]:[Location Type 1]],9,FALSE)</f>
        <v>Camp</v>
      </c>
      <c r="EH136" s="754" t="str">
        <f>VLOOKUP(WWWW[[#This Row],[Site Name]],SiteDB6[[Site Name]:[Type of Accommodation]],10,FALSE)</f>
        <v>IDPs in host</v>
      </c>
      <c r="EI136" s="754" t="str">
        <f>VLOOKUP(WWWW[[#This Row],[Site Name]],SiteDB6[[Site Name]:[Ethnic or GCA/NGCA]],11,FALSE)</f>
        <v>GCA</v>
      </c>
      <c r="EJ136" s="754">
        <f>VLOOKUP(WWWW[[#This Row],[Site Name]],SiteDB6[[Site Name]:[Lat]],12,FALSE)</f>
        <v>22.325900000000001</v>
      </c>
      <c r="EK136" s="754">
        <f>VLOOKUP(WWWW[[#This Row],[Site Name]],SiteDB6[[Site Name]:[Long]],13,FALSE)</f>
        <v>97.021000000000001</v>
      </c>
      <c r="EL136" s="754" t="str">
        <f>VLOOKUP(WWWW[[#This Row],[Site Name]],SiteDB6[[Site Name]:[Pcode]],3,FALSE)</f>
        <v>MMR015CMP075</v>
      </c>
      <c r="EM136" s="759" t="str">
        <f t="shared" si="2"/>
        <v>Notcovered</v>
      </c>
      <c r="EN136" s="759"/>
      <c r="EO136" s="754">
        <f>VLOOKUP(WWWW[[#This Row],[Site Name]],SiteDB6[[Site Name]:[Pop
(Kachin/Shan-CCCM as of July 2021)]],16,FALSE)</f>
        <v>1036</v>
      </c>
      <c r="EP136" s="754">
        <f>VLOOKUP(WWWW[[#This Row],[Site Name]],SiteDB6[[Site Name]:[Pop
(Kachin/Shan-CCCM as of July 2021)]],17,FALSE)</f>
        <v>3986</v>
      </c>
    </row>
    <row r="137" spans="1:146" hidden="1">
      <c r="A137" s="752" t="s">
        <v>2785</v>
      </c>
      <c r="B137" s="729" t="s">
        <v>309</v>
      </c>
      <c r="C137" s="729" t="s">
        <v>309</v>
      </c>
      <c r="D137" s="753"/>
      <c r="E137" s="753" t="s">
        <v>37</v>
      </c>
      <c r="F137" s="753" t="s">
        <v>38</v>
      </c>
      <c r="G137" s="594" t="str">
        <f>VLOOKUP(WWWW[[#This Row],[Site Name]],SiteDB6[[Site Name]:[Location Type]],8,FALSE)</f>
        <v>Camp</v>
      </c>
      <c r="H137" s="753" t="s">
        <v>39</v>
      </c>
      <c r="I137" s="755">
        <v>154</v>
      </c>
      <c r="J137" s="755">
        <v>694</v>
      </c>
      <c r="K137" s="756"/>
      <c r="L137" s="757"/>
      <c r="M137" s="755"/>
      <c r="N137" s="755">
        <v>2</v>
      </c>
      <c r="O137" s="755"/>
      <c r="P137" s="755"/>
      <c r="Q137" s="758" t="s">
        <v>41</v>
      </c>
      <c r="R137" s="755">
        <v>7</v>
      </c>
      <c r="S137" s="755">
        <v>7</v>
      </c>
      <c r="T137" s="449">
        <v>1</v>
      </c>
      <c r="U137" s="755">
        <v>1</v>
      </c>
      <c r="V137" s="755"/>
      <c r="W137" s="755"/>
      <c r="X137" s="755">
        <v>2</v>
      </c>
      <c r="Y137" s="755"/>
      <c r="Z137" s="755">
        <v>1</v>
      </c>
      <c r="AA137" s="755"/>
      <c r="AB137" s="755"/>
      <c r="AC137" s="755"/>
      <c r="AD137" s="755"/>
      <c r="AE137" s="755">
        <v>1</v>
      </c>
      <c r="AF137" s="755"/>
      <c r="AG137" s="449">
        <v>2</v>
      </c>
      <c r="AH137" s="449">
        <v>8</v>
      </c>
      <c r="AI137" s="449"/>
      <c r="AJ137" s="449"/>
      <c r="AK137" s="449"/>
      <c r="AL137" s="449"/>
      <c r="AM137" s="755"/>
      <c r="AN137" s="755"/>
      <c r="AO137" s="755"/>
      <c r="AP137" s="759"/>
      <c r="AQ137" s="755">
        <v>61</v>
      </c>
      <c r="AR137" s="755"/>
      <c r="AS137" s="760"/>
      <c r="AT137" s="449">
        <v>6</v>
      </c>
      <c r="AU137" s="449">
        <v>0</v>
      </c>
      <c r="AV137" s="449">
        <v>11</v>
      </c>
      <c r="AW137" s="449">
        <v>732</v>
      </c>
      <c r="AX137" s="755"/>
      <c r="AY137" s="754" t="s">
        <v>41</v>
      </c>
      <c r="AZ137" s="759" t="s">
        <v>137</v>
      </c>
      <c r="BA137" s="755"/>
      <c r="BB137" s="755">
        <v>2</v>
      </c>
      <c r="BC137" s="755"/>
      <c r="BD137" s="449"/>
      <c r="BE137" s="449">
        <v>7</v>
      </c>
      <c r="BF137" s="754"/>
      <c r="BG137" s="449">
        <v>4</v>
      </c>
      <c r="BH137" s="449"/>
      <c r="BI137" s="449">
        <v>0</v>
      </c>
      <c r="BJ137" s="449">
        <v>3</v>
      </c>
      <c r="BK137" s="449">
        <v>0</v>
      </c>
      <c r="BL137" s="755"/>
      <c r="BM137" s="755">
        <v>2</v>
      </c>
      <c r="BN137" s="755">
        <v>41</v>
      </c>
      <c r="BO137" s="755">
        <v>85</v>
      </c>
      <c r="BP137" s="754"/>
      <c r="BQ137" s="761"/>
      <c r="BR137" s="424">
        <v>0.4</v>
      </c>
      <c r="BS137" s="754"/>
      <c r="BT137" s="424"/>
      <c r="BU137" s="424"/>
      <c r="BV137" s="426"/>
      <c r="BW137" s="424"/>
      <c r="BX137" s="449"/>
      <c r="BY137" s="449"/>
      <c r="BZ137" s="449"/>
      <c r="CA137" s="449"/>
      <c r="CB137" s="449"/>
      <c r="CC137" s="807"/>
      <c r="CD137" s="449"/>
      <c r="CE137" s="762" t="str">
        <f>IFERROR(WWWW[[#This Row],['#_Water sources passed]]/WWWW[[#This Row],['#_Water sources tested for fecal coliform ]],"no test")</f>
        <v>no test</v>
      </c>
      <c r="CF137" s="760" t="str">
        <f>IFERROR(WWWW[[#This Row],['#_Household passed]]/WWWW[[#This Row],['#_Household water samples tested for fecal coliform]],"no test")</f>
        <v>no test</v>
      </c>
      <c r="CG137" s="761" t="str">
        <f>IF(AND(WWWW[[#This Row],[% of water sources passed]]="no test",WWWW[[#This Row],[% Household passed]]="no test"),"No Test","Tested")</f>
        <v>No Test</v>
      </c>
      <c r="CH137" s="761">
        <f>WWWW[[#This Row],['#_Constructed/existing protected hand dug well]]-WWWW[[#This Row],['#_Non-functional protected hand dug well]]</f>
        <v>0</v>
      </c>
      <c r="CI137" s="761">
        <f>(WWWW[[#This Row],['#_Constructed/Existing tube wells/boreholes/handpumps_WASH_agency]]+WWWW[[#This Row],['#_Non-Cluster partner water tube-wells/boreholes/handpumps]])-WWWW[[#This Row],['#_Non-functional tube wells/boreholes/handpumps]]</f>
        <v>2</v>
      </c>
      <c r="CJ137" s="761">
        <f>WWWW[[#This Row],['#_Constructed/Existingwater storage tank with gravity fed reticulation system]]-WWWW[[#This Row],['#_Non-functional storage tank gravity fed reticulation system]]</f>
        <v>0</v>
      </c>
      <c r="CK137" s="761">
        <f>(WWWW[[#This Row],['#_Water_Liters_supplied_by_Water boating or water trucking]]/90)/15</f>
        <v>0</v>
      </c>
      <c r="CL137" s="761">
        <f>WWWW[[#This Row],['#_Water_Liters_from_Constructed/Existing water distribution system from river or natural spring]]/90/15</f>
        <v>0</v>
      </c>
      <c r="CM137" s="425">
        <f>IF(WWWW[[#This Row],['#_of water points in TLS/CFS]]*500&gt;WWWW[[#This Row],[Total PoP ]],WWWW[[#This Row],[Total PoP ]],WWWW[[#This Row],['#_of water points in TLS/CFS]]*500)</f>
        <v>0</v>
      </c>
      <c r="CN137" s="425">
        <f>IF(WWWW[[#This Row],['#_of water points in THF]]*500&gt;WWWW[[#This Row],[Total PoP ]],WWWW[[#This Row],[Total PoP ]],WWWW[[#This Row],['#_of water points in THF]]*500)</f>
        <v>0</v>
      </c>
      <c r="CO13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3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0.72046109510086453</v>
      </c>
      <c r="CQ137" s="760">
        <f>IF(WWWW[[#This Row],[Location Type 1]]="Village",WWWW[[#This Row],[Access to safe drinking water for Village]],WWWW[[#This Row],[Access to safe drinking water for Camp]])</f>
        <v>1</v>
      </c>
      <c r="CR137" s="758">
        <f>WWWW[[#This Row],[%Equitable and continuous access to sufficient quantity of safe drinking water]]*WWWW[[#This Row],[Total PoP ]]</f>
        <v>694</v>
      </c>
      <c r="CS137" s="760">
        <f>IF((WWWW[[#This Row],['#_Constructed/Existing protected/fenced ponds]]*250)/WWWW[[#This Row],[Total PoP ]]&gt;1,1,(WWWW[[#This Row],['#_Constructed/Existing protected/fenced ponds]]*250)/WWWW[[#This Row],[Total PoP ]])</f>
        <v>0.36023054755043227</v>
      </c>
      <c r="CT137" s="758">
        <f>WWWW[[#This Row],[% Access to unimproved water points]]*WWWW[[#This Row],[Total PoP ]]</f>
        <v>250</v>
      </c>
      <c r="CU13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3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137" s="758">
        <f>WWWW[[#This Row],[HRP1]]/500</f>
        <v>1.3879999999999999</v>
      </c>
      <c r="CX137" s="763">
        <f>1-WWWW[[#This Row],[% Equitable and continuous access to sufficient quantity of domestic water]]</f>
        <v>0</v>
      </c>
      <c r="CY137" s="758">
        <f>WWWW[[#This Row],[%equitable and continuous access to sufficient quantity of safe drinking and domestic water''s GAP]]*WWWW[[#This Row],[Total PoP ]]</f>
        <v>0</v>
      </c>
      <c r="CZ137" s="761">
        <f>IF(WWWW[[#This Row],[Total required water points]]-WWWW[[#This Row],['#Water points coverage]]&lt;0,0,WWWW[[#This Row],[Total required water points]]-WWWW[[#This Row],['#Water points coverage]])</f>
        <v>0</v>
      </c>
      <c r="DA137" s="761">
        <f>ROUND(IF(WWWW[[#This Row],[Total PoP ]]&lt;500,1,WWWW[[#This Row],[Total PoP ]]/500),0)</f>
        <v>1</v>
      </c>
      <c r="DB137" s="761">
        <f>(WWWW[[#This Row],['#_Constructed latrines_by_WASHAgencies]]+WWWW[[#This Row],['#_Non Cluster partner latrines]])-WWWW[[#This Row],['#_Non-functional latrines]]</f>
        <v>55</v>
      </c>
      <c r="DC137" s="634">
        <f>WWWW[[#This Row],[HRP2]]/WWWW[[#This Row],[Total PoP ]]</f>
        <v>1</v>
      </c>
      <c r="DD13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13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220</v>
      </c>
      <c r="DF13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7" s="425">
        <f>IF(WWWW[[#This Row],['# of functional latrines in THF supported by WASH partners during the reporting period2]]="",0,WWWW[[#This Row],['# of functional latrines in THF supported by WASH partners during the reporting period2]]*50)</f>
        <v>0</v>
      </c>
      <c r="DH137" s="761">
        <f>ROUND(IF(WWWW[[#This Row],[Location Type 1]]="camp",WWWW[[#This Row],[Total PoP ]]/20,IF(WWWW[[#This Row],[Location Type 1]]="Temporary Location",WWWW[[#This Row],[Total PoP ]]/50,(WWWW[[#This Row],[Total PoP ]]/6))),0)</f>
        <v>35</v>
      </c>
      <c r="DI137" s="761">
        <f>IF(WWWW[[#This Row],[Total required Latrines]]-(WWWW[[#This Row],['#_Constructed latrines_by_WASHAgencies]]+WWWW[[#This Row],['#_Non Cluster partner latrines]])&lt;0,0,WWWW[[#This Row],[Total required Latrines]]-(WWWW[[#This Row],['#_Constructed latrines_by_WASHAgencies]]+WWWW[[#This Row],['#_Non Cluster partner latrines]]))</f>
        <v>0</v>
      </c>
      <c r="DJ137" s="763">
        <f>1-WWWW[[#This Row],[% people access to functioning Latrine]]</f>
        <v>0</v>
      </c>
      <c r="DK137" s="762">
        <f>IF(OR(WWWW[[#This Row],['#_Non-functional latrines]]="",WWWW[[#This Row],['#_Non-functional latrines]]=0),0,WWWW[[#This Row],['#_Non-functional latrines]]/(WWWW[[#This Row],['#_Constructed latrines_by_WASHAgencies]]+WWWW[[#This Row],['#_Non Cluster partner latrines]]))</f>
        <v>9.8360655737704916E-2</v>
      </c>
      <c r="DL137" s="758">
        <f>IF(500*(WWWW[[#This Row],['#_male hygiene promoters]]+WWWW[[#This Row],['#_female hygiene promoters]])&gt;WWWW[[#This Row],[Total PoP ]],WWWW[[#This Row],[Total PoP ]],500*(WWWW[[#This Row],['#_male hygiene promoters]]+WWWW[[#This Row],['#_female hygiene promoters]]))</f>
        <v>694</v>
      </c>
      <c r="DM13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3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37" s="761">
        <f>IF(WWWW[[#This Row],['# People with access to soap]]&gt;WWWW[[#This Row],['# People with access to Sanity Pads]],WWWW[[#This Row],['# People with access to soap]],WWWW[[#This Row],['# People with access to Sanity Pads]])</f>
        <v>205</v>
      </c>
      <c r="DP137" s="761">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137" s="763">
        <f>IF(WWWW[[#This Row],[HRP3]]/WWWW[[#This Row],[Total PoP ]]&gt;1,1,WWWW[[#This Row],[HRP3]]/WWWW[[#This Row],[Total PoP ]])</f>
        <v>1</v>
      </c>
      <c r="DR137" s="762">
        <f>1-WWWW[[#This Row],[Hygiene Coverage%]]</f>
        <v>0</v>
      </c>
      <c r="DS137" s="760">
        <f>WWWW[[#This Row],['# people reached by regular dedicated hygiene promotion_5]]/WWWW[[#This Row],[Total PoP ]]</f>
        <v>1</v>
      </c>
      <c r="DT13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0.55194805194805197</v>
      </c>
      <c r="DV137" s="761">
        <f>WWWW[[#This Row],['#_Constructed/Existing hand washing stations]]-WWWW[[#This Row],['#_Non-Functional_hand_washing_stations]]</f>
        <v>4</v>
      </c>
      <c r="DW137" s="758">
        <f>IF(WWWW[[#This Row],['# Functional hand washing stations during reporting period]]*20&gt;WWWW[[#This Row],[Total HH]],WWWW[[#This Row],[Total HH]],WWWW[[#This Row],['# Functional hand washing stations during reporting period]]*20)</f>
        <v>80</v>
      </c>
      <c r="DX137" s="758">
        <f>IF(WWWW[[#This Row],[Is sufficient soap available for TLS? (Yes/No)]]="yes",WWWW[[#This Row],['#_Constructed/Existing hand washing stations at TLS/CFS/THF]],0)</f>
        <v>0</v>
      </c>
      <c r="DY137" s="429">
        <f>IF(WWWW[[#This Row],['# Functional hand washing stations during reporting period]]*100&gt;WWWW[[#This Row],[Total PoP ]],WWWW[[#This Row],[Total PoP ]],WWWW[[#This Row],['# Functional hand washing stations during reporting period]]*100)</f>
        <v>400</v>
      </c>
      <c r="DZ137" s="429" t="str">
        <f>IF(OR(WWWW[[#This Row],['#_students at TLS_CFS]]="",WWWW[[#This Row],['#_students at TLS_CFS]]=0),"No","Yes")</f>
        <v>No</v>
      </c>
      <c r="EA13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7" s="754" t="str">
        <f>VLOOKUP(WWWW[[#This Row],[Site Name]],SiteDB6[[Site Name]:[CCCM Management]],6,FALSE)</f>
        <v>Yes</v>
      </c>
      <c r="EF137" s="754" t="str">
        <f>VLOOKUP(WWWW[[#This Row],[Site Name]],SiteDB6[[Site Name]:[CCCM Focal Agency]],7,FALSE)</f>
        <v>KMSS-BMO</v>
      </c>
      <c r="EG137" s="754" t="str">
        <f>VLOOKUP(WWWW[[#This Row],[Site Name]],SiteDB6[[Site Name]:[Location Type 1]],9,FALSE)</f>
        <v>Camp</v>
      </c>
      <c r="EH137" s="754" t="str">
        <f>VLOOKUP(WWWW[[#This Row],[Site Name]],SiteDB6[[Site Name]:[Type of Accommodation]],10,FALSE)</f>
        <v>Camp</v>
      </c>
      <c r="EI137" s="754" t="str">
        <f>VLOOKUP(WWWW[[#This Row],[Site Name]],SiteDB6[[Site Name]:[Ethnic or GCA/NGCA]],11,FALSE)</f>
        <v>GCA</v>
      </c>
      <c r="EJ137" s="754">
        <f>VLOOKUP(WWWW[[#This Row],[Site Name]],SiteDB6[[Site Name]:[Lat]],12,FALSE)</f>
        <v>23.976571</v>
      </c>
      <c r="EK137" s="754">
        <f>VLOOKUP(WWWW[[#This Row],[Site Name]],SiteDB6[[Site Name]:[Long]],13,FALSE)</f>
        <v>97.227057000000002</v>
      </c>
      <c r="EL137" s="754" t="str">
        <f>VLOOKUP(WWWW[[#This Row],[Site Name]],SiteDB6[[Site Name]:[Pcode]],3,FALSE)</f>
        <v>MMR001CMP223</v>
      </c>
      <c r="EM137" s="759" t="str">
        <f t="shared" si="2"/>
        <v>Notcovered</v>
      </c>
      <c r="EN137" s="759"/>
      <c r="EO137" s="754">
        <f>VLOOKUP(WWWW[[#This Row],[Site Name]],SiteDB6[[Site Name]:[Pop
(Kachin/Shan-CCCM as of July 2021)]],16,FALSE)</f>
        <v>151</v>
      </c>
      <c r="EP137" s="754">
        <f>VLOOKUP(WWWW[[#This Row],[Site Name]],SiteDB6[[Site Name]:[Pop
(Kachin/Shan-CCCM as of July 2021)]],17,FALSE)</f>
        <v>732</v>
      </c>
    </row>
    <row r="138" spans="1:146" hidden="1">
      <c r="A138" s="752" t="s">
        <v>2785</v>
      </c>
      <c r="B138" s="752" t="s">
        <v>309</v>
      </c>
      <c r="C138" s="753" t="s">
        <v>309</v>
      </c>
      <c r="D138" s="753"/>
      <c r="E138" s="753" t="s">
        <v>37</v>
      </c>
      <c r="F138" s="753" t="s">
        <v>38</v>
      </c>
      <c r="G138" s="594" t="str">
        <f>VLOOKUP(WWWW[[#This Row],[Site Name]],SiteDB6[[Site Name]:[Location Type]],8,FALSE)</f>
        <v>Camp</v>
      </c>
      <c r="H138" s="753" t="s">
        <v>3049</v>
      </c>
      <c r="I138" s="755">
        <v>67</v>
      </c>
      <c r="J138" s="755">
        <v>308</v>
      </c>
      <c r="K138" s="756" t="s">
        <v>2672</v>
      </c>
      <c r="L138" s="757" t="s">
        <v>2673</v>
      </c>
      <c r="M138" s="755"/>
      <c r="N138" s="755"/>
      <c r="O138" s="755"/>
      <c r="P138" s="755"/>
      <c r="Q138" s="758"/>
      <c r="R138" s="755"/>
      <c r="S138" s="755">
        <v>4</v>
      </c>
      <c r="T138" s="449"/>
      <c r="U138" s="755"/>
      <c r="V138" s="755"/>
      <c r="W138" s="755"/>
      <c r="X138" s="755"/>
      <c r="Y138" s="755"/>
      <c r="Z138" s="755"/>
      <c r="AA138" s="755"/>
      <c r="AB138" s="755"/>
      <c r="AC138" s="755"/>
      <c r="AD138" s="755"/>
      <c r="AE138" s="755"/>
      <c r="AF138" s="755"/>
      <c r="AG138" s="755"/>
      <c r="AH138" s="755"/>
      <c r="AI138" s="755"/>
      <c r="AJ138" s="755"/>
      <c r="AK138" s="755"/>
      <c r="AL138" s="755"/>
      <c r="AM138" s="755"/>
      <c r="AN138" s="755"/>
      <c r="AO138" s="755"/>
      <c r="AP138" s="759"/>
      <c r="AQ138" s="755"/>
      <c r="AR138" s="755"/>
      <c r="AS138" s="760"/>
      <c r="AT138" s="755"/>
      <c r="AU138" s="755"/>
      <c r="AV138" s="755"/>
      <c r="AW138" s="755"/>
      <c r="AX138" s="755"/>
      <c r="AY138" s="426" t="s">
        <v>140</v>
      </c>
      <c r="AZ138" s="891" t="s">
        <v>140</v>
      </c>
      <c r="BA138" s="755"/>
      <c r="BB138" s="755"/>
      <c r="BC138" s="755"/>
      <c r="BD138" s="449"/>
      <c r="BE138" s="449"/>
      <c r="BF138" s="754"/>
      <c r="BG138" s="755">
        <v>7</v>
      </c>
      <c r="BH138" s="755"/>
      <c r="BI138" s="755"/>
      <c r="BJ138" s="755">
        <v>7</v>
      </c>
      <c r="BK138" s="755"/>
      <c r="BL138" s="755"/>
      <c r="BM138" s="755"/>
      <c r="BN138" s="755">
        <v>104</v>
      </c>
      <c r="BO138" s="755">
        <v>148</v>
      </c>
      <c r="BP138" s="754"/>
      <c r="BQ138" s="761"/>
      <c r="BR138" s="760"/>
      <c r="BS138" s="754"/>
      <c r="BT138" s="424"/>
      <c r="BU138" s="424"/>
      <c r="BV138" s="426"/>
      <c r="BW138" s="424"/>
      <c r="BX138" s="449"/>
      <c r="BY138" s="449"/>
      <c r="BZ138" s="449"/>
      <c r="CA138" s="449"/>
      <c r="CB138" s="449"/>
      <c r="CC138" s="807"/>
      <c r="CD138" s="449"/>
      <c r="CE138" s="762" t="str">
        <f>IFERROR(WWWW[[#This Row],['#_Water sources passed]]/WWWW[[#This Row],['#_Water sources tested for fecal coliform ]],"no test")</f>
        <v>no test</v>
      </c>
      <c r="CF138" s="760" t="str">
        <f>IFERROR(WWWW[[#This Row],['#_Household passed]]/WWWW[[#This Row],['#_Household water samples tested for fecal coliform]],"no test")</f>
        <v>no test</v>
      </c>
      <c r="CG138" s="761" t="str">
        <f>IF(AND(WWWW[[#This Row],[% of water sources passed]]="no test",WWWW[[#This Row],[% Household passed]]="no test"),"No Test","Tested")</f>
        <v>No Test</v>
      </c>
      <c r="CH138" s="761">
        <f>WWWW[[#This Row],['#_Constructed/existing protected hand dug well]]-WWWW[[#This Row],['#_Non-functional protected hand dug well]]</f>
        <v>0</v>
      </c>
      <c r="CI138" s="761">
        <f>(WWWW[[#This Row],['#_Constructed/Existing tube wells/boreholes/handpumps_WASH_agency]]+WWWW[[#This Row],['#_Non-Cluster partner water tube-wells/boreholes/handpumps]])-WWWW[[#This Row],['#_Non-functional tube wells/boreholes/handpumps]]</f>
        <v>0</v>
      </c>
      <c r="CJ138" s="761">
        <f>WWWW[[#This Row],['#_Constructed/Existingwater storage tank with gravity fed reticulation system]]-WWWW[[#This Row],['#_Non-functional storage tank gravity fed reticulation system]]</f>
        <v>0</v>
      </c>
      <c r="CK138" s="761">
        <f>(WWWW[[#This Row],['#_Water_Liters_supplied_by_Water boating or water trucking]]/90)/15</f>
        <v>0</v>
      </c>
      <c r="CL138" s="761">
        <f>WWWW[[#This Row],['#_Water_Liters_from_Constructed/Existing water distribution system from river or natural spring]]/90/15</f>
        <v>0</v>
      </c>
      <c r="CM138" s="425">
        <f>IF(WWWW[[#This Row],['#_of water points in TLS/CFS]]*500&gt;WWWW[[#This Row],[Total PoP ]],WWWW[[#This Row],[Total PoP ]],WWWW[[#This Row],['#_of water points in TLS/CFS]]*500)</f>
        <v>0</v>
      </c>
      <c r="CN138" s="425">
        <f>IF(WWWW[[#This Row],['#_of water points in THF]]*500&gt;WWWW[[#This Row],[Total PoP ]],WWWW[[#This Row],[Total PoP ]],WWWW[[#This Row],['#_of water points in THF]]*500)</f>
        <v>0</v>
      </c>
      <c r="CO13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8" s="760">
        <f>IF(WWWW[[#This Row],[Location Type 1]]="Village",WWWW[[#This Row],[Access to safe drinking water for Village]],WWWW[[#This Row],[Access to safe drinking water for Camp]])</f>
        <v>0</v>
      </c>
      <c r="CR138" s="758">
        <f>WWWW[[#This Row],[%Equitable and continuous access to sufficient quantity of safe drinking water]]*WWWW[[#This Row],[Total PoP ]]</f>
        <v>0</v>
      </c>
      <c r="CS138" s="760">
        <f>IF((WWWW[[#This Row],['#_Constructed/Existing protected/fenced ponds]]*250)/WWWW[[#This Row],[Total PoP ]]&gt;1,1,(WWWW[[#This Row],['#_Constructed/Existing protected/fenced ponds]]*250)/WWWW[[#This Row],[Total PoP ]])</f>
        <v>0</v>
      </c>
      <c r="CT138" s="758">
        <f>WWWW[[#This Row],[% Access to unimproved water points]]*WWWW[[#This Row],[Total PoP ]]</f>
        <v>0</v>
      </c>
      <c r="CU13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8" s="758">
        <f>WWWW[[#This Row],[HRP1]]/500</f>
        <v>0</v>
      </c>
      <c r="CX138" s="763">
        <f>1-WWWW[[#This Row],[% Equitable and continuous access to sufficient quantity of domestic water]]</f>
        <v>1</v>
      </c>
      <c r="CY138" s="758">
        <f>WWWW[[#This Row],[%equitable and continuous access to sufficient quantity of safe drinking and domestic water''s GAP]]*WWWW[[#This Row],[Total PoP ]]</f>
        <v>308</v>
      </c>
      <c r="CZ138" s="761">
        <f>IF(WWWW[[#This Row],[Total required water points]]-WWWW[[#This Row],['#Water points coverage]]&lt;0,0,WWWW[[#This Row],[Total required water points]]-WWWW[[#This Row],['#Water points coverage]])</f>
        <v>1</v>
      </c>
      <c r="DA138" s="761">
        <f>ROUND(IF(WWWW[[#This Row],[Total PoP ]]&lt;500,1,WWWW[[#This Row],[Total PoP ]]/500),0)</f>
        <v>1</v>
      </c>
      <c r="DB138" s="761">
        <f>(WWWW[[#This Row],['#_Constructed latrines_by_WASHAgencies]]+WWWW[[#This Row],['#_Non Cluster partner latrines]])-WWWW[[#This Row],['#_Non-functional latrines]]</f>
        <v>0</v>
      </c>
      <c r="DC138" s="634">
        <f>WWWW[[#This Row],[HRP2]]/WWWW[[#This Row],[Total PoP ]]</f>
        <v>0</v>
      </c>
      <c r="DD13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8" s="425">
        <f>IF(WWWW[[#This Row],['# of functional latrines in THF supported by WASH partners during the reporting period2]]="",0,WWWW[[#This Row],['# of functional latrines in THF supported by WASH partners during the reporting period2]]*50)</f>
        <v>0</v>
      </c>
      <c r="DH138" s="761">
        <f>ROUND(IF(WWWW[[#This Row],[Location Type 1]]="camp",WWWW[[#This Row],[Total PoP ]]/20,IF(WWWW[[#This Row],[Location Type 1]]="Temporary Location",WWWW[[#This Row],[Total PoP ]]/50,(WWWW[[#This Row],[Total PoP ]]/6))),0)</f>
        <v>15</v>
      </c>
      <c r="DI138" s="761">
        <f>IF(WWWW[[#This Row],[Total required Latrines]]-(WWWW[[#This Row],['#_Constructed latrines_by_WASHAgencies]]+WWWW[[#This Row],['#_Non Cluster partner latrines]])&lt;0,0,WWWW[[#This Row],[Total required Latrines]]-(WWWW[[#This Row],['#_Constructed latrines_by_WASHAgencies]]+WWWW[[#This Row],['#_Non Cluster partner latrines]]))</f>
        <v>15</v>
      </c>
      <c r="DJ138" s="763">
        <f>1-WWWW[[#This Row],[% people access to functioning Latrine]]</f>
        <v>1</v>
      </c>
      <c r="DK138" s="762">
        <f>IF(OR(WWWW[[#This Row],['#_Non-functional latrines]]="",WWWW[[#This Row],['#_Non-functional latrines]]=0),0,WWWW[[#This Row],['#_Non-functional latrines]]/(WWWW[[#This Row],['#_Constructed latrines_by_WASHAgencies]]+WWWW[[#This Row],['#_Non Cluster partner latrines]]))</f>
        <v>0</v>
      </c>
      <c r="DL138" s="758">
        <f>IF(500*(WWWW[[#This Row],['#_male hygiene promoters]]+WWWW[[#This Row],['#_female hygiene promoters]])&gt;WWWW[[#This Row],[Total PoP ]],WWWW[[#This Row],[Total PoP ]],500*(WWWW[[#This Row],['#_male hygiene promoters]]+WWWW[[#This Row],['#_female hygiene promoters]]))</f>
        <v>0</v>
      </c>
      <c r="DM13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308</v>
      </c>
      <c r="DN13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38" s="761">
        <f>IF(WWWW[[#This Row],['# People with access to soap]]&gt;WWWW[[#This Row],['# People with access to Sanity Pads]],WWWW[[#This Row],['# People with access to soap]],WWWW[[#This Row],['# People with access to Sanity Pads]])</f>
        <v>308</v>
      </c>
      <c r="DP138" s="761">
        <f>IF(WWWW[[#This Row],['# people reached by regular dedicated hygiene promotion_5]]&gt;WWWW[[#This Row],['# People received regular supply of hygiene items_6]],WWWW[[#This Row],['# people reached by regular dedicated hygiene promotion_5]],WWWW[[#This Row],['# People received regular supply of hygiene items_6]])</f>
        <v>308</v>
      </c>
      <c r="DQ138" s="763">
        <f>IF(WWWW[[#This Row],[HRP3]]/WWWW[[#This Row],[Total PoP ]]&gt;1,1,WWWW[[#This Row],[HRP3]]/WWWW[[#This Row],[Total PoP ]])</f>
        <v>1</v>
      </c>
      <c r="DR138" s="762">
        <f>1-WWWW[[#This Row],[Hygiene Coverage%]]</f>
        <v>0</v>
      </c>
      <c r="DS138" s="760">
        <f>WWWW[[#This Row],['# people reached by regular dedicated hygiene promotion_5]]/WWWW[[#This Row],[Total PoP ]]</f>
        <v>0</v>
      </c>
      <c r="DT13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8" s="761">
        <f>WWWW[[#This Row],['#_Constructed/Existing hand washing stations]]-WWWW[[#This Row],['#_Non-Functional_hand_washing_stations]]</f>
        <v>7</v>
      </c>
      <c r="DW138" s="758">
        <f>IF(WWWW[[#This Row],['# Functional hand washing stations during reporting period]]*20&gt;WWWW[[#This Row],[Total HH]],WWWW[[#This Row],[Total HH]],WWWW[[#This Row],['# Functional hand washing stations during reporting period]]*20)</f>
        <v>67</v>
      </c>
      <c r="DX138" s="758">
        <f>IF(WWWW[[#This Row],[Is sufficient soap available for TLS? (Yes/No)]]="yes",WWWW[[#This Row],['#_Constructed/Existing hand washing stations at TLS/CFS/THF]],0)</f>
        <v>0</v>
      </c>
      <c r="DY138" s="429">
        <f>IF(WWWW[[#This Row],['# Functional hand washing stations during reporting period]]*100&gt;WWWW[[#This Row],[Total PoP ]],WWWW[[#This Row],[Total PoP ]],WWWW[[#This Row],['# Functional hand washing stations during reporting period]]*100)</f>
        <v>308</v>
      </c>
      <c r="DZ138" s="429" t="str">
        <f>IF(OR(WWWW[[#This Row],['#_students at TLS_CFS]]="",WWWW[[#This Row],['#_students at TLS_CFS]]=0),"No","Yes")</f>
        <v>No</v>
      </c>
      <c r="EA13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8" s="754">
        <f>VLOOKUP(WWWW[[#This Row],[Site Name]],SiteDB6[[Site Name]:[CCCM Management]],6,FALSE)</f>
        <v>0</v>
      </c>
      <c r="EF138" s="754" t="str">
        <f>VLOOKUP(WWWW[[#This Row],[Site Name]],SiteDB6[[Site Name]:[CCCM Focal Agency]],7,FALSE)</f>
        <v>uncovered</v>
      </c>
      <c r="EG138" s="754" t="str">
        <f>VLOOKUP(WWWW[[#This Row],[Site Name]],SiteDB6[[Site Name]:[Location Type 1]],9,FALSE)</f>
        <v>Camp</v>
      </c>
      <c r="EH138" s="754" t="str">
        <f>VLOOKUP(WWWW[[#This Row],[Site Name]],SiteDB6[[Site Name]:[Type of Accommodation]],10,FALSE)</f>
        <v>IDPs in host</v>
      </c>
      <c r="EI138" s="754" t="str">
        <f>VLOOKUP(WWWW[[#This Row],[Site Name]],SiteDB6[[Site Name]:[Ethnic or GCA/NGCA]],11,FALSE)</f>
        <v>GCA</v>
      </c>
      <c r="EJ138" s="754">
        <f>VLOOKUP(WWWW[[#This Row],[Site Name]],SiteDB6[[Site Name]:[Lat]],12,FALSE)</f>
        <v>24.118618999999999</v>
      </c>
      <c r="EK138" s="754">
        <f>VLOOKUP(WWWW[[#This Row],[Site Name]],SiteDB6[[Site Name]:[Long]],13,FALSE)</f>
        <v>97.298055000000005</v>
      </c>
      <c r="EL138" s="754" t="str">
        <f>VLOOKUP(WWWW[[#This Row],[Site Name]],SiteDB6[[Site Name]:[Pcode]],3,FALSE)</f>
        <v>MMR001CMP196</v>
      </c>
      <c r="EM138" s="759" t="str">
        <f t="shared" si="2"/>
        <v>Notcovered</v>
      </c>
      <c r="EN138" s="759"/>
      <c r="EO138" s="754">
        <f>VLOOKUP(WWWW[[#This Row],[Site Name]],SiteDB6[[Site Name]:[Pop
(Kachin/Shan-CCCM as of July 2021)]],16,FALSE)</f>
        <v>70</v>
      </c>
      <c r="EP138" s="754">
        <f>VLOOKUP(WWWW[[#This Row],[Site Name]],SiteDB6[[Site Name]:[Pop
(Kachin/Shan-CCCM as of July 2021)]],17,FALSE)</f>
        <v>344</v>
      </c>
    </row>
    <row r="139" spans="1:146" hidden="1">
      <c r="A139" s="752" t="s">
        <v>2785</v>
      </c>
      <c r="B139" s="752" t="s">
        <v>309</v>
      </c>
      <c r="C139" s="753" t="s">
        <v>309</v>
      </c>
      <c r="D139" s="753"/>
      <c r="E139" s="753" t="s">
        <v>37</v>
      </c>
      <c r="F139" s="753" t="s">
        <v>152</v>
      </c>
      <c r="G139" s="594" t="str">
        <f>VLOOKUP(WWWW[[#This Row],[Site Name]],SiteDB6[[Site Name]:[Location Type]],8,FALSE)</f>
        <v>Camp</v>
      </c>
      <c r="H139" s="753" t="s">
        <v>1547</v>
      </c>
      <c r="I139" s="755">
        <v>6</v>
      </c>
      <c r="J139" s="755">
        <v>32</v>
      </c>
      <c r="K139" s="756" t="s">
        <v>2672</v>
      </c>
      <c r="L139" s="757" t="s">
        <v>2673</v>
      </c>
      <c r="M139" s="755"/>
      <c r="N139" s="755"/>
      <c r="O139" s="755"/>
      <c r="P139" s="755"/>
      <c r="Q139" s="758"/>
      <c r="R139" s="755"/>
      <c r="S139" s="755"/>
      <c r="T139" s="449"/>
      <c r="U139" s="755"/>
      <c r="V139" s="755"/>
      <c r="W139" s="755"/>
      <c r="X139" s="755"/>
      <c r="Y139" s="755"/>
      <c r="Z139" s="755"/>
      <c r="AA139" s="755"/>
      <c r="AB139" s="755"/>
      <c r="AC139" s="755"/>
      <c r="AD139" s="755"/>
      <c r="AE139" s="755"/>
      <c r="AF139" s="755"/>
      <c r="AG139" s="755"/>
      <c r="AH139" s="755"/>
      <c r="AI139" s="755"/>
      <c r="AJ139" s="755"/>
      <c r="AK139" s="755"/>
      <c r="AL139" s="755"/>
      <c r="AM139" s="755"/>
      <c r="AN139" s="755"/>
      <c r="AO139" s="755"/>
      <c r="AP139" s="759"/>
      <c r="AQ139" s="755"/>
      <c r="AR139" s="755"/>
      <c r="AS139" s="760"/>
      <c r="AT139" s="755"/>
      <c r="AU139" s="755"/>
      <c r="AV139" s="755"/>
      <c r="AW139" s="755"/>
      <c r="AX139" s="755"/>
      <c r="AY139" s="426" t="s">
        <v>140</v>
      </c>
      <c r="AZ139" s="891" t="s">
        <v>140</v>
      </c>
      <c r="BA139" s="755"/>
      <c r="BB139" s="755"/>
      <c r="BC139" s="755"/>
      <c r="BD139" s="449"/>
      <c r="BE139" s="449"/>
      <c r="BF139" s="754"/>
      <c r="BG139" s="755">
        <v>3</v>
      </c>
      <c r="BH139" s="755"/>
      <c r="BI139" s="755"/>
      <c r="BJ139" s="755">
        <v>2</v>
      </c>
      <c r="BK139" s="755"/>
      <c r="BL139" s="755"/>
      <c r="BM139" s="755"/>
      <c r="BN139" s="755">
        <v>10</v>
      </c>
      <c r="BO139" s="755">
        <v>18</v>
      </c>
      <c r="BP139" s="754"/>
      <c r="BQ139" s="761"/>
      <c r="BR139" s="760"/>
      <c r="BS139" s="754"/>
      <c r="BT139" s="424"/>
      <c r="BU139" s="424"/>
      <c r="BV139" s="426"/>
      <c r="BW139" s="424"/>
      <c r="BX139" s="449"/>
      <c r="BY139" s="449"/>
      <c r="BZ139" s="449"/>
      <c r="CA139" s="449"/>
      <c r="CB139" s="449"/>
      <c r="CC139" s="807"/>
      <c r="CD139" s="449"/>
      <c r="CE139" s="762" t="str">
        <f>IFERROR(WWWW[[#This Row],['#_Water sources passed]]/WWWW[[#This Row],['#_Water sources tested for fecal coliform ]],"no test")</f>
        <v>no test</v>
      </c>
      <c r="CF139" s="760" t="str">
        <f>IFERROR(WWWW[[#This Row],['#_Household passed]]/WWWW[[#This Row],['#_Household water samples tested for fecal coliform]],"no test")</f>
        <v>no test</v>
      </c>
      <c r="CG139" s="761" t="str">
        <f>IF(AND(WWWW[[#This Row],[% of water sources passed]]="no test",WWWW[[#This Row],[% Household passed]]="no test"),"No Test","Tested")</f>
        <v>No Test</v>
      </c>
      <c r="CH139" s="761">
        <f>WWWW[[#This Row],['#_Constructed/existing protected hand dug well]]-WWWW[[#This Row],['#_Non-functional protected hand dug well]]</f>
        <v>0</v>
      </c>
      <c r="CI139" s="761">
        <f>(WWWW[[#This Row],['#_Constructed/Existing tube wells/boreholes/handpumps_WASH_agency]]+WWWW[[#This Row],['#_Non-Cluster partner water tube-wells/boreholes/handpumps]])-WWWW[[#This Row],['#_Non-functional tube wells/boreholes/handpumps]]</f>
        <v>0</v>
      </c>
      <c r="CJ139" s="761">
        <f>WWWW[[#This Row],['#_Constructed/Existingwater storage tank with gravity fed reticulation system]]-WWWW[[#This Row],['#_Non-functional storage tank gravity fed reticulation system]]</f>
        <v>0</v>
      </c>
      <c r="CK139" s="761">
        <f>(WWWW[[#This Row],['#_Water_Liters_supplied_by_Water boating or water trucking]]/90)/15</f>
        <v>0</v>
      </c>
      <c r="CL139" s="761">
        <f>WWWW[[#This Row],['#_Water_Liters_from_Constructed/Existing water distribution system from river or natural spring]]/90/15</f>
        <v>0</v>
      </c>
      <c r="CM139" s="425">
        <f>IF(WWWW[[#This Row],['#_of water points in TLS/CFS]]*500&gt;WWWW[[#This Row],[Total PoP ]],WWWW[[#This Row],[Total PoP ]],WWWW[[#This Row],['#_of water points in TLS/CFS]]*500)</f>
        <v>0</v>
      </c>
      <c r="CN139" s="425">
        <f>IF(WWWW[[#This Row],['#_of water points in THF]]*500&gt;WWWW[[#This Row],[Total PoP ]],WWWW[[#This Row],[Total PoP ]],WWWW[[#This Row],['#_of water points in THF]]*500)</f>
        <v>0</v>
      </c>
      <c r="CO13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3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39" s="760">
        <f>IF(WWWW[[#This Row],[Location Type 1]]="Village",WWWW[[#This Row],[Access to safe drinking water for Village]],WWWW[[#This Row],[Access to safe drinking water for Camp]])</f>
        <v>0</v>
      </c>
      <c r="CR139" s="758">
        <f>WWWW[[#This Row],[%Equitable and continuous access to sufficient quantity of safe drinking water]]*WWWW[[#This Row],[Total PoP ]]</f>
        <v>0</v>
      </c>
      <c r="CS139" s="760">
        <f>IF((WWWW[[#This Row],['#_Constructed/Existing protected/fenced ponds]]*250)/WWWW[[#This Row],[Total PoP ]]&gt;1,1,(WWWW[[#This Row],['#_Constructed/Existing protected/fenced ponds]]*250)/WWWW[[#This Row],[Total PoP ]])</f>
        <v>0</v>
      </c>
      <c r="CT139" s="758">
        <f>WWWW[[#This Row],[% Access to unimproved water points]]*WWWW[[#This Row],[Total PoP ]]</f>
        <v>0</v>
      </c>
      <c r="CU13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3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39" s="758">
        <f>WWWW[[#This Row],[HRP1]]/500</f>
        <v>0</v>
      </c>
      <c r="CX139" s="763">
        <f>1-WWWW[[#This Row],[% Equitable and continuous access to sufficient quantity of domestic water]]</f>
        <v>1</v>
      </c>
      <c r="CY139" s="758">
        <f>WWWW[[#This Row],[%equitable and continuous access to sufficient quantity of safe drinking and domestic water''s GAP]]*WWWW[[#This Row],[Total PoP ]]</f>
        <v>32</v>
      </c>
      <c r="CZ139" s="761">
        <f>IF(WWWW[[#This Row],[Total required water points]]-WWWW[[#This Row],['#Water points coverage]]&lt;0,0,WWWW[[#This Row],[Total required water points]]-WWWW[[#This Row],['#Water points coverage]])</f>
        <v>1</v>
      </c>
      <c r="DA139" s="761">
        <f>ROUND(IF(WWWW[[#This Row],[Total PoP ]]&lt;500,1,WWWW[[#This Row],[Total PoP ]]/500),0)</f>
        <v>1</v>
      </c>
      <c r="DB139" s="761">
        <f>(WWWW[[#This Row],['#_Constructed latrines_by_WASHAgencies]]+WWWW[[#This Row],['#_Non Cluster partner latrines]])-WWWW[[#This Row],['#_Non-functional latrines]]</f>
        <v>0</v>
      </c>
      <c r="DC139" s="634">
        <f>WWWW[[#This Row],[HRP2]]/WWWW[[#This Row],[Total PoP ]]</f>
        <v>0</v>
      </c>
      <c r="DD13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3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3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39" s="425">
        <f>IF(WWWW[[#This Row],['# of functional latrines in THF supported by WASH partners during the reporting period2]]="",0,WWWW[[#This Row],['# of functional latrines in THF supported by WASH partners during the reporting period2]]*50)</f>
        <v>0</v>
      </c>
      <c r="DH139" s="761">
        <f>ROUND(IF(WWWW[[#This Row],[Location Type 1]]="camp",WWWW[[#This Row],[Total PoP ]]/20,IF(WWWW[[#This Row],[Location Type 1]]="Temporary Location",WWWW[[#This Row],[Total PoP ]]/50,(WWWW[[#This Row],[Total PoP ]]/6))),0)</f>
        <v>2</v>
      </c>
      <c r="DI139" s="761">
        <f>IF(WWWW[[#This Row],[Total required Latrines]]-(WWWW[[#This Row],['#_Constructed latrines_by_WASHAgencies]]+WWWW[[#This Row],['#_Non Cluster partner latrines]])&lt;0,0,WWWW[[#This Row],[Total required Latrines]]-(WWWW[[#This Row],['#_Constructed latrines_by_WASHAgencies]]+WWWW[[#This Row],['#_Non Cluster partner latrines]]))</f>
        <v>2</v>
      </c>
      <c r="DJ139" s="763">
        <f>1-WWWW[[#This Row],[% people access to functioning Latrine]]</f>
        <v>1</v>
      </c>
      <c r="DK139" s="762">
        <f>IF(OR(WWWW[[#This Row],['#_Non-functional latrines]]="",WWWW[[#This Row],['#_Non-functional latrines]]=0),0,WWWW[[#This Row],['#_Non-functional latrines]]/(WWWW[[#This Row],['#_Constructed latrines_by_WASHAgencies]]+WWWW[[#This Row],['#_Non Cluster partner latrines]]))</f>
        <v>0</v>
      </c>
      <c r="DL139" s="758">
        <f>IF(500*(WWWW[[#This Row],['#_male hygiene promoters]]+WWWW[[#This Row],['#_female hygiene promoters]])&gt;WWWW[[#This Row],[Total PoP ]],WWWW[[#This Row],[Total PoP ]],500*(WWWW[[#This Row],['#_male hygiene promoters]]+WWWW[[#This Row],['#_female hygiene promoters]]))</f>
        <v>0</v>
      </c>
      <c r="DM13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v>
      </c>
      <c r="DN13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39" s="761">
        <f>IF(WWWW[[#This Row],['# People with access to soap]]&gt;WWWW[[#This Row],['# People with access to Sanity Pads]],WWWW[[#This Row],['# People with access to soap]],WWWW[[#This Row],['# People with access to Sanity Pads]])</f>
        <v>32</v>
      </c>
      <c r="DP139" s="761">
        <f>IF(WWWW[[#This Row],['# people reached by regular dedicated hygiene promotion_5]]&gt;WWWW[[#This Row],['# People received regular supply of hygiene items_6]],WWWW[[#This Row],['# people reached by regular dedicated hygiene promotion_5]],WWWW[[#This Row],['# People received regular supply of hygiene items_6]])</f>
        <v>32</v>
      </c>
      <c r="DQ139" s="763">
        <f>IF(WWWW[[#This Row],[HRP3]]/WWWW[[#This Row],[Total PoP ]]&gt;1,1,WWWW[[#This Row],[HRP3]]/WWWW[[#This Row],[Total PoP ]])</f>
        <v>1</v>
      </c>
      <c r="DR139" s="762">
        <f>1-WWWW[[#This Row],[Hygiene Coverage%]]</f>
        <v>0</v>
      </c>
      <c r="DS139" s="760">
        <f>WWWW[[#This Row],['# people reached by regular dedicated hygiene promotion_5]]/WWWW[[#This Row],[Total PoP ]]</f>
        <v>0</v>
      </c>
      <c r="DT13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3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39" s="761">
        <f>WWWW[[#This Row],['#_Constructed/Existing hand washing stations]]-WWWW[[#This Row],['#_Non-Functional_hand_washing_stations]]</f>
        <v>3</v>
      </c>
      <c r="DW139" s="758">
        <f>IF(WWWW[[#This Row],['# Functional hand washing stations during reporting period]]*20&gt;WWWW[[#This Row],[Total HH]],WWWW[[#This Row],[Total HH]],WWWW[[#This Row],['# Functional hand washing stations during reporting period]]*20)</f>
        <v>6</v>
      </c>
      <c r="DX139" s="758">
        <f>IF(WWWW[[#This Row],[Is sufficient soap available for TLS? (Yes/No)]]="yes",WWWW[[#This Row],['#_Constructed/Existing hand washing stations at TLS/CFS/THF]],0)</f>
        <v>0</v>
      </c>
      <c r="DY139" s="429">
        <f>IF(WWWW[[#This Row],['# Functional hand washing stations during reporting period]]*100&gt;WWWW[[#This Row],[Total PoP ]],WWWW[[#This Row],[Total PoP ]],WWWW[[#This Row],['# Functional hand washing stations during reporting period]]*100)</f>
        <v>32</v>
      </c>
      <c r="DZ139" s="429" t="str">
        <f>IF(OR(WWWW[[#This Row],['#_students at TLS_CFS]]="",WWWW[[#This Row],['#_students at TLS_CFS]]=0),"No","Yes")</f>
        <v>No</v>
      </c>
      <c r="EA13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3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3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3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39" s="754">
        <f>VLOOKUP(WWWW[[#This Row],[Site Name]],SiteDB6[[Site Name]:[CCCM Management]],6,FALSE)</f>
        <v>0</v>
      </c>
      <c r="EF139" s="754" t="str">
        <f>VLOOKUP(WWWW[[#This Row],[Site Name]],SiteDB6[[Site Name]:[CCCM Focal Agency]],7,FALSE)</f>
        <v>uncovered</v>
      </c>
      <c r="EG139" s="754" t="str">
        <f>VLOOKUP(WWWW[[#This Row],[Site Name]],SiteDB6[[Site Name]:[Location Type 1]],9,FALSE)</f>
        <v>Camp</v>
      </c>
      <c r="EH139" s="754" t="str">
        <f>VLOOKUP(WWWW[[#This Row],[Site Name]],SiteDB6[[Site Name]:[Type of Accommodation]],10,FALSE)</f>
        <v>Camp like setting</v>
      </c>
      <c r="EI139" s="754" t="str">
        <f>VLOOKUP(WWWW[[#This Row],[Site Name]],SiteDB6[[Site Name]:[Ethnic or GCA/NGCA]],11,FALSE)</f>
        <v>GCA</v>
      </c>
      <c r="EJ139" s="754">
        <f>VLOOKUP(WWWW[[#This Row],[Site Name]],SiteDB6[[Site Name]:[Lat]],12,FALSE)</f>
        <v>25.30274</v>
      </c>
      <c r="EK139" s="754">
        <f>VLOOKUP(WWWW[[#This Row],[Site Name]],SiteDB6[[Site Name]:[Long]],13,FALSE)</f>
        <v>96.940380000000005</v>
      </c>
      <c r="EL139" s="754" t="str">
        <f>VLOOKUP(WWWW[[#This Row],[Site Name]],SiteDB6[[Site Name]:[Pcode]],3,FALSE)</f>
        <v>MMR001CMP262</v>
      </c>
      <c r="EM139" s="759" t="str">
        <f t="shared" si="2"/>
        <v>Notcovered</v>
      </c>
      <c r="EN139" s="759"/>
      <c r="EO139" s="754">
        <f>VLOOKUP(WWWW[[#This Row],[Site Name]],SiteDB6[[Site Name]:[Pop
(Kachin/Shan-CCCM as of July 2021)]],16,FALSE)</f>
        <v>5</v>
      </c>
      <c r="EP139" s="754">
        <f>VLOOKUP(WWWW[[#This Row],[Site Name]],SiteDB6[[Site Name]:[Pop
(Kachin/Shan-CCCM as of July 2021)]],17,FALSE)</f>
        <v>32</v>
      </c>
    </row>
    <row r="140" spans="1:146" hidden="1">
      <c r="A140" s="752" t="s">
        <v>2785</v>
      </c>
      <c r="B140" s="752" t="s">
        <v>309</v>
      </c>
      <c r="C140" s="753" t="s">
        <v>309</v>
      </c>
      <c r="D140" s="753"/>
      <c r="E140" s="753" t="s">
        <v>37</v>
      </c>
      <c r="F140" s="753" t="s">
        <v>157</v>
      </c>
      <c r="G140" s="594" t="str">
        <f>VLOOKUP(WWWW[[#This Row],[Site Name]],SiteDB6[[Site Name]:[Location Type]],8,FALSE)</f>
        <v>Camp</v>
      </c>
      <c r="H140" s="753" t="s">
        <v>3050</v>
      </c>
      <c r="I140" s="755">
        <v>27</v>
      </c>
      <c r="J140" s="755">
        <v>126</v>
      </c>
      <c r="K140" s="756" t="s">
        <v>2672</v>
      </c>
      <c r="L140" s="757" t="s">
        <v>2673</v>
      </c>
      <c r="M140" s="755"/>
      <c r="N140" s="755"/>
      <c r="O140" s="755"/>
      <c r="P140" s="755"/>
      <c r="Q140" s="758"/>
      <c r="R140" s="755"/>
      <c r="S140" s="755"/>
      <c r="T140" s="449"/>
      <c r="U140" s="755"/>
      <c r="V140" s="755"/>
      <c r="W140" s="755"/>
      <c r="X140" s="755"/>
      <c r="Y140" s="755"/>
      <c r="Z140" s="755"/>
      <c r="AA140" s="755"/>
      <c r="AB140" s="755"/>
      <c r="AC140" s="755"/>
      <c r="AD140" s="755"/>
      <c r="AE140" s="755"/>
      <c r="AF140" s="755"/>
      <c r="AG140" s="755"/>
      <c r="AH140" s="755"/>
      <c r="AI140" s="755"/>
      <c r="AJ140" s="755"/>
      <c r="AK140" s="755"/>
      <c r="AL140" s="755"/>
      <c r="AM140" s="755"/>
      <c r="AN140" s="755"/>
      <c r="AO140" s="755"/>
      <c r="AP140" s="759"/>
      <c r="AQ140" s="755"/>
      <c r="AR140" s="755"/>
      <c r="AS140" s="760"/>
      <c r="AT140" s="755"/>
      <c r="AU140" s="755"/>
      <c r="AV140" s="755"/>
      <c r="AW140" s="755"/>
      <c r="AX140" s="755"/>
      <c r="AY140" s="426" t="s">
        <v>140</v>
      </c>
      <c r="AZ140" s="891" t="s">
        <v>140</v>
      </c>
      <c r="BA140" s="755"/>
      <c r="BB140" s="755"/>
      <c r="BC140" s="755"/>
      <c r="BD140" s="449"/>
      <c r="BE140" s="449"/>
      <c r="BF140" s="754"/>
      <c r="BG140" s="755">
        <v>8</v>
      </c>
      <c r="BH140" s="755"/>
      <c r="BI140" s="755"/>
      <c r="BJ140" s="755">
        <v>3</v>
      </c>
      <c r="BK140" s="755"/>
      <c r="BL140" s="755"/>
      <c r="BM140" s="755"/>
      <c r="BN140" s="755">
        <v>91</v>
      </c>
      <c r="BO140" s="755">
        <v>124</v>
      </c>
      <c r="BP140" s="754"/>
      <c r="BQ140" s="761"/>
      <c r="BR140" s="760"/>
      <c r="BS140" s="754"/>
      <c r="BT140" s="424"/>
      <c r="BU140" s="424"/>
      <c r="BV140" s="426"/>
      <c r="BW140" s="424"/>
      <c r="BX140" s="449"/>
      <c r="BY140" s="449"/>
      <c r="BZ140" s="449"/>
      <c r="CA140" s="449"/>
      <c r="CB140" s="449"/>
      <c r="CC140" s="807"/>
      <c r="CD140" s="449"/>
      <c r="CE140" s="762" t="str">
        <f>IFERROR(WWWW[[#This Row],['#_Water sources passed]]/WWWW[[#This Row],['#_Water sources tested for fecal coliform ]],"no test")</f>
        <v>no test</v>
      </c>
      <c r="CF140" s="760" t="str">
        <f>IFERROR(WWWW[[#This Row],['#_Household passed]]/WWWW[[#This Row],['#_Household water samples tested for fecal coliform]],"no test")</f>
        <v>no test</v>
      </c>
      <c r="CG140" s="761" t="str">
        <f>IF(AND(WWWW[[#This Row],[% of water sources passed]]="no test",WWWW[[#This Row],[% Household passed]]="no test"),"No Test","Tested")</f>
        <v>No Test</v>
      </c>
      <c r="CH140" s="761">
        <f>WWWW[[#This Row],['#_Constructed/existing protected hand dug well]]-WWWW[[#This Row],['#_Non-functional protected hand dug well]]</f>
        <v>0</v>
      </c>
      <c r="CI140" s="761">
        <f>(WWWW[[#This Row],['#_Constructed/Existing tube wells/boreholes/handpumps_WASH_agency]]+WWWW[[#This Row],['#_Non-Cluster partner water tube-wells/boreholes/handpumps]])-WWWW[[#This Row],['#_Non-functional tube wells/boreholes/handpumps]]</f>
        <v>0</v>
      </c>
      <c r="CJ140" s="761">
        <f>WWWW[[#This Row],['#_Constructed/Existingwater storage tank with gravity fed reticulation system]]-WWWW[[#This Row],['#_Non-functional storage tank gravity fed reticulation system]]</f>
        <v>0</v>
      </c>
      <c r="CK140" s="761">
        <f>(WWWW[[#This Row],['#_Water_Liters_supplied_by_Water boating or water trucking]]/90)/15</f>
        <v>0</v>
      </c>
      <c r="CL140" s="761">
        <f>WWWW[[#This Row],['#_Water_Liters_from_Constructed/Existing water distribution system from river or natural spring]]/90/15</f>
        <v>0</v>
      </c>
      <c r="CM140" s="425">
        <f>IF(WWWW[[#This Row],['#_of water points in TLS/CFS]]*500&gt;WWWW[[#This Row],[Total PoP ]],WWWW[[#This Row],[Total PoP ]],WWWW[[#This Row],['#_of water points in TLS/CFS]]*500)</f>
        <v>0</v>
      </c>
      <c r="CN140" s="425">
        <f>IF(WWWW[[#This Row],['#_of water points in THF]]*500&gt;WWWW[[#This Row],[Total PoP ]],WWWW[[#This Row],[Total PoP ]],WWWW[[#This Row],['#_of water points in THF]]*500)</f>
        <v>0</v>
      </c>
      <c r="CO14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0" s="760">
        <f>IF(WWWW[[#This Row],[Location Type 1]]="Village",WWWW[[#This Row],[Access to safe drinking water for Village]],WWWW[[#This Row],[Access to safe drinking water for Camp]])</f>
        <v>0</v>
      </c>
      <c r="CR140" s="758">
        <f>WWWW[[#This Row],[%Equitable and continuous access to sufficient quantity of safe drinking water]]*WWWW[[#This Row],[Total PoP ]]</f>
        <v>0</v>
      </c>
      <c r="CS140" s="760">
        <f>IF((WWWW[[#This Row],['#_Constructed/Existing protected/fenced ponds]]*250)/WWWW[[#This Row],[Total PoP ]]&gt;1,1,(WWWW[[#This Row],['#_Constructed/Existing protected/fenced ponds]]*250)/WWWW[[#This Row],[Total PoP ]])</f>
        <v>0</v>
      </c>
      <c r="CT140" s="758">
        <f>WWWW[[#This Row],[% Access to unimproved water points]]*WWWW[[#This Row],[Total PoP ]]</f>
        <v>0</v>
      </c>
      <c r="CU14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0" s="758">
        <f>WWWW[[#This Row],[HRP1]]/500</f>
        <v>0</v>
      </c>
      <c r="CX140" s="763">
        <f>1-WWWW[[#This Row],[% Equitable and continuous access to sufficient quantity of domestic water]]</f>
        <v>1</v>
      </c>
      <c r="CY140" s="758">
        <f>WWWW[[#This Row],[%equitable and continuous access to sufficient quantity of safe drinking and domestic water''s GAP]]*WWWW[[#This Row],[Total PoP ]]</f>
        <v>126</v>
      </c>
      <c r="CZ140" s="761">
        <f>IF(WWWW[[#This Row],[Total required water points]]-WWWW[[#This Row],['#Water points coverage]]&lt;0,0,WWWW[[#This Row],[Total required water points]]-WWWW[[#This Row],['#Water points coverage]])</f>
        <v>1</v>
      </c>
      <c r="DA140" s="761">
        <f>ROUND(IF(WWWW[[#This Row],[Total PoP ]]&lt;500,1,WWWW[[#This Row],[Total PoP ]]/500),0)</f>
        <v>1</v>
      </c>
      <c r="DB140" s="761">
        <f>(WWWW[[#This Row],['#_Constructed latrines_by_WASHAgencies]]+WWWW[[#This Row],['#_Non Cluster partner latrines]])-WWWW[[#This Row],['#_Non-functional latrines]]</f>
        <v>0</v>
      </c>
      <c r="DC140" s="634">
        <f>WWWW[[#This Row],[HRP2]]/WWWW[[#This Row],[Total PoP ]]</f>
        <v>0</v>
      </c>
      <c r="DD14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0" s="425">
        <f>IF(WWWW[[#This Row],['# of functional latrines in THF supported by WASH partners during the reporting period2]]="",0,WWWW[[#This Row],['# of functional latrines in THF supported by WASH partners during the reporting period2]]*50)</f>
        <v>0</v>
      </c>
      <c r="DH140" s="761">
        <f>ROUND(IF(WWWW[[#This Row],[Location Type 1]]="camp",WWWW[[#This Row],[Total PoP ]]/20,IF(WWWW[[#This Row],[Location Type 1]]="Temporary Location",WWWW[[#This Row],[Total PoP ]]/50,(WWWW[[#This Row],[Total PoP ]]/6))),0)</f>
        <v>6</v>
      </c>
      <c r="DI140" s="761">
        <f>IF(WWWW[[#This Row],[Total required Latrines]]-(WWWW[[#This Row],['#_Constructed latrines_by_WASHAgencies]]+WWWW[[#This Row],['#_Non Cluster partner latrines]])&lt;0,0,WWWW[[#This Row],[Total required Latrines]]-(WWWW[[#This Row],['#_Constructed latrines_by_WASHAgencies]]+WWWW[[#This Row],['#_Non Cluster partner latrines]]))</f>
        <v>6</v>
      </c>
      <c r="DJ140" s="763">
        <f>1-WWWW[[#This Row],[% people access to functioning Latrine]]</f>
        <v>1</v>
      </c>
      <c r="DK140" s="762">
        <f>IF(OR(WWWW[[#This Row],['#_Non-functional latrines]]="",WWWW[[#This Row],['#_Non-functional latrines]]=0),0,WWWW[[#This Row],['#_Non-functional latrines]]/(WWWW[[#This Row],['#_Constructed latrines_by_WASHAgencies]]+WWWW[[#This Row],['#_Non Cluster partner latrines]]))</f>
        <v>0</v>
      </c>
      <c r="DL140" s="758">
        <f>IF(500*(WWWW[[#This Row],['#_male hygiene promoters]]+WWWW[[#This Row],['#_female hygiene promoters]])&gt;WWWW[[#This Row],[Total PoP ]],WWWW[[#This Row],[Total PoP ]],500*(WWWW[[#This Row],['#_male hygiene promoters]]+WWWW[[#This Row],['#_female hygiene promoters]]))</f>
        <v>0</v>
      </c>
      <c r="DM14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126</v>
      </c>
      <c r="DN14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40" s="761">
        <f>IF(WWWW[[#This Row],['# People with access to soap]]&gt;WWWW[[#This Row],['# People with access to Sanity Pads]],WWWW[[#This Row],['# People with access to soap]],WWWW[[#This Row],['# People with access to Sanity Pads]])</f>
        <v>126</v>
      </c>
      <c r="DP140" s="761">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Q140" s="763">
        <f>IF(WWWW[[#This Row],[HRP3]]/WWWW[[#This Row],[Total PoP ]]&gt;1,1,WWWW[[#This Row],[HRP3]]/WWWW[[#This Row],[Total PoP ]])</f>
        <v>1</v>
      </c>
      <c r="DR140" s="762">
        <f>1-WWWW[[#This Row],[Hygiene Coverage%]]</f>
        <v>0</v>
      </c>
      <c r="DS140" s="760">
        <f>WWWW[[#This Row],['# people reached by regular dedicated hygiene promotion_5]]/WWWW[[#This Row],[Total PoP ]]</f>
        <v>0</v>
      </c>
      <c r="DT14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0" s="761">
        <f>WWWW[[#This Row],['#_Constructed/Existing hand washing stations]]-WWWW[[#This Row],['#_Non-Functional_hand_washing_stations]]</f>
        <v>8</v>
      </c>
      <c r="DW140" s="758">
        <f>IF(WWWW[[#This Row],['# Functional hand washing stations during reporting period]]*20&gt;WWWW[[#This Row],[Total HH]],WWWW[[#This Row],[Total HH]],WWWW[[#This Row],['# Functional hand washing stations during reporting period]]*20)</f>
        <v>27</v>
      </c>
      <c r="DX140" s="758">
        <f>IF(WWWW[[#This Row],[Is sufficient soap available for TLS? (Yes/No)]]="yes",WWWW[[#This Row],['#_Constructed/Existing hand washing stations at TLS/CFS/THF]],0)</f>
        <v>0</v>
      </c>
      <c r="DY140" s="429">
        <f>IF(WWWW[[#This Row],['# Functional hand washing stations during reporting period]]*100&gt;WWWW[[#This Row],[Total PoP ]],WWWW[[#This Row],[Total PoP ]],WWWW[[#This Row],['# Functional hand washing stations during reporting period]]*100)</f>
        <v>126</v>
      </c>
      <c r="DZ140" s="429" t="str">
        <f>IF(OR(WWWW[[#This Row],['#_students at TLS_CFS]]="",WWWW[[#This Row],['#_students at TLS_CFS]]=0),"No","Yes")</f>
        <v>No</v>
      </c>
      <c r="EA14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0" s="754">
        <f>VLOOKUP(WWWW[[#This Row],[Site Name]],SiteDB6[[Site Name]:[CCCM Management]],6,FALSE)</f>
        <v>0</v>
      </c>
      <c r="EF140" s="754" t="str">
        <f>VLOOKUP(WWWW[[#This Row],[Site Name]],SiteDB6[[Site Name]:[CCCM Focal Agency]],7,FALSE)</f>
        <v>uncovered</v>
      </c>
      <c r="EG140" s="754" t="str">
        <f>VLOOKUP(WWWW[[#This Row],[Site Name]],SiteDB6[[Site Name]:[Location Type 1]],9,FALSE)</f>
        <v>Camp</v>
      </c>
      <c r="EH140" s="754" t="str">
        <f>VLOOKUP(WWWW[[#This Row],[Site Name]],SiteDB6[[Site Name]:[Type of Accommodation]],10,FALSE)</f>
        <v>IDPs in host</v>
      </c>
      <c r="EI140" s="754" t="str">
        <f>VLOOKUP(WWWW[[#This Row],[Site Name]],SiteDB6[[Site Name]:[Ethnic or GCA/NGCA]],11,FALSE)</f>
        <v>GCA</v>
      </c>
      <c r="EJ140" s="754">
        <f>VLOOKUP(WWWW[[#This Row],[Site Name]],SiteDB6[[Site Name]:[Lat]],12,FALSE)</f>
        <v>24.996279999999999</v>
      </c>
      <c r="EK140" s="754">
        <f>VLOOKUP(WWWW[[#This Row],[Site Name]],SiteDB6[[Site Name]:[Long]],13,FALSE)</f>
        <v>96.52534</v>
      </c>
      <c r="EL140" s="754" t="str">
        <f>VLOOKUP(WWWW[[#This Row],[Site Name]],SiteDB6[[Site Name]:[Pcode]],3,FALSE)</f>
        <v>MMR001CMP232</v>
      </c>
      <c r="EM140" s="759" t="str">
        <f t="shared" si="2"/>
        <v>Notcovered</v>
      </c>
      <c r="EN140" s="759"/>
      <c r="EO140" s="754">
        <f>VLOOKUP(WWWW[[#This Row],[Site Name]],SiteDB6[[Site Name]:[Pop
(Kachin/Shan-CCCM as of July 2021)]],16,FALSE)</f>
        <v>26</v>
      </c>
      <c r="EP140" s="754">
        <f>VLOOKUP(WWWW[[#This Row],[Site Name]],SiteDB6[[Site Name]:[Pop
(Kachin/Shan-CCCM as of July 2021)]],17,FALSE)</f>
        <v>125</v>
      </c>
    </row>
    <row r="141" spans="1:146" hidden="1">
      <c r="A141" s="752" t="s">
        <v>2785</v>
      </c>
      <c r="B141" s="752" t="s">
        <v>309</v>
      </c>
      <c r="C141" s="753" t="s">
        <v>309</v>
      </c>
      <c r="D141" s="753"/>
      <c r="E141" s="753" t="s">
        <v>37</v>
      </c>
      <c r="F141" s="753" t="s">
        <v>157</v>
      </c>
      <c r="G141" s="594" t="str">
        <f>VLOOKUP(WWWW[[#This Row],[Site Name]],SiteDB6[[Site Name]:[Location Type]],8,FALSE)</f>
        <v>Camp</v>
      </c>
      <c r="H141" s="753" t="s">
        <v>3051</v>
      </c>
      <c r="I141" s="755">
        <v>15</v>
      </c>
      <c r="J141" s="755">
        <v>71</v>
      </c>
      <c r="K141" s="756" t="s">
        <v>2672</v>
      </c>
      <c r="L141" s="757" t="s">
        <v>2673</v>
      </c>
      <c r="M141" s="755"/>
      <c r="N141" s="755"/>
      <c r="O141" s="755"/>
      <c r="P141" s="755"/>
      <c r="Q141" s="758"/>
      <c r="R141" s="755"/>
      <c r="S141" s="755">
        <v>4</v>
      </c>
      <c r="T141" s="449"/>
      <c r="U141" s="755"/>
      <c r="V141" s="755"/>
      <c r="W141" s="755"/>
      <c r="X141" s="755"/>
      <c r="Y141" s="755"/>
      <c r="Z141" s="755"/>
      <c r="AA141" s="755"/>
      <c r="AB141" s="755"/>
      <c r="AC141" s="755"/>
      <c r="AD141" s="755"/>
      <c r="AE141" s="755"/>
      <c r="AF141" s="755"/>
      <c r="AG141" s="755"/>
      <c r="AH141" s="755"/>
      <c r="AI141" s="755"/>
      <c r="AJ141" s="755"/>
      <c r="AK141" s="755"/>
      <c r="AL141" s="755"/>
      <c r="AM141" s="755"/>
      <c r="AN141" s="755"/>
      <c r="AO141" s="755"/>
      <c r="AP141" s="759"/>
      <c r="AQ141" s="755"/>
      <c r="AR141" s="755"/>
      <c r="AS141" s="760"/>
      <c r="AT141" s="755"/>
      <c r="AU141" s="755"/>
      <c r="AV141" s="755"/>
      <c r="AW141" s="755"/>
      <c r="AX141" s="755"/>
      <c r="AY141" s="426" t="s">
        <v>140</v>
      </c>
      <c r="AZ141" s="891" t="s">
        <v>140</v>
      </c>
      <c r="BA141" s="755"/>
      <c r="BB141" s="755"/>
      <c r="BC141" s="755"/>
      <c r="BD141" s="449"/>
      <c r="BE141" s="449"/>
      <c r="BF141" s="754"/>
      <c r="BG141" s="755">
        <v>3</v>
      </c>
      <c r="BH141" s="755"/>
      <c r="BI141" s="755"/>
      <c r="BJ141" s="755">
        <v>2</v>
      </c>
      <c r="BK141" s="755"/>
      <c r="BL141" s="755"/>
      <c r="BM141" s="755"/>
      <c r="BN141" s="755">
        <v>88</v>
      </c>
      <c r="BO141" s="755">
        <v>100</v>
      </c>
      <c r="BP141" s="754"/>
      <c r="BQ141" s="761"/>
      <c r="BR141" s="760"/>
      <c r="BS141" s="754"/>
      <c r="BT141" s="424"/>
      <c r="BU141" s="424"/>
      <c r="BV141" s="426"/>
      <c r="BW141" s="424"/>
      <c r="BX141" s="449"/>
      <c r="BY141" s="449"/>
      <c r="BZ141" s="449"/>
      <c r="CA141" s="449"/>
      <c r="CB141" s="449"/>
      <c r="CC141" s="807"/>
      <c r="CD141" s="449"/>
      <c r="CE141" s="762" t="str">
        <f>IFERROR(WWWW[[#This Row],['#_Water sources passed]]/WWWW[[#This Row],['#_Water sources tested for fecal coliform ]],"no test")</f>
        <v>no test</v>
      </c>
      <c r="CF141" s="760" t="str">
        <f>IFERROR(WWWW[[#This Row],['#_Household passed]]/WWWW[[#This Row],['#_Household water samples tested for fecal coliform]],"no test")</f>
        <v>no test</v>
      </c>
      <c r="CG141" s="761" t="str">
        <f>IF(AND(WWWW[[#This Row],[% of water sources passed]]="no test",WWWW[[#This Row],[% Household passed]]="no test"),"No Test","Tested")</f>
        <v>No Test</v>
      </c>
      <c r="CH141" s="761">
        <f>WWWW[[#This Row],['#_Constructed/existing protected hand dug well]]-WWWW[[#This Row],['#_Non-functional protected hand dug well]]</f>
        <v>0</v>
      </c>
      <c r="CI141" s="761">
        <f>(WWWW[[#This Row],['#_Constructed/Existing tube wells/boreholes/handpumps_WASH_agency]]+WWWW[[#This Row],['#_Non-Cluster partner water tube-wells/boreholes/handpumps]])-WWWW[[#This Row],['#_Non-functional tube wells/boreholes/handpumps]]</f>
        <v>0</v>
      </c>
      <c r="CJ141" s="761">
        <f>WWWW[[#This Row],['#_Constructed/Existingwater storage tank with gravity fed reticulation system]]-WWWW[[#This Row],['#_Non-functional storage tank gravity fed reticulation system]]</f>
        <v>0</v>
      </c>
      <c r="CK141" s="761">
        <f>(WWWW[[#This Row],['#_Water_Liters_supplied_by_Water boating or water trucking]]/90)/15</f>
        <v>0</v>
      </c>
      <c r="CL141" s="761">
        <f>WWWW[[#This Row],['#_Water_Liters_from_Constructed/Existing water distribution system from river or natural spring]]/90/15</f>
        <v>0</v>
      </c>
      <c r="CM141" s="425">
        <f>IF(WWWW[[#This Row],['#_of water points in TLS/CFS]]*500&gt;WWWW[[#This Row],[Total PoP ]],WWWW[[#This Row],[Total PoP ]],WWWW[[#This Row],['#_of water points in TLS/CFS]]*500)</f>
        <v>0</v>
      </c>
      <c r="CN141" s="425">
        <f>IF(WWWW[[#This Row],['#_of water points in THF]]*500&gt;WWWW[[#This Row],[Total PoP ]],WWWW[[#This Row],[Total PoP ]],WWWW[[#This Row],['#_of water points in THF]]*500)</f>
        <v>0</v>
      </c>
      <c r="CO14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1" s="760">
        <f>IF(WWWW[[#This Row],[Location Type 1]]="Village",WWWW[[#This Row],[Access to safe drinking water for Village]],WWWW[[#This Row],[Access to safe drinking water for Camp]])</f>
        <v>0</v>
      </c>
      <c r="CR141" s="758">
        <f>WWWW[[#This Row],[%Equitable and continuous access to sufficient quantity of safe drinking water]]*WWWW[[#This Row],[Total PoP ]]</f>
        <v>0</v>
      </c>
      <c r="CS141" s="760">
        <f>IF((WWWW[[#This Row],['#_Constructed/Existing protected/fenced ponds]]*250)/WWWW[[#This Row],[Total PoP ]]&gt;1,1,(WWWW[[#This Row],['#_Constructed/Existing protected/fenced ponds]]*250)/WWWW[[#This Row],[Total PoP ]])</f>
        <v>0</v>
      </c>
      <c r="CT141" s="758">
        <f>WWWW[[#This Row],[% Access to unimproved water points]]*WWWW[[#This Row],[Total PoP ]]</f>
        <v>0</v>
      </c>
      <c r="CU14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1" s="758">
        <f>WWWW[[#This Row],[HRP1]]/500</f>
        <v>0</v>
      </c>
      <c r="CX141" s="763">
        <f>1-WWWW[[#This Row],[% Equitable and continuous access to sufficient quantity of domestic water]]</f>
        <v>1</v>
      </c>
      <c r="CY141" s="758">
        <f>WWWW[[#This Row],[%equitable and continuous access to sufficient quantity of safe drinking and domestic water''s GAP]]*WWWW[[#This Row],[Total PoP ]]</f>
        <v>71</v>
      </c>
      <c r="CZ141" s="761">
        <f>IF(WWWW[[#This Row],[Total required water points]]-WWWW[[#This Row],['#Water points coverage]]&lt;0,0,WWWW[[#This Row],[Total required water points]]-WWWW[[#This Row],['#Water points coverage]])</f>
        <v>1</v>
      </c>
      <c r="DA141" s="761">
        <f>ROUND(IF(WWWW[[#This Row],[Total PoP ]]&lt;500,1,WWWW[[#This Row],[Total PoP ]]/500),0)</f>
        <v>1</v>
      </c>
      <c r="DB141" s="761">
        <f>(WWWW[[#This Row],['#_Constructed latrines_by_WASHAgencies]]+WWWW[[#This Row],['#_Non Cluster partner latrines]])-WWWW[[#This Row],['#_Non-functional latrines]]</f>
        <v>0</v>
      </c>
      <c r="DC141" s="634">
        <f>WWWW[[#This Row],[HRP2]]/WWWW[[#This Row],[Total PoP ]]</f>
        <v>0</v>
      </c>
      <c r="DD14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1" s="425">
        <f>IF(WWWW[[#This Row],['# of functional latrines in THF supported by WASH partners during the reporting period2]]="",0,WWWW[[#This Row],['# of functional latrines in THF supported by WASH partners during the reporting period2]]*50)</f>
        <v>0</v>
      </c>
      <c r="DH141" s="761">
        <f>ROUND(IF(WWWW[[#This Row],[Location Type 1]]="camp",WWWW[[#This Row],[Total PoP ]]/20,IF(WWWW[[#This Row],[Location Type 1]]="Temporary Location",WWWW[[#This Row],[Total PoP ]]/50,(WWWW[[#This Row],[Total PoP ]]/6))),0)</f>
        <v>4</v>
      </c>
      <c r="DI141" s="761">
        <f>IF(WWWW[[#This Row],[Total required Latrines]]-(WWWW[[#This Row],['#_Constructed latrines_by_WASHAgencies]]+WWWW[[#This Row],['#_Non Cluster partner latrines]])&lt;0,0,WWWW[[#This Row],[Total required Latrines]]-(WWWW[[#This Row],['#_Constructed latrines_by_WASHAgencies]]+WWWW[[#This Row],['#_Non Cluster partner latrines]]))</f>
        <v>4</v>
      </c>
      <c r="DJ141" s="763">
        <f>1-WWWW[[#This Row],[% people access to functioning Latrine]]</f>
        <v>1</v>
      </c>
      <c r="DK141" s="762">
        <f>IF(OR(WWWW[[#This Row],['#_Non-functional latrines]]="",WWWW[[#This Row],['#_Non-functional latrines]]=0),0,WWWW[[#This Row],['#_Non-functional latrines]]/(WWWW[[#This Row],['#_Constructed latrines_by_WASHAgencies]]+WWWW[[#This Row],['#_Non Cluster partner latrines]]))</f>
        <v>0</v>
      </c>
      <c r="DL141" s="758">
        <f>IF(500*(WWWW[[#This Row],['#_male hygiene promoters]]+WWWW[[#This Row],['#_female hygiene promoters]])&gt;WWWW[[#This Row],[Total PoP ]],WWWW[[#This Row],[Total PoP ]],500*(WWWW[[#This Row],['#_male hygiene promoters]]+WWWW[[#This Row],['#_female hygiene promoters]]))</f>
        <v>0</v>
      </c>
      <c r="DM14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71</v>
      </c>
      <c r="DN14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71</v>
      </c>
      <c r="DO141" s="761">
        <f>IF(WWWW[[#This Row],['# People with access to soap]]&gt;WWWW[[#This Row],['# People with access to Sanity Pads]],WWWW[[#This Row],['# People with access to soap]],WWWW[[#This Row],['# People with access to Sanity Pads]])</f>
        <v>71</v>
      </c>
      <c r="DP141" s="761">
        <f>IF(WWWW[[#This Row],['# people reached by regular dedicated hygiene promotion_5]]&gt;WWWW[[#This Row],['# People received regular supply of hygiene items_6]],WWWW[[#This Row],['# people reached by regular dedicated hygiene promotion_5]],WWWW[[#This Row],['# People received regular supply of hygiene items_6]])</f>
        <v>71</v>
      </c>
      <c r="DQ141" s="763">
        <f>IF(WWWW[[#This Row],[HRP3]]/WWWW[[#This Row],[Total PoP ]]&gt;1,1,WWWW[[#This Row],[HRP3]]/WWWW[[#This Row],[Total PoP ]])</f>
        <v>1</v>
      </c>
      <c r="DR141" s="762">
        <f>1-WWWW[[#This Row],[Hygiene Coverage%]]</f>
        <v>0</v>
      </c>
      <c r="DS141" s="760">
        <f>WWWW[[#This Row],['# people reached by regular dedicated hygiene promotion_5]]/WWWW[[#This Row],[Total PoP ]]</f>
        <v>0</v>
      </c>
      <c r="DT14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1" s="761">
        <f>WWWW[[#This Row],['#_Constructed/Existing hand washing stations]]-WWWW[[#This Row],['#_Non-Functional_hand_washing_stations]]</f>
        <v>3</v>
      </c>
      <c r="DW141" s="758">
        <f>IF(WWWW[[#This Row],['# Functional hand washing stations during reporting period]]*20&gt;WWWW[[#This Row],[Total HH]],WWWW[[#This Row],[Total HH]],WWWW[[#This Row],['# Functional hand washing stations during reporting period]]*20)</f>
        <v>15</v>
      </c>
      <c r="DX141" s="758">
        <f>IF(WWWW[[#This Row],[Is sufficient soap available for TLS? (Yes/No)]]="yes",WWWW[[#This Row],['#_Constructed/Existing hand washing stations at TLS/CFS/THF]],0)</f>
        <v>0</v>
      </c>
      <c r="DY141" s="429">
        <f>IF(WWWW[[#This Row],['# Functional hand washing stations during reporting period]]*100&gt;WWWW[[#This Row],[Total PoP ]],WWWW[[#This Row],[Total PoP ]],WWWW[[#This Row],['# Functional hand washing stations during reporting period]]*100)</f>
        <v>71</v>
      </c>
      <c r="DZ141" s="429" t="str">
        <f>IF(OR(WWWW[[#This Row],['#_students at TLS_CFS]]="",WWWW[[#This Row],['#_students at TLS_CFS]]=0),"No","Yes")</f>
        <v>No</v>
      </c>
      <c r="EA14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1" s="754">
        <f>VLOOKUP(WWWW[[#This Row],[Site Name]],SiteDB6[[Site Name]:[CCCM Management]],6,FALSE)</f>
        <v>0</v>
      </c>
      <c r="EF141" s="754" t="str">
        <f>VLOOKUP(WWWW[[#This Row],[Site Name]],SiteDB6[[Site Name]:[CCCM Focal Agency]],7,FALSE)</f>
        <v>uncovered</v>
      </c>
      <c r="EG141" s="754" t="str">
        <f>VLOOKUP(WWWW[[#This Row],[Site Name]],SiteDB6[[Site Name]:[Location Type 1]],9,FALSE)</f>
        <v>Camp</v>
      </c>
      <c r="EH141" s="754" t="str">
        <f>VLOOKUP(WWWW[[#This Row],[Site Name]],SiteDB6[[Site Name]:[Type of Accommodation]],10,FALSE)</f>
        <v>IDPs in host</v>
      </c>
      <c r="EI141" s="754" t="str">
        <f>VLOOKUP(WWWW[[#This Row],[Site Name]],SiteDB6[[Site Name]:[Ethnic or GCA/NGCA]],11,FALSE)</f>
        <v>GCA</v>
      </c>
      <c r="EJ141" s="754">
        <f>VLOOKUP(WWWW[[#This Row],[Site Name]],SiteDB6[[Site Name]:[Lat]],12,FALSE)</f>
        <v>24.764959999999999</v>
      </c>
      <c r="EK141" s="754">
        <f>VLOOKUP(WWWW[[#This Row],[Site Name]],SiteDB6[[Site Name]:[Long]],13,FALSE)</f>
        <v>96.366919999999993</v>
      </c>
      <c r="EL141" s="754" t="str">
        <f>VLOOKUP(WWWW[[#This Row],[Site Name]],SiteDB6[[Site Name]:[Pcode]],3,FALSE)</f>
        <v>MMR001CMP233</v>
      </c>
      <c r="EM141" s="759" t="str">
        <f t="shared" si="2"/>
        <v>Notcovered</v>
      </c>
      <c r="EN141" s="759"/>
      <c r="EO141" s="754">
        <f>VLOOKUP(WWWW[[#This Row],[Site Name]],SiteDB6[[Site Name]:[Pop
(Kachin/Shan-CCCM as of July 2021)]],16,FALSE)</f>
        <v>7</v>
      </c>
      <c r="EP141" s="754">
        <f>VLOOKUP(WWWW[[#This Row],[Site Name]],SiteDB6[[Site Name]:[Pop
(Kachin/Shan-CCCM as of July 2021)]],17,FALSE)</f>
        <v>35</v>
      </c>
    </row>
    <row r="142" spans="1:146" hidden="1">
      <c r="A142" s="752" t="s">
        <v>2785</v>
      </c>
      <c r="B142" s="370" t="s">
        <v>309</v>
      </c>
      <c r="C142" s="370" t="s">
        <v>309</v>
      </c>
      <c r="D142" s="753"/>
      <c r="E142" s="753" t="s">
        <v>37</v>
      </c>
      <c r="F142" s="753" t="s">
        <v>205</v>
      </c>
      <c r="G142" s="594" t="str">
        <f>VLOOKUP(WWWW[[#This Row],[Site Name]],SiteDB6[[Site Name]:[Location Type]],8,FALSE)</f>
        <v>Camp_not registered</v>
      </c>
      <c r="H142" s="753" t="s">
        <v>288</v>
      </c>
      <c r="I142" s="755"/>
      <c r="J142" s="755"/>
      <c r="K142" s="756">
        <v>43833</v>
      </c>
      <c r="L142" s="757">
        <v>44620</v>
      </c>
      <c r="M142" s="755"/>
      <c r="N142" s="755"/>
      <c r="O142" s="755"/>
      <c r="P142" s="755"/>
      <c r="Q142" s="758" t="s">
        <v>41</v>
      </c>
      <c r="R142" s="755"/>
      <c r="S142" s="755"/>
      <c r="T142" s="449">
        <v>2</v>
      </c>
      <c r="U142" s="755"/>
      <c r="V142" s="755"/>
      <c r="W142" s="755">
        <v>1</v>
      </c>
      <c r="X142" s="755"/>
      <c r="Y142" s="755"/>
      <c r="Z142" s="755"/>
      <c r="AA142" s="755"/>
      <c r="AB142" s="755"/>
      <c r="AC142" s="755"/>
      <c r="AD142" s="755"/>
      <c r="AE142" s="755"/>
      <c r="AF142" s="755"/>
      <c r="AG142" s="755"/>
      <c r="AH142" s="755"/>
      <c r="AI142" s="755"/>
      <c r="AJ142" s="755"/>
      <c r="AK142" s="755"/>
      <c r="AL142" s="755"/>
      <c r="AM142" s="755"/>
      <c r="AN142" s="755"/>
      <c r="AO142" s="755"/>
      <c r="AP142" s="759"/>
      <c r="AQ142" s="755">
        <v>7</v>
      </c>
      <c r="AR142" s="755"/>
      <c r="AS142" s="760"/>
      <c r="AT142" s="755"/>
      <c r="AU142" s="755"/>
      <c r="AV142" s="755"/>
      <c r="AW142" s="755"/>
      <c r="AX142" s="755"/>
      <c r="AY142" s="754" t="s">
        <v>41</v>
      </c>
      <c r="AZ142" s="759" t="s">
        <v>140</v>
      </c>
      <c r="BA142" s="755"/>
      <c r="BB142" s="755"/>
      <c r="BC142" s="755"/>
      <c r="BD142" s="449"/>
      <c r="BE142" s="449">
        <v>5</v>
      </c>
      <c r="BF142" s="754"/>
      <c r="BG142" s="755">
        <v>1</v>
      </c>
      <c r="BH142" s="755"/>
      <c r="BI142" s="755"/>
      <c r="BJ142" s="755">
        <v>3</v>
      </c>
      <c r="BK142" s="755"/>
      <c r="BL142" s="755"/>
      <c r="BM142" s="755"/>
      <c r="BN142" s="755">
        <v>41</v>
      </c>
      <c r="BO142" s="755">
        <v>85</v>
      </c>
      <c r="BP142" s="754"/>
      <c r="BQ142" s="761"/>
      <c r="BR142" s="760"/>
      <c r="BS142" s="754"/>
      <c r="BT142" s="424"/>
      <c r="BU142" s="424"/>
      <c r="BV142" s="426"/>
      <c r="BW142" s="424"/>
      <c r="BX142" s="449"/>
      <c r="BY142" s="449"/>
      <c r="BZ142" s="449"/>
      <c r="CA142" s="449"/>
      <c r="CB142" s="449"/>
      <c r="CC142" s="807"/>
      <c r="CD142" s="449"/>
      <c r="CE142" s="762" t="str">
        <f>IFERROR(WWWW[[#This Row],['#_Water sources passed]]/WWWW[[#This Row],['#_Water sources tested for fecal coliform ]],"no test")</f>
        <v>no test</v>
      </c>
      <c r="CF142" s="760" t="str">
        <f>IFERROR(WWWW[[#This Row],['#_Household passed]]/WWWW[[#This Row],['#_Household water samples tested for fecal coliform]],"no test")</f>
        <v>no test</v>
      </c>
      <c r="CG142" s="761" t="str">
        <f>IF(AND(WWWW[[#This Row],[% of water sources passed]]="no test",WWWW[[#This Row],[% Household passed]]="no test"),"No Test","Tested")</f>
        <v>No Test</v>
      </c>
      <c r="CH142" s="761">
        <f>WWWW[[#This Row],['#_Constructed/existing protected hand dug well]]-WWWW[[#This Row],['#_Non-functional protected hand dug well]]</f>
        <v>2</v>
      </c>
      <c r="CI142" s="761">
        <f>(WWWW[[#This Row],['#_Constructed/Existing tube wells/boreholes/handpumps_WASH_agency]]+WWWW[[#This Row],['#_Non-Cluster partner water tube-wells/boreholes/handpumps]])-WWWW[[#This Row],['#_Non-functional tube wells/boreholes/handpumps]]</f>
        <v>1</v>
      </c>
      <c r="CJ142" s="761">
        <f>WWWW[[#This Row],['#_Constructed/Existingwater storage tank with gravity fed reticulation system]]-WWWW[[#This Row],['#_Non-functional storage tank gravity fed reticulation system]]</f>
        <v>0</v>
      </c>
      <c r="CK142" s="761">
        <f>(WWWW[[#This Row],['#_Water_Liters_supplied_by_Water boating or water trucking]]/90)/15</f>
        <v>0</v>
      </c>
      <c r="CL142" s="761">
        <f>WWWW[[#This Row],['#_Water_Liters_from_Constructed/Existing water distribution system from river or natural spring]]/90/15</f>
        <v>0</v>
      </c>
      <c r="CM142" s="425">
        <f>IF(WWWW[[#This Row],['#_of water points in TLS/CFS]]*500&gt;WWWW[[#This Row],[Total PoP ]],WWWW[[#This Row],[Total PoP ]],WWWW[[#This Row],['#_of water points in TLS/CFS]]*500)</f>
        <v>0</v>
      </c>
      <c r="CN142" s="425">
        <f>IF(WWWW[[#This Row],['#_of water points in THF]]*500&gt;WWWW[[#This Row],[Total PoP ]],WWWW[[#This Row],[Total PoP ]],WWWW[[#This Row],['#_of water points in THF]]*500)</f>
        <v>0</v>
      </c>
      <c r="CO142" s="762"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142" s="762"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142" s="760" t="str">
        <f>IF(WWWW[[#This Row],[Location Type 1]]="Village",WWWW[[#This Row],[Access to safe drinking water for Village]],WWWW[[#This Row],[Access to safe drinking water for Camp]])</f>
        <v/>
      </c>
      <c r="CR142" s="758"/>
      <c r="CS142" s="760"/>
      <c r="CT142" s="758">
        <f>WWWW[[#This Row],[% Access to unimproved water points]]*WWWW[[#This Row],[Total PoP ]]</f>
        <v>0</v>
      </c>
      <c r="CU142" s="760"/>
      <c r="CV142" s="758"/>
      <c r="CW142" s="758">
        <f>WWWW[[#This Row],[HRP1]]/500</f>
        <v>0</v>
      </c>
      <c r="CX142" s="763"/>
      <c r="CY142" s="758"/>
      <c r="CZ142" s="761">
        <f>IF(WWWW[[#This Row],[Total required water points]]-WWWW[[#This Row],['#Water points coverage]]&lt;0,0,WWWW[[#This Row],[Total required water points]]-WWWW[[#This Row],['#Water points coverage]])</f>
        <v>1</v>
      </c>
      <c r="DA142" s="761">
        <f>ROUND(IF(WWWW[[#This Row],[Total PoP ]]&lt;500,1,WWWW[[#This Row],[Total PoP ]]/500),0)</f>
        <v>1</v>
      </c>
      <c r="DB142" s="761">
        <f>(WWWW[[#This Row],['#_Constructed latrines_by_WASHAgencies]]+WWWW[[#This Row],['#_Non Cluster partner latrines]])-WWWW[[#This Row],['#_Non-functional latrines]]</f>
        <v>7</v>
      </c>
      <c r="DC142" s="634"/>
      <c r="DD14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2" s="425">
        <f>IF(WWWW[[#This Row],['# of functional latrines in THF supported by WASH partners during the reporting period2]]="",0,WWWW[[#This Row],['# of functional latrines in THF supported by WASH partners during the reporting period2]]*50)</f>
        <v>0</v>
      </c>
      <c r="DH142" s="761">
        <f>ROUND(IF(WWWW[[#This Row],[Location Type 1]]="camp",WWWW[[#This Row],[Total PoP ]]/20,IF(WWWW[[#This Row],[Location Type 1]]="Temporary Location",WWWW[[#This Row],[Total PoP ]]/50,(WWWW[[#This Row],[Total PoP ]]/6))),0)</f>
        <v>0</v>
      </c>
      <c r="DI142" s="761">
        <f>IF(WWWW[[#This Row],[Total required Latrines]]-(WWWW[[#This Row],['#_Constructed latrines_by_WASHAgencies]]+WWWW[[#This Row],['#_Non Cluster partner latrines]])&lt;0,0,WWWW[[#This Row],[Total required Latrines]]-(WWWW[[#This Row],['#_Constructed latrines_by_WASHAgencies]]+WWWW[[#This Row],['#_Non Cluster partner latrines]]))</f>
        <v>0</v>
      </c>
      <c r="DJ142" s="763"/>
      <c r="DK142" s="762"/>
      <c r="DL142" s="758">
        <f>IF(500*(WWWW[[#This Row],['#_male hygiene promoters]]+WWWW[[#This Row],['#_female hygiene promoters]])&gt;WWWW[[#This Row],[Total PoP ]],WWWW[[#This Row],[Total PoP ]],500*(WWWW[[#This Row],['#_male hygiene promoters]]+WWWW[[#This Row],['#_female hygiene promoters]]))</f>
        <v>0</v>
      </c>
      <c r="DM14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4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42" s="761">
        <f>IF(WWWW[[#This Row],['# People with access to soap]]&gt;WWWW[[#This Row],['# People with access to Sanity Pads]],WWWW[[#This Row],['# People with access to soap]],WWWW[[#This Row],['# People with access to Sanity Pads]])</f>
        <v>0</v>
      </c>
      <c r="DP142" s="761">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42" s="763"/>
      <c r="DR142" s="762"/>
      <c r="DS142" s="760"/>
      <c r="DT142" s="762"/>
      <c r="DU142" s="760"/>
      <c r="DV142" s="761">
        <f>WWWW[[#This Row],['#_Constructed/Existing hand washing stations]]-WWWW[[#This Row],['#_Non-Functional_hand_washing_stations]]</f>
        <v>1</v>
      </c>
      <c r="DW142" s="758">
        <f>IF(WWWW[[#This Row],['# Functional hand washing stations during reporting period]]*20&gt;WWWW[[#This Row],[Total HH]],WWWW[[#This Row],[Total HH]],WWWW[[#This Row],['# Functional hand washing stations during reporting period]]*20)</f>
        <v>0</v>
      </c>
      <c r="DX142" s="758">
        <f>IF(WWWW[[#This Row],[Is sufficient soap available for TLS? (Yes/No)]]="yes",WWWW[[#This Row],['#_Constructed/Existing hand washing stations at TLS/CFS/THF]],0)</f>
        <v>0</v>
      </c>
      <c r="DY142" s="429">
        <f>IF(WWWW[[#This Row],['# Functional hand washing stations during reporting period]]*100&gt;WWWW[[#This Row],[Total PoP ]],WWWW[[#This Row],[Total PoP ]],WWWW[[#This Row],['# Functional hand washing stations during reporting period]]*100)</f>
        <v>0</v>
      </c>
      <c r="DZ142" s="429" t="str">
        <f>IF(OR(WWWW[[#This Row],['#_students at TLS_CFS]]="",WWWW[[#This Row],['#_students at TLS_CFS]]=0),"No","Yes")</f>
        <v>No</v>
      </c>
      <c r="EA14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2" s="754">
        <f>VLOOKUP(WWWW[[#This Row],[Site Name]],SiteDB6[[Site Name]:[CCCM Management]],6,FALSE)</f>
        <v>0</v>
      </c>
      <c r="EF142" s="754">
        <f>VLOOKUP(WWWW[[#This Row],[Site Name]],SiteDB6[[Site Name]:[CCCM Focal Agency]],7,FALSE)</f>
        <v>0</v>
      </c>
      <c r="EG142" s="754" t="str">
        <f>VLOOKUP(WWWW[[#This Row],[Site Name]],SiteDB6[[Site Name]:[Location Type 1]],9,FALSE)</f>
        <v>Camp</v>
      </c>
      <c r="EH142" s="754" t="str">
        <f>VLOOKUP(WWWW[[#This Row],[Site Name]],SiteDB6[[Site Name]:[Type of Accommodation]],10,FALSE)</f>
        <v>School</v>
      </c>
      <c r="EI142" s="754" t="str">
        <f>VLOOKUP(WWWW[[#This Row],[Site Name]],SiteDB6[[Site Name]:[Ethnic or GCA/NGCA]],11,FALSE)</f>
        <v>GCA</v>
      </c>
      <c r="EJ142" s="754">
        <f>VLOOKUP(WWWW[[#This Row],[Site Name]],SiteDB6[[Site Name]:[Lat]],12,FALSE)</f>
        <v>0</v>
      </c>
      <c r="EK142" s="754">
        <f>VLOOKUP(WWWW[[#This Row],[Site Name]],SiteDB6[[Site Name]:[Long]],13,FALSE)</f>
        <v>0</v>
      </c>
      <c r="EL142" s="754">
        <f>VLOOKUP(WWWW[[#This Row],[Site Name]],SiteDB6[[Site Name]:[Pcode]],3,FALSE)</f>
        <v>0</v>
      </c>
      <c r="EM142" s="759" t="str">
        <f t="shared" si="2"/>
        <v>Notcovered</v>
      </c>
      <c r="EN142" s="759"/>
      <c r="EO142" s="754">
        <f>VLOOKUP(WWWW[[#This Row],[Site Name]],SiteDB6[[Site Name]:[Pop
(Kachin/Shan-CCCM as of July 2021)]],16,FALSE)</f>
        <v>0</v>
      </c>
      <c r="EP142" s="754">
        <f>VLOOKUP(WWWW[[#This Row],[Site Name]],SiteDB6[[Site Name]:[Pop
(Kachin/Shan-CCCM as of July 2021)]],17,FALSE)</f>
        <v>0</v>
      </c>
    </row>
    <row r="143" spans="1:146" hidden="1">
      <c r="A143" s="752" t="s">
        <v>2785</v>
      </c>
      <c r="B143" s="752" t="s">
        <v>309</v>
      </c>
      <c r="C143" s="753" t="s">
        <v>309</v>
      </c>
      <c r="D143" s="753"/>
      <c r="E143" s="753" t="s">
        <v>37</v>
      </c>
      <c r="F143" s="753" t="s">
        <v>205</v>
      </c>
      <c r="G143" s="594" t="str">
        <f>VLOOKUP(WWWW[[#This Row],[Site Name]],SiteDB6[[Site Name]:[Location Type]],8,FALSE)</f>
        <v>Camp</v>
      </c>
      <c r="H143" s="753" t="s">
        <v>3046</v>
      </c>
      <c r="I143" s="755">
        <v>223</v>
      </c>
      <c r="J143" s="755">
        <v>1067</v>
      </c>
      <c r="K143" s="756" t="s">
        <v>2672</v>
      </c>
      <c r="L143" s="757" t="s">
        <v>2673</v>
      </c>
      <c r="M143" s="755"/>
      <c r="N143" s="755"/>
      <c r="O143" s="755"/>
      <c r="P143" s="755"/>
      <c r="Q143" s="758"/>
      <c r="R143" s="755"/>
      <c r="S143" s="755">
        <v>4</v>
      </c>
      <c r="T143" s="449"/>
      <c r="U143" s="755"/>
      <c r="V143" s="755"/>
      <c r="W143" s="755"/>
      <c r="X143" s="755"/>
      <c r="Y143" s="755"/>
      <c r="Z143" s="755"/>
      <c r="AA143" s="755"/>
      <c r="AB143" s="755"/>
      <c r="AC143" s="755"/>
      <c r="AD143" s="755"/>
      <c r="AE143" s="755"/>
      <c r="AF143" s="755"/>
      <c r="AG143" s="755"/>
      <c r="AH143" s="755"/>
      <c r="AI143" s="755"/>
      <c r="AJ143" s="755"/>
      <c r="AK143" s="755"/>
      <c r="AL143" s="755"/>
      <c r="AM143" s="755"/>
      <c r="AN143" s="755"/>
      <c r="AO143" s="755"/>
      <c r="AP143" s="759"/>
      <c r="AQ143" s="755"/>
      <c r="AR143" s="755"/>
      <c r="AS143" s="760"/>
      <c r="AT143" s="755"/>
      <c r="AU143" s="755"/>
      <c r="AV143" s="755"/>
      <c r="AW143" s="755"/>
      <c r="AX143" s="755"/>
      <c r="AY143" s="426" t="s">
        <v>140</v>
      </c>
      <c r="AZ143" s="891" t="s">
        <v>140</v>
      </c>
      <c r="BA143" s="755"/>
      <c r="BB143" s="755"/>
      <c r="BC143" s="755"/>
      <c r="BD143" s="449"/>
      <c r="BE143" s="449"/>
      <c r="BF143" s="754"/>
      <c r="BG143" s="755">
        <v>3</v>
      </c>
      <c r="BH143" s="755"/>
      <c r="BI143" s="755"/>
      <c r="BJ143" s="755">
        <v>2</v>
      </c>
      <c r="BK143" s="755"/>
      <c r="BL143" s="755"/>
      <c r="BM143" s="755"/>
      <c r="BN143" s="755">
        <v>10</v>
      </c>
      <c r="BO143" s="755">
        <v>18</v>
      </c>
      <c r="BP143" s="754"/>
      <c r="BQ143" s="761"/>
      <c r="BR143" s="760"/>
      <c r="BS143" s="754"/>
      <c r="BT143" s="424"/>
      <c r="BU143" s="424"/>
      <c r="BV143" s="426"/>
      <c r="BW143" s="424"/>
      <c r="BX143" s="449"/>
      <c r="BY143" s="449"/>
      <c r="BZ143" s="449"/>
      <c r="CA143" s="449"/>
      <c r="CB143" s="449"/>
      <c r="CC143" s="807"/>
      <c r="CD143" s="449"/>
      <c r="CE143" s="762" t="str">
        <f>IFERROR(WWWW[[#This Row],['#_Water sources passed]]/WWWW[[#This Row],['#_Water sources tested for fecal coliform ]],"no test")</f>
        <v>no test</v>
      </c>
      <c r="CF143" s="760" t="str">
        <f>IFERROR(WWWW[[#This Row],['#_Household passed]]/WWWW[[#This Row],['#_Household water samples tested for fecal coliform]],"no test")</f>
        <v>no test</v>
      </c>
      <c r="CG143" s="761" t="str">
        <f>IF(AND(WWWW[[#This Row],[% of water sources passed]]="no test",WWWW[[#This Row],[% Household passed]]="no test"),"No Test","Tested")</f>
        <v>No Test</v>
      </c>
      <c r="CH143" s="761">
        <f>WWWW[[#This Row],['#_Constructed/existing protected hand dug well]]-WWWW[[#This Row],['#_Non-functional protected hand dug well]]</f>
        <v>0</v>
      </c>
      <c r="CI143" s="761">
        <f>(WWWW[[#This Row],['#_Constructed/Existing tube wells/boreholes/handpumps_WASH_agency]]+WWWW[[#This Row],['#_Non-Cluster partner water tube-wells/boreholes/handpumps]])-WWWW[[#This Row],['#_Non-functional tube wells/boreholes/handpumps]]</f>
        <v>0</v>
      </c>
      <c r="CJ143" s="761">
        <f>WWWW[[#This Row],['#_Constructed/Existingwater storage tank with gravity fed reticulation system]]-WWWW[[#This Row],['#_Non-functional storage tank gravity fed reticulation system]]</f>
        <v>0</v>
      </c>
      <c r="CK143" s="761">
        <f>(WWWW[[#This Row],['#_Water_Liters_supplied_by_Water boating or water trucking]]/90)/15</f>
        <v>0</v>
      </c>
      <c r="CL143" s="761">
        <f>WWWW[[#This Row],['#_Water_Liters_from_Constructed/Existing water distribution system from river or natural spring]]/90/15</f>
        <v>0</v>
      </c>
      <c r="CM143" s="425">
        <f>IF(WWWW[[#This Row],['#_of water points in TLS/CFS]]*500&gt;WWWW[[#This Row],[Total PoP ]],WWWW[[#This Row],[Total PoP ]],WWWW[[#This Row],['#_of water points in TLS/CFS]]*500)</f>
        <v>0</v>
      </c>
      <c r="CN143" s="425">
        <f>IF(WWWW[[#This Row],['#_of water points in THF]]*500&gt;WWWW[[#This Row],[Total PoP ]],WWWW[[#This Row],[Total PoP ]],WWWW[[#This Row],['#_of water points in THF]]*500)</f>
        <v>0</v>
      </c>
      <c r="CO14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3" s="760">
        <f>IF(WWWW[[#This Row],[Location Type 1]]="Village",WWWW[[#This Row],[Access to safe drinking water for Village]],WWWW[[#This Row],[Access to safe drinking water for Camp]])</f>
        <v>0</v>
      </c>
      <c r="CR143" s="758">
        <f>WWWW[[#This Row],[%Equitable and continuous access to sufficient quantity of safe drinking water]]*WWWW[[#This Row],[Total PoP ]]</f>
        <v>0</v>
      </c>
      <c r="CS143" s="760">
        <f>IF((WWWW[[#This Row],['#_Constructed/Existing protected/fenced ponds]]*250)/WWWW[[#This Row],[Total PoP ]]&gt;1,1,(WWWW[[#This Row],['#_Constructed/Existing protected/fenced ponds]]*250)/WWWW[[#This Row],[Total PoP ]])</f>
        <v>0</v>
      </c>
      <c r="CT143" s="758">
        <f>WWWW[[#This Row],[% Access to unimproved water points]]*WWWW[[#This Row],[Total PoP ]]</f>
        <v>0</v>
      </c>
      <c r="CU14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3" s="758">
        <f>WWWW[[#This Row],[HRP1]]/500</f>
        <v>0</v>
      </c>
      <c r="CX143" s="763">
        <f>1-WWWW[[#This Row],[% Equitable and continuous access to sufficient quantity of domestic water]]</f>
        <v>1</v>
      </c>
      <c r="CY143" s="758">
        <f>WWWW[[#This Row],[%equitable and continuous access to sufficient quantity of safe drinking and domestic water''s GAP]]*WWWW[[#This Row],[Total PoP ]]</f>
        <v>1067</v>
      </c>
      <c r="CZ143" s="761">
        <f>IF(WWWW[[#This Row],[Total required water points]]-WWWW[[#This Row],['#Water points coverage]]&lt;0,0,WWWW[[#This Row],[Total required water points]]-WWWW[[#This Row],['#Water points coverage]])</f>
        <v>2</v>
      </c>
      <c r="DA143" s="761">
        <f>ROUND(IF(WWWW[[#This Row],[Total PoP ]]&lt;500,1,WWWW[[#This Row],[Total PoP ]]/500),0)</f>
        <v>2</v>
      </c>
      <c r="DB143" s="761">
        <f>(WWWW[[#This Row],['#_Constructed latrines_by_WASHAgencies]]+WWWW[[#This Row],['#_Non Cluster partner latrines]])-WWWW[[#This Row],['#_Non-functional latrines]]</f>
        <v>0</v>
      </c>
      <c r="DC143" s="634">
        <f>WWWW[[#This Row],[HRP2]]/WWWW[[#This Row],[Total PoP ]]</f>
        <v>0</v>
      </c>
      <c r="DD14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3" s="425">
        <f>IF(WWWW[[#This Row],['# of functional latrines in THF supported by WASH partners during the reporting period2]]="",0,WWWW[[#This Row],['# of functional latrines in THF supported by WASH partners during the reporting period2]]*50)</f>
        <v>0</v>
      </c>
      <c r="DH143" s="761">
        <f>ROUND(IF(WWWW[[#This Row],[Location Type 1]]="camp",WWWW[[#This Row],[Total PoP ]]/20,IF(WWWW[[#This Row],[Location Type 1]]="Temporary Location",WWWW[[#This Row],[Total PoP ]]/50,(WWWW[[#This Row],[Total PoP ]]/6))),0)</f>
        <v>53</v>
      </c>
      <c r="DI143" s="761">
        <f>IF(WWWW[[#This Row],[Total required Latrines]]-(WWWW[[#This Row],['#_Constructed latrines_by_WASHAgencies]]+WWWW[[#This Row],['#_Non Cluster partner latrines]])&lt;0,0,WWWW[[#This Row],[Total required Latrines]]-(WWWW[[#This Row],['#_Constructed latrines_by_WASHAgencies]]+WWWW[[#This Row],['#_Non Cluster partner latrines]]))</f>
        <v>53</v>
      </c>
      <c r="DJ143" s="763">
        <f>1-WWWW[[#This Row],[% people access to functioning Latrine]]</f>
        <v>1</v>
      </c>
      <c r="DK143" s="762">
        <f>IF(OR(WWWW[[#This Row],['#_Non-functional latrines]]="",WWWW[[#This Row],['#_Non-functional latrines]]=0),0,WWWW[[#This Row],['#_Non-functional latrines]]/(WWWW[[#This Row],['#_Constructed latrines_by_WASHAgencies]]+WWWW[[#This Row],['#_Non Cluster partner latrines]]))</f>
        <v>0</v>
      </c>
      <c r="DL143" s="758">
        <f>IF(500*(WWWW[[#This Row],['#_male hygiene promoters]]+WWWW[[#This Row],['#_female hygiene promoters]])&gt;WWWW[[#This Row],[Total PoP ]],WWWW[[#This Row],[Total PoP ]],500*(WWWW[[#This Row],['#_male hygiene promoters]]+WWWW[[#This Row],['#_female hygiene promoters]]))</f>
        <v>0</v>
      </c>
      <c r="DM14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4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43" s="761">
        <f>IF(WWWW[[#This Row],['# People with access to soap]]&gt;WWWW[[#This Row],['# People with access to Sanity Pads]],WWWW[[#This Row],['# People with access to soap]],WWWW[[#This Row],['# People with access to Sanity Pads]])</f>
        <v>50</v>
      </c>
      <c r="DP143" s="761">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43" s="763">
        <f>IF(WWWW[[#This Row],[HRP3]]/WWWW[[#This Row],[Total PoP ]]&gt;1,1,WWWW[[#This Row],[HRP3]]/WWWW[[#This Row],[Total PoP ]])</f>
        <v>4.6860356138706656E-2</v>
      </c>
      <c r="DR143" s="762">
        <f>1-WWWW[[#This Row],[Hygiene Coverage%]]</f>
        <v>0.95313964386129335</v>
      </c>
      <c r="DS143" s="760">
        <f>WWWW[[#This Row],['# people reached by regular dedicated hygiene promotion_5]]/WWWW[[#This Row],[Total PoP ]]</f>
        <v>0</v>
      </c>
      <c r="DT14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0.17937219730941703</v>
      </c>
      <c r="DU14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8.0717488789237665E-2</v>
      </c>
      <c r="DV143" s="761">
        <f>WWWW[[#This Row],['#_Constructed/Existing hand washing stations]]-WWWW[[#This Row],['#_Non-Functional_hand_washing_stations]]</f>
        <v>3</v>
      </c>
      <c r="DW143" s="758">
        <f>IF(WWWW[[#This Row],['# Functional hand washing stations during reporting period]]*20&gt;WWWW[[#This Row],[Total HH]],WWWW[[#This Row],[Total HH]],WWWW[[#This Row],['# Functional hand washing stations during reporting period]]*20)</f>
        <v>60</v>
      </c>
      <c r="DX143" s="758">
        <f>IF(WWWW[[#This Row],[Is sufficient soap available for TLS? (Yes/No)]]="yes",WWWW[[#This Row],['#_Constructed/Existing hand washing stations at TLS/CFS/THF]],0)</f>
        <v>0</v>
      </c>
      <c r="DY143" s="429">
        <f>IF(WWWW[[#This Row],['# Functional hand washing stations during reporting period]]*100&gt;WWWW[[#This Row],[Total PoP ]],WWWW[[#This Row],[Total PoP ]],WWWW[[#This Row],['# Functional hand washing stations during reporting period]]*100)</f>
        <v>300</v>
      </c>
      <c r="DZ143" s="429" t="str">
        <f>IF(OR(WWWW[[#This Row],['#_students at TLS_CFS]]="",WWWW[[#This Row],['#_students at TLS_CFS]]=0),"No","Yes")</f>
        <v>No</v>
      </c>
      <c r="EA14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3" s="754">
        <f>VLOOKUP(WWWW[[#This Row],[Site Name]],SiteDB6[[Site Name]:[CCCM Management]],6,FALSE)</f>
        <v>0</v>
      </c>
      <c r="EF143" s="754" t="str">
        <f>VLOOKUP(WWWW[[#This Row],[Site Name]],SiteDB6[[Site Name]:[CCCM Focal Agency]],7,FALSE)</f>
        <v>uncovered</v>
      </c>
      <c r="EG143" s="754" t="str">
        <f>VLOOKUP(WWWW[[#This Row],[Site Name]],SiteDB6[[Site Name]:[Location Type 1]],9,FALSE)</f>
        <v>Camp</v>
      </c>
      <c r="EH143" s="754" t="str">
        <f>VLOOKUP(WWWW[[#This Row],[Site Name]],SiteDB6[[Site Name]:[Type of Accommodation]],10,FALSE)</f>
        <v>IDPs in host</v>
      </c>
      <c r="EI143" s="754" t="str">
        <f>VLOOKUP(WWWW[[#This Row],[Site Name]],SiteDB6[[Site Name]:[Ethnic or GCA/NGCA]],11,FALSE)</f>
        <v>GCA</v>
      </c>
      <c r="EJ143" s="754">
        <f>VLOOKUP(WWWW[[#This Row],[Site Name]],SiteDB6[[Site Name]:[Lat]],12,FALSE)</f>
        <v>24.251232000000002</v>
      </c>
      <c r="EK143" s="754">
        <f>VLOOKUP(WWWW[[#This Row],[Site Name]],SiteDB6[[Site Name]:[Long]],13,FALSE)</f>
        <v>97.348405</v>
      </c>
      <c r="EL143" s="754" t="str">
        <f>VLOOKUP(WWWW[[#This Row],[Site Name]],SiteDB6[[Site Name]:[Pcode]],3,FALSE)</f>
        <v>MMR001CMP197</v>
      </c>
      <c r="EM143" s="759" t="str">
        <f t="shared" si="2"/>
        <v>Notcovered</v>
      </c>
      <c r="EN143" s="759"/>
      <c r="EO143" s="754">
        <f>VLOOKUP(WWWW[[#This Row],[Site Name]],SiteDB6[[Site Name]:[Pop
(Kachin/Shan-CCCM as of July 2021)]],16,FALSE)</f>
        <v>171</v>
      </c>
      <c r="EP143" s="754">
        <f>VLOOKUP(WWWW[[#This Row],[Site Name]],SiteDB6[[Site Name]:[Pop
(Kachin/Shan-CCCM as of July 2021)]],17,FALSE)</f>
        <v>882</v>
      </c>
    </row>
    <row r="144" spans="1:146" hidden="1">
      <c r="A144" s="752" t="s">
        <v>2785</v>
      </c>
      <c r="B144" s="752" t="s">
        <v>309</v>
      </c>
      <c r="C144" s="753" t="s">
        <v>309</v>
      </c>
      <c r="D144" s="753"/>
      <c r="E144" s="753" t="s">
        <v>37</v>
      </c>
      <c r="F144" s="753" t="s">
        <v>205</v>
      </c>
      <c r="G144" s="594" t="str">
        <f>VLOOKUP(WWWW[[#This Row],[Site Name]],SiteDB6[[Site Name]:[Location Type]],8,FALSE)</f>
        <v>Camp</v>
      </c>
      <c r="H144" s="753" t="s">
        <v>3043</v>
      </c>
      <c r="I144" s="755">
        <v>15</v>
      </c>
      <c r="J144" s="755">
        <v>101</v>
      </c>
      <c r="K144" s="756" t="s">
        <v>2672</v>
      </c>
      <c r="L144" s="757" t="s">
        <v>2673</v>
      </c>
      <c r="M144" s="755"/>
      <c r="N144" s="755"/>
      <c r="O144" s="755"/>
      <c r="P144" s="755"/>
      <c r="Q144" s="758"/>
      <c r="R144" s="755"/>
      <c r="S144" s="755">
        <v>1</v>
      </c>
      <c r="T144" s="449"/>
      <c r="U144" s="755"/>
      <c r="V144" s="755"/>
      <c r="W144" s="755"/>
      <c r="X144" s="755"/>
      <c r="Y144" s="755"/>
      <c r="Z144" s="755"/>
      <c r="AA144" s="755"/>
      <c r="AB144" s="755"/>
      <c r="AC144" s="755"/>
      <c r="AD144" s="755"/>
      <c r="AE144" s="755"/>
      <c r="AF144" s="755"/>
      <c r="AG144" s="755"/>
      <c r="AH144" s="755"/>
      <c r="AI144" s="755"/>
      <c r="AJ144" s="755"/>
      <c r="AK144" s="755"/>
      <c r="AL144" s="755"/>
      <c r="AM144" s="755"/>
      <c r="AN144" s="755"/>
      <c r="AO144" s="755"/>
      <c r="AP144" s="759"/>
      <c r="AQ144" s="755"/>
      <c r="AR144" s="755"/>
      <c r="AS144" s="760"/>
      <c r="AT144" s="755"/>
      <c r="AU144" s="755"/>
      <c r="AV144" s="755"/>
      <c r="AW144" s="755"/>
      <c r="AX144" s="755"/>
      <c r="AY144" s="426" t="s">
        <v>140</v>
      </c>
      <c r="AZ144" s="891" t="s">
        <v>140</v>
      </c>
      <c r="BA144" s="755"/>
      <c r="BB144" s="755"/>
      <c r="BC144" s="755"/>
      <c r="BD144" s="449"/>
      <c r="BE144" s="449"/>
      <c r="BF144" s="754"/>
      <c r="BG144" s="755">
        <v>1</v>
      </c>
      <c r="BH144" s="755"/>
      <c r="BI144" s="755"/>
      <c r="BJ144" s="755">
        <v>3</v>
      </c>
      <c r="BK144" s="755"/>
      <c r="BL144" s="755"/>
      <c r="BM144" s="755"/>
      <c r="BN144" s="755">
        <v>41</v>
      </c>
      <c r="BO144" s="755">
        <v>85</v>
      </c>
      <c r="BP144" s="754"/>
      <c r="BQ144" s="761"/>
      <c r="BR144" s="760"/>
      <c r="BS144" s="754"/>
      <c r="BT144" s="424"/>
      <c r="BU144" s="424"/>
      <c r="BV144" s="426"/>
      <c r="BW144" s="424"/>
      <c r="BX144" s="449"/>
      <c r="BY144" s="449"/>
      <c r="BZ144" s="449"/>
      <c r="CA144" s="449"/>
      <c r="CB144" s="449"/>
      <c r="CC144" s="807"/>
      <c r="CD144" s="449"/>
      <c r="CE144" s="762" t="str">
        <f>IFERROR(WWWW[[#This Row],['#_Water sources passed]]/WWWW[[#This Row],['#_Water sources tested for fecal coliform ]],"no test")</f>
        <v>no test</v>
      </c>
      <c r="CF144" s="760" t="str">
        <f>IFERROR(WWWW[[#This Row],['#_Household passed]]/WWWW[[#This Row],['#_Household water samples tested for fecal coliform]],"no test")</f>
        <v>no test</v>
      </c>
      <c r="CG144" s="761" t="str">
        <f>IF(AND(WWWW[[#This Row],[% of water sources passed]]="no test",WWWW[[#This Row],[% Household passed]]="no test"),"No Test","Tested")</f>
        <v>No Test</v>
      </c>
      <c r="CH144" s="761">
        <f>WWWW[[#This Row],['#_Constructed/existing protected hand dug well]]-WWWW[[#This Row],['#_Non-functional protected hand dug well]]</f>
        <v>0</v>
      </c>
      <c r="CI144" s="761">
        <f>(WWWW[[#This Row],['#_Constructed/Existing tube wells/boreholes/handpumps_WASH_agency]]+WWWW[[#This Row],['#_Non-Cluster partner water tube-wells/boreholes/handpumps]])-WWWW[[#This Row],['#_Non-functional tube wells/boreholes/handpumps]]</f>
        <v>0</v>
      </c>
      <c r="CJ144" s="761">
        <f>WWWW[[#This Row],['#_Constructed/Existingwater storage tank with gravity fed reticulation system]]-WWWW[[#This Row],['#_Non-functional storage tank gravity fed reticulation system]]</f>
        <v>0</v>
      </c>
      <c r="CK144" s="761">
        <f>(WWWW[[#This Row],['#_Water_Liters_supplied_by_Water boating or water trucking]]/90)/15</f>
        <v>0</v>
      </c>
      <c r="CL144" s="761">
        <f>WWWW[[#This Row],['#_Water_Liters_from_Constructed/Existing water distribution system from river or natural spring]]/90/15</f>
        <v>0</v>
      </c>
      <c r="CM144" s="425">
        <f>IF(WWWW[[#This Row],['#_of water points in TLS/CFS]]*500&gt;WWWW[[#This Row],[Total PoP ]],WWWW[[#This Row],[Total PoP ]],WWWW[[#This Row],['#_of water points in TLS/CFS]]*500)</f>
        <v>0</v>
      </c>
      <c r="CN144" s="425">
        <f>IF(WWWW[[#This Row],['#_of water points in THF]]*500&gt;WWWW[[#This Row],[Total PoP ]],WWWW[[#This Row],[Total PoP ]],WWWW[[#This Row],['#_of water points in THF]]*500)</f>
        <v>0</v>
      </c>
      <c r="CO14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4" s="760">
        <f>IF(WWWW[[#This Row],[Location Type 1]]="Village",WWWW[[#This Row],[Access to safe drinking water for Village]],WWWW[[#This Row],[Access to safe drinking water for Camp]])</f>
        <v>0</v>
      </c>
      <c r="CR144" s="758">
        <f>WWWW[[#This Row],[%Equitable and continuous access to sufficient quantity of safe drinking water]]*WWWW[[#This Row],[Total PoP ]]</f>
        <v>0</v>
      </c>
      <c r="CS144" s="760">
        <f>IF((WWWW[[#This Row],['#_Constructed/Existing protected/fenced ponds]]*250)/WWWW[[#This Row],[Total PoP ]]&gt;1,1,(WWWW[[#This Row],['#_Constructed/Existing protected/fenced ponds]]*250)/WWWW[[#This Row],[Total PoP ]])</f>
        <v>0</v>
      </c>
      <c r="CT144" s="758">
        <f>WWWW[[#This Row],[% Access to unimproved water points]]*WWWW[[#This Row],[Total PoP ]]</f>
        <v>0</v>
      </c>
      <c r="CU14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4" s="758">
        <f>WWWW[[#This Row],[HRP1]]/500</f>
        <v>0</v>
      </c>
      <c r="CX144" s="763">
        <f>1-WWWW[[#This Row],[% Equitable and continuous access to sufficient quantity of domestic water]]</f>
        <v>1</v>
      </c>
      <c r="CY144" s="758">
        <f>WWWW[[#This Row],[%equitable and continuous access to sufficient quantity of safe drinking and domestic water''s GAP]]*WWWW[[#This Row],[Total PoP ]]</f>
        <v>101</v>
      </c>
      <c r="CZ144" s="761">
        <f>IF(WWWW[[#This Row],[Total required water points]]-WWWW[[#This Row],['#Water points coverage]]&lt;0,0,WWWW[[#This Row],[Total required water points]]-WWWW[[#This Row],['#Water points coverage]])</f>
        <v>1</v>
      </c>
      <c r="DA144" s="761">
        <f>ROUND(IF(WWWW[[#This Row],[Total PoP ]]&lt;500,1,WWWW[[#This Row],[Total PoP ]]/500),0)</f>
        <v>1</v>
      </c>
      <c r="DB144" s="761">
        <f>(WWWW[[#This Row],['#_Constructed latrines_by_WASHAgencies]]+WWWW[[#This Row],['#_Non Cluster partner latrines]])-WWWW[[#This Row],['#_Non-functional latrines]]</f>
        <v>0</v>
      </c>
      <c r="DC144" s="634">
        <f>WWWW[[#This Row],[HRP2]]/WWWW[[#This Row],[Total PoP ]]</f>
        <v>0</v>
      </c>
      <c r="DD14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4" s="425">
        <f>IF(WWWW[[#This Row],['# of functional latrines in THF supported by WASH partners during the reporting period2]]="",0,WWWW[[#This Row],['# of functional latrines in THF supported by WASH partners during the reporting period2]]*50)</f>
        <v>0</v>
      </c>
      <c r="DH144" s="761">
        <f>ROUND(IF(WWWW[[#This Row],[Location Type 1]]="camp",WWWW[[#This Row],[Total PoP ]]/20,IF(WWWW[[#This Row],[Location Type 1]]="Temporary Location",WWWW[[#This Row],[Total PoP ]]/50,(WWWW[[#This Row],[Total PoP ]]/6))),0)</f>
        <v>5</v>
      </c>
      <c r="DI144" s="761">
        <f>IF(WWWW[[#This Row],[Total required Latrines]]-(WWWW[[#This Row],['#_Constructed latrines_by_WASHAgencies]]+WWWW[[#This Row],['#_Non Cluster partner latrines]])&lt;0,0,WWWW[[#This Row],[Total required Latrines]]-(WWWW[[#This Row],['#_Constructed latrines_by_WASHAgencies]]+WWWW[[#This Row],['#_Non Cluster partner latrines]]))</f>
        <v>5</v>
      </c>
      <c r="DJ144" s="763">
        <f>1-WWWW[[#This Row],[% people access to functioning Latrine]]</f>
        <v>1</v>
      </c>
      <c r="DK144" s="762">
        <f>IF(OR(WWWW[[#This Row],['#_Non-functional latrines]]="",WWWW[[#This Row],['#_Non-functional latrines]]=0),0,WWWW[[#This Row],['#_Non-functional latrines]]/(WWWW[[#This Row],['#_Constructed latrines_by_WASHAgencies]]+WWWW[[#This Row],['#_Non Cluster partner latrines]]))</f>
        <v>0</v>
      </c>
      <c r="DL144" s="758">
        <f>IF(500*(WWWW[[#This Row],['#_male hygiene promoters]]+WWWW[[#This Row],['#_female hygiene promoters]])&gt;WWWW[[#This Row],[Total PoP ]],WWWW[[#This Row],[Total PoP ]],500*(WWWW[[#This Row],['#_male hygiene promoters]]+WWWW[[#This Row],['#_female hygiene promoters]]))</f>
        <v>0</v>
      </c>
      <c r="DM14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N14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44" s="761">
        <f>IF(WWWW[[#This Row],['# People with access to soap]]&gt;WWWW[[#This Row],['# People with access to Sanity Pads]],WWWW[[#This Row],['# People with access to soap]],WWWW[[#This Row],['# People with access to Sanity Pads]])</f>
        <v>101</v>
      </c>
      <c r="DP144" s="761">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Q144" s="763">
        <f>IF(WWWW[[#This Row],[HRP3]]/WWWW[[#This Row],[Total PoP ]]&gt;1,1,WWWW[[#This Row],[HRP3]]/WWWW[[#This Row],[Total PoP ]])</f>
        <v>1</v>
      </c>
      <c r="DR144" s="762">
        <f>1-WWWW[[#This Row],[Hygiene Coverage%]]</f>
        <v>0</v>
      </c>
      <c r="DS144" s="760">
        <f>WWWW[[#This Row],['# people reached by regular dedicated hygiene promotion_5]]/WWWW[[#This Row],[Total PoP ]]</f>
        <v>0</v>
      </c>
      <c r="DT14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4" s="761">
        <f>WWWW[[#This Row],['#_Constructed/Existing hand washing stations]]-WWWW[[#This Row],['#_Non-Functional_hand_washing_stations]]</f>
        <v>1</v>
      </c>
      <c r="DW144" s="758">
        <f>IF(WWWW[[#This Row],['# Functional hand washing stations during reporting period]]*20&gt;WWWW[[#This Row],[Total HH]],WWWW[[#This Row],[Total HH]],WWWW[[#This Row],['# Functional hand washing stations during reporting period]]*20)</f>
        <v>15</v>
      </c>
      <c r="DX144" s="758">
        <f>IF(WWWW[[#This Row],[Is sufficient soap available for TLS? (Yes/No)]]="yes",WWWW[[#This Row],['#_Constructed/Existing hand washing stations at TLS/CFS/THF]],0)</f>
        <v>0</v>
      </c>
      <c r="DY144" s="429">
        <f>IF(WWWW[[#This Row],['# Functional hand washing stations during reporting period]]*100&gt;WWWW[[#This Row],[Total PoP ]],WWWW[[#This Row],[Total PoP ]],WWWW[[#This Row],['# Functional hand washing stations during reporting period]]*100)</f>
        <v>100</v>
      </c>
      <c r="DZ144" s="429" t="str">
        <f>IF(OR(WWWW[[#This Row],['#_students at TLS_CFS]]="",WWWW[[#This Row],['#_students at TLS_CFS]]=0),"No","Yes")</f>
        <v>No</v>
      </c>
      <c r="EA14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4" s="754">
        <f>VLOOKUP(WWWW[[#This Row],[Site Name]],SiteDB6[[Site Name]:[CCCM Management]],6,FALSE)</f>
        <v>0</v>
      </c>
      <c r="EF144" s="754" t="str">
        <f>VLOOKUP(WWWW[[#This Row],[Site Name]],SiteDB6[[Site Name]:[CCCM Focal Agency]],7,FALSE)</f>
        <v>uncovered</v>
      </c>
      <c r="EG144" s="754" t="str">
        <f>VLOOKUP(WWWW[[#This Row],[Site Name]],SiteDB6[[Site Name]:[Location Type 1]],9,FALSE)</f>
        <v>Camp</v>
      </c>
      <c r="EH144" s="754" t="str">
        <f>VLOOKUP(WWWW[[#This Row],[Site Name]],SiteDB6[[Site Name]:[Type of Accommodation]],10,FALSE)</f>
        <v>IDPs in host</v>
      </c>
      <c r="EI144" s="754" t="str">
        <f>VLOOKUP(WWWW[[#This Row],[Site Name]],SiteDB6[[Site Name]:[Ethnic or GCA/NGCA]],11,FALSE)</f>
        <v>GCA</v>
      </c>
      <c r="EJ144" s="754">
        <f>VLOOKUP(WWWW[[#This Row],[Site Name]],SiteDB6[[Site Name]:[Lat]],12,FALSE)</f>
        <v>24.404876999999999</v>
      </c>
      <c r="EK144" s="754">
        <f>VLOOKUP(WWWW[[#This Row],[Site Name]],SiteDB6[[Site Name]:[Long]],13,FALSE)</f>
        <v>97.407787999999996</v>
      </c>
      <c r="EL144" s="754" t="str">
        <f>VLOOKUP(WWWW[[#This Row],[Site Name]],SiteDB6[[Site Name]:[Pcode]],3,FALSE)</f>
        <v>MMR001CMP061</v>
      </c>
      <c r="EM144" s="759" t="str">
        <f t="shared" si="2"/>
        <v>Notcovered</v>
      </c>
      <c r="EN144" s="759"/>
      <c r="EO144" s="754">
        <f>VLOOKUP(WWWW[[#This Row],[Site Name]],SiteDB6[[Site Name]:[Pop
(Kachin/Shan-CCCM as of July 2021)]],16,FALSE)</f>
        <v>15</v>
      </c>
      <c r="EP144" s="754">
        <f>VLOOKUP(WWWW[[#This Row],[Site Name]],SiteDB6[[Site Name]:[Pop
(Kachin/Shan-CCCM as of July 2021)]],17,FALSE)</f>
        <v>101</v>
      </c>
    </row>
    <row r="145" spans="1:146" hidden="1">
      <c r="A145" s="752" t="s">
        <v>2785</v>
      </c>
      <c r="B145" s="752" t="s">
        <v>309</v>
      </c>
      <c r="C145" s="753" t="s">
        <v>309</v>
      </c>
      <c r="D145" s="753"/>
      <c r="E145" s="753" t="s">
        <v>515</v>
      </c>
      <c r="F145" s="753" t="s">
        <v>525</v>
      </c>
      <c r="G145" s="594" t="str">
        <f>VLOOKUP(WWWW[[#This Row],[Site Name]],SiteDB6[[Site Name]:[Location Type]],8,FALSE)</f>
        <v>Camp</v>
      </c>
      <c r="H145" s="753" t="s">
        <v>2716</v>
      </c>
      <c r="I145" s="449">
        <v>16</v>
      </c>
      <c r="J145" s="449">
        <v>91</v>
      </c>
      <c r="K145" s="591" t="s">
        <v>2789</v>
      </c>
      <c r="L145" s="592" t="s">
        <v>2790</v>
      </c>
      <c r="M145" s="755"/>
      <c r="N145" s="755"/>
      <c r="O145" s="755"/>
      <c r="P145" s="755"/>
      <c r="Q145" s="758"/>
      <c r="R145" s="755"/>
      <c r="S145" s="755"/>
      <c r="T145" s="449"/>
      <c r="U145" s="755"/>
      <c r="V145" s="755"/>
      <c r="W145" s="755"/>
      <c r="X145" s="755"/>
      <c r="Y145" s="755"/>
      <c r="Z145" s="755"/>
      <c r="AA145" s="755"/>
      <c r="AB145" s="755"/>
      <c r="AC145" s="755"/>
      <c r="AD145" s="755"/>
      <c r="AE145" s="755"/>
      <c r="AF145" s="755"/>
      <c r="AG145" s="755"/>
      <c r="AH145" s="755"/>
      <c r="AI145" s="755"/>
      <c r="AJ145" s="755"/>
      <c r="AK145" s="755"/>
      <c r="AL145" s="755"/>
      <c r="AM145" s="755"/>
      <c r="AN145" s="755"/>
      <c r="AO145" s="755"/>
      <c r="AP145" s="759"/>
      <c r="AQ145" s="755"/>
      <c r="AR145" s="755"/>
      <c r="AS145" s="760"/>
      <c r="AT145" s="755"/>
      <c r="AU145" s="755"/>
      <c r="AV145" s="755"/>
      <c r="AW145" s="755"/>
      <c r="AX145" s="755"/>
      <c r="AY145" s="426" t="s">
        <v>140</v>
      </c>
      <c r="AZ145" s="891" t="s">
        <v>140</v>
      </c>
      <c r="BA145" s="755"/>
      <c r="BB145" s="755"/>
      <c r="BC145" s="755"/>
      <c r="BD145" s="449"/>
      <c r="BE145" s="449"/>
      <c r="BF145" s="754"/>
      <c r="BG145" s="755">
        <v>8</v>
      </c>
      <c r="BH145" s="755"/>
      <c r="BI145" s="755"/>
      <c r="BJ145" s="755">
        <v>3</v>
      </c>
      <c r="BK145" s="755"/>
      <c r="BL145" s="755"/>
      <c r="BM145" s="755"/>
      <c r="BN145" s="755">
        <v>91</v>
      </c>
      <c r="BO145" s="755">
        <v>124</v>
      </c>
      <c r="BP145" s="754"/>
      <c r="BQ145" s="761"/>
      <c r="BR145" s="760"/>
      <c r="BS145" s="754"/>
      <c r="BT145" s="424"/>
      <c r="BU145" s="424"/>
      <c r="BV145" s="426"/>
      <c r="BW145" s="424"/>
      <c r="BX145" s="449"/>
      <c r="BY145" s="449"/>
      <c r="BZ145" s="449"/>
      <c r="CA145" s="449"/>
      <c r="CB145" s="449"/>
      <c r="CC145" s="807"/>
      <c r="CD145" s="449"/>
      <c r="CE145" s="762" t="str">
        <f>IFERROR(WWWW[[#This Row],['#_Water sources passed]]/WWWW[[#This Row],['#_Water sources tested for fecal coliform ]],"no test")</f>
        <v>no test</v>
      </c>
      <c r="CF145" s="760" t="str">
        <f>IFERROR(WWWW[[#This Row],['#_Household passed]]/WWWW[[#This Row],['#_Household water samples tested for fecal coliform]],"no test")</f>
        <v>no test</v>
      </c>
      <c r="CG145" s="761" t="str">
        <f>IF(AND(WWWW[[#This Row],[% of water sources passed]]="no test",WWWW[[#This Row],[% Household passed]]="no test"),"No Test","Tested")</f>
        <v>No Test</v>
      </c>
      <c r="CH145" s="761">
        <f>WWWW[[#This Row],['#_Constructed/existing protected hand dug well]]-WWWW[[#This Row],['#_Non-functional protected hand dug well]]</f>
        <v>0</v>
      </c>
      <c r="CI145" s="761">
        <f>(WWWW[[#This Row],['#_Constructed/Existing tube wells/boreholes/handpumps_WASH_agency]]+WWWW[[#This Row],['#_Non-Cluster partner water tube-wells/boreholes/handpumps]])-WWWW[[#This Row],['#_Non-functional tube wells/boreholes/handpumps]]</f>
        <v>0</v>
      </c>
      <c r="CJ145" s="761">
        <f>WWWW[[#This Row],['#_Constructed/Existingwater storage tank with gravity fed reticulation system]]-WWWW[[#This Row],['#_Non-functional storage tank gravity fed reticulation system]]</f>
        <v>0</v>
      </c>
      <c r="CK145" s="761">
        <f>(WWWW[[#This Row],['#_Water_Liters_supplied_by_Water boating or water trucking]]/90)/15</f>
        <v>0</v>
      </c>
      <c r="CL145" s="761">
        <f>WWWW[[#This Row],['#_Water_Liters_from_Constructed/Existing water distribution system from river or natural spring]]/90/15</f>
        <v>0</v>
      </c>
      <c r="CM145" s="425">
        <f>IF(WWWW[[#This Row],['#_of water points in TLS/CFS]]*500&gt;WWWW[[#This Row],[Total PoP ]],WWWW[[#This Row],[Total PoP ]],WWWW[[#This Row],['#_of water points in TLS/CFS]]*500)</f>
        <v>0</v>
      </c>
      <c r="CN145" s="425">
        <f>IF(WWWW[[#This Row],['#_of water points in THF]]*500&gt;WWWW[[#This Row],[Total PoP ]],WWWW[[#This Row],[Total PoP ]],WWWW[[#This Row],['#_of water points in THF]]*500)</f>
        <v>0</v>
      </c>
      <c r="CO14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5" s="760">
        <f>IF(WWWW[[#This Row],[Location Type 1]]="Village",WWWW[[#This Row],[Access to safe drinking water for Village]],WWWW[[#This Row],[Access to safe drinking water for Camp]])</f>
        <v>0</v>
      </c>
      <c r="CR145" s="758">
        <f>WWWW[[#This Row],[%Equitable and continuous access to sufficient quantity of safe drinking water]]*WWWW[[#This Row],[Total PoP ]]</f>
        <v>0</v>
      </c>
      <c r="CS145" s="760">
        <f>IF((WWWW[[#This Row],['#_Constructed/Existing protected/fenced ponds]]*250)/WWWW[[#This Row],[Total PoP ]]&gt;1,1,(WWWW[[#This Row],['#_Constructed/Existing protected/fenced ponds]]*250)/WWWW[[#This Row],[Total PoP ]])</f>
        <v>0</v>
      </c>
      <c r="CT145" s="758">
        <f>WWWW[[#This Row],[% Access to unimproved water points]]*WWWW[[#This Row],[Total PoP ]]</f>
        <v>0</v>
      </c>
      <c r="CU14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5" s="758">
        <f>WWWW[[#This Row],[HRP1]]/500</f>
        <v>0</v>
      </c>
      <c r="CX145" s="763">
        <f>1-WWWW[[#This Row],[% Equitable and continuous access to sufficient quantity of domestic water]]</f>
        <v>1</v>
      </c>
      <c r="CY145" s="758">
        <f>WWWW[[#This Row],[%equitable and continuous access to sufficient quantity of safe drinking and domestic water''s GAP]]*WWWW[[#This Row],[Total PoP ]]</f>
        <v>91</v>
      </c>
      <c r="CZ145" s="761">
        <f>IF(WWWW[[#This Row],[Total required water points]]-WWWW[[#This Row],['#Water points coverage]]&lt;0,0,WWWW[[#This Row],[Total required water points]]-WWWW[[#This Row],['#Water points coverage]])</f>
        <v>1</v>
      </c>
      <c r="DA145" s="761">
        <f>ROUND(IF(WWWW[[#This Row],[Total PoP ]]&lt;500,1,WWWW[[#This Row],[Total PoP ]]/500),0)</f>
        <v>1</v>
      </c>
      <c r="DB145" s="761">
        <f>(WWWW[[#This Row],['#_Constructed latrines_by_WASHAgencies]]+WWWW[[#This Row],['#_Non Cluster partner latrines]])-WWWW[[#This Row],['#_Non-functional latrines]]</f>
        <v>0</v>
      </c>
      <c r="DC145" s="634">
        <f>WWWW[[#This Row],[HRP2]]/WWWW[[#This Row],[Total PoP ]]</f>
        <v>0</v>
      </c>
      <c r="DD14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5" s="425">
        <f>IF(WWWW[[#This Row],['# of functional latrines in THF supported by WASH partners during the reporting period2]]="",0,WWWW[[#This Row],['# of functional latrines in THF supported by WASH partners during the reporting period2]]*50)</f>
        <v>0</v>
      </c>
      <c r="DH145" s="761">
        <f>ROUND(IF(WWWW[[#This Row],[Location Type 1]]="camp",WWWW[[#This Row],[Total PoP ]]/20,IF(WWWW[[#This Row],[Location Type 1]]="Temporary Location",WWWW[[#This Row],[Total PoP ]]/50,(WWWW[[#This Row],[Total PoP ]]/6))),0)</f>
        <v>5</v>
      </c>
      <c r="DI145" s="761">
        <f>IF(WWWW[[#This Row],[Total required Latrines]]-(WWWW[[#This Row],['#_Constructed latrines_by_WASHAgencies]]+WWWW[[#This Row],['#_Non Cluster partner latrines]])&lt;0,0,WWWW[[#This Row],[Total required Latrines]]-(WWWW[[#This Row],['#_Constructed latrines_by_WASHAgencies]]+WWWW[[#This Row],['#_Non Cluster partner latrines]]))</f>
        <v>5</v>
      </c>
      <c r="DJ145" s="763">
        <f>1-WWWW[[#This Row],[% people access to functioning Latrine]]</f>
        <v>1</v>
      </c>
      <c r="DK145" s="762">
        <f>IF(OR(WWWW[[#This Row],['#_Non-functional latrines]]="",WWWW[[#This Row],['#_Non-functional latrines]]=0),0,WWWW[[#This Row],['#_Non-functional latrines]]/(WWWW[[#This Row],['#_Constructed latrines_by_WASHAgencies]]+WWWW[[#This Row],['#_Non Cluster partner latrines]]))</f>
        <v>0</v>
      </c>
      <c r="DL145" s="758">
        <f>IF(500*(WWWW[[#This Row],['#_male hygiene promoters]]+WWWW[[#This Row],['#_female hygiene promoters]])&gt;WWWW[[#This Row],[Total PoP ]],WWWW[[#This Row],[Total PoP ]],500*(WWWW[[#This Row],['#_male hygiene promoters]]+WWWW[[#This Row],['#_female hygiene promoters]]))</f>
        <v>0</v>
      </c>
      <c r="DM14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91</v>
      </c>
      <c r="DN14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O145" s="761">
        <f>IF(WWWW[[#This Row],['# People with access to soap]]&gt;WWWW[[#This Row],['# People with access to Sanity Pads]],WWWW[[#This Row],['# People with access to soap]],WWWW[[#This Row],['# People with access to Sanity Pads]])</f>
        <v>91</v>
      </c>
      <c r="DP145" s="761">
        <f>IF(WWWW[[#This Row],['# people reached by regular dedicated hygiene promotion_5]]&gt;WWWW[[#This Row],['# People received regular supply of hygiene items_6]],WWWW[[#This Row],['# people reached by regular dedicated hygiene promotion_5]],WWWW[[#This Row],['# People received regular supply of hygiene items_6]])</f>
        <v>91</v>
      </c>
      <c r="DQ145" s="763">
        <f>IF(WWWW[[#This Row],[HRP3]]/WWWW[[#This Row],[Total PoP ]]&gt;1,1,WWWW[[#This Row],[HRP3]]/WWWW[[#This Row],[Total PoP ]])</f>
        <v>1</v>
      </c>
      <c r="DR145" s="762">
        <f>1-WWWW[[#This Row],[Hygiene Coverage%]]</f>
        <v>0</v>
      </c>
      <c r="DS145" s="760">
        <f>WWWW[[#This Row],['# people reached by regular dedicated hygiene promotion_5]]/WWWW[[#This Row],[Total PoP ]]</f>
        <v>0</v>
      </c>
      <c r="DT14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5" s="761">
        <f>WWWW[[#This Row],['#_Constructed/Existing hand washing stations]]-WWWW[[#This Row],['#_Non-Functional_hand_washing_stations]]</f>
        <v>8</v>
      </c>
      <c r="DW145" s="758">
        <f>IF(WWWW[[#This Row],['# Functional hand washing stations during reporting period]]*20&gt;WWWW[[#This Row],[Total HH]],WWWW[[#This Row],[Total HH]],WWWW[[#This Row],['# Functional hand washing stations during reporting period]]*20)</f>
        <v>16</v>
      </c>
      <c r="DX145" s="758">
        <f>IF(WWWW[[#This Row],[Is sufficient soap available for TLS? (Yes/No)]]="yes",WWWW[[#This Row],['#_Constructed/Existing hand washing stations at TLS/CFS/THF]],0)</f>
        <v>0</v>
      </c>
      <c r="DY145" s="429">
        <f>IF(WWWW[[#This Row],['# Functional hand washing stations during reporting period]]*100&gt;WWWW[[#This Row],[Total PoP ]],WWWW[[#This Row],[Total PoP ]],WWWW[[#This Row],['# Functional hand washing stations during reporting period]]*100)</f>
        <v>91</v>
      </c>
      <c r="DZ145" s="429" t="str">
        <f>IF(OR(WWWW[[#This Row],['#_students at TLS_CFS]]="",WWWW[[#This Row],['#_students at TLS_CFS]]=0),"No","Yes")</f>
        <v>No</v>
      </c>
      <c r="EA14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5" s="754">
        <f>VLOOKUP(WWWW[[#This Row],[Site Name]],SiteDB6[[Site Name]:[CCCM Management]],6,FALSE)</f>
        <v>0</v>
      </c>
      <c r="EF145" s="754">
        <f>VLOOKUP(WWWW[[#This Row],[Site Name]],SiteDB6[[Site Name]:[CCCM Focal Agency]],7,FALSE)</f>
        <v>0</v>
      </c>
      <c r="EG145" s="754" t="str">
        <f>VLOOKUP(WWWW[[#This Row],[Site Name]],SiteDB6[[Site Name]:[Location Type 1]],9,FALSE)</f>
        <v>Camp</v>
      </c>
      <c r="EH145" s="754" t="str">
        <f>VLOOKUP(WWWW[[#This Row],[Site Name]],SiteDB6[[Site Name]:[Type of Accommodation]],10,FALSE)</f>
        <v>IDPs in host</v>
      </c>
      <c r="EI145" s="754" t="str">
        <f>VLOOKUP(WWWW[[#This Row],[Site Name]],SiteDB6[[Site Name]:[Ethnic or GCA/NGCA]],11,FALSE)</f>
        <v>GCA</v>
      </c>
      <c r="EJ145" s="754">
        <f>VLOOKUP(WWWW[[#This Row],[Site Name]],SiteDB6[[Site Name]:[Lat]],12,FALSE)</f>
        <v>23.963060379028299</v>
      </c>
      <c r="EK145" s="754">
        <f>VLOOKUP(WWWW[[#This Row],[Site Name]],SiteDB6[[Site Name]:[Long]],13,FALSE)</f>
        <v>98.127189636230497</v>
      </c>
      <c r="EL145" s="754" t="str">
        <f>VLOOKUP(WWWW[[#This Row],[Site Name]],SiteDB6[[Site Name]:[Pcode]],3,FALSE)</f>
        <v>MMR015CMP076</v>
      </c>
      <c r="EM145" s="759" t="str">
        <f t="shared" si="2"/>
        <v>Notcovered</v>
      </c>
      <c r="EN145" s="759"/>
      <c r="EO145" s="754">
        <f>VLOOKUP(WWWW[[#This Row],[Site Name]],SiteDB6[[Site Name]:[Pop
(Kachin/Shan-CCCM as of July 2021)]],16,FALSE)</f>
        <v>19</v>
      </c>
      <c r="EP145" s="754">
        <f>VLOOKUP(WWWW[[#This Row],[Site Name]],SiteDB6[[Site Name]:[Pop
(Kachin/Shan-CCCM as of July 2021)]],17,FALSE)</f>
        <v>60</v>
      </c>
    </row>
    <row r="146" spans="1:146" hidden="1">
      <c r="A146" s="752" t="s">
        <v>2785</v>
      </c>
      <c r="B146" s="752" t="s">
        <v>309</v>
      </c>
      <c r="C146" s="753" t="s">
        <v>309</v>
      </c>
      <c r="D146" s="753"/>
      <c r="E146" s="753" t="s">
        <v>37</v>
      </c>
      <c r="F146" s="753" t="s">
        <v>159</v>
      </c>
      <c r="G146" s="594" t="str">
        <f>VLOOKUP(WWWW[[#This Row],[Site Name]],SiteDB6[[Site Name]:[Location Type]],8,FALSE)</f>
        <v>Camp</v>
      </c>
      <c r="H146" s="753" t="s">
        <v>2244</v>
      </c>
      <c r="I146" s="755">
        <v>26</v>
      </c>
      <c r="J146" s="755">
        <v>147</v>
      </c>
      <c r="K146" s="756" t="s">
        <v>2672</v>
      </c>
      <c r="L146" s="757" t="s">
        <v>2673</v>
      </c>
      <c r="M146" s="755"/>
      <c r="N146" s="755"/>
      <c r="O146" s="755"/>
      <c r="P146" s="755"/>
      <c r="Q146" s="758"/>
      <c r="R146" s="755"/>
      <c r="S146" s="755">
        <v>4</v>
      </c>
      <c r="T146" s="449"/>
      <c r="U146" s="755"/>
      <c r="V146" s="755"/>
      <c r="W146" s="755"/>
      <c r="X146" s="755"/>
      <c r="Y146" s="755"/>
      <c r="Z146" s="755"/>
      <c r="AA146" s="755"/>
      <c r="AB146" s="755"/>
      <c r="AC146" s="755"/>
      <c r="AD146" s="755"/>
      <c r="AE146" s="755"/>
      <c r="AF146" s="755"/>
      <c r="AG146" s="755"/>
      <c r="AH146" s="755"/>
      <c r="AI146" s="755"/>
      <c r="AJ146" s="755"/>
      <c r="AK146" s="755"/>
      <c r="AL146" s="755"/>
      <c r="AM146" s="755"/>
      <c r="AN146" s="755"/>
      <c r="AO146" s="755"/>
      <c r="AP146" s="759"/>
      <c r="AQ146" s="755"/>
      <c r="AR146" s="755"/>
      <c r="AS146" s="760"/>
      <c r="AT146" s="755"/>
      <c r="AU146" s="755"/>
      <c r="AV146" s="755"/>
      <c r="AW146" s="755"/>
      <c r="AX146" s="755"/>
      <c r="AY146" s="426" t="s">
        <v>140</v>
      </c>
      <c r="AZ146" s="891" t="s">
        <v>140</v>
      </c>
      <c r="BA146" s="755"/>
      <c r="BB146" s="755"/>
      <c r="BC146" s="755"/>
      <c r="BD146" s="449"/>
      <c r="BE146" s="449"/>
      <c r="BF146" s="754"/>
      <c r="BG146" s="755">
        <v>1</v>
      </c>
      <c r="BH146" s="755"/>
      <c r="BI146" s="755"/>
      <c r="BJ146" s="755">
        <v>1</v>
      </c>
      <c r="BK146" s="755"/>
      <c r="BL146" s="755"/>
      <c r="BM146" s="755"/>
      <c r="BN146" s="755">
        <v>6</v>
      </c>
      <c r="BO146" s="755">
        <v>5</v>
      </c>
      <c r="BP146" s="754"/>
      <c r="BQ146" s="761"/>
      <c r="BR146" s="760"/>
      <c r="BS146" s="754"/>
      <c r="BT146" s="424"/>
      <c r="BU146" s="424"/>
      <c r="BV146" s="426"/>
      <c r="BW146" s="424"/>
      <c r="BX146" s="449"/>
      <c r="BY146" s="449"/>
      <c r="BZ146" s="449"/>
      <c r="CA146" s="449"/>
      <c r="CB146" s="449"/>
      <c r="CC146" s="807"/>
      <c r="CD146" s="449"/>
      <c r="CE146" s="762" t="str">
        <f>IFERROR(WWWW[[#This Row],['#_Water sources passed]]/WWWW[[#This Row],['#_Water sources tested for fecal coliform ]],"no test")</f>
        <v>no test</v>
      </c>
      <c r="CF146" s="760" t="str">
        <f>IFERROR(WWWW[[#This Row],['#_Household passed]]/WWWW[[#This Row],['#_Household water samples tested for fecal coliform]],"no test")</f>
        <v>no test</v>
      </c>
      <c r="CG146" s="761" t="str">
        <f>IF(AND(WWWW[[#This Row],[% of water sources passed]]="no test",WWWW[[#This Row],[% Household passed]]="no test"),"No Test","Tested")</f>
        <v>No Test</v>
      </c>
      <c r="CH146" s="761">
        <f>WWWW[[#This Row],['#_Constructed/existing protected hand dug well]]-WWWW[[#This Row],['#_Non-functional protected hand dug well]]</f>
        <v>0</v>
      </c>
      <c r="CI146" s="761">
        <f>(WWWW[[#This Row],['#_Constructed/Existing tube wells/boreholes/handpumps_WASH_agency]]+WWWW[[#This Row],['#_Non-Cluster partner water tube-wells/boreholes/handpumps]])-WWWW[[#This Row],['#_Non-functional tube wells/boreholes/handpumps]]</f>
        <v>0</v>
      </c>
      <c r="CJ146" s="761">
        <f>WWWW[[#This Row],['#_Constructed/Existingwater storage tank with gravity fed reticulation system]]-WWWW[[#This Row],['#_Non-functional storage tank gravity fed reticulation system]]</f>
        <v>0</v>
      </c>
      <c r="CK146" s="761">
        <f>(WWWW[[#This Row],['#_Water_Liters_supplied_by_Water boating or water trucking]]/90)/15</f>
        <v>0</v>
      </c>
      <c r="CL146" s="761">
        <f>WWWW[[#This Row],['#_Water_Liters_from_Constructed/Existing water distribution system from river or natural spring]]/90/15</f>
        <v>0</v>
      </c>
      <c r="CM146" s="425">
        <f>IF(WWWW[[#This Row],['#_of water points in TLS/CFS]]*500&gt;WWWW[[#This Row],[Total PoP ]],WWWW[[#This Row],[Total PoP ]],WWWW[[#This Row],['#_of water points in TLS/CFS]]*500)</f>
        <v>0</v>
      </c>
      <c r="CN146" s="425">
        <f>IF(WWWW[[#This Row],['#_of water points in THF]]*500&gt;WWWW[[#This Row],[Total PoP ]],WWWW[[#This Row],[Total PoP ]],WWWW[[#This Row],['#_of water points in THF]]*500)</f>
        <v>0</v>
      </c>
      <c r="CO14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6" s="760">
        <f>IF(WWWW[[#This Row],[Location Type 1]]="Village",WWWW[[#This Row],[Access to safe drinking water for Village]],WWWW[[#This Row],[Access to safe drinking water for Camp]])</f>
        <v>0</v>
      </c>
      <c r="CR146" s="758">
        <f>WWWW[[#This Row],[%Equitable and continuous access to sufficient quantity of safe drinking water]]*WWWW[[#This Row],[Total PoP ]]</f>
        <v>0</v>
      </c>
      <c r="CS146" s="760">
        <f>IF((WWWW[[#This Row],['#_Constructed/Existing protected/fenced ponds]]*250)/WWWW[[#This Row],[Total PoP ]]&gt;1,1,(WWWW[[#This Row],['#_Constructed/Existing protected/fenced ponds]]*250)/WWWW[[#This Row],[Total PoP ]])</f>
        <v>0</v>
      </c>
      <c r="CT146" s="758">
        <f>WWWW[[#This Row],[% Access to unimproved water points]]*WWWW[[#This Row],[Total PoP ]]</f>
        <v>0</v>
      </c>
      <c r="CU14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6" s="758">
        <f>WWWW[[#This Row],[HRP1]]/500</f>
        <v>0</v>
      </c>
      <c r="CX146" s="763">
        <f>1-WWWW[[#This Row],[% Equitable and continuous access to sufficient quantity of domestic water]]</f>
        <v>1</v>
      </c>
      <c r="CY146" s="758">
        <f>WWWW[[#This Row],[%equitable and continuous access to sufficient quantity of safe drinking and domestic water''s GAP]]*WWWW[[#This Row],[Total PoP ]]</f>
        <v>147</v>
      </c>
      <c r="CZ146" s="761">
        <f>IF(WWWW[[#This Row],[Total required water points]]-WWWW[[#This Row],['#Water points coverage]]&lt;0,0,WWWW[[#This Row],[Total required water points]]-WWWW[[#This Row],['#Water points coverage]])</f>
        <v>1</v>
      </c>
      <c r="DA146" s="761">
        <f>ROUND(IF(WWWW[[#This Row],[Total PoP ]]&lt;500,1,WWWW[[#This Row],[Total PoP ]]/500),0)</f>
        <v>1</v>
      </c>
      <c r="DB146" s="761">
        <f>(WWWW[[#This Row],['#_Constructed latrines_by_WASHAgencies]]+WWWW[[#This Row],['#_Non Cluster partner latrines]])-WWWW[[#This Row],['#_Non-functional latrines]]</f>
        <v>0</v>
      </c>
      <c r="DC146" s="634">
        <f>WWWW[[#This Row],[HRP2]]/WWWW[[#This Row],[Total PoP ]]</f>
        <v>0</v>
      </c>
      <c r="DD14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6" s="425">
        <f>IF(WWWW[[#This Row],['# of functional latrines in THF supported by WASH partners during the reporting period2]]="",0,WWWW[[#This Row],['# of functional latrines in THF supported by WASH partners during the reporting period2]]*50)</f>
        <v>0</v>
      </c>
      <c r="DH146" s="761">
        <f>ROUND(IF(WWWW[[#This Row],[Location Type 1]]="camp",WWWW[[#This Row],[Total PoP ]]/20,IF(WWWW[[#This Row],[Location Type 1]]="Temporary Location",WWWW[[#This Row],[Total PoP ]]/50,(WWWW[[#This Row],[Total PoP ]]/6))),0)</f>
        <v>7</v>
      </c>
      <c r="DI146" s="761">
        <f>IF(WWWW[[#This Row],[Total required Latrines]]-(WWWW[[#This Row],['#_Constructed latrines_by_WASHAgencies]]+WWWW[[#This Row],['#_Non Cluster partner latrines]])&lt;0,0,WWWW[[#This Row],[Total required Latrines]]-(WWWW[[#This Row],['#_Constructed latrines_by_WASHAgencies]]+WWWW[[#This Row],['#_Non Cluster partner latrines]]))</f>
        <v>7</v>
      </c>
      <c r="DJ146" s="763">
        <f>1-WWWW[[#This Row],[% people access to functioning Latrine]]</f>
        <v>1</v>
      </c>
      <c r="DK146" s="762">
        <f>IF(OR(WWWW[[#This Row],['#_Non-functional latrines]]="",WWWW[[#This Row],['#_Non-functional latrines]]=0),0,WWWW[[#This Row],['#_Non-functional latrines]]/(WWWW[[#This Row],['#_Constructed latrines_by_WASHAgencies]]+WWWW[[#This Row],['#_Non Cluster partner latrines]]))</f>
        <v>0</v>
      </c>
      <c r="DL146" s="758">
        <f>IF(500*(WWWW[[#This Row],['#_male hygiene promoters]]+WWWW[[#This Row],['#_female hygiene promoters]])&gt;WWWW[[#This Row],[Total PoP ]],WWWW[[#This Row],[Total PoP ]],500*(WWWW[[#This Row],['#_male hygiene promoters]]+WWWW[[#This Row],['#_female hygiene promoters]]))</f>
        <v>0</v>
      </c>
      <c r="DM14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4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46" s="761">
        <f>IF(WWWW[[#This Row],['# People with access to soap]]&gt;WWWW[[#This Row],['# People with access to Sanity Pads]],WWWW[[#This Row],['# People with access to soap]],WWWW[[#This Row],['# People with access to Sanity Pads]])</f>
        <v>30</v>
      </c>
      <c r="DP146"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46" s="763">
        <f>IF(WWWW[[#This Row],[HRP3]]/WWWW[[#This Row],[Total PoP ]]&gt;1,1,WWWW[[#This Row],[HRP3]]/WWWW[[#This Row],[Total PoP ]])</f>
        <v>0.20408163265306123</v>
      </c>
      <c r="DR146" s="762">
        <f>1-WWWW[[#This Row],[Hygiene Coverage%]]</f>
        <v>0.79591836734693877</v>
      </c>
      <c r="DS146" s="760">
        <f>WWWW[[#This Row],['# people reached by regular dedicated hygiene promotion_5]]/WWWW[[#This Row],[Total PoP ]]</f>
        <v>0</v>
      </c>
      <c r="DT14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0.92307692307692313</v>
      </c>
      <c r="DU14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0.19230769230769232</v>
      </c>
      <c r="DV146" s="761">
        <f>WWWW[[#This Row],['#_Constructed/Existing hand washing stations]]-WWWW[[#This Row],['#_Non-Functional_hand_washing_stations]]</f>
        <v>1</v>
      </c>
      <c r="DW146" s="758">
        <f>IF(WWWW[[#This Row],['# Functional hand washing stations during reporting period]]*20&gt;WWWW[[#This Row],[Total HH]],WWWW[[#This Row],[Total HH]],WWWW[[#This Row],['# Functional hand washing stations during reporting period]]*20)</f>
        <v>20</v>
      </c>
      <c r="DX146" s="758">
        <f>IF(WWWW[[#This Row],[Is sufficient soap available for TLS? (Yes/No)]]="yes",WWWW[[#This Row],['#_Constructed/Existing hand washing stations at TLS/CFS/THF]],0)</f>
        <v>0</v>
      </c>
      <c r="DY146" s="429">
        <f>IF(WWWW[[#This Row],['# Functional hand washing stations during reporting period]]*100&gt;WWWW[[#This Row],[Total PoP ]],WWWW[[#This Row],[Total PoP ]],WWWW[[#This Row],['# Functional hand washing stations during reporting period]]*100)</f>
        <v>100</v>
      </c>
      <c r="DZ146" s="429" t="str">
        <f>IF(OR(WWWW[[#This Row],['#_students at TLS_CFS]]="",WWWW[[#This Row],['#_students at TLS_CFS]]=0),"No","Yes")</f>
        <v>No</v>
      </c>
      <c r="EA14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6" s="754">
        <f>VLOOKUP(WWWW[[#This Row],[Site Name]],SiteDB6[[Site Name]:[CCCM Management]],6,FALSE)</f>
        <v>0</v>
      </c>
      <c r="EF146" s="754" t="str">
        <f>VLOOKUP(WWWW[[#This Row],[Site Name]],SiteDB6[[Site Name]:[CCCM Focal Agency]],7,FALSE)</f>
        <v>uncovered</v>
      </c>
      <c r="EG146" s="754" t="str">
        <f>VLOOKUP(WWWW[[#This Row],[Site Name]],SiteDB6[[Site Name]:[Location Type 1]],9,FALSE)</f>
        <v>Camp</v>
      </c>
      <c r="EH146" s="754" t="str">
        <f>VLOOKUP(WWWW[[#This Row],[Site Name]],SiteDB6[[Site Name]:[Type of Accommodation]],10,FALSE)</f>
        <v>Camp</v>
      </c>
      <c r="EI146" s="754" t="str">
        <f>VLOOKUP(WWWW[[#This Row],[Site Name]],SiteDB6[[Site Name]:[Ethnic or GCA/NGCA]],11,FALSE)</f>
        <v>GCA</v>
      </c>
      <c r="EJ146" s="754">
        <f>VLOOKUP(WWWW[[#This Row],[Site Name]],SiteDB6[[Site Name]:[Lat]],12,FALSE)</f>
        <v>25.387892000000001</v>
      </c>
      <c r="EK146" s="754">
        <f>VLOOKUP(WWWW[[#This Row],[Site Name]],SiteDB6[[Site Name]:[Long]],13,FALSE)</f>
        <v>97.325181999999998</v>
      </c>
      <c r="EL146" s="754" t="str">
        <f>VLOOKUP(WWWW[[#This Row],[Site Name]],SiteDB6[[Site Name]:[Pcode]],3,FALSE)</f>
        <v>MMR001CMP276</v>
      </c>
      <c r="EM146" s="759" t="str">
        <f t="shared" si="2"/>
        <v>Notcovered</v>
      </c>
      <c r="EN146" s="759"/>
      <c r="EO146" s="754">
        <f>VLOOKUP(WWWW[[#This Row],[Site Name]],SiteDB6[[Site Name]:[Pop
(Kachin/Shan-CCCM as of July 2021)]],16,FALSE)</f>
        <v>26</v>
      </c>
      <c r="EP146" s="754">
        <f>VLOOKUP(WWWW[[#This Row],[Site Name]],SiteDB6[[Site Name]:[Pop
(Kachin/Shan-CCCM as of July 2021)]],17,FALSE)</f>
        <v>138</v>
      </c>
    </row>
    <row r="147" spans="1:146" hidden="1">
      <c r="A147" s="752" t="s">
        <v>2785</v>
      </c>
      <c r="B147" s="752" t="s">
        <v>309</v>
      </c>
      <c r="C147" s="753" t="s">
        <v>309</v>
      </c>
      <c r="D147" s="753"/>
      <c r="E147" s="753" t="s">
        <v>37</v>
      </c>
      <c r="F147" s="753" t="s">
        <v>184</v>
      </c>
      <c r="G147" s="594" t="str">
        <f>VLOOKUP(WWWW[[#This Row],[Site Name]],SiteDB6[[Site Name]:[Location Type]],8,FALSE)</f>
        <v>Camp</v>
      </c>
      <c r="H147" s="753" t="s">
        <v>2115</v>
      </c>
      <c r="I147" s="755">
        <v>31</v>
      </c>
      <c r="J147" s="755">
        <v>171</v>
      </c>
      <c r="K147" s="756" t="s">
        <v>2672</v>
      </c>
      <c r="L147" s="757" t="s">
        <v>2673</v>
      </c>
      <c r="M147" s="755"/>
      <c r="N147" s="755"/>
      <c r="O147" s="755"/>
      <c r="P147" s="755"/>
      <c r="Q147" s="758"/>
      <c r="R147" s="755"/>
      <c r="S147" s="755">
        <v>4</v>
      </c>
      <c r="T147" s="449"/>
      <c r="U147" s="755"/>
      <c r="V147" s="755"/>
      <c r="W147" s="755"/>
      <c r="X147" s="755"/>
      <c r="Y147" s="755"/>
      <c r="Z147" s="755"/>
      <c r="AA147" s="755"/>
      <c r="AB147" s="755"/>
      <c r="AC147" s="755"/>
      <c r="AD147" s="755"/>
      <c r="AE147" s="755"/>
      <c r="AF147" s="755"/>
      <c r="AG147" s="755"/>
      <c r="AH147" s="755"/>
      <c r="AI147" s="755"/>
      <c r="AJ147" s="755"/>
      <c r="AK147" s="755"/>
      <c r="AL147" s="755"/>
      <c r="AM147" s="755"/>
      <c r="AN147" s="755"/>
      <c r="AO147" s="755"/>
      <c r="AP147" s="759"/>
      <c r="AQ147" s="755"/>
      <c r="AR147" s="755"/>
      <c r="AS147" s="760"/>
      <c r="AT147" s="755"/>
      <c r="AU147" s="755"/>
      <c r="AV147" s="755"/>
      <c r="AW147" s="755"/>
      <c r="AX147" s="755"/>
      <c r="AY147" s="426" t="s">
        <v>140</v>
      </c>
      <c r="AZ147" s="891" t="s">
        <v>140</v>
      </c>
      <c r="BA147" s="755"/>
      <c r="BB147" s="755"/>
      <c r="BC147" s="755"/>
      <c r="BD147" s="449"/>
      <c r="BE147" s="449"/>
      <c r="BF147" s="754"/>
      <c r="BG147" s="755">
        <v>1</v>
      </c>
      <c r="BH147" s="755"/>
      <c r="BI147" s="755"/>
      <c r="BJ147" s="755">
        <v>1</v>
      </c>
      <c r="BK147" s="755"/>
      <c r="BL147" s="755"/>
      <c r="BM147" s="755"/>
      <c r="BN147" s="755">
        <v>6</v>
      </c>
      <c r="BO147" s="755">
        <v>5</v>
      </c>
      <c r="BP147" s="754"/>
      <c r="BQ147" s="761"/>
      <c r="BR147" s="760"/>
      <c r="BS147" s="754"/>
      <c r="BT147" s="424"/>
      <c r="BU147" s="424"/>
      <c r="BV147" s="426"/>
      <c r="BW147" s="424"/>
      <c r="BX147" s="449"/>
      <c r="BY147" s="449"/>
      <c r="BZ147" s="449"/>
      <c r="CA147" s="449"/>
      <c r="CB147" s="449"/>
      <c r="CC147" s="807"/>
      <c r="CD147" s="449"/>
      <c r="CE147" s="762" t="str">
        <f>IFERROR(WWWW[[#This Row],['#_Water sources passed]]/WWWW[[#This Row],['#_Water sources tested for fecal coliform ]],"no test")</f>
        <v>no test</v>
      </c>
      <c r="CF147" s="760" t="str">
        <f>IFERROR(WWWW[[#This Row],['#_Household passed]]/WWWW[[#This Row],['#_Household water samples tested for fecal coliform]],"no test")</f>
        <v>no test</v>
      </c>
      <c r="CG147" s="761" t="str">
        <f>IF(AND(WWWW[[#This Row],[% of water sources passed]]="no test",WWWW[[#This Row],[% Household passed]]="no test"),"No Test","Tested")</f>
        <v>No Test</v>
      </c>
      <c r="CH147" s="761">
        <f>WWWW[[#This Row],['#_Constructed/existing protected hand dug well]]-WWWW[[#This Row],['#_Non-functional protected hand dug well]]</f>
        <v>0</v>
      </c>
      <c r="CI147" s="761">
        <f>(WWWW[[#This Row],['#_Constructed/Existing tube wells/boreholes/handpumps_WASH_agency]]+WWWW[[#This Row],['#_Non-Cluster partner water tube-wells/boreholes/handpumps]])-WWWW[[#This Row],['#_Non-functional tube wells/boreholes/handpumps]]</f>
        <v>0</v>
      </c>
      <c r="CJ147" s="761">
        <f>WWWW[[#This Row],['#_Constructed/Existingwater storage tank with gravity fed reticulation system]]-WWWW[[#This Row],['#_Non-functional storage tank gravity fed reticulation system]]</f>
        <v>0</v>
      </c>
      <c r="CK147" s="761">
        <f>(WWWW[[#This Row],['#_Water_Liters_supplied_by_Water boating or water trucking]]/90)/15</f>
        <v>0</v>
      </c>
      <c r="CL147" s="761">
        <f>WWWW[[#This Row],['#_Water_Liters_from_Constructed/Existing water distribution system from river or natural spring]]/90/15</f>
        <v>0</v>
      </c>
      <c r="CM147" s="425">
        <f>IF(WWWW[[#This Row],['#_of water points in TLS/CFS]]*500&gt;WWWW[[#This Row],[Total PoP ]],WWWW[[#This Row],[Total PoP ]],WWWW[[#This Row],['#_of water points in TLS/CFS]]*500)</f>
        <v>0</v>
      </c>
      <c r="CN147" s="425">
        <f>IF(WWWW[[#This Row],['#_of water points in THF]]*500&gt;WWWW[[#This Row],[Total PoP ]],WWWW[[#This Row],[Total PoP ]],WWWW[[#This Row],['#_of water points in THF]]*500)</f>
        <v>0</v>
      </c>
      <c r="CO14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7" s="760">
        <f>IF(WWWW[[#This Row],[Location Type 1]]="Village",WWWW[[#This Row],[Access to safe drinking water for Village]],WWWW[[#This Row],[Access to safe drinking water for Camp]])</f>
        <v>0</v>
      </c>
      <c r="CR147" s="758">
        <f>WWWW[[#This Row],[%Equitable and continuous access to sufficient quantity of safe drinking water]]*WWWW[[#This Row],[Total PoP ]]</f>
        <v>0</v>
      </c>
      <c r="CS147" s="760">
        <f>IF((WWWW[[#This Row],['#_Constructed/Existing protected/fenced ponds]]*250)/WWWW[[#This Row],[Total PoP ]]&gt;1,1,(WWWW[[#This Row],['#_Constructed/Existing protected/fenced ponds]]*250)/WWWW[[#This Row],[Total PoP ]])</f>
        <v>0</v>
      </c>
      <c r="CT147" s="758">
        <f>WWWW[[#This Row],[% Access to unimproved water points]]*WWWW[[#This Row],[Total PoP ]]</f>
        <v>0</v>
      </c>
      <c r="CU14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7" s="758">
        <f>WWWW[[#This Row],[HRP1]]/500</f>
        <v>0</v>
      </c>
      <c r="CX147" s="763">
        <f>1-WWWW[[#This Row],[% Equitable and continuous access to sufficient quantity of domestic water]]</f>
        <v>1</v>
      </c>
      <c r="CY147" s="758">
        <f>WWWW[[#This Row],[%equitable and continuous access to sufficient quantity of safe drinking and domestic water''s GAP]]*WWWW[[#This Row],[Total PoP ]]</f>
        <v>171</v>
      </c>
      <c r="CZ147" s="761">
        <f>IF(WWWW[[#This Row],[Total required water points]]-WWWW[[#This Row],['#Water points coverage]]&lt;0,0,WWWW[[#This Row],[Total required water points]]-WWWW[[#This Row],['#Water points coverage]])</f>
        <v>1</v>
      </c>
      <c r="DA147" s="761">
        <f>ROUND(IF(WWWW[[#This Row],[Total PoP ]]&lt;500,1,WWWW[[#This Row],[Total PoP ]]/500),0)</f>
        <v>1</v>
      </c>
      <c r="DB147" s="761">
        <f>(WWWW[[#This Row],['#_Constructed latrines_by_WASHAgencies]]+WWWW[[#This Row],['#_Non Cluster partner latrines]])-WWWW[[#This Row],['#_Non-functional latrines]]</f>
        <v>0</v>
      </c>
      <c r="DC147" s="634">
        <f>WWWW[[#This Row],[HRP2]]/WWWW[[#This Row],[Total PoP ]]</f>
        <v>0</v>
      </c>
      <c r="DD14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7" s="425">
        <f>IF(WWWW[[#This Row],['# of functional latrines in THF supported by WASH partners during the reporting period2]]="",0,WWWW[[#This Row],['# of functional latrines in THF supported by WASH partners during the reporting period2]]*50)</f>
        <v>0</v>
      </c>
      <c r="DH147" s="761">
        <f>ROUND(IF(WWWW[[#This Row],[Location Type 1]]="camp",WWWW[[#This Row],[Total PoP ]]/20,IF(WWWW[[#This Row],[Location Type 1]]="Temporary Location",WWWW[[#This Row],[Total PoP ]]/50,(WWWW[[#This Row],[Total PoP ]]/6))),0)</f>
        <v>9</v>
      </c>
      <c r="DI147" s="761">
        <f>IF(WWWW[[#This Row],[Total required Latrines]]-(WWWW[[#This Row],['#_Constructed latrines_by_WASHAgencies]]+WWWW[[#This Row],['#_Non Cluster partner latrines]])&lt;0,0,WWWW[[#This Row],[Total required Latrines]]-(WWWW[[#This Row],['#_Constructed latrines_by_WASHAgencies]]+WWWW[[#This Row],['#_Non Cluster partner latrines]]))</f>
        <v>9</v>
      </c>
      <c r="DJ147" s="763">
        <f>1-WWWW[[#This Row],[% people access to functioning Latrine]]</f>
        <v>1</v>
      </c>
      <c r="DK147" s="762">
        <f>IF(OR(WWWW[[#This Row],['#_Non-functional latrines]]="",WWWW[[#This Row],['#_Non-functional latrines]]=0),0,WWWW[[#This Row],['#_Non-functional latrines]]/(WWWW[[#This Row],['#_Constructed latrines_by_WASHAgencies]]+WWWW[[#This Row],['#_Non Cluster partner latrines]]))</f>
        <v>0</v>
      </c>
      <c r="DL147" s="758">
        <f>IF(500*(WWWW[[#This Row],['#_male hygiene promoters]]+WWWW[[#This Row],['#_female hygiene promoters]])&gt;WWWW[[#This Row],[Total PoP ]],WWWW[[#This Row],[Total PoP ]],500*(WWWW[[#This Row],['#_male hygiene promoters]]+WWWW[[#This Row],['#_female hygiene promoters]]))</f>
        <v>0</v>
      </c>
      <c r="DM14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4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47" s="761">
        <f>IF(WWWW[[#This Row],['# People with access to soap]]&gt;WWWW[[#This Row],['# People with access to Sanity Pads]],WWWW[[#This Row],['# People with access to soap]],WWWW[[#This Row],['# People with access to Sanity Pads]])</f>
        <v>30</v>
      </c>
      <c r="DP147" s="761">
        <f>IF(WWWW[[#This Row],['# people reached by regular dedicated hygiene promotion_5]]&gt;WWWW[[#This Row],['# People received regular supply of hygiene items_6]],WWWW[[#This Row],['# people reached by regular dedicated hygiene promotion_5]],WWWW[[#This Row],['# People received regular supply of hygiene items_6]])</f>
        <v>30</v>
      </c>
      <c r="DQ147" s="763">
        <f>IF(WWWW[[#This Row],[HRP3]]/WWWW[[#This Row],[Total PoP ]]&gt;1,1,WWWW[[#This Row],[HRP3]]/WWWW[[#This Row],[Total PoP ]])</f>
        <v>0.17543859649122806</v>
      </c>
      <c r="DR147" s="762">
        <f>1-WWWW[[#This Row],[Hygiene Coverage%]]</f>
        <v>0.82456140350877194</v>
      </c>
      <c r="DS147" s="760">
        <f>WWWW[[#This Row],['# people reached by regular dedicated hygiene promotion_5]]/WWWW[[#This Row],[Total PoP ]]</f>
        <v>0</v>
      </c>
      <c r="DT14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0.77419354838709675</v>
      </c>
      <c r="DU14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0.16129032258064516</v>
      </c>
      <c r="DV147" s="761">
        <f>WWWW[[#This Row],['#_Constructed/Existing hand washing stations]]-WWWW[[#This Row],['#_Non-Functional_hand_washing_stations]]</f>
        <v>1</v>
      </c>
      <c r="DW147" s="758">
        <f>IF(WWWW[[#This Row],['# Functional hand washing stations during reporting period]]*20&gt;WWWW[[#This Row],[Total HH]],WWWW[[#This Row],[Total HH]],WWWW[[#This Row],['# Functional hand washing stations during reporting period]]*20)</f>
        <v>20</v>
      </c>
      <c r="DX147" s="758">
        <f>IF(WWWW[[#This Row],[Is sufficient soap available for TLS? (Yes/No)]]="yes",WWWW[[#This Row],['#_Constructed/Existing hand washing stations at TLS/CFS/THF]],0)</f>
        <v>0</v>
      </c>
      <c r="DY147" s="429">
        <f>IF(WWWW[[#This Row],['# Functional hand washing stations during reporting period]]*100&gt;WWWW[[#This Row],[Total PoP ]],WWWW[[#This Row],[Total PoP ]],WWWW[[#This Row],['# Functional hand washing stations during reporting period]]*100)</f>
        <v>100</v>
      </c>
      <c r="DZ147" s="429" t="str">
        <f>IF(OR(WWWW[[#This Row],['#_students at TLS_CFS]]="",WWWW[[#This Row],['#_students at TLS_CFS]]=0),"No","Yes")</f>
        <v>No</v>
      </c>
      <c r="EA14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7" s="754">
        <f>VLOOKUP(WWWW[[#This Row],[Site Name]],SiteDB6[[Site Name]:[CCCM Management]],6,FALSE)</f>
        <v>0</v>
      </c>
      <c r="EF147" s="754" t="str">
        <f>VLOOKUP(WWWW[[#This Row],[Site Name]],SiteDB6[[Site Name]:[CCCM Focal Agency]],7,FALSE)</f>
        <v>uncovered</v>
      </c>
      <c r="EG147" s="754" t="str">
        <f>VLOOKUP(WWWW[[#This Row],[Site Name]],SiteDB6[[Site Name]:[Location Type 1]],9,FALSE)</f>
        <v>Camp</v>
      </c>
      <c r="EH147" s="754" t="str">
        <f>VLOOKUP(WWWW[[#This Row],[Site Name]],SiteDB6[[Site Name]:[Type of Accommodation]],10,FALSE)</f>
        <v>Camp like setting</v>
      </c>
      <c r="EI147" s="754" t="str">
        <f>VLOOKUP(WWWW[[#This Row],[Site Name]],SiteDB6[[Site Name]:[Ethnic or GCA/NGCA]],11,FALSE)</f>
        <v>GCA</v>
      </c>
      <c r="EJ147" s="754">
        <f>VLOOKUP(WWWW[[#This Row],[Site Name]],SiteDB6[[Site Name]:[Lat]],12,FALSE)</f>
        <v>26.299828999999999</v>
      </c>
      <c r="EK147" s="754">
        <f>VLOOKUP(WWWW[[#This Row],[Site Name]],SiteDB6[[Site Name]:[Long]],13,FALSE)</f>
        <v>97.487258999999995</v>
      </c>
      <c r="EL147" s="754" t="str">
        <f>VLOOKUP(WWWW[[#This Row],[Site Name]],SiteDB6[[Site Name]:[Pcode]],3,FALSE)</f>
        <v>MMR001CMP272</v>
      </c>
      <c r="EM147" s="759" t="str">
        <f t="shared" si="2"/>
        <v>Notcovered</v>
      </c>
      <c r="EN147" s="759"/>
      <c r="EO147" s="754">
        <f>VLOOKUP(WWWW[[#This Row],[Site Name]],SiteDB6[[Site Name]:[Pop
(Kachin/Shan-CCCM as of July 2021)]],16,FALSE)</f>
        <v>31</v>
      </c>
      <c r="EP147" s="754">
        <f>VLOOKUP(WWWW[[#This Row],[Site Name]],SiteDB6[[Site Name]:[Pop
(Kachin/Shan-CCCM as of July 2021)]],17,FALSE)</f>
        <v>171</v>
      </c>
    </row>
    <row r="148" spans="1:146" hidden="1">
      <c r="A148" s="752" t="s">
        <v>2785</v>
      </c>
      <c r="B148" s="752" t="s">
        <v>309</v>
      </c>
      <c r="C148" s="753" t="s">
        <v>309</v>
      </c>
      <c r="D148" s="816"/>
      <c r="E148" s="816" t="s">
        <v>37</v>
      </c>
      <c r="F148" s="816" t="s">
        <v>142</v>
      </c>
      <c r="G148" s="594" t="str">
        <f>VLOOKUP(WWWW[[#This Row],[Site Name]],SiteDB6[[Site Name]:[Location Type]],8,FALSE)</f>
        <v>Camp</v>
      </c>
      <c r="H148" s="816" t="s">
        <v>2803</v>
      </c>
      <c r="I148" s="818">
        <v>48</v>
      </c>
      <c r="J148" s="818">
        <v>240</v>
      </c>
      <c r="K148" s="819"/>
      <c r="L148" s="820"/>
      <c r="M148" s="818"/>
      <c r="N148" s="818"/>
      <c r="O148" s="818"/>
      <c r="P148" s="818"/>
      <c r="Q148" s="821"/>
      <c r="R148" s="818"/>
      <c r="S148" s="818"/>
      <c r="T148" s="449"/>
      <c r="U148" s="818"/>
      <c r="V148" s="818"/>
      <c r="W148" s="818"/>
      <c r="X148" s="818"/>
      <c r="Y148" s="818"/>
      <c r="Z148" s="818"/>
      <c r="AA148" s="818"/>
      <c r="AB148" s="818"/>
      <c r="AC148" s="818"/>
      <c r="AD148" s="818"/>
      <c r="AE148" s="818"/>
      <c r="AF148" s="818"/>
      <c r="AG148" s="818"/>
      <c r="AH148" s="818"/>
      <c r="AI148" s="818"/>
      <c r="AJ148" s="818"/>
      <c r="AK148" s="818"/>
      <c r="AL148" s="818"/>
      <c r="AM148" s="818"/>
      <c r="AN148" s="818"/>
      <c r="AO148" s="818"/>
      <c r="AP148" s="822"/>
      <c r="AQ148" s="818"/>
      <c r="AR148" s="818"/>
      <c r="AS148" s="823"/>
      <c r="AT148" s="818"/>
      <c r="AU148" s="818"/>
      <c r="AV148" s="818"/>
      <c r="AW148" s="818"/>
      <c r="AX148" s="818"/>
      <c r="AY148" s="426" t="s">
        <v>140</v>
      </c>
      <c r="AZ148" s="891" t="s">
        <v>140</v>
      </c>
      <c r="BA148" s="818"/>
      <c r="BB148" s="818"/>
      <c r="BC148" s="818"/>
      <c r="BD148" s="449"/>
      <c r="BE148" s="449"/>
      <c r="BF148" s="817"/>
      <c r="BG148" s="818">
        <v>7</v>
      </c>
      <c r="BH148" s="818"/>
      <c r="BI148" s="818"/>
      <c r="BJ148" s="818">
        <v>4</v>
      </c>
      <c r="BK148" s="818"/>
      <c r="BL148" s="818"/>
      <c r="BM148" s="818"/>
      <c r="BN148" s="818">
        <v>124</v>
      </c>
      <c r="BO148" s="818">
        <v>198</v>
      </c>
      <c r="BP148" s="817"/>
      <c r="BQ148" s="824"/>
      <c r="BR148" s="823"/>
      <c r="BS148" s="817"/>
      <c r="BT148" s="424"/>
      <c r="BU148" s="424"/>
      <c r="BV148" s="426"/>
      <c r="BW148" s="424"/>
      <c r="BX148" s="449"/>
      <c r="BY148" s="449"/>
      <c r="BZ148" s="449"/>
      <c r="CA148" s="449"/>
      <c r="CB148" s="449"/>
      <c r="CC148" s="807"/>
      <c r="CD148" s="449"/>
      <c r="CE148" s="825" t="str">
        <f>IFERROR(WWWW[[#This Row],['#_Water sources passed]]/WWWW[[#This Row],['#_Water sources tested for fecal coliform ]],"no test")</f>
        <v>no test</v>
      </c>
      <c r="CF148" s="823" t="str">
        <f>IFERROR(WWWW[[#This Row],['#_Household passed]]/WWWW[[#This Row],['#_Household water samples tested for fecal coliform]],"no test")</f>
        <v>no test</v>
      </c>
      <c r="CG148" s="824" t="str">
        <f>IF(AND(WWWW[[#This Row],[% of water sources passed]]="no test",WWWW[[#This Row],[% Household passed]]="no test"),"No Test","Tested")</f>
        <v>No Test</v>
      </c>
      <c r="CH148" s="824">
        <f>WWWW[[#This Row],['#_Constructed/existing protected hand dug well]]-WWWW[[#This Row],['#_Non-functional protected hand dug well]]</f>
        <v>0</v>
      </c>
      <c r="CI148" s="824">
        <f>(WWWW[[#This Row],['#_Constructed/Existing tube wells/boreholes/handpumps_WASH_agency]]+WWWW[[#This Row],['#_Non-Cluster partner water tube-wells/boreholes/handpumps]])-WWWW[[#This Row],['#_Non-functional tube wells/boreholes/handpumps]]</f>
        <v>0</v>
      </c>
      <c r="CJ148" s="824">
        <f>WWWW[[#This Row],['#_Constructed/Existingwater storage tank with gravity fed reticulation system]]-WWWW[[#This Row],['#_Non-functional storage tank gravity fed reticulation system]]</f>
        <v>0</v>
      </c>
      <c r="CK148" s="824">
        <f>(WWWW[[#This Row],['#_Water_Liters_supplied_by_Water boating or water trucking]]/90)/15</f>
        <v>0</v>
      </c>
      <c r="CL148" s="824">
        <f>WWWW[[#This Row],['#_Water_Liters_from_Constructed/Existing water distribution system from river or natural spring]]/90/15</f>
        <v>0</v>
      </c>
      <c r="CM148" s="425">
        <f>IF(WWWW[[#This Row],['#_of water points in TLS/CFS]]*500&gt;WWWW[[#This Row],[Total PoP ]],WWWW[[#This Row],[Total PoP ]],WWWW[[#This Row],['#_of water points in TLS/CFS]]*500)</f>
        <v>0</v>
      </c>
      <c r="CN148" s="425">
        <f>IF(WWWW[[#This Row],['#_of water points in THF]]*500&gt;WWWW[[#This Row],[Total PoP ]],WWWW[[#This Row],[Total PoP ]],WWWW[[#This Row],['#_of water points in THF]]*500)</f>
        <v>0</v>
      </c>
      <c r="CO148"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8"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8" s="823">
        <f>IF(WWWW[[#This Row],[Location Type 1]]="Village",WWWW[[#This Row],[Access to safe drinking water for Village]],WWWW[[#This Row],[Access to safe drinking water for Camp]])</f>
        <v>0</v>
      </c>
      <c r="CR148" s="821">
        <f>WWWW[[#This Row],[%Equitable and continuous access to sufficient quantity of safe drinking water]]*WWWW[[#This Row],[Total PoP ]]</f>
        <v>0</v>
      </c>
      <c r="CS148" s="823">
        <f>IF((WWWW[[#This Row],['#_Constructed/Existing protected/fenced ponds]]*250)/WWWW[[#This Row],[Total PoP ]]&gt;1,1,(WWWW[[#This Row],['#_Constructed/Existing protected/fenced ponds]]*250)/WWWW[[#This Row],[Total PoP ]])</f>
        <v>0</v>
      </c>
      <c r="CT148" s="821">
        <f>WWWW[[#This Row],[% Access to unimproved water points]]*WWWW[[#This Row],[Total PoP ]]</f>
        <v>0</v>
      </c>
      <c r="CU148"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8"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8" s="821">
        <f>WWWW[[#This Row],[HRP1]]/500</f>
        <v>0</v>
      </c>
      <c r="CX148" s="826">
        <f>1-WWWW[[#This Row],[% Equitable and continuous access to sufficient quantity of domestic water]]</f>
        <v>1</v>
      </c>
      <c r="CY148" s="821">
        <f>WWWW[[#This Row],[%equitable and continuous access to sufficient quantity of safe drinking and domestic water''s GAP]]*WWWW[[#This Row],[Total PoP ]]</f>
        <v>240</v>
      </c>
      <c r="CZ148" s="824">
        <f>IF(WWWW[[#This Row],[Total required water points]]-WWWW[[#This Row],['#Water points coverage]]&lt;0,0,WWWW[[#This Row],[Total required water points]]-WWWW[[#This Row],['#Water points coverage]])</f>
        <v>1</v>
      </c>
      <c r="DA148" s="824">
        <f>ROUND(IF(WWWW[[#This Row],[Total PoP ]]&lt;500,1,WWWW[[#This Row],[Total PoP ]]/500),0)</f>
        <v>1</v>
      </c>
      <c r="DB148" s="824">
        <f>(WWWW[[#This Row],['#_Constructed latrines_by_WASHAgencies]]+WWWW[[#This Row],['#_Non Cluster partner latrines]])-WWWW[[#This Row],['#_Non-functional latrines]]</f>
        <v>0</v>
      </c>
      <c r="DC148" s="634">
        <f>WWWW[[#This Row],[HRP2]]/WWWW[[#This Row],[Total PoP ]]</f>
        <v>0</v>
      </c>
      <c r="DD148"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8"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8"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8" s="425">
        <f>IF(WWWW[[#This Row],['# of functional latrines in THF supported by WASH partners during the reporting period2]]="",0,WWWW[[#This Row],['# of functional latrines in THF supported by WASH partners during the reporting period2]]*50)</f>
        <v>0</v>
      </c>
      <c r="DH148" s="824">
        <f>ROUND(IF(WWWW[[#This Row],[Location Type 1]]="camp",WWWW[[#This Row],[Total PoP ]]/20,IF(WWWW[[#This Row],[Location Type 1]]="Temporary Location",WWWW[[#This Row],[Total PoP ]]/50,(WWWW[[#This Row],[Total PoP ]]/6))),0)</f>
        <v>12</v>
      </c>
      <c r="DI148" s="824">
        <f>IF(WWWW[[#This Row],[Total required Latrines]]-(WWWW[[#This Row],['#_Constructed latrines_by_WASHAgencies]]+WWWW[[#This Row],['#_Non Cluster partner latrines]])&lt;0,0,WWWW[[#This Row],[Total required Latrines]]-(WWWW[[#This Row],['#_Constructed latrines_by_WASHAgencies]]+WWWW[[#This Row],['#_Non Cluster partner latrines]]))</f>
        <v>12</v>
      </c>
      <c r="DJ148" s="826">
        <f>1-WWWW[[#This Row],[% people access to functioning Latrine]]</f>
        <v>1</v>
      </c>
      <c r="DK148" s="825">
        <f>IF(OR(WWWW[[#This Row],['#_Non-functional latrines]]="",WWWW[[#This Row],['#_Non-functional latrines]]=0),0,WWWW[[#This Row],['#_Non-functional latrines]]/(WWWW[[#This Row],['#_Constructed latrines_by_WASHAgencies]]+WWWW[[#This Row],['#_Non Cluster partner latrines]]))</f>
        <v>0</v>
      </c>
      <c r="DL148" s="821">
        <f>IF(500*(WWWW[[#This Row],['#_male hygiene promoters]]+WWWW[[#This Row],['#_female hygiene promoters]])&gt;WWWW[[#This Row],[Total PoP ]],WWWW[[#This Row],[Total PoP ]],500*(WWWW[[#This Row],['#_male hygiene promoters]]+WWWW[[#This Row],['#_female hygiene promoters]]))</f>
        <v>0</v>
      </c>
      <c r="DM148"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240</v>
      </c>
      <c r="DN148"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48" s="824">
        <f>IF(WWWW[[#This Row],['# People with access to soap]]&gt;WWWW[[#This Row],['# People with access to Sanity Pads]],WWWW[[#This Row],['# People with access to soap]],WWWW[[#This Row],['# People with access to Sanity Pads]])</f>
        <v>240</v>
      </c>
      <c r="DP148" s="824">
        <f>IF(WWWW[[#This Row],['# people reached by regular dedicated hygiene promotion_5]]&gt;WWWW[[#This Row],['# People received regular supply of hygiene items_6]],WWWW[[#This Row],['# people reached by regular dedicated hygiene promotion_5]],WWWW[[#This Row],['# People received regular supply of hygiene items_6]])</f>
        <v>240</v>
      </c>
      <c r="DQ148" s="826">
        <f>IF(WWWW[[#This Row],[HRP3]]/WWWW[[#This Row],[Total PoP ]]&gt;1,1,WWWW[[#This Row],[HRP3]]/WWWW[[#This Row],[Total PoP ]])</f>
        <v>1</v>
      </c>
      <c r="DR148" s="825">
        <f>1-WWWW[[#This Row],[Hygiene Coverage%]]</f>
        <v>0</v>
      </c>
      <c r="DS148" s="823">
        <f>WWWW[[#This Row],['# people reached by regular dedicated hygiene promotion_5]]/WWWW[[#This Row],[Total PoP ]]</f>
        <v>0</v>
      </c>
      <c r="DT148"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8"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8" s="824">
        <f>WWWW[[#This Row],['#_Constructed/Existing hand washing stations]]-WWWW[[#This Row],['#_Non-Functional_hand_washing_stations]]</f>
        <v>7</v>
      </c>
      <c r="DW148" s="821">
        <f>IF(WWWW[[#This Row],['# Functional hand washing stations during reporting period]]*20&gt;WWWW[[#This Row],[Total HH]],WWWW[[#This Row],[Total HH]],WWWW[[#This Row],['# Functional hand washing stations during reporting period]]*20)</f>
        <v>48</v>
      </c>
      <c r="DX148" s="821">
        <f>IF(WWWW[[#This Row],[Is sufficient soap available for TLS? (Yes/No)]]="yes",WWWW[[#This Row],['#_Constructed/Existing hand washing stations at TLS/CFS/THF]],0)</f>
        <v>0</v>
      </c>
      <c r="DY148" s="429">
        <f>IF(WWWW[[#This Row],['# Functional hand washing stations during reporting period]]*100&gt;WWWW[[#This Row],[Total PoP ]],WWWW[[#This Row],[Total PoP ]],WWWW[[#This Row],['# Functional hand washing stations during reporting period]]*100)</f>
        <v>240</v>
      </c>
      <c r="DZ148" s="429" t="str">
        <f>IF(OR(WWWW[[#This Row],['#_students at TLS_CFS]]="",WWWW[[#This Row],['#_students at TLS_CFS]]=0),"No","Yes")</f>
        <v>No</v>
      </c>
      <c r="EA14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8" s="817">
        <f>VLOOKUP(WWWW[[#This Row],[Site Name]],SiteDB6[[Site Name]:[CCCM Management]],6,FALSE)</f>
        <v>0</v>
      </c>
      <c r="EF148" s="817" t="str">
        <f>VLOOKUP(WWWW[[#This Row],[Site Name]],SiteDB6[[Site Name]:[CCCM Focal Agency]],7,FALSE)</f>
        <v xml:space="preserve">Uncovered  </v>
      </c>
      <c r="EG148" s="817" t="str">
        <f>VLOOKUP(WWWW[[#This Row],[Site Name]],SiteDB6[[Site Name]:[Location Type 1]],9,FALSE)</f>
        <v>Camp</v>
      </c>
      <c r="EH148" s="817" t="str">
        <f>VLOOKUP(WWWW[[#This Row],[Site Name]],SiteDB6[[Site Name]:[Type of Accommodation]],10,FALSE)</f>
        <v>Camp like setting</v>
      </c>
      <c r="EI148" s="817" t="str">
        <f>VLOOKUP(WWWW[[#This Row],[Site Name]],SiteDB6[[Site Name]:[Ethnic or GCA/NGCA]],11,FALSE)</f>
        <v>GCA</v>
      </c>
      <c r="EJ148" s="817">
        <f>VLOOKUP(WWWW[[#This Row],[Site Name]],SiteDB6[[Site Name]:[Lat]],12,FALSE)</f>
        <v>0</v>
      </c>
      <c r="EK148" s="817">
        <f>VLOOKUP(WWWW[[#This Row],[Site Name]],SiteDB6[[Site Name]:[Long]],13,FALSE)</f>
        <v>0</v>
      </c>
      <c r="EL148" s="817" t="str">
        <f>VLOOKUP(WWWW[[#This Row],[Site Name]],SiteDB6[[Site Name]:[Pcode]],3,FALSE)</f>
        <v>MMR001CMP293</v>
      </c>
      <c r="EM148" s="822" t="str">
        <f t="shared" si="2"/>
        <v>Notcovered</v>
      </c>
      <c r="EN148" s="822"/>
      <c r="EO148" s="817">
        <f>VLOOKUP(WWWW[[#This Row],[Site Name]],SiteDB6[[Site Name]:[Pop
(Kachin/Shan-CCCM as of July 2021)]],16,FALSE)</f>
        <v>48</v>
      </c>
      <c r="EP148" s="817">
        <f>VLOOKUP(WWWW[[#This Row],[Site Name]],SiteDB6[[Site Name]:[Pop
(Kachin/Shan-CCCM as of July 2021)]],17,FALSE)</f>
        <v>240</v>
      </c>
    </row>
    <row r="149" spans="1:146" hidden="1">
      <c r="A149" s="752" t="s">
        <v>2785</v>
      </c>
      <c r="B149" s="752" t="s">
        <v>309</v>
      </c>
      <c r="C149" s="753" t="s">
        <v>309</v>
      </c>
      <c r="D149" s="816"/>
      <c r="E149" s="816" t="s">
        <v>37</v>
      </c>
      <c r="F149" s="816" t="s">
        <v>142</v>
      </c>
      <c r="G149" s="594" t="str">
        <f>VLOOKUP(WWWW[[#This Row],[Site Name]],SiteDB6[[Site Name]:[Location Type]],8,FALSE)</f>
        <v>Camp</v>
      </c>
      <c r="H149" s="816" t="s">
        <v>2804</v>
      </c>
      <c r="I149" s="818">
        <v>34</v>
      </c>
      <c r="J149" s="818">
        <v>189</v>
      </c>
      <c r="K149" s="819"/>
      <c r="L149" s="820"/>
      <c r="M149" s="818"/>
      <c r="N149" s="818"/>
      <c r="O149" s="818"/>
      <c r="P149" s="818"/>
      <c r="Q149" s="821"/>
      <c r="R149" s="818"/>
      <c r="S149" s="818"/>
      <c r="T149" s="449"/>
      <c r="U149" s="818"/>
      <c r="V149" s="818"/>
      <c r="W149" s="818"/>
      <c r="X149" s="818"/>
      <c r="Y149" s="818"/>
      <c r="Z149" s="818"/>
      <c r="AA149" s="818"/>
      <c r="AB149" s="818"/>
      <c r="AC149" s="818"/>
      <c r="AD149" s="818"/>
      <c r="AE149" s="818"/>
      <c r="AF149" s="818"/>
      <c r="AG149" s="818"/>
      <c r="AH149" s="818"/>
      <c r="AI149" s="818"/>
      <c r="AJ149" s="818"/>
      <c r="AK149" s="818"/>
      <c r="AL149" s="818"/>
      <c r="AM149" s="818"/>
      <c r="AN149" s="818"/>
      <c r="AO149" s="818"/>
      <c r="AP149" s="822"/>
      <c r="AQ149" s="818"/>
      <c r="AR149" s="818"/>
      <c r="AS149" s="823"/>
      <c r="AT149" s="818"/>
      <c r="AU149" s="818"/>
      <c r="AV149" s="818"/>
      <c r="AW149" s="818"/>
      <c r="AX149" s="818"/>
      <c r="AY149" s="426" t="s">
        <v>140</v>
      </c>
      <c r="AZ149" s="891" t="s">
        <v>140</v>
      </c>
      <c r="BA149" s="818"/>
      <c r="BB149" s="818"/>
      <c r="BC149" s="818"/>
      <c r="BD149" s="449"/>
      <c r="BE149" s="449"/>
      <c r="BF149" s="817"/>
      <c r="BG149" s="818">
        <v>3</v>
      </c>
      <c r="BH149" s="818"/>
      <c r="BI149" s="818"/>
      <c r="BJ149" s="818">
        <v>2</v>
      </c>
      <c r="BK149" s="818"/>
      <c r="BL149" s="818"/>
      <c r="BM149" s="818"/>
      <c r="BN149" s="818">
        <v>88</v>
      </c>
      <c r="BO149" s="818">
        <v>100</v>
      </c>
      <c r="BP149" s="817"/>
      <c r="BQ149" s="824"/>
      <c r="BR149" s="823"/>
      <c r="BS149" s="817"/>
      <c r="BT149" s="424"/>
      <c r="BU149" s="424"/>
      <c r="BV149" s="426"/>
      <c r="BW149" s="424"/>
      <c r="BX149" s="449"/>
      <c r="BY149" s="449"/>
      <c r="BZ149" s="449"/>
      <c r="CA149" s="449"/>
      <c r="CB149" s="449"/>
      <c r="CC149" s="807"/>
      <c r="CD149" s="449"/>
      <c r="CE149" s="825" t="str">
        <f>IFERROR(WWWW[[#This Row],['#_Water sources passed]]/WWWW[[#This Row],['#_Water sources tested for fecal coliform ]],"no test")</f>
        <v>no test</v>
      </c>
      <c r="CF149" s="823" t="str">
        <f>IFERROR(WWWW[[#This Row],['#_Household passed]]/WWWW[[#This Row],['#_Household water samples tested for fecal coliform]],"no test")</f>
        <v>no test</v>
      </c>
      <c r="CG149" s="824" t="str">
        <f>IF(AND(WWWW[[#This Row],[% of water sources passed]]="no test",WWWW[[#This Row],[% Household passed]]="no test"),"No Test","Tested")</f>
        <v>No Test</v>
      </c>
      <c r="CH149" s="824">
        <f>WWWW[[#This Row],['#_Constructed/existing protected hand dug well]]-WWWW[[#This Row],['#_Non-functional protected hand dug well]]</f>
        <v>0</v>
      </c>
      <c r="CI149" s="824">
        <f>(WWWW[[#This Row],['#_Constructed/Existing tube wells/boreholes/handpumps_WASH_agency]]+WWWW[[#This Row],['#_Non-Cluster partner water tube-wells/boreholes/handpumps]])-WWWW[[#This Row],['#_Non-functional tube wells/boreholes/handpumps]]</f>
        <v>0</v>
      </c>
      <c r="CJ149" s="824">
        <f>WWWW[[#This Row],['#_Constructed/Existingwater storage tank with gravity fed reticulation system]]-WWWW[[#This Row],['#_Non-functional storage tank gravity fed reticulation system]]</f>
        <v>0</v>
      </c>
      <c r="CK149" s="824">
        <f>(WWWW[[#This Row],['#_Water_Liters_supplied_by_Water boating or water trucking]]/90)/15</f>
        <v>0</v>
      </c>
      <c r="CL149" s="824">
        <f>WWWW[[#This Row],['#_Water_Liters_from_Constructed/Existing water distribution system from river or natural spring]]/90/15</f>
        <v>0</v>
      </c>
      <c r="CM149" s="425">
        <f>IF(WWWW[[#This Row],['#_of water points in TLS/CFS]]*500&gt;WWWW[[#This Row],[Total PoP ]],WWWW[[#This Row],[Total PoP ]],WWWW[[#This Row],['#_of water points in TLS/CFS]]*500)</f>
        <v>0</v>
      </c>
      <c r="CN149" s="425">
        <f>IF(WWWW[[#This Row],['#_of water points in THF]]*500&gt;WWWW[[#This Row],[Total PoP ]],WWWW[[#This Row],[Total PoP ]],WWWW[[#This Row],['#_of water points in THF]]*500)</f>
        <v>0</v>
      </c>
      <c r="CO149"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49"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49" s="823">
        <f>IF(WWWW[[#This Row],[Location Type 1]]="Village",WWWW[[#This Row],[Access to safe drinking water for Village]],WWWW[[#This Row],[Access to safe drinking water for Camp]])</f>
        <v>0</v>
      </c>
      <c r="CR149" s="821">
        <f>WWWW[[#This Row],[%Equitable and continuous access to sufficient quantity of safe drinking water]]*WWWW[[#This Row],[Total PoP ]]</f>
        <v>0</v>
      </c>
      <c r="CS149" s="823">
        <f>IF((WWWW[[#This Row],['#_Constructed/Existing protected/fenced ponds]]*250)/WWWW[[#This Row],[Total PoP ]]&gt;1,1,(WWWW[[#This Row],['#_Constructed/Existing protected/fenced ponds]]*250)/WWWW[[#This Row],[Total PoP ]])</f>
        <v>0</v>
      </c>
      <c r="CT149" s="821">
        <f>WWWW[[#This Row],[% Access to unimproved water points]]*WWWW[[#This Row],[Total PoP ]]</f>
        <v>0</v>
      </c>
      <c r="CU149"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49"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49" s="821">
        <f>WWWW[[#This Row],[HRP1]]/500</f>
        <v>0</v>
      </c>
      <c r="CX149" s="826">
        <f>1-WWWW[[#This Row],[% Equitable and continuous access to sufficient quantity of domestic water]]</f>
        <v>1</v>
      </c>
      <c r="CY149" s="821">
        <f>WWWW[[#This Row],[%equitable and continuous access to sufficient quantity of safe drinking and domestic water''s GAP]]*WWWW[[#This Row],[Total PoP ]]</f>
        <v>189</v>
      </c>
      <c r="CZ149" s="824">
        <f>IF(WWWW[[#This Row],[Total required water points]]-WWWW[[#This Row],['#Water points coverage]]&lt;0,0,WWWW[[#This Row],[Total required water points]]-WWWW[[#This Row],['#Water points coverage]])</f>
        <v>1</v>
      </c>
      <c r="DA149" s="824">
        <f>ROUND(IF(WWWW[[#This Row],[Total PoP ]]&lt;500,1,WWWW[[#This Row],[Total PoP ]]/500),0)</f>
        <v>1</v>
      </c>
      <c r="DB149" s="824">
        <f>(WWWW[[#This Row],['#_Constructed latrines_by_WASHAgencies]]+WWWW[[#This Row],['#_Non Cluster partner latrines]])-WWWW[[#This Row],['#_Non-functional latrines]]</f>
        <v>0</v>
      </c>
      <c r="DC149" s="634">
        <f>WWWW[[#This Row],[HRP2]]/WWWW[[#This Row],[Total PoP ]]</f>
        <v>0</v>
      </c>
      <c r="DD149"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49"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49"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49" s="425">
        <f>IF(WWWW[[#This Row],['# of functional latrines in THF supported by WASH partners during the reporting period2]]="",0,WWWW[[#This Row],['# of functional latrines in THF supported by WASH partners during the reporting period2]]*50)</f>
        <v>0</v>
      </c>
      <c r="DH149" s="824">
        <f>ROUND(IF(WWWW[[#This Row],[Location Type 1]]="camp",WWWW[[#This Row],[Total PoP ]]/20,IF(WWWW[[#This Row],[Location Type 1]]="Temporary Location",WWWW[[#This Row],[Total PoP ]]/50,(WWWW[[#This Row],[Total PoP ]]/6))),0)</f>
        <v>9</v>
      </c>
      <c r="DI149" s="824">
        <f>IF(WWWW[[#This Row],[Total required Latrines]]-(WWWW[[#This Row],['#_Constructed latrines_by_WASHAgencies]]+WWWW[[#This Row],['#_Non Cluster partner latrines]])&lt;0,0,WWWW[[#This Row],[Total required Latrines]]-(WWWW[[#This Row],['#_Constructed latrines_by_WASHAgencies]]+WWWW[[#This Row],['#_Non Cluster partner latrines]]))</f>
        <v>9</v>
      </c>
      <c r="DJ149" s="826">
        <f>1-WWWW[[#This Row],[% people access to functioning Latrine]]</f>
        <v>1</v>
      </c>
      <c r="DK149" s="825">
        <f>IF(OR(WWWW[[#This Row],['#_Non-functional latrines]]="",WWWW[[#This Row],['#_Non-functional latrines]]=0),0,WWWW[[#This Row],['#_Non-functional latrines]]/(WWWW[[#This Row],['#_Constructed latrines_by_WASHAgencies]]+WWWW[[#This Row],['#_Non Cluster partner latrines]]))</f>
        <v>0</v>
      </c>
      <c r="DL149" s="821">
        <f>IF(500*(WWWW[[#This Row],['#_male hygiene promoters]]+WWWW[[#This Row],['#_female hygiene promoters]])&gt;WWWW[[#This Row],[Total PoP ]],WWWW[[#This Row],[Total PoP ]],500*(WWWW[[#This Row],['#_male hygiene promoters]]+WWWW[[#This Row],['#_female hygiene promoters]]))</f>
        <v>0</v>
      </c>
      <c r="DM149"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189</v>
      </c>
      <c r="DN149"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49" s="824">
        <f>IF(WWWW[[#This Row],['# People with access to soap]]&gt;WWWW[[#This Row],['# People with access to Sanity Pads]],WWWW[[#This Row],['# People with access to soap]],WWWW[[#This Row],['# People with access to Sanity Pads]])</f>
        <v>189</v>
      </c>
      <c r="DP149" s="824">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Q149" s="826">
        <f>IF(WWWW[[#This Row],[HRP3]]/WWWW[[#This Row],[Total PoP ]]&gt;1,1,WWWW[[#This Row],[HRP3]]/WWWW[[#This Row],[Total PoP ]])</f>
        <v>1</v>
      </c>
      <c r="DR149" s="825">
        <f>1-WWWW[[#This Row],[Hygiene Coverage%]]</f>
        <v>0</v>
      </c>
      <c r="DS149" s="823">
        <f>WWWW[[#This Row],['# people reached by regular dedicated hygiene promotion_5]]/WWWW[[#This Row],[Total PoP ]]</f>
        <v>0</v>
      </c>
      <c r="DT149"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49"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49" s="824">
        <f>WWWW[[#This Row],['#_Constructed/Existing hand washing stations]]-WWWW[[#This Row],['#_Non-Functional_hand_washing_stations]]</f>
        <v>3</v>
      </c>
      <c r="DW149" s="821">
        <f>IF(WWWW[[#This Row],['# Functional hand washing stations during reporting period]]*20&gt;WWWW[[#This Row],[Total HH]],WWWW[[#This Row],[Total HH]],WWWW[[#This Row],['# Functional hand washing stations during reporting period]]*20)</f>
        <v>34</v>
      </c>
      <c r="DX149" s="821">
        <f>IF(WWWW[[#This Row],[Is sufficient soap available for TLS? (Yes/No)]]="yes",WWWW[[#This Row],['#_Constructed/Existing hand washing stations at TLS/CFS/THF]],0)</f>
        <v>0</v>
      </c>
      <c r="DY149" s="429">
        <f>IF(WWWW[[#This Row],['# Functional hand washing stations during reporting period]]*100&gt;WWWW[[#This Row],[Total PoP ]],WWWW[[#This Row],[Total PoP ]],WWWW[[#This Row],['# Functional hand washing stations during reporting period]]*100)</f>
        <v>189</v>
      </c>
      <c r="DZ149" s="429" t="str">
        <f>IF(OR(WWWW[[#This Row],['#_students at TLS_CFS]]="",WWWW[[#This Row],['#_students at TLS_CFS]]=0),"No","Yes")</f>
        <v>No</v>
      </c>
      <c r="EA14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4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4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4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49" s="817">
        <f>VLOOKUP(WWWW[[#This Row],[Site Name]],SiteDB6[[Site Name]:[CCCM Management]],6,FALSE)</f>
        <v>0</v>
      </c>
      <c r="EF149" s="817" t="str">
        <f>VLOOKUP(WWWW[[#This Row],[Site Name]],SiteDB6[[Site Name]:[CCCM Focal Agency]],7,FALSE)</f>
        <v xml:space="preserve">Uncovered  </v>
      </c>
      <c r="EG149" s="817" t="str">
        <f>VLOOKUP(WWWW[[#This Row],[Site Name]],SiteDB6[[Site Name]:[Location Type 1]],9,FALSE)</f>
        <v>Camp</v>
      </c>
      <c r="EH149" s="817" t="str">
        <f>VLOOKUP(WWWW[[#This Row],[Site Name]],SiteDB6[[Site Name]:[Type of Accommodation]],10,FALSE)</f>
        <v>Camp like setting</v>
      </c>
      <c r="EI149" s="817" t="str">
        <f>VLOOKUP(WWWW[[#This Row],[Site Name]],SiteDB6[[Site Name]:[Ethnic or GCA/NGCA]],11,FALSE)</f>
        <v>GCA</v>
      </c>
      <c r="EJ149" s="817">
        <f>VLOOKUP(WWWW[[#This Row],[Site Name]],SiteDB6[[Site Name]:[Lat]],12,FALSE)</f>
        <v>0</v>
      </c>
      <c r="EK149" s="817">
        <f>VLOOKUP(WWWW[[#This Row],[Site Name]],SiteDB6[[Site Name]:[Long]],13,FALSE)</f>
        <v>0</v>
      </c>
      <c r="EL149" s="817" t="str">
        <f>VLOOKUP(WWWW[[#This Row],[Site Name]],SiteDB6[[Site Name]:[Pcode]],3,FALSE)</f>
        <v>MMR001CMP294</v>
      </c>
      <c r="EM149" s="822" t="str">
        <f t="shared" si="2"/>
        <v>Notcovered</v>
      </c>
      <c r="EN149" s="822"/>
      <c r="EO149" s="817">
        <f>VLOOKUP(WWWW[[#This Row],[Site Name]],SiteDB6[[Site Name]:[Pop
(Kachin/Shan-CCCM as of July 2021)]],16,FALSE)</f>
        <v>34</v>
      </c>
      <c r="EP149" s="817">
        <f>VLOOKUP(WWWW[[#This Row],[Site Name]],SiteDB6[[Site Name]:[Pop
(Kachin/Shan-CCCM as of July 2021)]],17,FALSE)</f>
        <v>189</v>
      </c>
    </row>
    <row r="150" spans="1:146" hidden="1">
      <c r="A150" s="752" t="s">
        <v>2785</v>
      </c>
      <c r="B150" s="752" t="s">
        <v>309</v>
      </c>
      <c r="C150" s="753" t="s">
        <v>309</v>
      </c>
      <c r="D150" s="816"/>
      <c r="E150" s="816" t="s">
        <v>37</v>
      </c>
      <c r="F150" s="816" t="s">
        <v>142</v>
      </c>
      <c r="G150" s="594" t="str">
        <f>VLOOKUP(WWWW[[#This Row],[Site Name]],SiteDB6[[Site Name]:[Location Type]],8,FALSE)</f>
        <v>Camp</v>
      </c>
      <c r="H150" s="816" t="s">
        <v>2802</v>
      </c>
      <c r="I150" s="818">
        <v>45</v>
      </c>
      <c r="J150" s="818">
        <v>247</v>
      </c>
      <c r="K150" s="819"/>
      <c r="L150" s="820"/>
      <c r="M150" s="818"/>
      <c r="N150" s="818"/>
      <c r="O150" s="818"/>
      <c r="P150" s="818"/>
      <c r="Q150" s="821"/>
      <c r="R150" s="818"/>
      <c r="S150" s="818"/>
      <c r="T150" s="449"/>
      <c r="U150" s="818"/>
      <c r="V150" s="818"/>
      <c r="W150" s="818"/>
      <c r="X150" s="818"/>
      <c r="Y150" s="818"/>
      <c r="Z150" s="818"/>
      <c r="AA150" s="818"/>
      <c r="AB150" s="818"/>
      <c r="AC150" s="818"/>
      <c r="AD150" s="818"/>
      <c r="AE150" s="818"/>
      <c r="AF150" s="818"/>
      <c r="AG150" s="818"/>
      <c r="AH150" s="818"/>
      <c r="AI150" s="818"/>
      <c r="AJ150" s="818"/>
      <c r="AK150" s="818"/>
      <c r="AL150" s="818"/>
      <c r="AM150" s="818"/>
      <c r="AN150" s="818"/>
      <c r="AO150" s="818"/>
      <c r="AP150" s="822"/>
      <c r="AQ150" s="818"/>
      <c r="AR150" s="818"/>
      <c r="AS150" s="823"/>
      <c r="AT150" s="818"/>
      <c r="AU150" s="818"/>
      <c r="AV150" s="818"/>
      <c r="AW150" s="818"/>
      <c r="AX150" s="818"/>
      <c r="AY150" s="426" t="s">
        <v>140</v>
      </c>
      <c r="AZ150" s="891" t="s">
        <v>140</v>
      </c>
      <c r="BA150" s="818"/>
      <c r="BB150" s="818"/>
      <c r="BC150" s="818"/>
      <c r="BD150" s="449"/>
      <c r="BE150" s="449"/>
      <c r="BF150" s="817"/>
      <c r="BG150" s="818">
        <v>3</v>
      </c>
      <c r="BH150" s="818"/>
      <c r="BI150" s="818"/>
      <c r="BJ150" s="818">
        <v>2</v>
      </c>
      <c r="BK150" s="818"/>
      <c r="BL150" s="818"/>
      <c r="BM150" s="818"/>
      <c r="BN150" s="818">
        <v>88</v>
      </c>
      <c r="BO150" s="818">
        <v>100</v>
      </c>
      <c r="BP150" s="817"/>
      <c r="BQ150" s="824"/>
      <c r="BR150" s="823"/>
      <c r="BS150" s="817"/>
      <c r="BT150" s="424"/>
      <c r="BU150" s="424"/>
      <c r="BV150" s="426"/>
      <c r="BW150" s="424"/>
      <c r="BX150" s="449"/>
      <c r="BY150" s="449"/>
      <c r="BZ150" s="449"/>
      <c r="CA150" s="449"/>
      <c r="CB150" s="449"/>
      <c r="CC150" s="807"/>
      <c r="CD150" s="449"/>
      <c r="CE150" s="825" t="str">
        <f>IFERROR(WWWW[[#This Row],['#_Water sources passed]]/WWWW[[#This Row],['#_Water sources tested for fecal coliform ]],"no test")</f>
        <v>no test</v>
      </c>
      <c r="CF150" s="823" t="str">
        <f>IFERROR(WWWW[[#This Row],['#_Household passed]]/WWWW[[#This Row],['#_Household water samples tested for fecal coliform]],"no test")</f>
        <v>no test</v>
      </c>
      <c r="CG150" s="824" t="str">
        <f>IF(AND(WWWW[[#This Row],[% of water sources passed]]="no test",WWWW[[#This Row],[% Household passed]]="no test"),"No Test","Tested")</f>
        <v>No Test</v>
      </c>
      <c r="CH150" s="824">
        <f>WWWW[[#This Row],['#_Constructed/existing protected hand dug well]]-WWWW[[#This Row],['#_Non-functional protected hand dug well]]</f>
        <v>0</v>
      </c>
      <c r="CI150" s="824">
        <f>(WWWW[[#This Row],['#_Constructed/Existing tube wells/boreholes/handpumps_WASH_agency]]+WWWW[[#This Row],['#_Non-Cluster partner water tube-wells/boreholes/handpumps]])-WWWW[[#This Row],['#_Non-functional tube wells/boreholes/handpumps]]</f>
        <v>0</v>
      </c>
      <c r="CJ150" s="824">
        <f>WWWW[[#This Row],['#_Constructed/Existingwater storage tank with gravity fed reticulation system]]-WWWW[[#This Row],['#_Non-functional storage tank gravity fed reticulation system]]</f>
        <v>0</v>
      </c>
      <c r="CK150" s="824">
        <f>(WWWW[[#This Row],['#_Water_Liters_supplied_by_Water boating or water trucking]]/90)/15</f>
        <v>0</v>
      </c>
      <c r="CL150" s="824">
        <f>WWWW[[#This Row],['#_Water_Liters_from_Constructed/Existing water distribution system from river or natural spring]]/90/15</f>
        <v>0</v>
      </c>
      <c r="CM150" s="425">
        <f>IF(WWWW[[#This Row],['#_of water points in TLS/CFS]]*500&gt;WWWW[[#This Row],[Total PoP ]],WWWW[[#This Row],[Total PoP ]],WWWW[[#This Row],['#_of water points in TLS/CFS]]*500)</f>
        <v>0</v>
      </c>
      <c r="CN150" s="425">
        <f>IF(WWWW[[#This Row],['#_of water points in THF]]*500&gt;WWWW[[#This Row],[Total PoP ]],WWWW[[#This Row],[Total PoP ]],WWWW[[#This Row],['#_of water points in THF]]*500)</f>
        <v>0</v>
      </c>
      <c r="CO150"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0"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0" s="823">
        <f>IF(WWWW[[#This Row],[Location Type 1]]="Village",WWWW[[#This Row],[Access to safe drinking water for Village]],WWWW[[#This Row],[Access to safe drinking water for Camp]])</f>
        <v>0</v>
      </c>
      <c r="CR150" s="821">
        <f>WWWW[[#This Row],[%Equitable and continuous access to sufficient quantity of safe drinking water]]*WWWW[[#This Row],[Total PoP ]]</f>
        <v>0</v>
      </c>
      <c r="CS150" s="823">
        <f>IF((WWWW[[#This Row],['#_Constructed/Existing protected/fenced ponds]]*250)/WWWW[[#This Row],[Total PoP ]]&gt;1,1,(WWWW[[#This Row],['#_Constructed/Existing protected/fenced ponds]]*250)/WWWW[[#This Row],[Total PoP ]])</f>
        <v>0</v>
      </c>
      <c r="CT150" s="821">
        <f>WWWW[[#This Row],[% Access to unimproved water points]]*WWWW[[#This Row],[Total PoP ]]</f>
        <v>0</v>
      </c>
      <c r="CU150"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0"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0" s="821">
        <f>WWWW[[#This Row],[HRP1]]/500</f>
        <v>0</v>
      </c>
      <c r="CX150" s="826">
        <f>1-WWWW[[#This Row],[% Equitable and continuous access to sufficient quantity of domestic water]]</f>
        <v>1</v>
      </c>
      <c r="CY150" s="821">
        <f>WWWW[[#This Row],[%equitable and continuous access to sufficient quantity of safe drinking and domestic water''s GAP]]*WWWW[[#This Row],[Total PoP ]]</f>
        <v>247</v>
      </c>
      <c r="CZ150" s="824">
        <f>IF(WWWW[[#This Row],[Total required water points]]-WWWW[[#This Row],['#Water points coverage]]&lt;0,0,WWWW[[#This Row],[Total required water points]]-WWWW[[#This Row],['#Water points coverage]])</f>
        <v>1</v>
      </c>
      <c r="DA150" s="824">
        <f>ROUND(IF(WWWW[[#This Row],[Total PoP ]]&lt;500,1,WWWW[[#This Row],[Total PoP ]]/500),0)</f>
        <v>1</v>
      </c>
      <c r="DB150" s="824">
        <f>(WWWW[[#This Row],['#_Constructed latrines_by_WASHAgencies]]+WWWW[[#This Row],['#_Non Cluster partner latrines]])-WWWW[[#This Row],['#_Non-functional latrines]]</f>
        <v>0</v>
      </c>
      <c r="DC150" s="634">
        <f>WWWW[[#This Row],[HRP2]]/WWWW[[#This Row],[Total PoP ]]</f>
        <v>0</v>
      </c>
      <c r="DD150"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0"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0"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0" s="425">
        <f>IF(WWWW[[#This Row],['# of functional latrines in THF supported by WASH partners during the reporting period2]]="",0,WWWW[[#This Row],['# of functional latrines in THF supported by WASH partners during the reporting period2]]*50)</f>
        <v>0</v>
      </c>
      <c r="DH150" s="824">
        <f>ROUND(IF(WWWW[[#This Row],[Location Type 1]]="camp",WWWW[[#This Row],[Total PoP ]]/20,IF(WWWW[[#This Row],[Location Type 1]]="Temporary Location",WWWW[[#This Row],[Total PoP ]]/50,(WWWW[[#This Row],[Total PoP ]]/6))),0)</f>
        <v>12</v>
      </c>
      <c r="DI150" s="824">
        <f>IF(WWWW[[#This Row],[Total required Latrines]]-(WWWW[[#This Row],['#_Constructed latrines_by_WASHAgencies]]+WWWW[[#This Row],['#_Non Cluster partner latrines]])&lt;0,0,WWWW[[#This Row],[Total required Latrines]]-(WWWW[[#This Row],['#_Constructed latrines_by_WASHAgencies]]+WWWW[[#This Row],['#_Non Cluster partner latrines]]))</f>
        <v>12</v>
      </c>
      <c r="DJ150" s="826">
        <f>1-WWWW[[#This Row],[% people access to functioning Latrine]]</f>
        <v>1</v>
      </c>
      <c r="DK150" s="825">
        <f>IF(OR(WWWW[[#This Row],['#_Non-functional latrines]]="",WWWW[[#This Row],['#_Non-functional latrines]]=0),0,WWWW[[#This Row],['#_Non-functional latrines]]/(WWWW[[#This Row],['#_Constructed latrines_by_WASHAgencies]]+WWWW[[#This Row],['#_Non Cluster partner latrines]]))</f>
        <v>0</v>
      </c>
      <c r="DL150" s="821">
        <f>IF(500*(WWWW[[#This Row],['#_male hygiene promoters]]+WWWW[[#This Row],['#_female hygiene promoters]])&gt;WWWW[[#This Row],[Total PoP ]],WWWW[[#This Row],[Total PoP ]],500*(WWWW[[#This Row],['#_male hygiene promoters]]+WWWW[[#This Row],['#_female hygiene promoters]]))</f>
        <v>0</v>
      </c>
      <c r="DM150"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150"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50" s="824">
        <f>IF(WWWW[[#This Row],['# People with access to soap]]&gt;WWWW[[#This Row],['# People with access to Sanity Pads]],WWWW[[#This Row],['# People with access to soap]],WWWW[[#This Row],['# People with access to Sanity Pads]])</f>
        <v>247</v>
      </c>
      <c r="DP150" s="824">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150" s="826">
        <f>IF(WWWW[[#This Row],[HRP3]]/WWWW[[#This Row],[Total PoP ]]&gt;1,1,WWWW[[#This Row],[HRP3]]/WWWW[[#This Row],[Total PoP ]])</f>
        <v>1</v>
      </c>
      <c r="DR150" s="825">
        <f>1-WWWW[[#This Row],[Hygiene Coverage%]]</f>
        <v>0</v>
      </c>
      <c r="DS150" s="823">
        <f>WWWW[[#This Row],['# people reached by regular dedicated hygiene promotion_5]]/WWWW[[#This Row],[Total PoP ]]</f>
        <v>0</v>
      </c>
      <c r="DT150"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0"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0" s="824">
        <f>WWWW[[#This Row],['#_Constructed/Existing hand washing stations]]-WWWW[[#This Row],['#_Non-Functional_hand_washing_stations]]</f>
        <v>3</v>
      </c>
      <c r="DW150" s="821">
        <f>IF(WWWW[[#This Row],['# Functional hand washing stations during reporting period]]*20&gt;WWWW[[#This Row],[Total HH]],WWWW[[#This Row],[Total HH]],WWWW[[#This Row],['# Functional hand washing stations during reporting period]]*20)</f>
        <v>45</v>
      </c>
      <c r="DX150" s="821">
        <f>IF(WWWW[[#This Row],[Is sufficient soap available for TLS? (Yes/No)]]="yes",WWWW[[#This Row],['#_Constructed/Existing hand washing stations at TLS/CFS/THF]],0)</f>
        <v>0</v>
      </c>
      <c r="DY150" s="429">
        <f>IF(WWWW[[#This Row],['# Functional hand washing stations during reporting period]]*100&gt;WWWW[[#This Row],[Total PoP ]],WWWW[[#This Row],[Total PoP ]],WWWW[[#This Row],['# Functional hand washing stations during reporting period]]*100)</f>
        <v>247</v>
      </c>
      <c r="DZ150" s="429" t="str">
        <f>IF(OR(WWWW[[#This Row],['#_students at TLS_CFS]]="",WWWW[[#This Row],['#_students at TLS_CFS]]=0),"No","Yes")</f>
        <v>No</v>
      </c>
      <c r="EA15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0" s="817">
        <f>VLOOKUP(WWWW[[#This Row],[Site Name]],SiteDB6[[Site Name]:[CCCM Management]],6,FALSE)</f>
        <v>0</v>
      </c>
      <c r="EF150" s="817" t="str">
        <f>VLOOKUP(WWWW[[#This Row],[Site Name]],SiteDB6[[Site Name]:[CCCM Focal Agency]],7,FALSE)</f>
        <v xml:space="preserve">Uncovered  </v>
      </c>
      <c r="EG150" s="817" t="str">
        <f>VLOOKUP(WWWW[[#This Row],[Site Name]],SiteDB6[[Site Name]:[Location Type 1]],9,FALSE)</f>
        <v>Camp</v>
      </c>
      <c r="EH150" s="817" t="str">
        <f>VLOOKUP(WWWW[[#This Row],[Site Name]],SiteDB6[[Site Name]:[Type of Accommodation]],10,FALSE)</f>
        <v>Camp like setting</v>
      </c>
      <c r="EI150" s="817" t="str">
        <f>VLOOKUP(WWWW[[#This Row],[Site Name]],SiteDB6[[Site Name]:[Ethnic or GCA/NGCA]],11,FALSE)</f>
        <v>GCA</v>
      </c>
      <c r="EJ150" s="817">
        <f>VLOOKUP(WWWW[[#This Row],[Site Name]],SiteDB6[[Site Name]:[Lat]],12,FALSE)</f>
        <v>0</v>
      </c>
      <c r="EK150" s="817">
        <f>VLOOKUP(WWWW[[#This Row],[Site Name]],SiteDB6[[Site Name]:[Long]],13,FALSE)</f>
        <v>0</v>
      </c>
      <c r="EL150" s="817" t="str">
        <f>VLOOKUP(WWWW[[#This Row],[Site Name]],SiteDB6[[Site Name]:[Pcode]],3,FALSE)</f>
        <v>MMR001CMP292</v>
      </c>
      <c r="EM150" s="822" t="str">
        <f t="shared" si="2"/>
        <v>Notcovered</v>
      </c>
      <c r="EN150" s="822"/>
      <c r="EO150" s="817">
        <f>VLOOKUP(WWWW[[#This Row],[Site Name]],SiteDB6[[Site Name]:[Pop
(Kachin/Shan-CCCM as of July 2021)]],16,FALSE)</f>
        <v>87</v>
      </c>
      <c r="EP150" s="817">
        <f>VLOOKUP(WWWW[[#This Row],[Site Name]],SiteDB6[[Site Name]:[Pop
(Kachin/Shan-CCCM as of July 2021)]],17,FALSE)</f>
        <v>478</v>
      </c>
    </row>
    <row r="151" spans="1:146" hidden="1">
      <c r="A151" s="752" t="s">
        <v>2785</v>
      </c>
      <c r="B151" s="752" t="s">
        <v>309</v>
      </c>
      <c r="C151" s="753" t="s">
        <v>309</v>
      </c>
      <c r="D151" s="816"/>
      <c r="E151" s="816" t="s">
        <v>37</v>
      </c>
      <c r="F151" s="816" t="s">
        <v>142</v>
      </c>
      <c r="G151" s="594" t="str">
        <f>VLOOKUP(WWWW[[#This Row],[Site Name]],SiteDB6[[Site Name]:[Location Type]],8,FALSE)</f>
        <v>Camp</v>
      </c>
      <c r="H151" s="816" t="s">
        <v>2799</v>
      </c>
      <c r="I151" s="818">
        <v>40</v>
      </c>
      <c r="J151" s="818">
        <v>220</v>
      </c>
      <c r="K151" s="819"/>
      <c r="L151" s="820"/>
      <c r="M151" s="818"/>
      <c r="N151" s="818"/>
      <c r="O151" s="818"/>
      <c r="P151" s="818"/>
      <c r="Q151" s="821"/>
      <c r="R151" s="818"/>
      <c r="S151" s="818"/>
      <c r="T151" s="449"/>
      <c r="U151" s="818"/>
      <c r="V151" s="818"/>
      <c r="W151" s="818"/>
      <c r="X151" s="818"/>
      <c r="Y151" s="818"/>
      <c r="Z151" s="818"/>
      <c r="AA151" s="818"/>
      <c r="AB151" s="818"/>
      <c r="AC151" s="818"/>
      <c r="AD151" s="818"/>
      <c r="AE151" s="818"/>
      <c r="AF151" s="818"/>
      <c r="AG151" s="818"/>
      <c r="AH151" s="818"/>
      <c r="AI151" s="818"/>
      <c r="AJ151" s="818"/>
      <c r="AK151" s="818"/>
      <c r="AL151" s="818"/>
      <c r="AM151" s="818"/>
      <c r="AN151" s="818"/>
      <c r="AO151" s="818"/>
      <c r="AP151" s="822"/>
      <c r="AQ151" s="818"/>
      <c r="AR151" s="818"/>
      <c r="AS151" s="823"/>
      <c r="AT151" s="818"/>
      <c r="AU151" s="818"/>
      <c r="AV151" s="818"/>
      <c r="AW151" s="818"/>
      <c r="AX151" s="818"/>
      <c r="AY151" s="426" t="s">
        <v>140</v>
      </c>
      <c r="AZ151" s="891" t="s">
        <v>140</v>
      </c>
      <c r="BA151" s="818"/>
      <c r="BB151" s="818"/>
      <c r="BC151" s="818"/>
      <c r="BD151" s="449"/>
      <c r="BE151" s="449"/>
      <c r="BF151" s="817"/>
      <c r="BG151" s="818">
        <v>3</v>
      </c>
      <c r="BH151" s="818"/>
      <c r="BI151" s="818"/>
      <c r="BJ151" s="818">
        <v>2</v>
      </c>
      <c r="BK151" s="818"/>
      <c r="BL151" s="818"/>
      <c r="BM151" s="818"/>
      <c r="BN151" s="818">
        <v>10</v>
      </c>
      <c r="BO151" s="818">
        <v>18</v>
      </c>
      <c r="BP151" s="817"/>
      <c r="BQ151" s="824"/>
      <c r="BR151" s="823"/>
      <c r="BS151" s="817"/>
      <c r="BT151" s="424"/>
      <c r="BU151" s="424"/>
      <c r="BV151" s="426"/>
      <c r="BW151" s="424"/>
      <c r="BX151" s="449"/>
      <c r="BY151" s="449"/>
      <c r="BZ151" s="449"/>
      <c r="CA151" s="449"/>
      <c r="CB151" s="449"/>
      <c r="CC151" s="807"/>
      <c r="CD151" s="449"/>
      <c r="CE151" s="825" t="str">
        <f>IFERROR(WWWW[[#This Row],['#_Water sources passed]]/WWWW[[#This Row],['#_Water sources tested for fecal coliform ]],"no test")</f>
        <v>no test</v>
      </c>
      <c r="CF151" s="823" t="str">
        <f>IFERROR(WWWW[[#This Row],['#_Household passed]]/WWWW[[#This Row],['#_Household water samples tested for fecal coliform]],"no test")</f>
        <v>no test</v>
      </c>
      <c r="CG151" s="824" t="str">
        <f>IF(AND(WWWW[[#This Row],[% of water sources passed]]="no test",WWWW[[#This Row],[% Household passed]]="no test"),"No Test","Tested")</f>
        <v>No Test</v>
      </c>
      <c r="CH151" s="824">
        <f>WWWW[[#This Row],['#_Constructed/existing protected hand dug well]]-WWWW[[#This Row],['#_Non-functional protected hand dug well]]</f>
        <v>0</v>
      </c>
      <c r="CI151" s="824">
        <f>(WWWW[[#This Row],['#_Constructed/Existing tube wells/boreholes/handpumps_WASH_agency]]+WWWW[[#This Row],['#_Non-Cluster partner water tube-wells/boreholes/handpumps]])-WWWW[[#This Row],['#_Non-functional tube wells/boreholes/handpumps]]</f>
        <v>0</v>
      </c>
      <c r="CJ151" s="824">
        <f>WWWW[[#This Row],['#_Constructed/Existingwater storage tank with gravity fed reticulation system]]-WWWW[[#This Row],['#_Non-functional storage tank gravity fed reticulation system]]</f>
        <v>0</v>
      </c>
      <c r="CK151" s="824">
        <f>(WWWW[[#This Row],['#_Water_Liters_supplied_by_Water boating or water trucking]]/90)/15</f>
        <v>0</v>
      </c>
      <c r="CL151" s="824">
        <f>WWWW[[#This Row],['#_Water_Liters_from_Constructed/Existing water distribution system from river or natural spring]]/90/15</f>
        <v>0</v>
      </c>
      <c r="CM151" s="425">
        <f>IF(WWWW[[#This Row],['#_of water points in TLS/CFS]]*500&gt;WWWW[[#This Row],[Total PoP ]],WWWW[[#This Row],[Total PoP ]],WWWW[[#This Row],['#_of water points in TLS/CFS]]*500)</f>
        <v>0</v>
      </c>
      <c r="CN151" s="425">
        <f>IF(WWWW[[#This Row],['#_of water points in THF]]*500&gt;WWWW[[#This Row],[Total PoP ]],WWWW[[#This Row],[Total PoP ]],WWWW[[#This Row],['#_of water points in THF]]*500)</f>
        <v>0</v>
      </c>
      <c r="CO151"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1"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1" s="823">
        <f>IF(WWWW[[#This Row],[Location Type 1]]="Village",WWWW[[#This Row],[Access to safe drinking water for Village]],WWWW[[#This Row],[Access to safe drinking water for Camp]])</f>
        <v>0</v>
      </c>
      <c r="CR151" s="821">
        <f>WWWW[[#This Row],[%Equitable and continuous access to sufficient quantity of safe drinking water]]*WWWW[[#This Row],[Total PoP ]]</f>
        <v>0</v>
      </c>
      <c r="CS151" s="823">
        <f>IF((WWWW[[#This Row],['#_Constructed/Existing protected/fenced ponds]]*250)/WWWW[[#This Row],[Total PoP ]]&gt;1,1,(WWWW[[#This Row],['#_Constructed/Existing protected/fenced ponds]]*250)/WWWW[[#This Row],[Total PoP ]])</f>
        <v>0</v>
      </c>
      <c r="CT151" s="821">
        <f>WWWW[[#This Row],[% Access to unimproved water points]]*WWWW[[#This Row],[Total PoP ]]</f>
        <v>0</v>
      </c>
      <c r="CU151"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1"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1" s="821">
        <f>WWWW[[#This Row],[HRP1]]/500</f>
        <v>0</v>
      </c>
      <c r="CX151" s="826">
        <f>1-WWWW[[#This Row],[% Equitable and continuous access to sufficient quantity of domestic water]]</f>
        <v>1</v>
      </c>
      <c r="CY151" s="821">
        <f>WWWW[[#This Row],[%equitable and continuous access to sufficient quantity of safe drinking and domestic water''s GAP]]*WWWW[[#This Row],[Total PoP ]]</f>
        <v>220</v>
      </c>
      <c r="CZ151" s="824">
        <f>IF(WWWW[[#This Row],[Total required water points]]-WWWW[[#This Row],['#Water points coverage]]&lt;0,0,WWWW[[#This Row],[Total required water points]]-WWWW[[#This Row],['#Water points coverage]])</f>
        <v>1</v>
      </c>
      <c r="DA151" s="824">
        <f>ROUND(IF(WWWW[[#This Row],[Total PoP ]]&lt;500,1,WWWW[[#This Row],[Total PoP ]]/500),0)</f>
        <v>1</v>
      </c>
      <c r="DB151" s="824">
        <f>(WWWW[[#This Row],['#_Constructed latrines_by_WASHAgencies]]+WWWW[[#This Row],['#_Non Cluster partner latrines]])-WWWW[[#This Row],['#_Non-functional latrines]]</f>
        <v>0</v>
      </c>
      <c r="DC151" s="634">
        <f>WWWW[[#This Row],[HRP2]]/WWWW[[#This Row],[Total PoP ]]</f>
        <v>0</v>
      </c>
      <c r="DD151"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1"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1"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1" s="425">
        <f>IF(WWWW[[#This Row],['# of functional latrines in THF supported by WASH partners during the reporting period2]]="",0,WWWW[[#This Row],['# of functional latrines in THF supported by WASH partners during the reporting period2]]*50)</f>
        <v>0</v>
      </c>
      <c r="DH151" s="824">
        <f>ROUND(IF(WWWW[[#This Row],[Location Type 1]]="camp",WWWW[[#This Row],[Total PoP ]]/20,IF(WWWW[[#This Row],[Location Type 1]]="Temporary Location",WWWW[[#This Row],[Total PoP ]]/50,(WWWW[[#This Row],[Total PoP ]]/6))),0)</f>
        <v>11</v>
      </c>
      <c r="DI151" s="824">
        <f>IF(WWWW[[#This Row],[Total required Latrines]]-(WWWW[[#This Row],['#_Constructed latrines_by_WASHAgencies]]+WWWW[[#This Row],['#_Non Cluster partner latrines]])&lt;0,0,WWWW[[#This Row],[Total required Latrines]]-(WWWW[[#This Row],['#_Constructed latrines_by_WASHAgencies]]+WWWW[[#This Row],['#_Non Cluster partner latrines]]))</f>
        <v>11</v>
      </c>
      <c r="DJ151" s="826">
        <f>1-WWWW[[#This Row],[% people access to functioning Latrine]]</f>
        <v>1</v>
      </c>
      <c r="DK151" s="825">
        <f>IF(OR(WWWW[[#This Row],['#_Non-functional latrines]]="",WWWW[[#This Row],['#_Non-functional latrines]]=0),0,WWWW[[#This Row],['#_Non-functional latrines]]/(WWWW[[#This Row],['#_Constructed latrines_by_WASHAgencies]]+WWWW[[#This Row],['#_Non Cluster partner latrines]]))</f>
        <v>0</v>
      </c>
      <c r="DL151" s="821">
        <f>IF(500*(WWWW[[#This Row],['#_male hygiene promoters]]+WWWW[[#This Row],['#_female hygiene promoters]])&gt;WWWW[[#This Row],[Total PoP ]],WWWW[[#This Row],[Total PoP ]],500*(WWWW[[#This Row],['#_male hygiene promoters]]+WWWW[[#This Row],['#_female hygiene promoters]]))</f>
        <v>0</v>
      </c>
      <c r="DM151"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1"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1" s="824">
        <f>IF(WWWW[[#This Row],['# People with access to soap]]&gt;WWWW[[#This Row],['# People with access to Sanity Pads]],WWWW[[#This Row],['# People with access to soap]],WWWW[[#This Row],['# People with access to Sanity Pads]])</f>
        <v>50</v>
      </c>
      <c r="DP151" s="82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51" s="826">
        <f>IF(WWWW[[#This Row],[HRP3]]/WWWW[[#This Row],[Total PoP ]]&gt;1,1,WWWW[[#This Row],[HRP3]]/WWWW[[#This Row],[Total PoP ]])</f>
        <v>0.22727272727272727</v>
      </c>
      <c r="DR151" s="825">
        <f>1-WWWW[[#This Row],[Hygiene Coverage%]]</f>
        <v>0.77272727272727271</v>
      </c>
      <c r="DS151" s="823">
        <f>WWWW[[#This Row],['# people reached by regular dedicated hygiene promotion_5]]/WWWW[[#This Row],[Total PoP ]]</f>
        <v>0</v>
      </c>
      <c r="DT151"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1"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0.45</v>
      </c>
      <c r="DV151" s="824">
        <f>WWWW[[#This Row],['#_Constructed/Existing hand washing stations]]-WWWW[[#This Row],['#_Non-Functional_hand_washing_stations]]</f>
        <v>3</v>
      </c>
      <c r="DW151" s="821">
        <f>IF(WWWW[[#This Row],['# Functional hand washing stations during reporting period]]*20&gt;WWWW[[#This Row],[Total HH]],WWWW[[#This Row],[Total HH]],WWWW[[#This Row],['# Functional hand washing stations during reporting period]]*20)</f>
        <v>40</v>
      </c>
      <c r="DX151" s="821">
        <f>IF(WWWW[[#This Row],[Is sufficient soap available for TLS? (Yes/No)]]="yes",WWWW[[#This Row],['#_Constructed/Existing hand washing stations at TLS/CFS/THF]],0)</f>
        <v>0</v>
      </c>
      <c r="DY151" s="429">
        <f>IF(WWWW[[#This Row],['# Functional hand washing stations during reporting period]]*100&gt;WWWW[[#This Row],[Total PoP ]],WWWW[[#This Row],[Total PoP ]],WWWW[[#This Row],['# Functional hand washing stations during reporting period]]*100)</f>
        <v>220</v>
      </c>
      <c r="DZ151" s="429" t="str">
        <f>IF(OR(WWWW[[#This Row],['#_students at TLS_CFS]]="",WWWW[[#This Row],['#_students at TLS_CFS]]=0),"No","Yes")</f>
        <v>No</v>
      </c>
      <c r="EA15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1" s="817">
        <f>VLOOKUP(WWWW[[#This Row],[Site Name]],SiteDB6[[Site Name]:[CCCM Management]],6,FALSE)</f>
        <v>0</v>
      </c>
      <c r="EF151" s="817" t="str">
        <f>VLOOKUP(WWWW[[#This Row],[Site Name]],SiteDB6[[Site Name]:[CCCM Focal Agency]],7,FALSE)</f>
        <v xml:space="preserve">Uncovered  </v>
      </c>
      <c r="EG151" s="817" t="str">
        <f>VLOOKUP(WWWW[[#This Row],[Site Name]],SiteDB6[[Site Name]:[Location Type 1]],9,FALSE)</f>
        <v>Camp</v>
      </c>
      <c r="EH151" s="817" t="str">
        <f>VLOOKUP(WWWW[[#This Row],[Site Name]],SiteDB6[[Site Name]:[Type of Accommodation]],10,FALSE)</f>
        <v>Camp like setting</v>
      </c>
      <c r="EI151" s="817" t="str">
        <f>VLOOKUP(WWWW[[#This Row],[Site Name]],SiteDB6[[Site Name]:[Ethnic or GCA/NGCA]],11,FALSE)</f>
        <v>GCA</v>
      </c>
      <c r="EJ151" s="817">
        <f>VLOOKUP(WWWW[[#This Row],[Site Name]],SiteDB6[[Site Name]:[Lat]],12,FALSE)</f>
        <v>25.210599999999999</v>
      </c>
      <c r="EK151" s="817">
        <f>VLOOKUP(WWWW[[#This Row],[Site Name]],SiteDB6[[Site Name]:[Long]],13,FALSE)</f>
        <v>97.264700000000005</v>
      </c>
      <c r="EL151" s="817" t="str">
        <f>VLOOKUP(WWWW[[#This Row],[Site Name]],SiteDB6[[Site Name]:[Pcode]],3,FALSE)</f>
        <v>MMR001CMP289</v>
      </c>
      <c r="EM151" s="822" t="str">
        <f t="shared" si="2"/>
        <v>Notcovered</v>
      </c>
      <c r="EN151" s="822"/>
      <c r="EO151" s="817">
        <f>VLOOKUP(WWWW[[#This Row],[Site Name]],SiteDB6[[Site Name]:[Pop
(Kachin/Shan-CCCM as of July 2021)]],16,FALSE)</f>
        <v>40</v>
      </c>
      <c r="EP151" s="817">
        <f>VLOOKUP(WWWW[[#This Row],[Site Name]],SiteDB6[[Site Name]:[Pop
(Kachin/Shan-CCCM as of July 2021)]],17,FALSE)</f>
        <v>220</v>
      </c>
    </row>
    <row r="152" spans="1:146" hidden="1">
      <c r="A152" s="752" t="s">
        <v>2785</v>
      </c>
      <c r="B152" s="752" t="s">
        <v>309</v>
      </c>
      <c r="C152" s="753" t="s">
        <v>309</v>
      </c>
      <c r="D152" s="816"/>
      <c r="E152" s="816" t="s">
        <v>37</v>
      </c>
      <c r="F152" s="816" t="s">
        <v>142</v>
      </c>
      <c r="G152" s="594" t="str">
        <f>VLOOKUP(WWWW[[#This Row],[Site Name]],SiteDB6[[Site Name]:[Location Type]],8,FALSE)</f>
        <v>Camp</v>
      </c>
      <c r="H152" s="816" t="s">
        <v>2805</v>
      </c>
      <c r="I152" s="818">
        <v>12</v>
      </c>
      <c r="J152" s="818">
        <v>59</v>
      </c>
      <c r="K152" s="819"/>
      <c r="L152" s="820"/>
      <c r="M152" s="818"/>
      <c r="N152" s="818"/>
      <c r="O152" s="818"/>
      <c r="P152" s="818"/>
      <c r="Q152" s="821"/>
      <c r="R152" s="818"/>
      <c r="S152" s="818"/>
      <c r="T152" s="449"/>
      <c r="U152" s="818"/>
      <c r="V152" s="818"/>
      <c r="W152" s="818"/>
      <c r="X152" s="818"/>
      <c r="Y152" s="818"/>
      <c r="Z152" s="818"/>
      <c r="AA152" s="818"/>
      <c r="AB152" s="818"/>
      <c r="AC152" s="818"/>
      <c r="AD152" s="818"/>
      <c r="AE152" s="818"/>
      <c r="AF152" s="818"/>
      <c r="AG152" s="818"/>
      <c r="AH152" s="818"/>
      <c r="AI152" s="818"/>
      <c r="AJ152" s="818"/>
      <c r="AK152" s="818"/>
      <c r="AL152" s="818"/>
      <c r="AM152" s="818"/>
      <c r="AN152" s="818"/>
      <c r="AO152" s="818"/>
      <c r="AP152" s="822"/>
      <c r="AQ152" s="818"/>
      <c r="AR152" s="818"/>
      <c r="AS152" s="823"/>
      <c r="AT152" s="818"/>
      <c r="AU152" s="818"/>
      <c r="AV152" s="818"/>
      <c r="AW152" s="818"/>
      <c r="AX152" s="818"/>
      <c r="AY152" s="426" t="s">
        <v>140</v>
      </c>
      <c r="AZ152" s="891" t="s">
        <v>140</v>
      </c>
      <c r="BA152" s="818"/>
      <c r="BB152" s="818"/>
      <c r="BC152" s="818"/>
      <c r="BD152" s="449"/>
      <c r="BE152" s="449"/>
      <c r="BF152" s="817"/>
      <c r="BG152" s="818">
        <v>7</v>
      </c>
      <c r="BH152" s="818"/>
      <c r="BI152" s="818"/>
      <c r="BJ152" s="818">
        <v>7</v>
      </c>
      <c r="BK152" s="818"/>
      <c r="BL152" s="818"/>
      <c r="BM152" s="818"/>
      <c r="BN152" s="818">
        <v>104</v>
      </c>
      <c r="BO152" s="818">
        <v>148</v>
      </c>
      <c r="BP152" s="817"/>
      <c r="BQ152" s="824"/>
      <c r="BR152" s="823"/>
      <c r="BS152" s="817"/>
      <c r="BT152" s="424"/>
      <c r="BU152" s="424"/>
      <c r="BV152" s="426"/>
      <c r="BW152" s="424"/>
      <c r="BX152" s="449"/>
      <c r="BY152" s="449"/>
      <c r="BZ152" s="449"/>
      <c r="CA152" s="449"/>
      <c r="CB152" s="449"/>
      <c r="CC152" s="807"/>
      <c r="CD152" s="449"/>
      <c r="CE152" s="825" t="str">
        <f>IFERROR(WWWW[[#This Row],['#_Water sources passed]]/WWWW[[#This Row],['#_Water sources tested for fecal coliform ]],"no test")</f>
        <v>no test</v>
      </c>
      <c r="CF152" s="823" t="str">
        <f>IFERROR(WWWW[[#This Row],['#_Household passed]]/WWWW[[#This Row],['#_Household water samples tested for fecal coliform]],"no test")</f>
        <v>no test</v>
      </c>
      <c r="CG152" s="824" t="str">
        <f>IF(AND(WWWW[[#This Row],[% of water sources passed]]="no test",WWWW[[#This Row],[% Household passed]]="no test"),"No Test","Tested")</f>
        <v>No Test</v>
      </c>
      <c r="CH152" s="824">
        <f>WWWW[[#This Row],['#_Constructed/existing protected hand dug well]]-WWWW[[#This Row],['#_Non-functional protected hand dug well]]</f>
        <v>0</v>
      </c>
      <c r="CI152" s="824">
        <f>(WWWW[[#This Row],['#_Constructed/Existing tube wells/boreholes/handpumps_WASH_agency]]+WWWW[[#This Row],['#_Non-Cluster partner water tube-wells/boreholes/handpumps]])-WWWW[[#This Row],['#_Non-functional tube wells/boreholes/handpumps]]</f>
        <v>0</v>
      </c>
      <c r="CJ152" s="824">
        <f>WWWW[[#This Row],['#_Constructed/Existingwater storage tank with gravity fed reticulation system]]-WWWW[[#This Row],['#_Non-functional storage tank gravity fed reticulation system]]</f>
        <v>0</v>
      </c>
      <c r="CK152" s="824">
        <f>(WWWW[[#This Row],['#_Water_Liters_supplied_by_Water boating or water trucking]]/90)/15</f>
        <v>0</v>
      </c>
      <c r="CL152" s="824">
        <f>WWWW[[#This Row],['#_Water_Liters_from_Constructed/Existing water distribution system from river or natural spring]]/90/15</f>
        <v>0</v>
      </c>
      <c r="CM152" s="425">
        <f>IF(WWWW[[#This Row],['#_of water points in TLS/CFS]]*500&gt;WWWW[[#This Row],[Total PoP ]],WWWW[[#This Row],[Total PoP ]],WWWW[[#This Row],['#_of water points in TLS/CFS]]*500)</f>
        <v>0</v>
      </c>
      <c r="CN152" s="425">
        <f>IF(WWWW[[#This Row],['#_of water points in THF]]*500&gt;WWWW[[#This Row],[Total PoP ]],WWWW[[#This Row],[Total PoP ]],WWWW[[#This Row],['#_of water points in THF]]*500)</f>
        <v>0</v>
      </c>
      <c r="CO152"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2"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2" s="823">
        <f>IF(WWWW[[#This Row],[Location Type 1]]="Village",WWWW[[#This Row],[Access to safe drinking water for Village]],WWWW[[#This Row],[Access to safe drinking water for Camp]])</f>
        <v>0</v>
      </c>
      <c r="CR152" s="821">
        <f>WWWW[[#This Row],[%Equitable and continuous access to sufficient quantity of safe drinking water]]*WWWW[[#This Row],[Total PoP ]]</f>
        <v>0</v>
      </c>
      <c r="CS152" s="823">
        <f>IF((WWWW[[#This Row],['#_Constructed/Existing protected/fenced ponds]]*250)/WWWW[[#This Row],[Total PoP ]]&gt;1,1,(WWWW[[#This Row],['#_Constructed/Existing protected/fenced ponds]]*250)/WWWW[[#This Row],[Total PoP ]])</f>
        <v>0</v>
      </c>
      <c r="CT152" s="821">
        <f>WWWW[[#This Row],[% Access to unimproved water points]]*WWWW[[#This Row],[Total PoP ]]</f>
        <v>0</v>
      </c>
      <c r="CU152"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2"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2" s="821">
        <f>WWWW[[#This Row],[HRP1]]/500</f>
        <v>0</v>
      </c>
      <c r="CX152" s="826">
        <f>1-WWWW[[#This Row],[% Equitable and continuous access to sufficient quantity of domestic water]]</f>
        <v>1</v>
      </c>
      <c r="CY152" s="821">
        <f>WWWW[[#This Row],[%equitable and continuous access to sufficient quantity of safe drinking and domestic water''s GAP]]*WWWW[[#This Row],[Total PoP ]]</f>
        <v>59</v>
      </c>
      <c r="CZ152" s="824">
        <f>IF(WWWW[[#This Row],[Total required water points]]-WWWW[[#This Row],['#Water points coverage]]&lt;0,0,WWWW[[#This Row],[Total required water points]]-WWWW[[#This Row],['#Water points coverage]])</f>
        <v>1</v>
      </c>
      <c r="DA152" s="824">
        <f>ROUND(IF(WWWW[[#This Row],[Total PoP ]]&lt;500,1,WWWW[[#This Row],[Total PoP ]]/500),0)</f>
        <v>1</v>
      </c>
      <c r="DB152" s="824">
        <f>(WWWW[[#This Row],['#_Constructed latrines_by_WASHAgencies]]+WWWW[[#This Row],['#_Non Cluster partner latrines]])-WWWW[[#This Row],['#_Non-functional latrines]]</f>
        <v>0</v>
      </c>
      <c r="DC152" s="634">
        <f>WWWW[[#This Row],[HRP2]]/WWWW[[#This Row],[Total PoP ]]</f>
        <v>0</v>
      </c>
      <c r="DD152"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2"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2"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2" s="425">
        <f>IF(WWWW[[#This Row],['# of functional latrines in THF supported by WASH partners during the reporting period2]]="",0,WWWW[[#This Row],['# of functional latrines in THF supported by WASH partners during the reporting period2]]*50)</f>
        <v>0</v>
      </c>
      <c r="DH152" s="824">
        <f>ROUND(IF(WWWW[[#This Row],[Location Type 1]]="camp",WWWW[[#This Row],[Total PoP ]]/20,IF(WWWW[[#This Row],[Location Type 1]]="Temporary Location",WWWW[[#This Row],[Total PoP ]]/50,(WWWW[[#This Row],[Total PoP ]]/6))),0)</f>
        <v>3</v>
      </c>
      <c r="DI152" s="824">
        <f>IF(WWWW[[#This Row],[Total required Latrines]]-(WWWW[[#This Row],['#_Constructed latrines_by_WASHAgencies]]+WWWW[[#This Row],['#_Non Cluster partner latrines]])&lt;0,0,WWWW[[#This Row],[Total required Latrines]]-(WWWW[[#This Row],['#_Constructed latrines_by_WASHAgencies]]+WWWW[[#This Row],['#_Non Cluster partner latrines]]))</f>
        <v>3</v>
      </c>
      <c r="DJ152" s="826">
        <f>1-WWWW[[#This Row],[% people access to functioning Latrine]]</f>
        <v>1</v>
      </c>
      <c r="DK152" s="825">
        <f>IF(OR(WWWW[[#This Row],['#_Non-functional latrines]]="",WWWW[[#This Row],['#_Non-functional latrines]]=0),0,WWWW[[#This Row],['#_Non-functional latrines]]/(WWWW[[#This Row],['#_Constructed latrines_by_WASHAgencies]]+WWWW[[#This Row],['#_Non Cluster partner latrines]]))</f>
        <v>0</v>
      </c>
      <c r="DL152" s="821">
        <f>IF(500*(WWWW[[#This Row],['#_male hygiene promoters]]+WWWW[[#This Row],['#_female hygiene promoters]])&gt;WWWW[[#This Row],[Total PoP ]],WWWW[[#This Row],[Total PoP ]],500*(WWWW[[#This Row],['#_male hygiene promoters]]+WWWW[[#This Row],['#_female hygiene promoters]]))</f>
        <v>0</v>
      </c>
      <c r="DM152"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v>
      </c>
      <c r="DN152"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59</v>
      </c>
      <c r="DO152" s="824">
        <f>IF(WWWW[[#This Row],['# People with access to soap]]&gt;WWWW[[#This Row],['# People with access to Sanity Pads]],WWWW[[#This Row],['# People with access to soap]],WWWW[[#This Row],['# People with access to Sanity Pads]])</f>
        <v>59</v>
      </c>
      <c r="DP152" s="824">
        <f>IF(WWWW[[#This Row],['# people reached by regular dedicated hygiene promotion_5]]&gt;WWWW[[#This Row],['# People received regular supply of hygiene items_6]],WWWW[[#This Row],['# people reached by regular dedicated hygiene promotion_5]],WWWW[[#This Row],['# People received regular supply of hygiene items_6]])</f>
        <v>59</v>
      </c>
      <c r="DQ152" s="826">
        <f>IF(WWWW[[#This Row],[HRP3]]/WWWW[[#This Row],[Total PoP ]]&gt;1,1,WWWW[[#This Row],[HRP3]]/WWWW[[#This Row],[Total PoP ]])</f>
        <v>1</v>
      </c>
      <c r="DR152" s="825">
        <f>1-WWWW[[#This Row],[Hygiene Coverage%]]</f>
        <v>0</v>
      </c>
      <c r="DS152" s="823">
        <f>WWWW[[#This Row],['# people reached by regular dedicated hygiene promotion_5]]/WWWW[[#This Row],[Total PoP ]]</f>
        <v>0</v>
      </c>
      <c r="DT152"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2"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2" s="824">
        <f>WWWW[[#This Row],['#_Constructed/Existing hand washing stations]]-WWWW[[#This Row],['#_Non-Functional_hand_washing_stations]]</f>
        <v>7</v>
      </c>
      <c r="DW152" s="821">
        <f>IF(WWWW[[#This Row],['# Functional hand washing stations during reporting period]]*20&gt;WWWW[[#This Row],[Total HH]],WWWW[[#This Row],[Total HH]],WWWW[[#This Row],['# Functional hand washing stations during reporting period]]*20)</f>
        <v>12</v>
      </c>
      <c r="DX152" s="821">
        <f>IF(WWWW[[#This Row],[Is sufficient soap available for TLS? (Yes/No)]]="yes",WWWW[[#This Row],['#_Constructed/Existing hand washing stations at TLS/CFS/THF]],0)</f>
        <v>0</v>
      </c>
      <c r="DY152" s="429">
        <f>IF(WWWW[[#This Row],['# Functional hand washing stations during reporting period]]*100&gt;WWWW[[#This Row],[Total PoP ]],WWWW[[#This Row],[Total PoP ]],WWWW[[#This Row],['# Functional hand washing stations during reporting period]]*100)</f>
        <v>59</v>
      </c>
      <c r="DZ152" s="429" t="str">
        <f>IF(OR(WWWW[[#This Row],['#_students at TLS_CFS]]="",WWWW[[#This Row],['#_students at TLS_CFS]]=0),"No","Yes")</f>
        <v>No</v>
      </c>
      <c r="EA15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2" s="817">
        <f>VLOOKUP(WWWW[[#This Row],[Site Name]],SiteDB6[[Site Name]:[CCCM Management]],6,FALSE)</f>
        <v>0</v>
      </c>
      <c r="EF152" s="817" t="str">
        <f>VLOOKUP(WWWW[[#This Row],[Site Name]],SiteDB6[[Site Name]:[CCCM Focal Agency]],7,FALSE)</f>
        <v xml:space="preserve">Uncovered  </v>
      </c>
      <c r="EG152" s="817" t="str">
        <f>VLOOKUP(WWWW[[#This Row],[Site Name]],SiteDB6[[Site Name]:[Location Type 1]],9,FALSE)</f>
        <v>Camp</v>
      </c>
      <c r="EH152" s="817" t="str">
        <f>VLOOKUP(WWWW[[#This Row],[Site Name]],SiteDB6[[Site Name]:[Type of Accommodation]],10,FALSE)</f>
        <v>Camp like setting</v>
      </c>
      <c r="EI152" s="817" t="str">
        <f>VLOOKUP(WWWW[[#This Row],[Site Name]],SiteDB6[[Site Name]:[Ethnic or GCA/NGCA]],11,FALSE)</f>
        <v>GCA</v>
      </c>
      <c r="EJ152" s="817">
        <f>VLOOKUP(WWWW[[#This Row],[Site Name]],SiteDB6[[Site Name]:[Lat]],12,FALSE)</f>
        <v>0</v>
      </c>
      <c r="EK152" s="817">
        <f>VLOOKUP(WWWW[[#This Row],[Site Name]],SiteDB6[[Site Name]:[Long]],13,FALSE)</f>
        <v>0</v>
      </c>
      <c r="EL152" s="817" t="str">
        <f>VLOOKUP(WWWW[[#This Row],[Site Name]],SiteDB6[[Site Name]:[Pcode]],3,FALSE)</f>
        <v>MMR001CMP295</v>
      </c>
      <c r="EM152" s="822" t="str">
        <f t="shared" si="2"/>
        <v>Notcovered</v>
      </c>
      <c r="EN152" s="822"/>
      <c r="EO152" s="817">
        <f>VLOOKUP(WWWW[[#This Row],[Site Name]],SiteDB6[[Site Name]:[Pop
(Kachin/Shan-CCCM as of July 2021)]],16,FALSE)</f>
        <v>12</v>
      </c>
      <c r="EP152" s="817">
        <f>VLOOKUP(WWWW[[#This Row],[Site Name]],SiteDB6[[Site Name]:[Pop
(Kachin/Shan-CCCM as of July 2021)]],17,FALSE)</f>
        <v>59</v>
      </c>
    </row>
    <row r="153" spans="1:146" hidden="1">
      <c r="A153" s="752" t="s">
        <v>2785</v>
      </c>
      <c r="B153" s="752" t="s">
        <v>309</v>
      </c>
      <c r="C153" s="753" t="s">
        <v>309</v>
      </c>
      <c r="D153" s="816"/>
      <c r="E153" s="816" t="s">
        <v>37</v>
      </c>
      <c r="F153" s="816" t="s">
        <v>142</v>
      </c>
      <c r="G153" s="594" t="str">
        <f>VLOOKUP(WWWW[[#This Row],[Site Name]],SiteDB6[[Site Name]:[Location Type]],8,FALSE)</f>
        <v>Camp</v>
      </c>
      <c r="H153" s="816" t="s">
        <v>2796</v>
      </c>
      <c r="I153" s="818">
        <v>12</v>
      </c>
      <c r="J153" s="818">
        <v>80</v>
      </c>
      <c r="K153" s="819"/>
      <c r="L153" s="820"/>
      <c r="M153" s="818"/>
      <c r="N153" s="818"/>
      <c r="O153" s="818"/>
      <c r="P153" s="818"/>
      <c r="Q153" s="821"/>
      <c r="R153" s="818"/>
      <c r="S153" s="818"/>
      <c r="T153" s="449"/>
      <c r="U153" s="818"/>
      <c r="V153" s="818"/>
      <c r="W153" s="818"/>
      <c r="X153" s="818"/>
      <c r="Y153" s="818"/>
      <c r="Z153" s="818"/>
      <c r="AA153" s="818"/>
      <c r="AB153" s="818"/>
      <c r="AC153" s="818"/>
      <c r="AD153" s="818"/>
      <c r="AE153" s="818"/>
      <c r="AF153" s="818"/>
      <c r="AG153" s="818"/>
      <c r="AH153" s="818"/>
      <c r="AI153" s="818"/>
      <c r="AJ153" s="818"/>
      <c r="AK153" s="818"/>
      <c r="AL153" s="818"/>
      <c r="AM153" s="818"/>
      <c r="AN153" s="818"/>
      <c r="AO153" s="818"/>
      <c r="AP153" s="822"/>
      <c r="AQ153" s="818"/>
      <c r="AR153" s="818"/>
      <c r="AS153" s="823"/>
      <c r="AT153" s="818"/>
      <c r="AU153" s="818"/>
      <c r="AV153" s="818"/>
      <c r="AW153" s="818"/>
      <c r="AX153" s="818"/>
      <c r="AY153" s="426" t="s">
        <v>140</v>
      </c>
      <c r="AZ153" s="891" t="s">
        <v>140</v>
      </c>
      <c r="BA153" s="818"/>
      <c r="BB153" s="818"/>
      <c r="BC153" s="818"/>
      <c r="BD153" s="449"/>
      <c r="BE153" s="449"/>
      <c r="BF153" s="817"/>
      <c r="BG153" s="818">
        <v>7</v>
      </c>
      <c r="BH153" s="818"/>
      <c r="BI153" s="818"/>
      <c r="BJ153" s="818">
        <v>4</v>
      </c>
      <c r="BK153" s="818"/>
      <c r="BL153" s="818"/>
      <c r="BM153" s="818"/>
      <c r="BN153" s="818">
        <v>124</v>
      </c>
      <c r="BO153" s="818">
        <v>198</v>
      </c>
      <c r="BP153" s="817"/>
      <c r="BQ153" s="824"/>
      <c r="BR153" s="823"/>
      <c r="BS153" s="817"/>
      <c r="BT153" s="424"/>
      <c r="BU153" s="424"/>
      <c r="BV153" s="426"/>
      <c r="BW153" s="424"/>
      <c r="BX153" s="449"/>
      <c r="BY153" s="449"/>
      <c r="BZ153" s="449"/>
      <c r="CA153" s="449"/>
      <c r="CB153" s="449"/>
      <c r="CC153" s="807"/>
      <c r="CD153" s="449"/>
      <c r="CE153" s="825" t="str">
        <f>IFERROR(WWWW[[#This Row],['#_Water sources passed]]/WWWW[[#This Row],['#_Water sources tested for fecal coliform ]],"no test")</f>
        <v>no test</v>
      </c>
      <c r="CF153" s="823" t="str">
        <f>IFERROR(WWWW[[#This Row],['#_Household passed]]/WWWW[[#This Row],['#_Household water samples tested for fecal coliform]],"no test")</f>
        <v>no test</v>
      </c>
      <c r="CG153" s="824" t="str">
        <f>IF(AND(WWWW[[#This Row],[% of water sources passed]]="no test",WWWW[[#This Row],[% Household passed]]="no test"),"No Test","Tested")</f>
        <v>No Test</v>
      </c>
      <c r="CH153" s="824">
        <f>WWWW[[#This Row],['#_Constructed/existing protected hand dug well]]-WWWW[[#This Row],['#_Non-functional protected hand dug well]]</f>
        <v>0</v>
      </c>
      <c r="CI153" s="824">
        <f>(WWWW[[#This Row],['#_Constructed/Existing tube wells/boreholes/handpumps_WASH_agency]]+WWWW[[#This Row],['#_Non-Cluster partner water tube-wells/boreholes/handpumps]])-WWWW[[#This Row],['#_Non-functional tube wells/boreholes/handpumps]]</f>
        <v>0</v>
      </c>
      <c r="CJ153" s="824">
        <f>WWWW[[#This Row],['#_Constructed/Existingwater storage tank with gravity fed reticulation system]]-WWWW[[#This Row],['#_Non-functional storage tank gravity fed reticulation system]]</f>
        <v>0</v>
      </c>
      <c r="CK153" s="824">
        <f>(WWWW[[#This Row],['#_Water_Liters_supplied_by_Water boating or water trucking]]/90)/15</f>
        <v>0</v>
      </c>
      <c r="CL153" s="824">
        <f>WWWW[[#This Row],['#_Water_Liters_from_Constructed/Existing water distribution system from river or natural spring]]/90/15</f>
        <v>0</v>
      </c>
      <c r="CM153" s="425">
        <f>IF(WWWW[[#This Row],['#_of water points in TLS/CFS]]*500&gt;WWWW[[#This Row],[Total PoP ]],WWWW[[#This Row],[Total PoP ]],WWWW[[#This Row],['#_of water points in TLS/CFS]]*500)</f>
        <v>0</v>
      </c>
      <c r="CN153" s="425">
        <f>IF(WWWW[[#This Row],['#_of water points in THF]]*500&gt;WWWW[[#This Row],[Total PoP ]],WWWW[[#This Row],[Total PoP ]],WWWW[[#This Row],['#_of water points in THF]]*500)</f>
        <v>0</v>
      </c>
      <c r="CO153"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3"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3" s="823">
        <f>IF(WWWW[[#This Row],[Location Type 1]]="Village",WWWW[[#This Row],[Access to safe drinking water for Village]],WWWW[[#This Row],[Access to safe drinking water for Camp]])</f>
        <v>0</v>
      </c>
      <c r="CR153" s="821">
        <f>WWWW[[#This Row],[%Equitable and continuous access to sufficient quantity of safe drinking water]]*WWWW[[#This Row],[Total PoP ]]</f>
        <v>0</v>
      </c>
      <c r="CS153" s="823">
        <f>IF((WWWW[[#This Row],['#_Constructed/Existing protected/fenced ponds]]*250)/WWWW[[#This Row],[Total PoP ]]&gt;1,1,(WWWW[[#This Row],['#_Constructed/Existing protected/fenced ponds]]*250)/WWWW[[#This Row],[Total PoP ]])</f>
        <v>0</v>
      </c>
      <c r="CT153" s="821">
        <f>WWWW[[#This Row],[% Access to unimproved water points]]*WWWW[[#This Row],[Total PoP ]]</f>
        <v>0</v>
      </c>
      <c r="CU153"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3"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3" s="821">
        <f>WWWW[[#This Row],[HRP1]]/500</f>
        <v>0</v>
      </c>
      <c r="CX153" s="826">
        <f>1-WWWW[[#This Row],[% Equitable and continuous access to sufficient quantity of domestic water]]</f>
        <v>1</v>
      </c>
      <c r="CY153" s="821">
        <f>WWWW[[#This Row],[%equitable and continuous access to sufficient quantity of safe drinking and domestic water''s GAP]]*WWWW[[#This Row],[Total PoP ]]</f>
        <v>80</v>
      </c>
      <c r="CZ153" s="824">
        <f>IF(WWWW[[#This Row],[Total required water points]]-WWWW[[#This Row],['#Water points coverage]]&lt;0,0,WWWW[[#This Row],[Total required water points]]-WWWW[[#This Row],['#Water points coverage]])</f>
        <v>1</v>
      </c>
      <c r="DA153" s="824">
        <f>ROUND(IF(WWWW[[#This Row],[Total PoP ]]&lt;500,1,WWWW[[#This Row],[Total PoP ]]/500),0)</f>
        <v>1</v>
      </c>
      <c r="DB153" s="824">
        <f>(WWWW[[#This Row],['#_Constructed latrines_by_WASHAgencies]]+WWWW[[#This Row],['#_Non Cluster partner latrines]])-WWWW[[#This Row],['#_Non-functional latrines]]</f>
        <v>0</v>
      </c>
      <c r="DC153" s="634">
        <f>WWWW[[#This Row],[HRP2]]/WWWW[[#This Row],[Total PoP ]]</f>
        <v>0</v>
      </c>
      <c r="DD153"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3"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3"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3" s="425">
        <f>IF(WWWW[[#This Row],['# of functional latrines in THF supported by WASH partners during the reporting period2]]="",0,WWWW[[#This Row],['# of functional latrines in THF supported by WASH partners during the reporting period2]]*50)</f>
        <v>0</v>
      </c>
      <c r="DH153" s="824">
        <f>ROUND(IF(WWWW[[#This Row],[Location Type 1]]="camp",WWWW[[#This Row],[Total PoP ]]/20,IF(WWWW[[#This Row],[Location Type 1]]="Temporary Location",WWWW[[#This Row],[Total PoP ]]/50,(WWWW[[#This Row],[Total PoP ]]/6))),0)</f>
        <v>4</v>
      </c>
      <c r="DI153" s="824">
        <f>IF(WWWW[[#This Row],[Total required Latrines]]-(WWWW[[#This Row],['#_Constructed latrines_by_WASHAgencies]]+WWWW[[#This Row],['#_Non Cluster partner latrines]])&lt;0,0,WWWW[[#This Row],[Total required Latrines]]-(WWWW[[#This Row],['#_Constructed latrines_by_WASHAgencies]]+WWWW[[#This Row],['#_Non Cluster partner latrines]]))</f>
        <v>4</v>
      </c>
      <c r="DJ153" s="826">
        <f>1-WWWW[[#This Row],[% people access to functioning Latrine]]</f>
        <v>1</v>
      </c>
      <c r="DK153" s="825">
        <f>IF(OR(WWWW[[#This Row],['#_Non-functional latrines]]="",WWWW[[#This Row],['#_Non-functional latrines]]=0),0,WWWW[[#This Row],['#_Non-functional latrines]]/(WWWW[[#This Row],['#_Constructed latrines_by_WASHAgencies]]+WWWW[[#This Row],['#_Non Cluster partner latrines]]))</f>
        <v>0</v>
      </c>
      <c r="DL153" s="821">
        <f>IF(500*(WWWW[[#This Row],['#_male hygiene promoters]]+WWWW[[#This Row],['#_female hygiene promoters]])&gt;WWWW[[#This Row],[Total PoP ]],WWWW[[#This Row],[Total PoP ]],500*(WWWW[[#This Row],['#_male hygiene promoters]]+WWWW[[#This Row],['#_female hygiene promoters]]))</f>
        <v>0</v>
      </c>
      <c r="DM153"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v>
      </c>
      <c r="DN153"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80</v>
      </c>
      <c r="DO153" s="824">
        <f>IF(WWWW[[#This Row],['# People with access to soap]]&gt;WWWW[[#This Row],['# People with access to Sanity Pads]],WWWW[[#This Row],['# People with access to soap]],WWWW[[#This Row],['# People with access to Sanity Pads]])</f>
        <v>80</v>
      </c>
      <c r="DP153" s="824">
        <f>IF(WWWW[[#This Row],['# people reached by regular dedicated hygiene promotion_5]]&gt;WWWW[[#This Row],['# People received regular supply of hygiene items_6]],WWWW[[#This Row],['# people reached by regular dedicated hygiene promotion_5]],WWWW[[#This Row],['# People received regular supply of hygiene items_6]])</f>
        <v>80</v>
      </c>
      <c r="DQ153" s="826">
        <f>IF(WWWW[[#This Row],[HRP3]]/WWWW[[#This Row],[Total PoP ]]&gt;1,1,WWWW[[#This Row],[HRP3]]/WWWW[[#This Row],[Total PoP ]])</f>
        <v>1</v>
      </c>
      <c r="DR153" s="825">
        <f>1-WWWW[[#This Row],[Hygiene Coverage%]]</f>
        <v>0</v>
      </c>
      <c r="DS153" s="823">
        <f>WWWW[[#This Row],['# people reached by regular dedicated hygiene promotion_5]]/WWWW[[#This Row],[Total PoP ]]</f>
        <v>0</v>
      </c>
      <c r="DT153"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3"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3" s="824">
        <f>WWWW[[#This Row],['#_Constructed/Existing hand washing stations]]-WWWW[[#This Row],['#_Non-Functional_hand_washing_stations]]</f>
        <v>7</v>
      </c>
      <c r="DW153" s="821">
        <f>IF(WWWW[[#This Row],['# Functional hand washing stations during reporting period]]*20&gt;WWWW[[#This Row],[Total HH]],WWWW[[#This Row],[Total HH]],WWWW[[#This Row],['# Functional hand washing stations during reporting period]]*20)</f>
        <v>12</v>
      </c>
      <c r="DX153" s="821">
        <f>IF(WWWW[[#This Row],[Is sufficient soap available for TLS? (Yes/No)]]="yes",WWWW[[#This Row],['#_Constructed/Existing hand washing stations at TLS/CFS/THF]],0)</f>
        <v>0</v>
      </c>
      <c r="DY153" s="429">
        <f>IF(WWWW[[#This Row],['# Functional hand washing stations during reporting period]]*100&gt;WWWW[[#This Row],[Total PoP ]],WWWW[[#This Row],[Total PoP ]],WWWW[[#This Row],['# Functional hand washing stations during reporting period]]*100)</f>
        <v>80</v>
      </c>
      <c r="DZ153" s="429" t="str">
        <f>IF(OR(WWWW[[#This Row],['#_students at TLS_CFS]]="",WWWW[[#This Row],['#_students at TLS_CFS]]=0),"No","Yes")</f>
        <v>No</v>
      </c>
      <c r="EA15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3" s="817" t="str">
        <f>VLOOKUP(WWWW[[#This Row],[Site Name]],SiteDB6[[Site Name]:[CCCM Management]],6,FALSE)</f>
        <v>Yes</v>
      </c>
      <c r="EF153" s="817" t="str">
        <f>VLOOKUP(WWWW[[#This Row],[Site Name]],SiteDB6[[Site Name]:[CCCM Focal Agency]],7,FALSE)</f>
        <v>Shalom</v>
      </c>
      <c r="EG153" s="817" t="str">
        <f>VLOOKUP(WWWW[[#This Row],[Site Name]],SiteDB6[[Site Name]:[Location Type 1]],9,FALSE)</f>
        <v>Camp</v>
      </c>
      <c r="EH153" s="817" t="str">
        <f>VLOOKUP(WWWW[[#This Row],[Site Name]],SiteDB6[[Site Name]:[Type of Accommodation]],10,FALSE)</f>
        <v>Camp like setting</v>
      </c>
      <c r="EI153" s="817" t="str">
        <f>VLOOKUP(WWWW[[#This Row],[Site Name]],SiteDB6[[Site Name]:[Ethnic or GCA/NGCA]],11,FALSE)</f>
        <v>GCA</v>
      </c>
      <c r="EJ153" s="817">
        <f>VLOOKUP(WWWW[[#This Row],[Site Name]],SiteDB6[[Site Name]:[Lat]],12,FALSE)</f>
        <v>25.221299999999999</v>
      </c>
      <c r="EK153" s="817">
        <f>VLOOKUP(WWWW[[#This Row],[Site Name]],SiteDB6[[Site Name]:[Long]],13,FALSE)</f>
        <v>97.255300000000005</v>
      </c>
      <c r="EL153" s="817" t="str">
        <f>VLOOKUP(WWWW[[#This Row],[Site Name]],SiteDB6[[Site Name]:[Pcode]],3,FALSE)</f>
        <v>MMR001CMP286</v>
      </c>
      <c r="EM153" s="822" t="str">
        <f t="shared" si="2"/>
        <v>Notcovered</v>
      </c>
      <c r="EN153" s="822"/>
      <c r="EO153" s="817">
        <f>VLOOKUP(WWWW[[#This Row],[Site Name]],SiteDB6[[Site Name]:[Pop
(Kachin/Shan-CCCM as of July 2021)]],16,FALSE)</f>
        <v>12</v>
      </c>
      <c r="EP153" s="817">
        <f>VLOOKUP(WWWW[[#This Row],[Site Name]],SiteDB6[[Site Name]:[Pop
(Kachin/Shan-CCCM as of July 2021)]],17,FALSE)</f>
        <v>80</v>
      </c>
    </row>
    <row r="154" spans="1:146" hidden="1">
      <c r="A154" s="752" t="s">
        <v>2785</v>
      </c>
      <c r="B154" s="752" t="s">
        <v>309</v>
      </c>
      <c r="C154" s="753" t="s">
        <v>309</v>
      </c>
      <c r="D154" s="816"/>
      <c r="E154" s="816" t="s">
        <v>37</v>
      </c>
      <c r="F154" s="816" t="s">
        <v>142</v>
      </c>
      <c r="G154" s="594" t="str">
        <f>VLOOKUP(WWWW[[#This Row],[Site Name]],SiteDB6[[Site Name]:[Location Type]],8,FALSE)</f>
        <v>Camp</v>
      </c>
      <c r="H154" s="816" t="s">
        <v>2800</v>
      </c>
      <c r="I154" s="818">
        <v>39</v>
      </c>
      <c r="J154" s="818">
        <v>183</v>
      </c>
      <c r="K154" s="819"/>
      <c r="L154" s="820"/>
      <c r="M154" s="818"/>
      <c r="N154" s="818"/>
      <c r="O154" s="818"/>
      <c r="P154" s="818"/>
      <c r="Q154" s="821"/>
      <c r="R154" s="818"/>
      <c r="S154" s="818"/>
      <c r="T154" s="449"/>
      <c r="U154" s="818"/>
      <c r="V154" s="818"/>
      <c r="W154" s="818"/>
      <c r="X154" s="818"/>
      <c r="Y154" s="818"/>
      <c r="Z154" s="818"/>
      <c r="AA154" s="818"/>
      <c r="AB154" s="818"/>
      <c r="AC154" s="818"/>
      <c r="AD154" s="818"/>
      <c r="AE154" s="818"/>
      <c r="AF154" s="818"/>
      <c r="AG154" s="818"/>
      <c r="AH154" s="818"/>
      <c r="AI154" s="818"/>
      <c r="AJ154" s="818"/>
      <c r="AK154" s="818"/>
      <c r="AL154" s="818"/>
      <c r="AM154" s="818"/>
      <c r="AN154" s="818"/>
      <c r="AO154" s="818"/>
      <c r="AP154" s="822"/>
      <c r="AQ154" s="818"/>
      <c r="AR154" s="818"/>
      <c r="AS154" s="823"/>
      <c r="AT154" s="818"/>
      <c r="AU154" s="818"/>
      <c r="AV154" s="818"/>
      <c r="AW154" s="818"/>
      <c r="AX154" s="818"/>
      <c r="AY154" s="426" t="s">
        <v>140</v>
      </c>
      <c r="AZ154" s="891" t="s">
        <v>140</v>
      </c>
      <c r="BA154" s="818"/>
      <c r="BB154" s="818"/>
      <c r="BC154" s="818"/>
      <c r="BD154" s="449"/>
      <c r="BE154" s="449"/>
      <c r="BF154" s="817"/>
      <c r="BG154" s="818">
        <v>3</v>
      </c>
      <c r="BH154" s="818"/>
      <c r="BI154" s="818"/>
      <c r="BJ154" s="818">
        <v>2</v>
      </c>
      <c r="BK154" s="818"/>
      <c r="BL154" s="818"/>
      <c r="BM154" s="818"/>
      <c r="BN154" s="818">
        <v>10</v>
      </c>
      <c r="BO154" s="818">
        <v>18</v>
      </c>
      <c r="BP154" s="817"/>
      <c r="BQ154" s="824"/>
      <c r="BR154" s="823"/>
      <c r="BS154" s="817"/>
      <c r="BT154" s="424"/>
      <c r="BU154" s="424"/>
      <c r="BV154" s="426"/>
      <c r="BW154" s="424"/>
      <c r="BX154" s="449"/>
      <c r="BY154" s="449"/>
      <c r="BZ154" s="449"/>
      <c r="CA154" s="449"/>
      <c r="CB154" s="449"/>
      <c r="CC154" s="807"/>
      <c r="CD154" s="449"/>
      <c r="CE154" s="825" t="str">
        <f>IFERROR(WWWW[[#This Row],['#_Water sources passed]]/WWWW[[#This Row],['#_Water sources tested for fecal coliform ]],"no test")</f>
        <v>no test</v>
      </c>
      <c r="CF154" s="823" t="str">
        <f>IFERROR(WWWW[[#This Row],['#_Household passed]]/WWWW[[#This Row],['#_Household water samples tested for fecal coliform]],"no test")</f>
        <v>no test</v>
      </c>
      <c r="CG154" s="824" t="str">
        <f>IF(AND(WWWW[[#This Row],[% of water sources passed]]="no test",WWWW[[#This Row],[% Household passed]]="no test"),"No Test","Tested")</f>
        <v>No Test</v>
      </c>
      <c r="CH154" s="824">
        <f>WWWW[[#This Row],['#_Constructed/existing protected hand dug well]]-WWWW[[#This Row],['#_Non-functional protected hand dug well]]</f>
        <v>0</v>
      </c>
      <c r="CI154" s="824">
        <f>(WWWW[[#This Row],['#_Constructed/Existing tube wells/boreholes/handpumps_WASH_agency]]+WWWW[[#This Row],['#_Non-Cluster partner water tube-wells/boreholes/handpumps]])-WWWW[[#This Row],['#_Non-functional tube wells/boreholes/handpumps]]</f>
        <v>0</v>
      </c>
      <c r="CJ154" s="824">
        <f>WWWW[[#This Row],['#_Constructed/Existingwater storage tank with gravity fed reticulation system]]-WWWW[[#This Row],['#_Non-functional storage tank gravity fed reticulation system]]</f>
        <v>0</v>
      </c>
      <c r="CK154" s="824">
        <f>(WWWW[[#This Row],['#_Water_Liters_supplied_by_Water boating or water trucking]]/90)/15</f>
        <v>0</v>
      </c>
      <c r="CL154" s="824">
        <f>WWWW[[#This Row],['#_Water_Liters_from_Constructed/Existing water distribution system from river or natural spring]]/90/15</f>
        <v>0</v>
      </c>
      <c r="CM154" s="425">
        <f>IF(WWWW[[#This Row],['#_of water points in TLS/CFS]]*500&gt;WWWW[[#This Row],[Total PoP ]],WWWW[[#This Row],[Total PoP ]],WWWW[[#This Row],['#_of water points in TLS/CFS]]*500)</f>
        <v>0</v>
      </c>
      <c r="CN154" s="425">
        <f>IF(WWWW[[#This Row],['#_of water points in THF]]*500&gt;WWWW[[#This Row],[Total PoP ]],WWWW[[#This Row],[Total PoP ]],WWWW[[#This Row],['#_of water points in THF]]*500)</f>
        <v>0</v>
      </c>
      <c r="CO154"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4"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4" s="823">
        <f>IF(WWWW[[#This Row],[Location Type 1]]="Village",WWWW[[#This Row],[Access to safe drinking water for Village]],WWWW[[#This Row],[Access to safe drinking water for Camp]])</f>
        <v>0</v>
      </c>
      <c r="CR154" s="821">
        <f>WWWW[[#This Row],[%Equitable and continuous access to sufficient quantity of safe drinking water]]*WWWW[[#This Row],[Total PoP ]]</f>
        <v>0</v>
      </c>
      <c r="CS154" s="823">
        <f>IF((WWWW[[#This Row],['#_Constructed/Existing protected/fenced ponds]]*250)/WWWW[[#This Row],[Total PoP ]]&gt;1,1,(WWWW[[#This Row],['#_Constructed/Existing protected/fenced ponds]]*250)/WWWW[[#This Row],[Total PoP ]])</f>
        <v>0</v>
      </c>
      <c r="CT154" s="821">
        <f>WWWW[[#This Row],[% Access to unimproved water points]]*WWWW[[#This Row],[Total PoP ]]</f>
        <v>0</v>
      </c>
      <c r="CU154"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4"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4" s="821">
        <f>WWWW[[#This Row],[HRP1]]/500</f>
        <v>0</v>
      </c>
      <c r="CX154" s="826">
        <f>1-WWWW[[#This Row],[% Equitable and continuous access to sufficient quantity of domestic water]]</f>
        <v>1</v>
      </c>
      <c r="CY154" s="821">
        <f>WWWW[[#This Row],[%equitable and continuous access to sufficient quantity of safe drinking and domestic water''s GAP]]*WWWW[[#This Row],[Total PoP ]]</f>
        <v>183</v>
      </c>
      <c r="CZ154" s="824">
        <f>IF(WWWW[[#This Row],[Total required water points]]-WWWW[[#This Row],['#Water points coverage]]&lt;0,0,WWWW[[#This Row],[Total required water points]]-WWWW[[#This Row],['#Water points coverage]])</f>
        <v>1</v>
      </c>
      <c r="DA154" s="824">
        <f>ROUND(IF(WWWW[[#This Row],[Total PoP ]]&lt;500,1,WWWW[[#This Row],[Total PoP ]]/500),0)</f>
        <v>1</v>
      </c>
      <c r="DB154" s="824">
        <f>(WWWW[[#This Row],['#_Constructed latrines_by_WASHAgencies]]+WWWW[[#This Row],['#_Non Cluster partner latrines]])-WWWW[[#This Row],['#_Non-functional latrines]]</f>
        <v>0</v>
      </c>
      <c r="DC154" s="634">
        <f>WWWW[[#This Row],[HRP2]]/WWWW[[#This Row],[Total PoP ]]</f>
        <v>0</v>
      </c>
      <c r="DD154"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4"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4"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4" s="425">
        <f>IF(WWWW[[#This Row],['# of functional latrines in THF supported by WASH partners during the reporting period2]]="",0,WWWW[[#This Row],['# of functional latrines in THF supported by WASH partners during the reporting period2]]*50)</f>
        <v>0</v>
      </c>
      <c r="DH154" s="824">
        <f>ROUND(IF(WWWW[[#This Row],[Location Type 1]]="camp",WWWW[[#This Row],[Total PoP ]]/20,IF(WWWW[[#This Row],[Location Type 1]]="Temporary Location",WWWW[[#This Row],[Total PoP ]]/50,(WWWW[[#This Row],[Total PoP ]]/6))),0)</f>
        <v>9</v>
      </c>
      <c r="DI154" s="824">
        <f>IF(WWWW[[#This Row],[Total required Latrines]]-(WWWW[[#This Row],['#_Constructed latrines_by_WASHAgencies]]+WWWW[[#This Row],['#_Non Cluster partner latrines]])&lt;0,0,WWWW[[#This Row],[Total required Latrines]]-(WWWW[[#This Row],['#_Constructed latrines_by_WASHAgencies]]+WWWW[[#This Row],['#_Non Cluster partner latrines]]))</f>
        <v>9</v>
      </c>
      <c r="DJ154" s="826">
        <f>1-WWWW[[#This Row],[% people access to functioning Latrine]]</f>
        <v>1</v>
      </c>
      <c r="DK154" s="825">
        <f>IF(OR(WWWW[[#This Row],['#_Non-functional latrines]]="",WWWW[[#This Row],['#_Non-functional latrines]]=0),0,WWWW[[#This Row],['#_Non-functional latrines]]/(WWWW[[#This Row],['#_Constructed latrines_by_WASHAgencies]]+WWWW[[#This Row],['#_Non Cluster partner latrines]]))</f>
        <v>0</v>
      </c>
      <c r="DL154" s="821">
        <f>IF(500*(WWWW[[#This Row],['#_male hygiene promoters]]+WWWW[[#This Row],['#_female hygiene promoters]])&gt;WWWW[[#This Row],[Total PoP ]],WWWW[[#This Row],[Total PoP ]],500*(WWWW[[#This Row],['#_male hygiene promoters]]+WWWW[[#This Row],['#_female hygiene promoters]]))</f>
        <v>0</v>
      </c>
      <c r="DM154"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54"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54" s="824">
        <f>IF(WWWW[[#This Row],['# People with access to soap]]&gt;WWWW[[#This Row],['# People with access to Sanity Pads]],WWWW[[#This Row],['# People with access to soap]],WWWW[[#This Row],['# People with access to Sanity Pads]])</f>
        <v>50</v>
      </c>
      <c r="DP154" s="824">
        <f>IF(WWWW[[#This Row],['# people reached by regular dedicated hygiene promotion_5]]&gt;WWWW[[#This Row],['# People received regular supply of hygiene items_6]],WWWW[[#This Row],['# people reached by regular dedicated hygiene promotion_5]],WWWW[[#This Row],['# People received regular supply of hygiene items_6]])</f>
        <v>50</v>
      </c>
      <c r="DQ154" s="826">
        <f>IF(WWWW[[#This Row],[HRP3]]/WWWW[[#This Row],[Total PoP ]]&gt;1,1,WWWW[[#This Row],[HRP3]]/WWWW[[#This Row],[Total PoP ]])</f>
        <v>0.27322404371584702</v>
      </c>
      <c r="DR154" s="825">
        <f>1-WWWW[[#This Row],[Hygiene Coverage%]]</f>
        <v>0.72677595628415292</v>
      </c>
      <c r="DS154" s="823">
        <f>WWWW[[#This Row],['# people reached by regular dedicated hygiene promotion_5]]/WWWW[[#This Row],[Total PoP ]]</f>
        <v>0</v>
      </c>
      <c r="DT154"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4"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0.46153846153846156</v>
      </c>
      <c r="DV154" s="824">
        <f>WWWW[[#This Row],['#_Constructed/Existing hand washing stations]]-WWWW[[#This Row],['#_Non-Functional_hand_washing_stations]]</f>
        <v>3</v>
      </c>
      <c r="DW154" s="821">
        <f>IF(WWWW[[#This Row],['# Functional hand washing stations during reporting period]]*20&gt;WWWW[[#This Row],[Total HH]],WWWW[[#This Row],[Total HH]],WWWW[[#This Row],['# Functional hand washing stations during reporting period]]*20)</f>
        <v>39</v>
      </c>
      <c r="DX154" s="821">
        <f>IF(WWWW[[#This Row],[Is sufficient soap available for TLS? (Yes/No)]]="yes",WWWW[[#This Row],['#_Constructed/Existing hand washing stations at TLS/CFS/THF]],0)</f>
        <v>0</v>
      </c>
      <c r="DY154" s="429">
        <f>IF(WWWW[[#This Row],['# Functional hand washing stations during reporting period]]*100&gt;WWWW[[#This Row],[Total PoP ]],WWWW[[#This Row],[Total PoP ]],WWWW[[#This Row],['# Functional hand washing stations during reporting period]]*100)</f>
        <v>183</v>
      </c>
      <c r="DZ154" s="429" t="str">
        <f>IF(OR(WWWW[[#This Row],['#_students at TLS_CFS]]="",WWWW[[#This Row],['#_students at TLS_CFS]]=0),"No","Yes")</f>
        <v>No</v>
      </c>
      <c r="EA15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4" s="817">
        <f>VLOOKUP(WWWW[[#This Row],[Site Name]],SiteDB6[[Site Name]:[CCCM Management]],6,FALSE)</f>
        <v>0</v>
      </c>
      <c r="EF154" s="817" t="str">
        <f>VLOOKUP(WWWW[[#This Row],[Site Name]],SiteDB6[[Site Name]:[CCCM Focal Agency]],7,FALSE)</f>
        <v xml:space="preserve">Uncovered  </v>
      </c>
      <c r="EG154" s="817" t="str">
        <f>VLOOKUP(WWWW[[#This Row],[Site Name]],SiteDB6[[Site Name]:[Location Type 1]],9,FALSE)</f>
        <v>Camp</v>
      </c>
      <c r="EH154" s="817" t="str">
        <f>VLOOKUP(WWWW[[#This Row],[Site Name]],SiteDB6[[Site Name]:[Type of Accommodation]],10,FALSE)</f>
        <v>Temporarily removed</v>
      </c>
      <c r="EI154" s="817" t="str">
        <f>VLOOKUP(WWWW[[#This Row],[Site Name]],SiteDB6[[Site Name]:[Ethnic or GCA/NGCA]],11,FALSE)</f>
        <v>GCA</v>
      </c>
      <c r="EJ154" s="817">
        <f>VLOOKUP(WWWW[[#This Row],[Site Name]],SiteDB6[[Site Name]:[Lat]],12,FALSE)</f>
        <v>25.2057</v>
      </c>
      <c r="EK154" s="817">
        <f>VLOOKUP(WWWW[[#This Row],[Site Name]],SiteDB6[[Site Name]:[Long]],13,FALSE)</f>
        <v>97.262200000000007</v>
      </c>
      <c r="EL154" s="817" t="str">
        <f>VLOOKUP(WWWW[[#This Row],[Site Name]],SiteDB6[[Site Name]:[Pcode]],3,FALSE)</f>
        <v>MMR001CMP290</v>
      </c>
      <c r="EM154" s="822" t="str">
        <f t="shared" si="2"/>
        <v>Notcovered</v>
      </c>
      <c r="EN154" s="822"/>
      <c r="EO154" s="817">
        <f>VLOOKUP(WWWW[[#This Row],[Site Name]],SiteDB6[[Site Name]:[Pop
(Kachin/Shan-CCCM as of July 2021)]],16,FALSE)</f>
        <v>39</v>
      </c>
      <c r="EP154" s="817">
        <f>VLOOKUP(WWWW[[#This Row],[Site Name]],SiteDB6[[Site Name]:[Pop
(Kachin/Shan-CCCM as of July 2021)]],17,FALSE)</f>
        <v>183</v>
      </c>
    </row>
    <row r="155" spans="1:146" hidden="1">
      <c r="A155" s="752" t="s">
        <v>2785</v>
      </c>
      <c r="B155" s="752" t="s">
        <v>309</v>
      </c>
      <c r="C155" s="753" t="s">
        <v>309</v>
      </c>
      <c r="D155" s="753"/>
      <c r="E155" s="753" t="s">
        <v>37</v>
      </c>
      <c r="F155" s="753" t="s">
        <v>142</v>
      </c>
      <c r="G155" s="594" t="str">
        <f>VLOOKUP(WWWW[[#This Row],[Site Name]],SiteDB6[[Site Name]:[Location Type]],8,FALSE)</f>
        <v>Camp</v>
      </c>
      <c r="H155" s="753" t="s">
        <v>778</v>
      </c>
      <c r="I155" s="755">
        <v>45</v>
      </c>
      <c r="J155" s="755">
        <v>247</v>
      </c>
      <c r="K155" s="756" t="s">
        <v>2672</v>
      </c>
      <c r="L155" s="757" t="s">
        <v>2673</v>
      </c>
      <c r="M155" s="755"/>
      <c r="N155" s="755"/>
      <c r="O155" s="755"/>
      <c r="P155" s="755"/>
      <c r="Q155" s="758"/>
      <c r="R155" s="755"/>
      <c r="S155" s="755">
        <v>2</v>
      </c>
      <c r="T155" s="449"/>
      <c r="U155" s="755"/>
      <c r="V155" s="755"/>
      <c r="W155" s="755"/>
      <c r="X155" s="755"/>
      <c r="Y155" s="755"/>
      <c r="Z155" s="755"/>
      <c r="AA155" s="755"/>
      <c r="AB155" s="755"/>
      <c r="AC155" s="755"/>
      <c r="AD155" s="755"/>
      <c r="AE155" s="755"/>
      <c r="AF155" s="755"/>
      <c r="AG155" s="755"/>
      <c r="AH155" s="755"/>
      <c r="AI155" s="755"/>
      <c r="AJ155" s="755"/>
      <c r="AK155" s="755"/>
      <c r="AL155" s="755"/>
      <c r="AM155" s="755"/>
      <c r="AN155" s="755"/>
      <c r="AO155" s="755"/>
      <c r="AP155" s="759"/>
      <c r="AQ155" s="755"/>
      <c r="AR155" s="755"/>
      <c r="AS155" s="760"/>
      <c r="AT155" s="755"/>
      <c r="AU155" s="755"/>
      <c r="AV155" s="755"/>
      <c r="AW155" s="755"/>
      <c r="AX155" s="755"/>
      <c r="AY155" s="426" t="s">
        <v>140</v>
      </c>
      <c r="AZ155" s="891" t="s">
        <v>140</v>
      </c>
      <c r="BA155" s="755"/>
      <c r="BB155" s="755"/>
      <c r="BC155" s="755"/>
      <c r="BD155" s="449"/>
      <c r="BE155" s="449"/>
      <c r="BF155" s="754"/>
      <c r="BG155" s="755">
        <v>1</v>
      </c>
      <c r="BH155" s="755"/>
      <c r="BI155" s="755"/>
      <c r="BJ155" s="755">
        <v>3</v>
      </c>
      <c r="BK155" s="755"/>
      <c r="BL155" s="755"/>
      <c r="BM155" s="755"/>
      <c r="BN155" s="755">
        <v>41</v>
      </c>
      <c r="BO155" s="755">
        <v>85</v>
      </c>
      <c r="BP155" s="754"/>
      <c r="BQ155" s="761"/>
      <c r="BR155" s="760"/>
      <c r="BS155" s="754"/>
      <c r="BT155" s="424"/>
      <c r="BU155" s="424"/>
      <c r="BV155" s="426"/>
      <c r="BW155" s="424"/>
      <c r="BX155" s="449"/>
      <c r="BY155" s="449"/>
      <c r="BZ155" s="449"/>
      <c r="CA155" s="449"/>
      <c r="CB155" s="449"/>
      <c r="CC155" s="807"/>
      <c r="CD155" s="449"/>
      <c r="CE155" s="762" t="str">
        <f>IFERROR(WWWW[[#This Row],['#_Water sources passed]]/WWWW[[#This Row],['#_Water sources tested for fecal coliform ]],"no test")</f>
        <v>no test</v>
      </c>
      <c r="CF155" s="760" t="str">
        <f>IFERROR(WWWW[[#This Row],['#_Household passed]]/WWWW[[#This Row],['#_Household water samples tested for fecal coliform]],"no test")</f>
        <v>no test</v>
      </c>
      <c r="CG155" s="761" t="str">
        <f>IF(AND(WWWW[[#This Row],[% of water sources passed]]="no test",WWWW[[#This Row],[% Household passed]]="no test"),"No Test","Tested")</f>
        <v>No Test</v>
      </c>
      <c r="CH155" s="761">
        <f>WWWW[[#This Row],['#_Constructed/existing protected hand dug well]]-WWWW[[#This Row],['#_Non-functional protected hand dug well]]</f>
        <v>0</v>
      </c>
      <c r="CI155" s="761">
        <f>(WWWW[[#This Row],['#_Constructed/Existing tube wells/boreholes/handpumps_WASH_agency]]+WWWW[[#This Row],['#_Non-Cluster partner water tube-wells/boreholes/handpumps]])-WWWW[[#This Row],['#_Non-functional tube wells/boreholes/handpumps]]</f>
        <v>0</v>
      </c>
      <c r="CJ155" s="761">
        <f>WWWW[[#This Row],['#_Constructed/Existingwater storage tank with gravity fed reticulation system]]-WWWW[[#This Row],['#_Non-functional storage tank gravity fed reticulation system]]</f>
        <v>0</v>
      </c>
      <c r="CK155" s="761">
        <f>(WWWW[[#This Row],['#_Water_Liters_supplied_by_Water boating or water trucking]]/90)/15</f>
        <v>0</v>
      </c>
      <c r="CL155" s="761">
        <f>WWWW[[#This Row],['#_Water_Liters_from_Constructed/Existing water distribution system from river or natural spring]]/90/15</f>
        <v>0</v>
      </c>
      <c r="CM155" s="425">
        <f>IF(WWWW[[#This Row],['#_of water points in TLS/CFS]]*500&gt;WWWW[[#This Row],[Total PoP ]],WWWW[[#This Row],[Total PoP ]],WWWW[[#This Row],['#_of water points in TLS/CFS]]*500)</f>
        <v>0</v>
      </c>
      <c r="CN155" s="425">
        <f>IF(WWWW[[#This Row],['#_of water points in THF]]*500&gt;WWWW[[#This Row],[Total PoP ]],WWWW[[#This Row],[Total PoP ]],WWWW[[#This Row],['#_of water points in THF]]*500)</f>
        <v>0</v>
      </c>
      <c r="CO15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5" s="760">
        <f>IF(WWWW[[#This Row],[Location Type 1]]="Village",WWWW[[#This Row],[Access to safe drinking water for Village]],WWWW[[#This Row],[Access to safe drinking water for Camp]])</f>
        <v>0</v>
      </c>
      <c r="CR155" s="758">
        <f>WWWW[[#This Row],[%Equitable and continuous access to sufficient quantity of safe drinking water]]*WWWW[[#This Row],[Total PoP ]]</f>
        <v>0</v>
      </c>
      <c r="CS155" s="760">
        <f>IF((WWWW[[#This Row],['#_Constructed/Existing protected/fenced ponds]]*250)/WWWW[[#This Row],[Total PoP ]]&gt;1,1,(WWWW[[#This Row],['#_Constructed/Existing protected/fenced ponds]]*250)/WWWW[[#This Row],[Total PoP ]])</f>
        <v>0</v>
      </c>
      <c r="CT155" s="758">
        <f>WWWW[[#This Row],[% Access to unimproved water points]]*WWWW[[#This Row],[Total PoP ]]</f>
        <v>0</v>
      </c>
      <c r="CU15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5" s="758">
        <f>WWWW[[#This Row],[HRP1]]/500</f>
        <v>0</v>
      </c>
      <c r="CX155" s="763">
        <f>1-WWWW[[#This Row],[% Equitable and continuous access to sufficient quantity of domestic water]]</f>
        <v>1</v>
      </c>
      <c r="CY155" s="758">
        <f>WWWW[[#This Row],[%equitable and continuous access to sufficient quantity of safe drinking and domestic water''s GAP]]*WWWW[[#This Row],[Total PoP ]]</f>
        <v>247</v>
      </c>
      <c r="CZ155" s="761">
        <f>IF(WWWW[[#This Row],[Total required water points]]-WWWW[[#This Row],['#Water points coverage]]&lt;0,0,WWWW[[#This Row],[Total required water points]]-WWWW[[#This Row],['#Water points coverage]])</f>
        <v>1</v>
      </c>
      <c r="DA155" s="761">
        <f>ROUND(IF(WWWW[[#This Row],[Total PoP ]]&lt;500,1,WWWW[[#This Row],[Total PoP ]]/500),0)</f>
        <v>1</v>
      </c>
      <c r="DB155" s="761">
        <f>(WWWW[[#This Row],['#_Constructed latrines_by_WASHAgencies]]+WWWW[[#This Row],['#_Non Cluster partner latrines]])-WWWW[[#This Row],['#_Non-functional latrines]]</f>
        <v>0</v>
      </c>
      <c r="DC155" s="634">
        <f>WWWW[[#This Row],[HRP2]]/WWWW[[#This Row],[Total PoP ]]</f>
        <v>0</v>
      </c>
      <c r="DD15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5" s="425">
        <f>IF(WWWW[[#This Row],['# of functional latrines in THF supported by WASH partners during the reporting period2]]="",0,WWWW[[#This Row],['# of functional latrines in THF supported by WASH partners during the reporting period2]]*50)</f>
        <v>0</v>
      </c>
      <c r="DH155" s="761">
        <f>ROUND(IF(WWWW[[#This Row],[Location Type 1]]="camp",WWWW[[#This Row],[Total PoP ]]/20,IF(WWWW[[#This Row],[Location Type 1]]="Temporary Location",WWWW[[#This Row],[Total PoP ]]/50,(WWWW[[#This Row],[Total PoP ]]/6))),0)</f>
        <v>12</v>
      </c>
      <c r="DI155" s="761">
        <f>IF(WWWW[[#This Row],[Total required Latrines]]-(WWWW[[#This Row],['#_Constructed latrines_by_WASHAgencies]]+WWWW[[#This Row],['#_Non Cluster partner latrines]])&lt;0,0,WWWW[[#This Row],[Total required Latrines]]-(WWWW[[#This Row],['#_Constructed latrines_by_WASHAgencies]]+WWWW[[#This Row],['#_Non Cluster partner latrines]]))</f>
        <v>12</v>
      </c>
      <c r="DJ155" s="763">
        <f>1-WWWW[[#This Row],[% people access to functioning Latrine]]</f>
        <v>1</v>
      </c>
      <c r="DK155" s="762">
        <f>IF(OR(WWWW[[#This Row],['#_Non-functional latrines]]="",WWWW[[#This Row],['#_Non-functional latrines]]=0),0,WWWW[[#This Row],['#_Non-functional latrines]]/(WWWW[[#This Row],['#_Constructed latrines_by_WASHAgencies]]+WWWW[[#This Row],['#_Non Cluster partner latrines]]))</f>
        <v>0</v>
      </c>
      <c r="DL155" s="758">
        <f>IF(500*(WWWW[[#This Row],['#_male hygiene promoters]]+WWWW[[#This Row],['#_female hygiene promoters]])&gt;WWWW[[#This Row],[Total PoP ]],WWWW[[#This Row],[Total PoP ]],500*(WWWW[[#This Row],['#_male hygiene promoters]]+WWWW[[#This Row],['#_female hygiene promoters]]))</f>
        <v>0</v>
      </c>
      <c r="DM15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5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55" s="761">
        <f>IF(WWWW[[#This Row],['# People with access to soap]]&gt;WWWW[[#This Row],['# People with access to Sanity Pads]],WWWW[[#This Row],['# People with access to soap]],WWWW[[#This Row],['# People with access to Sanity Pads]])</f>
        <v>205</v>
      </c>
      <c r="DP155" s="761">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55" s="763">
        <f>IF(WWWW[[#This Row],[HRP3]]/WWWW[[#This Row],[Total PoP ]]&gt;1,1,WWWW[[#This Row],[HRP3]]/WWWW[[#This Row],[Total PoP ]])</f>
        <v>0.82995951417004044</v>
      </c>
      <c r="DR155" s="762">
        <f>1-WWWW[[#This Row],[Hygiene Coverage%]]</f>
        <v>0.17004048582995956</v>
      </c>
      <c r="DS155" s="760">
        <f>WWWW[[#This Row],['# people reached by regular dedicated hygiene promotion_5]]/WWWW[[#This Row],[Total PoP ]]</f>
        <v>0</v>
      </c>
      <c r="DT15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5" s="761">
        <f>WWWW[[#This Row],['#_Constructed/Existing hand washing stations]]-WWWW[[#This Row],['#_Non-Functional_hand_washing_stations]]</f>
        <v>1</v>
      </c>
      <c r="DW155" s="758">
        <f>IF(WWWW[[#This Row],['# Functional hand washing stations during reporting period]]*20&gt;WWWW[[#This Row],[Total HH]],WWWW[[#This Row],[Total HH]],WWWW[[#This Row],['# Functional hand washing stations during reporting period]]*20)</f>
        <v>20</v>
      </c>
      <c r="DX155" s="758">
        <f>IF(WWWW[[#This Row],[Is sufficient soap available for TLS? (Yes/No)]]="yes",WWWW[[#This Row],['#_Constructed/Existing hand washing stations at TLS/CFS/THF]],0)</f>
        <v>0</v>
      </c>
      <c r="DY155" s="429">
        <f>IF(WWWW[[#This Row],['# Functional hand washing stations during reporting period]]*100&gt;WWWW[[#This Row],[Total PoP ]],WWWW[[#This Row],[Total PoP ]],WWWW[[#This Row],['# Functional hand washing stations during reporting period]]*100)</f>
        <v>100</v>
      </c>
      <c r="DZ155" s="429" t="str">
        <f>IF(OR(WWWW[[#This Row],['#_students at TLS_CFS]]="",WWWW[[#This Row],['#_students at TLS_CFS]]=0),"No","Yes")</f>
        <v>No</v>
      </c>
      <c r="EA15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5" s="754">
        <f>VLOOKUP(WWWW[[#This Row],[Site Name]],SiteDB6[[Site Name]:[CCCM Management]],6,FALSE)</f>
        <v>0</v>
      </c>
      <c r="EF155" s="754" t="str">
        <f>VLOOKUP(WWWW[[#This Row],[Site Name]],SiteDB6[[Site Name]:[CCCM Focal Agency]],7,FALSE)</f>
        <v>uncovered</v>
      </c>
      <c r="EG155" s="754" t="str">
        <f>VLOOKUP(WWWW[[#This Row],[Site Name]],SiteDB6[[Site Name]:[Location Type 1]],9,FALSE)</f>
        <v>Camp</v>
      </c>
      <c r="EH155" s="754" t="str">
        <f>VLOOKUP(WWWW[[#This Row],[Site Name]],SiteDB6[[Site Name]:[Type of Accommodation]],10,FALSE)</f>
        <v>Camp like setting</v>
      </c>
      <c r="EI155" s="754" t="str">
        <f>VLOOKUP(WWWW[[#This Row],[Site Name]],SiteDB6[[Site Name]:[Ethnic or GCA/NGCA]],11,FALSE)</f>
        <v>GCA</v>
      </c>
      <c r="EJ155" s="754">
        <f>VLOOKUP(WWWW[[#This Row],[Site Name]],SiteDB6[[Site Name]:[Lat]],12,FALSE)</f>
        <v>25.391428000000001</v>
      </c>
      <c r="EK155" s="754">
        <f>VLOOKUP(WWWW[[#This Row],[Site Name]],SiteDB6[[Site Name]:[Long]],13,FALSE)</f>
        <v>97.898184999999998</v>
      </c>
      <c r="EL155" s="754" t="str">
        <f>VLOOKUP(WWWW[[#This Row],[Site Name]],SiteDB6[[Site Name]:[Pcode]],3,FALSE)</f>
        <v>MMR001CMP258</v>
      </c>
      <c r="EM155" s="759" t="str">
        <f t="shared" si="2"/>
        <v>Notcovered</v>
      </c>
      <c r="EN155" s="759"/>
      <c r="EO155" s="754">
        <f>VLOOKUP(WWWW[[#This Row],[Site Name]],SiteDB6[[Site Name]:[Pop
(Kachin/Shan-CCCM as of July 2021)]],16,FALSE)</f>
        <v>45</v>
      </c>
      <c r="EP155" s="754">
        <f>VLOOKUP(WWWW[[#This Row],[Site Name]],SiteDB6[[Site Name]:[Pop
(Kachin/Shan-CCCM as of July 2021)]],17,FALSE)</f>
        <v>247</v>
      </c>
    </row>
    <row r="156" spans="1:146" hidden="1">
      <c r="A156" s="752" t="s">
        <v>2785</v>
      </c>
      <c r="B156" s="752" t="s">
        <v>309</v>
      </c>
      <c r="C156" s="753" t="s">
        <v>309</v>
      </c>
      <c r="D156" s="816"/>
      <c r="E156" s="816" t="s">
        <v>37</v>
      </c>
      <c r="F156" s="816" t="s">
        <v>142</v>
      </c>
      <c r="G156" s="594" t="str">
        <f>VLOOKUP(WWWW[[#This Row],[Site Name]],SiteDB6[[Site Name]:[Location Type]],8,FALSE)</f>
        <v>Camp</v>
      </c>
      <c r="H156" s="816" t="s">
        <v>2798</v>
      </c>
      <c r="I156" s="818">
        <v>42</v>
      </c>
      <c r="J156" s="818">
        <v>231</v>
      </c>
      <c r="K156" s="819"/>
      <c r="L156" s="820"/>
      <c r="M156" s="818"/>
      <c r="N156" s="818"/>
      <c r="O156" s="818"/>
      <c r="P156" s="818"/>
      <c r="Q156" s="821"/>
      <c r="R156" s="818"/>
      <c r="S156" s="818"/>
      <c r="T156" s="449"/>
      <c r="U156" s="818"/>
      <c r="V156" s="818"/>
      <c r="W156" s="818"/>
      <c r="X156" s="818"/>
      <c r="Y156" s="818"/>
      <c r="Z156" s="818"/>
      <c r="AA156" s="818"/>
      <c r="AB156" s="818"/>
      <c r="AC156" s="818"/>
      <c r="AD156" s="818"/>
      <c r="AE156" s="818"/>
      <c r="AF156" s="818"/>
      <c r="AG156" s="818"/>
      <c r="AH156" s="818"/>
      <c r="AI156" s="818"/>
      <c r="AJ156" s="818"/>
      <c r="AK156" s="818"/>
      <c r="AL156" s="818"/>
      <c r="AM156" s="818"/>
      <c r="AN156" s="818"/>
      <c r="AO156" s="818"/>
      <c r="AP156" s="822"/>
      <c r="AQ156" s="818"/>
      <c r="AR156" s="818"/>
      <c r="AS156" s="823"/>
      <c r="AT156" s="818"/>
      <c r="AU156" s="818"/>
      <c r="AV156" s="818"/>
      <c r="AW156" s="818"/>
      <c r="AX156" s="818"/>
      <c r="AY156" s="426" t="s">
        <v>140</v>
      </c>
      <c r="AZ156" s="891" t="s">
        <v>140</v>
      </c>
      <c r="BA156" s="818"/>
      <c r="BB156" s="818"/>
      <c r="BC156" s="818"/>
      <c r="BD156" s="449"/>
      <c r="BE156" s="449"/>
      <c r="BF156" s="817"/>
      <c r="BG156" s="818">
        <v>8</v>
      </c>
      <c r="BH156" s="818"/>
      <c r="BI156" s="818"/>
      <c r="BJ156" s="818">
        <v>3</v>
      </c>
      <c r="BK156" s="818"/>
      <c r="BL156" s="818"/>
      <c r="BM156" s="818"/>
      <c r="BN156" s="818">
        <v>91</v>
      </c>
      <c r="BO156" s="818">
        <v>124</v>
      </c>
      <c r="BP156" s="817"/>
      <c r="BQ156" s="824"/>
      <c r="BR156" s="823"/>
      <c r="BS156" s="817"/>
      <c r="BT156" s="424"/>
      <c r="BU156" s="424"/>
      <c r="BV156" s="426"/>
      <c r="BW156" s="424"/>
      <c r="BX156" s="449"/>
      <c r="BY156" s="449"/>
      <c r="BZ156" s="449"/>
      <c r="CA156" s="449"/>
      <c r="CB156" s="449"/>
      <c r="CC156" s="807"/>
      <c r="CD156" s="449"/>
      <c r="CE156" s="825" t="str">
        <f>IFERROR(WWWW[[#This Row],['#_Water sources passed]]/WWWW[[#This Row],['#_Water sources tested for fecal coliform ]],"no test")</f>
        <v>no test</v>
      </c>
      <c r="CF156" s="823" t="str">
        <f>IFERROR(WWWW[[#This Row],['#_Household passed]]/WWWW[[#This Row],['#_Household water samples tested for fecal coliform]],"no test")</f>
        <v>no test</v>
      </c>
      <c r="CG156" s="824" t="str">
        <f>IF(AND(WWWW[[#This Row],[% of water sources passed]]="no test",WWWW[[#This Row],[% Household passed]]="no test"),"No Test","Tested")</f>
        <v>No Test</v>
      </c>
      <c r="CH156" s="824">
        <f>WWWW[[#This Row],['#_Constructed/existing protected hand dug well]]-WWWW[[#This Row],['#_Non-functional protected hand dug well]]</f>
        <v>0</v>
      </c>
      <c r="CI156" s="824">
        <f>(WWWW[[#This Row],['#_Constructed/Existing tube wells/boreholes/handpumps_WASH_agency]]+WWWW[[#This Row],['#_Non-Cluster partner water tube-wells/boreholes/handpumps]])-WWWW[[#This Row],['#_Non-functional tube wells/boreholes/handpumps]]</f>
        <v>0</v>
      </c>
      <c r="CJ156" s="824">
        <f>WWWW[[#This Row],['#_Constructed/Existingwater storage tank with gravity fed reticulation system]]-WWWW[[#This Row],['#_Non-functional storage tank gravity fed reticulation system]]</f>
        <v>0</v>
      </c>
      <c r="CK156" s="824">
        <f>(WWWW[[#This Row],['#_Water_Liters_supplied_by_Water boating or water trucking]]/90)/15</f>
        <v>0</v>
      </c>
      <c r="CL156" s="824">
        <f>WWWW[[#This Row],['#_Water_Liters_from_Constructed/Existing water distribution system from river or natural spring]]/90/15</f>
        <v>0</v>
      </c>
      <c r="CM156" s="425">
        <f>IF(WWWW[[#This Row],['#_of water points in TLS/CFS]]*500&gt;WWWW[[#This Row],[Total PoP ]],WWWW[[#This Row],[Total PoP ]],WWWW[[#This Row],['#_of water points in TLS/CFS]]*500)</f>
        <v>0</v>
      </c>
      <c r="CN156" s="425">
        <f>IF(WWWW[[#This Row],['#_of water points in THF]]*500&gt;WWWW[[#This Row],[Total PoP ]],WWWW[[#This Row],[Total PoP ]],WWWW[[#This Row],['#_of water points in THF]]*500)</f>
        <v>0</v>
      </c>
      <c r="CO156"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6"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6" s="823">
        <f>IF(WWWW[[#This Row],[Location Type 1]]="Village",WWWW[[#This Row],[Access to safe drinking water for Village]],WWWW[[#This Row],[Access to safe drinking water for Camp]])</f>
        <v>0</v>
      </c>
      <c r="CR156" s="821">
        <f>WWWW[[#This Row],[%Equitable and continuous access to sufficient quantity of safe drinking water]]*WWWW[[#This Row],[Total PoP ]]</f>
        <v>0</v>
      </c>
      <c r="CS156" s="823">
        <f>IF((WWWW[[#This Row],['#_Constructed/Existing protected/fenced ponds]]*250)/WWWW[[#This Row],[Total PoP ]]&gt;1,1,(WWWW[[#This Row],['#_Constructed/Existing protected/fenced ponds]]*250)/WWWW[[#This Row],[Total PoP ]])</f>
        <v>0</v>
      </c>
      <c r="CT156" s="821">
        <f>WWWW[[#This Row],[% Access to unimproved water points]]*WWWW[[#This Row],[Total PoP ]]</f>
        <v>0</v>
      </c>
      <c r="CU156"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6"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6" s="821">
        <f>WWWW[[#This Row],[HRP1]]/500</f>
        <v>0</v>
      </c>
      <c r="CX156" s="826">
        <f>1-WWWW[[#This Row],[% Equitable and continuous access to sufficient quantity of domestic water]]</f>
        <v>1</v>
      </c>
      <c r="CY156" s="821">
        <f>WWWW[[#This Row],[%equitable and continuous access to sufficient quantity of safe drinking and domestic water''s GAP]]*WWWW[[#This Row],[Total PoP ]]</f>
        <v>231</v>
      </c>
      <c r="CZ156" s="824">
        <f>IF(WWWW[[#This Row],[Total required water points]]-WWWW[[#This Row],['#Water points coverage]]&lt;0,0,WWWW[[#This Row],[Total required water points]]-WWWW[[#This Row],['#Water points coverage]])</f>
        <v>1</v>
      </c>
      <c r="DA156" s="824">
        <f>ROUND(IF(WWWW[[#This Row],[Total PoP ]]&lt;500,1,WWWW[[#This Row],[Total PoP ]]/500),0)</f>
        <v>1</v>
      </c>
      <c r="DB156" s="824">
        <f>(WWWW[[#This Row],['#_Constructed latrines_by_WASHAgencies]]+WWWW[[#This Row],['#_Non Cluster partner latrines]])-WWWW[[#This Row],['#_Non-functional latrines]]</f>
        <v>0</v>
      </c>
      <c r="DC156" s="634">
        <f>WWWW[[#This Row],[HRP2]]/WWWW[[#This Row],[Total PoP ]]</f>
        <v>0</v>
      </c>
      <c r="DD156"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6"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6"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6" s="425">
        <f>IF(WWWW[[#This Row],['# of functional latrines in THF supported by WASH partners during the reporting period2]]="",0,WWWW[[#This Row],['# of functional latrines in THF supported by WASH partners during the reporting period2]]*50)</f>
        <v>0</v>
      </c>
      <c r="DH156" s="824">
        <f>ROUND(IF(WWWW[[#This Row],[Location Type 1]]="camp",WWWW[[#This Row],[Total PoP ]]/20,IF(WWWW[[#This Row],[Location Type 1]]="Temporary Location",WWWW[[#This Row],[Total PoP ]]/50,(WWWW[[#This Row],[Total PoP ]]/6))),0)</f>
        <v>12</v>
      </c>
      <c r="DI156" s="824">
        <f>IF(WWWW[[#This Row],[Total required Latrines]]-(WWWW[[#This Row],['#_Constructed latrines_by_WASHAgencies]]+WWWW[[#This Row],['#_Non Cluster partner latrines]])&lt;0,0,WWWW[[#This Row],[Total required Latrines]]-(WWWW[[#This Row],['#_Constructed latrines_by_WASHAgencies]]+WWWW[[#This Row],['#_Non Cluster partner latrines]]))</f>
        <v>12</v>
      </c>
      <c r="DJ156" s="826">
        <f>1-WWWW[[#This Row],[% people access to functioning Latrine]]</f>
        <v>1</v>
      </c>
      <c r="DK156" s="825">
        <f>IF(OR(WWWW[[#This Row],['#_Non-functional latrines]]="",WWWW[[#This Row],['#_Non-functional latrines]]=0),0,WWWW[[#This Row],['#_Non-functional latrines]]/(WWWW[[#This Row],['#_Constructed latrines_by_WASHAgencies]]+WWWW[[#This Row],['#_Non Cluster partner latrines]]))</f>
        <v>0</v>
      </c>
      <c r="DL156" s="821">
        <f>IF(500*(WWWW[[#This Row],['#_male hygiene promoters]]+WWWW[[#This Row],['#_female hygiene promoters]])&gt;WWWW[[#This Row],[Total PoP ]],WWWW[[#This Row],[Total PoP ]],500*(WWWW[[#This Row],['#_male hygiene promoters]]+WWWW[[#This Row],['#_female hygiene promoters]]))</f>
        <v>0</v>
      </c>
      <c r="DM156"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231</v>
      </c>
      <c r="DN156"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56" s="824">
        <f>IF(WWWW[[#This Row],['# People with access to soap]]&gt;WWWW[[#This Row],['# People with access to Sanity Pads]],WWWW[[#This Row],['# People with access to soap]],WWWW[[#This Row],['# People with access to Sanity Pads]])</f>
        <v>231</v>
      </c>
      <c r="DP156" s="824">
        <f>IF(WWWW[[#This Row],['# people reached by regular dedicated hygiene promotion_5]]&gt;WWWW[[#This Row],['# People received regular supply of hygiene items_6]],WWWW[[#This Row],['# people reached by regular dedicated hygiene promotion_5]],WWWW[[#This Row],['# People received regular supply of hygiene items_6]])</f>
        <v>231</v>
      </c>
      <c r="DQ156" s="826">
        <f>IF(WWWW[[#This Row],[HRP3]]/WWWW[[#This Row],[Total PoP ]]&gt;1,1,WWWW[[#This Row],[HRP3]]/WWWW[[#This Row],[Total PoP ]])</f>
        <v>1</v>
      </c>
      <c r="DR156" s="825">
        <f>1-WWWW[[#This Row],[Hygiene Coverage%]]</f>
        <v>0</v>
      </c>
      <c r="DS156" s="823">
        <f>WWWW[[#This Row],['# people reached by regular dedicated hygiene promotion_5]]/WWWW[[#This Row],[Total PoP ]]</f>
        <v>0</v>
      </c>
      <c r="DT156"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6"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6" s="824">
        <f>WWWW[[#This Row],['#_Constructed/Existing hand washing stations]]-WWWW[[#This Row],['#_Non-Functional_hand_washing_stations]]</f>
        <v>8</v>
      </c>
      <c r="DW156" s="821">
        <f>IF(WWWW[[#This Row],['# Functional hand washing stations during reporting period]]*20&gt;WWWW[[#This Row],[Total HH]],WWWW[[#This Row],[Total HH]],WWWW[[#This Row],['# Functional hand washing stations during reporting period]]*20)</f>
        <v>42</v>
      </c>
      <c r="DX156" s="821">
        <f>IF(WWWW[[#This Row],[Is sufficient soap available for TLS? (Yes/No)]]="yes",WWWW[[#This Row],['#_Constructed/Existing hand washing stations at TLS/CFS/THF]],0)</f>
        <v>0</v>
      </c>
      <c r="DY156" s="429">
        <f>IF(WWWW[[#This Row],['# Functional hand washing stations during reporting period]]*100&gt;WWWW[[#This Row],[Total PoP ]],WWWW[[#This Row],[Total PoP ]],WWWW[[#This Row],['# Functional hand washing stations during reporting period]]*100)</f>
        <v>231</v>
      </c>
      <c r="DZ156" s="429" t="str">
        <f>IF(OR(WWWW[[#This Row],['#_students at TLS_CFS]]="",WWWW[[#This Row],['#_students at TLS_CFS]]=0),"No","Yes")</f>
        <v>No</v>
      </c>
      <c r="EA15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6" s="817">
        <f>VLOOKUP(WWWW[[#This Row],[Site Name]],SiteDB6[[Site Name]:[CCCM Management]],6,FALSE)</f>
        <v>0</v>
      </c>
      <c r="EF156" s="817" t="str">
        <f>VLOOKUP(WWWW[[#This Row],[Site Name]],SiteDB6[[Site Name]:[CCCM Focal Agency]],7,FALSE)</f>
        <v xml:space="preserve">Uncovered  </v>
      </c>
      <c r="EG156" s="817" t="str">
        <f>VLOOKUP(WWWW[[#This Row],[Site Name]],SiteDB6[[Site Name]:[Location Type 1]],9,FALSE)</f>
        <v>Camp</v>
      </c>
      <c r="EH156" s="817" t="str">
        <f>VLOOKUP(WWWW[[#This Row],[Site Name]],SiteDB6[[Site Name]:[Type of Accommodation]],10,FALSE)</f>
        <v>Closed Camp</v>
      </c>
      <c r="EI156" s="817" t="str">
        <f>VLOOKUP(WWWW[[#This Row],[Site Name]],SiteDB6[[Site Name]:[Ethnic or GCA/NGCA]],11,FALSE)</f>
        <v>GCA</v>
      </c>
      <c r="EJ156" s="817">
        <f>VLOOKUP(WWWW[[#This Row],[Site Name]],SiteDB6[[Site Name]:[Lat]],12,FALSE)</f>
        <v>25.211600000000001</v>
      </c>
      <c r="EK156" s="817">
        <f>VLOOKUP(WWWW[[#This Row],[Site Name]],SiteDB6[[Site Name]:[Long]],13,FALSE)</f>
        <v>97.262799999999999</v>
      </c>
      <c r="EL156" s="817" t="str">
        <f>VLOOKUP(WWWW[[#This Row],[Site Name]],SiteDB6[[Site Name]:[Pcode]],3,FALSE)</f>
        <v>MMR001CMP288</v>
      </c>
      <c r="EM156" s="822" t="str">
        <f t="shared" si="2"/>
        <v>Notcovered</v>
      </c>
      <c r="EN156" s="822"/>
      <c r="EO156" s="817">
        <f>VLOOKUP(WWWW[[#This Row],[Site Name]],SiteDB6[[Site Name]:[Pop
(Kachin/Shan-CCCM as of July 2021)]],16,FALSE)</f>
        <v>42</v>
      </c>
      <c r="EP156" s="817">
        <f>VLOOKUP(WWWW[[#This Row],[Site Name]],SiteDB6[[Site Name]:[Pop
(Kachin/Shan-CCCM as of July 2021)]],17,FALSE)</f>
        <v>231</v>
      </c>
    </row>
    <row r="157" spans="1:146" hidden="1">
      <c r="A157" s="752" t="s">
        <v>2785</v>
      </c>
      <c r="B157" s="752" t="s">
        <v>309</v>
      </c>
      <c r="C157" s="753" t="s">
        <v>309</v>
      </c>
      <c r="D157" s="816"/>
      <c r="E157" s="816" t="s">
        <v>37</v>
      </c>
      <c r="F157" s="816" t="s">
        <v>142</v>
      </c>
      <c r="G157" s="594" t="str">
        <f>VLOOKUP(WWWW[[#This Row],[Site Name]],SiteDB6[[Site Name]:[Location Type]],8,FALSE)</f>
        <v>Camp</v>
      </c>
      <c r="H157" s="816" t="s">
        <v>2797</v>
      </c>
      <c r="I157" s="818">
        <v>27</v>
      </c>
      <c r="J157" s="818">
        <v>139</v>
      </c>
      <c r="K157" s="819"/>
      <c r="L157" s="820"/>
      <c r="M157" s="818"/>
      <c r="N157" s="818"/>
      <c r="O157" s="818"/>
      <c r="P157" s="818"/>
      <c r="Q157" s="821"/>
      <c r="R157" s="818"/>
      <c r="S157" s="818"/>
      <c r="T157" s="449"/>
      <c r="U157" s="818"/>
      <c r="V157" s="818"/>
      <c r="W157" s="818"/>
      <c r="X157" s="818"/>
      <c r="Y157" s="818"/>
      <c r="Z157" s="818"/>
      <c r="AA157" s="818"/>
      <c r="AB157" s="818"/>
      <c r="AC157" s="818"/>
      <c r="AD157" s="818"/>
      <c r="AE157" s="818"/>
      <c r="AF157" s="818"/>
      <c r="AG157" s="818"/>
      <c r="AH157" s="818"/>
      <c r="AI157" s="818"/>
      <c r="AJ157" s="818"/>
      <c r="AK157" s="818"/>
      <c r="AL157" s="818"/>
      <c r="AM157" s="818"/>
      <c r="AN157" s="818"/>
      <c r="AO157" s="818"/>
      <c r="AP157" s="822"/>
      <c r="AQ157" s="818"/>
      <c r="AR157" s="818"/>
      <c r="AS157" s="823"/>
      <c r="AT157" s="818"/>
      <c r="AU157" s="818"/>
      <c r="AV157" s="818"/>
      <c r="AW157" s="818"/>
      <c r="AX157" s="818"/>
      <c r="AY157" s="426" t="s">
        <v>140</v>
      </c>
      <c r="AZ157" s="891" t="s">
        <v>140</v>
      </c>
      <c r="BA157" s="818"/>
      <c r="BB157" s="818"/>
      <c r="BC157" s="818"/>
      <c r="BD157" s="449"/>
      <c r="BE157" s="449"/>
      <c r="BF157" s="817"/>
      <c r="BG157" s="818">
        <v>7</v>
      </c>
      <c r="BH157" s="818"/>
      <c r="BI157" s="818"/>
      <c r="BJ157" s="818">
        <v>7</v>
      </c>
      <c r="BK157" s="818"/>
      <c r="BL157" s="818"/>
      <c r="BM157" s="818"/>
      <c r="BN157" s="818">
        <v>104</v>
      </c>
      <c r="BO157" s="818">
        <v>148</v>
      </c>
      <c r="BP157" s="817"/>
      <c r="BQ157" s="824"/>
      <c r="BR157" s="823"/>
      <c r="BS157" s="817"/>
      <c r="BT157" s="424"/>
      <c r="BU157" s="424"/>
      <c r="BV157" s="426"/>
      <c r="BW157" s="424"/>
      <c r="BX157" s="449"/>
      <c r="BY157" s="449"/>
      <c r="BZ157" s="449"/>
      <c r="CA157" s="449"/>
      <c r="CB157" s="449"/>
      <c r="CC157" s="807"/>
      <c r="CD157" s="449"/>
      <c r="CE157" s="825" t="str">
        <f>IFERROR(WWWW[[#This Row],['#_Water sources passed]]/WWWW[[#This Row],['#_Water sources tested for fecal coliform ]],"no test")</f>
        <v>no test</v>
      </c>
      <c r="CF157" s="823" t="str">
        <f>IFERROR(WWWW[[#This Row],['#_Household passed]]/WWWW[[#This Row],['#_Household water samples tested for fecal coliform]],"no test")</f>
        <v>no test</v>
      </c>
      <c r="CG157" s="824" t="str">
        <f>IF(AND(WWWW[[#This Row],[% of water sources passed]]="no test",WWWW[[#This Row],[% Household passed]]="no test"),"No Test","Tested")</f>
        <v>No Test</v>
      </c>
      <c r="CH157" s="824">
        <f>WWWW[[#This Row],['#_Constructed/existing protected hand dug well]]-WWWW[[#This Row],['#_Non-functional protected hand dug well]]</f>
        <v>0</v>
      </c>
      <c r="CI157" s="824">
        <f>(WWWW[[#This Row],['#_Constructed/Existing tube wells/boreholes/handpumps_WASH_agency]]+WWWW[[#This Row],['#_Non-Cluster partner water tube-wells/boreholes/handpumps]])-WWWW[[#This Row],['#_Non-functional tube wells/boreholes/handpumps]]</f>
        <v>0</v>
      </c>
      <c r="CJ157" s="824">
        <f>WWWW[[#This Row],['#_Constructed/Existingwater storage tank with gravity fed reticulation system]]-WWWW[[#This Row],['#_Non-functional storage tank gravity fed reticulation system]]</f>
        <v>0</v>
      </c>
      <c r="CK157" s="824">
        <f>(WWWW[[#This Row],['#_Water_Liters_supplied_by_Water boating or water trucking]]/90)/15</f>
        <v>0</v>
      </c>
      <c r="CL157" s="824">
        <f>WWWW[[#This Row],['#_Water_Liters_from_Constructed/Existing water distribution system from river or natural spring]]/90/15</f>
        <v>0</v>
      </c>
      <c r="CM157" s="425">
        <f>IF(WWWW[[#This Row],['#_of water points in TLS/CFS]]*500&gt;WWWW[[#This Row],[Total PoP ]],WWWW[[#This Row],[Total PoP ]],WWWW[[#This Row],['#_of water points in TLS/CFS]]*500)</f>
        <v>0</v>
      </c>
      <c r="CN157" s="425">
        <f>IF(WWWW[[#This Row],['#_of water points in THF]]*500&gt;WWWW[[#This Row],[Total PoP ]],WWWW[[#This Row],[Total PoP ]],WWWW[[#This Row],['#_of water points in THF]]*500)</f>
        <v>0</v>
      </c>
      <c r="CO157"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7"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7" s="823">
        <f>IF(WWWW[[#This Row],[Location Type 1]]="Village",WWWW[[#This Row],[Access to safe drinking water for Village]],WWWW[[#This Row],[Access to safe drinking water for Camp]])</f>
        <v>0</v>
      </c>
      <c r="CR157" s="821">
        <f>WWWW[[#This Row],[%Equitable and continuous access to sufficient quantity of safe drinking water]]*WWWW[[#This Row],[Total PoP ]]</f>
        <v>0</v>
      </c>
      <c r="CS157" s="823">
        <f>IF((WWWW[[#This Row],['#_Constructed/Existing protected/fenced ponds]]*250)/WWWW[[#This Row],[Total PoP ]]&gt;1,1,(WWWW[[#This Row],['#_Constructed/Existing protected/fenced ponds]]*250)/WWWW[[#This Row],[Total PoP ]])</f>
        <v>0</v>
      </c>
      <c r="CT157" s="821">
        <f>WWWW[[#This Row],[% Access to unimproved water points]]*WWWW[[#This Row],[Total PoP ]]</f>
        <v>0</v>
      </c>
      <c r="CU157"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7"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7" s="821">
        <f>WWWW[[#This Row],[HRP1]]/500</f>
        <v>0</v>
      </c>
      <c r="CX157" s="826">
        <f>1-WWWW[[#This Row],[% Equitable and continuous access to sufficient quantity of domestic water]]</f>
        <v>1</v>
      </c>
      <c r="CY157" s="821">
        <f>WWWW[[#This Row],[%equitable and continuous access to sufficient quantity of safe drinking and domestic water''s GAP]]*WWWW[[#This Row],[Total PoP ]]</f>
        <v>139</v>
      </c>
      <c r="CZ157" s="824">
        <f>IF(WWWW[[#This Row],[Total required water points]]-WWWW[[#This Row],['#Water points coverage]]&lt;0,0,WWWW[[#This Row],[Total required water points]]-WWWW[[#This Row],['#Water points coverage]])</f>
        <v>1</v>
      </c>
      <c r="DA157" s="824">
        <f>ROUND(IF(WWWW[[#This Row],[Total PoP ]]&lt;500,1,WWWW[[#This Row],[Total PoP ]]/500),0)</f>
        <v>1</v>
      </c>
      <c r="DB157" s="824">
        <f>(WWWW[[#This Row],['#_Constructed latrines_by_WASHAgencies]]+WWWW[[#This Row],['#_Non Cluster partner latrines]])-WWWW[[#This Row],['#_Non-functional latrines]]</f>
        <v>0</v>
      </c>
      <c r="DC157" s="634">
        <f>WWWW[[#This Row],[HRP2]]/WWWW[[#This Row],[Total PoP ]]</f>
        <v>0</v>
      </c>
      <c r="DD157"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7"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7"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7" s="425">
        <f>IF(WWWW[[#This Row],['# of functional latrines in THF supported by WASH partners during the reporting period2]]="",0,WWWW[[#This Row],['# of functional latrines in THF supported by WASH partners during the reporting period2]]*50)</f>
        <v>0</v>
      </c>
      <c r="DH157" s="824">
        <f>ROUND(IF(WWWW[[#This Row],[Location Type 1]]="camp",WWWW[[#This Row],[Total PoP ]]/20,IF(WWWW[[#This Row],[Location Type 1]]="Temporary Location",WWWW[[#This Row],[Total PoP ]]/50,(WWWW[[#This Row],[Total PoP ]]/6))),0)</f>
        <v>7</v>
      </c>
      <c r="DI157" s="824">
        <f>IF(WWWW[[#This Row],[Total required Latrines]]-(WWWW[[#This Row],['#_Constructed latrines_by_WASHAgencies]]+WWWW[[#This Row],['#_Non Cluster partner latrines]])&lt;0,0,WWWW[[#This Row],[Total required Latrines]]-(WWWW[[#This Row],['#_Constructed latrines_by_WASHAgencies]]+WWWW[[#This Row],['#_Non Cluster partner latrines]]))</f>
        <v>7</v>
      </c>
      <c r="DJ157" s="826">
        <f>1-WWWW[[#This Row],[% people access to functioning Latrine]]</f>
        <v>1</v>
      </c>
      <c r="DK157" s="825">
        <f>IF(OR(WWWW[[#This Row],['#_Non-functional latrines]]="",WWWW[[#This Row],['#_Non-functional latrines]]=0),0,WWWW[[#This Row],['#_Non-functional latrines]]/(WWWW[[#This Row],['#_Constructed latrines_by_WASHAgencies]]+WWWW[[#This Row],['#_Non Cluster partner latrines]]))</f>
        <v>0</v>
      </c>
      <c r="DL157" s="821">
        <f>IF(500*(WWWW[[#This Row],['#_male hygiene promoters]]+WWWW[[#This Row],['#_female hygiene promoters]])&gt;WWWW[[#This Row],[Total PoP ]],WWWW[[#This Row],[Total PoP ]],500*(WWWW[[#This Row],['#_male hygiene promoters]]+WWWW[[#This Row],['#_female hygiene promoters]]))</f>
        <v>0</v>
      </c>
      <c r="DM157"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139</v>
      </c>
      <c r="DN157"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139</v>
      </c>
      <c r="DO157" s="824">
        <f>IF(WWWW[[#This Row],['# People with access to soap]]&gt;WWWW[[#This Row],['# People with access to Sanity Pads]],WWWW[[#This Row],['# People with access to soap]],WWWW[[#This Row],['# People with access to Sanity Pads]])</f>
        <v>139</v>
      </c>
      <c r="DP157" s="824">
        <f>IF(WWWW[[#This Row],['# people reached by regular dedicated hygiene promotion_5]]&gt;WWWW[[#This Row],['# People received regular supply of hygiene items_6]],WWWW[[#This Row],['# people reached by regular dedicated hygiene promotion_5]],WWWW[[#This Row],['# People received regular supply of hygiene items_6]])</f>
        <v>139</v>
      </c>
      <c r="DQ157" s="826">
        <f>IF(WWWW[[#This Row],[HRP3]]/WWWW[[#This Row],[Total PoP ]]&gt;1,1,WWWW[[#This Row],[HRP3]]/WWWW[[#This Row],[Total PoP ]])</f>
        <v>1</v>
      </c>
      <c r="DR157" s="825">
        <f>1-WWWW[[#This Row],[Hygiene Coverage%]]</f>
        <v>0</v>
      </c>
      <c r="DS157" s="823">
        <f>WWWW[[#This Row],['# people reached by regular dedicated hygiene promotion_5]]/WWWW[[#This Row],[Total PoP ]]</f>
        <v>0</v>
      </c>
      <c r="DT157"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7"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7" s="824">
        <f>WWWW[[#This Row],['#_Constructed/Existing hand washing stations]]-WWWW[[#This Row],['#_Non-Functional_hand_washing_stations]]</f>
        <v>7</v>
      </c>
      <c r="DW157" s="821">
        <f>IF(WWWW[[#This Row],['# Functional hand washing stations during reporting period]]*20&gt;WWWW[[#This Row],[Total HH]],WWWW[[#This Row],[Total HH]],WWWW[[#This Row],['# Functional hand washing stations during reporting period]]*20)</f>
        <v>27</v>
      </c>
      <c r="DX157" s="821">
        <f>IF(WWWW[[#This Row],[Is sufficient soap available for TLS? (Yes/No)]]="yes",WWWW[[#This Row],['#_Constructed/Existing hand washing stations at TLS/CFS/THF]],0)</f>
        <v>0</v>
      </c>
      <c r="DY157" s="429">
        <f>IF(WWWW[[#This Row],['# Functional hand washing stations during reporting period]]*100&gt;WWWW[[#This Row],[Total PoP ]],WWWW[[#This Row],[Total PoP ]],WWWW[[#This Row],['# Functional hand washing stations during reporting period]]*100)</f>
        <v>139</v>
      </c>
      <c r="DZ157" s="429" t="str">
        <f>IF(OR(WWWW[[#This Row],['#_students at TLS_CFS]]="",WWWW[[#This Row],['#_students at TLS_CFS]]=0),"No","Yes")</f>
        <v>No</v>
      </c>
      <c r="EA15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7" s="817">
        <f>VLOOKUP(WWWW[[#This Row],[Site Name]],SiteDB6[[Site Name]:[CCCM Management]],6,FALSE)</f>
        <v>0</v>
      </c>
      <c r="EF157" s="817" t="str">
        <f>VLOOKUP(WWWW[[#This Row],[Site Name]],SiteDB6[[Site Name]:[CCCM Focal Agency]],7,FALSE)</f>
        <v xml:space="preserve">Uncovered  </v>
      </c>
      <c r="EG157" s="817" t="str">
        <f>VLOOKUP(WWWW[[#This Row],[Site Name]],SiteDB6[[Site Name]:[Location Type 1]],9,FALSE)</f>
        <v>Camp</v>
      </c>
      <c r="EH157" s="817" t="str">
        <f>VLOOKUP(WWWW[[#This Row],[Site Name]],SiteDB6[[Site Name]:[Type of Accommodation]],10,FALSE)</f>
        <v>Camp like setting</v>
      </c>
      <c r="EI157" s="817" t="str">
        <f>VLOOKUP(WWWW[[#This Row],[Site Name]],SiteDB6[[Site Name]:[Ethnic or GCA/NGCA]],11,FALSE)</f>
        <v>GCA</v>
      </c>
      <c r="EJ157" s="817">
        <f>VLOOKUP(WWWW[[#This Row],[Site Name]],SiteDB6[[Site Name]:[Lat]],12,FALSE)</f>
        <v>25.211500000000001</v>
      </c>
      <c r="EK157" s="817">
        <f>VLOOKUP(WWWW[[#This Row],[Site Name]],SiteDB6[[Site Name]:[Long]],13,FALSE)</f>
        <v>97.261799999999994</v>
      </c>
      <c r="EL157" s="817" t="str">
        <f>VLOOKUP(WWWW[[#This Row],[Site Name]],SiteDB6[[Site Name]:[Pcode]],3,FALSE)</f>
        <v>MMR001CMP287</v>
      </c>
      <c r="EM157" s="822" t="str">
        <f t="shared" si="2"/>
        <v>Notcovered</v>
      </c>
      <c r="EN157" s="822"/>
      <c r="EO157" s="817">
        <f>VLOOKUP(WWWW[[#This Row],[Site Name]],SiteDB6[[Site Name]:[Pop
(Kachin/Shan-CCCM as of July 2021)]],16,FALSE)</f>
        <v>27</v>
      </c>
      <c r="EP157" s="817">
        <f>VLOOKUP(WWWW[[#This Row],[Site Name]],SiteDB6[[Site Name]:[Pop
(Kachin/Shan-CCCM as of July 2021)]],17,FALSE)</f>
        <v>139</v>
      </c>
    </row>
    <row r="158" spans="1:146" hidden="1">
      <c r="A158" s="752" t="s">
        <v>2785</v>
      </c>
      <c r="B158" s="752" t="s">
        <v>309</v>
      </c>
      <c r="C158" s="753" t="s">
        <v>309</v>
      </c>
      <c r="D158" s="816"/>
      <c r="E158" s="816" t="s">
        <v>37</v>
      </c>
      <c r="F158" s="816" t="s">
        <v>142</v>
      </c>
      <c r="G158" s="594" t="str">
        <f>VLOOKUP(WWWW[[#This Row],[Site Name]],SiteDB6[[Site Name]:[Location Type]],8,FALSE)</f>
        <v>Camp</v>
      </c>
      <c r="H158" s="816" t="s">
        <v>2801</v>
      </c>
      <c r="I158" s="818">
        <v>45</v>
      </c>
      <c r="J158" s="818">
        <v>247</v>
      </c>
      <c r="K158" s="819"/>
      <c r="L158" s="820"/>
      <c r="M158" s="818"/>
      <c r="N158" s="818"/>
      <c r="O158" s="818"/>
      <c r="P158" s="818"/>
      <c r="Q158" s="821"/>
      <c r="R158" s="818"/>
      <c r="S158" s="818"/>
      <c r="T158" s="449"/>
      <c r="U158" s="818"/>
      <c r="V158" s="818"/>
      <c r="W158" s="818"/>
      <c r="X158" s="818"/>
      <c r="Y158" s="818"/>
      <c r="Z158" s="818"/>
      <c r="AA158" s="818"/>
      <c r="AB158" s="818"/>
      <c r="AC158" s="818"/>
      <c r="AD158" s="818"/>
      <c r="AE158" s="818"/>
      <c r="AF158" s="818"/>
      <c r="AG158" s="818"/>
      <c r="AH158" s="818"/>
      <c r="AI158" s="818"/>
      <c r="AJ158" s="818"/>
      <c r="AK158" s="818"/>
      <c r="AL158" s="818"/>
      <c r="AM158" s="818"/>
      <c r="AN158" s="818"/>
      <c r="AO158" s="818"/>
      <c r="AP158" s="822"/>
      <c r="AQ158" s="818"/>
      <c r="AR158" s="818"/>
      <c r="AS158" s="823"/>
      <c r="AT158" s="818"/>
      <c r="AU158" s="818"/>
      <c r="AV158" s="818"/>
      <c r="AW158" s="818"/>
      <c r="AX158" s="818"/>
      <c r="AY158" s="426" t="s">
        <v>140</v>
      </c>
      <c r="AZ158" s="891" t="s">
        <v>140</v>
      </c>
      <c r="BA158" s="818"/>
      <c r="BB158" s="818"/>
      <c r="BC158" s="818"/>
      <c r="BD158" s="449"/>
      <c r="BE158" s="449"/>
      <c r="BF158" s="817"/>
      <c r="BG158" s="818">
        <v>7</v>
      </c>
      <c r="BH158" s="818"/>
      <c r="BI158" s="818"/>
      <c r="BJ158" s="818">
        <v>4</v>
      </c>
      <c r="BK158" s="818"/>
      <c r="BL158" s="818"/>
      <c r="BM158" s="818"/>
      <c r="BN158" s="818">
        <v>124</v>
      </c>
      <c r="BO158" s="818">
        <v>198</v>
      </c>
      <c r="BP158" s="817"/>
      <c r="BQ158" s="824"/>
      <c r="BR158" s="823"/>
      <c r="BS158" s="817"/>
      <c r="BT158" s="424"/>
      <c r="BU158" s="424"/>
      <c r="BV158" s="426"/>
      <c r="BW158" s="424"/>
      <c r="BX158" s="449"/>
      <c r="BY158" s="449"/>
      <c r="BZ158" s="449"/>
      <c r="CA158" s="449"/>
      <c r="CB158" s="449"/>
      <c r="CC158" s="807"/>
      <c r="CD158" s="449"/>
      <c r="CE158" s="825" t="str">
        <f>IFERROR(WWWW[[#This Row],['#_Water sources passed]]/WWWW[[#This Row],['#_Water sources tested for fecal coliform ]],"no test")</f>
        <v>no test</v>
      </c>
      <c r="CF158" s="823" t="str">
        <f>IFERROR(WWWW[[#This Row],['#_Household passed]]/WWWW[[#This Row],['#_Household water samples tested for fecal coliform]],"no test")</f>
        <v>no test</v>
      </c>
      <c r="CG158" s="824" t="str">
        <f>IF(AND(WWWW[[#This Row],[% of water sources passed]]="no test",WWWW[[#This Row],[% Household passed]]="no test"),"No Test","Tested")</f>
        <v>No Test</v>
      </c>
      <c r="CH158" s="824">
        <f>WWWW[[#This Row],['#_Constructed/existing protected hand dug well]]-WWWW[[#This Row],['#_Non-functional protected hand dug well]]</f>
        <v>0</v>
      </c>
      <c r="CI158" s="824">
        <f>(WWWW[[#This Row],['#_Constructed/Existing tube wells/boreholes/handpumps_WASH_agency]]+WWWW[[#This Row],['#_Non-Cluster partner water tube-wells/boreholes/handpumps]])-WWWW[[#This Row],['#_Non-functional tube wells/boreholes/handpumps]]</f>
        <v>0</v>
      </c>
      <c r="CJ158" s="824">
        <f>WWWW[[#This Row],['#_Constructed/Existingwater storage tank with gravity fed reticulation system]]-WWWW[[#This Row],['#_Non-functional storage tank gravity fed reticulation system]]</f>
        <v>0</v>
      </c>
      <c r="CK158" s="824">
        <f>(WWWW[[#This Row],['#_Water_Liters_supplied_by_Water boating or water trucking]]/90)/15</f>
        <v>0</v>
      </c>
      <c r="CL158" s="824">
        <f>WWWW[[#This Row],['#_Water_Liters_from_Constructed/Existing water distribution system from river or natural spring]]/90/15</f>
        <v>0</v>
      </c>
      <c r="CM158" s="425">
        <f>IF(WWWW[[#This Row],['#_of water points in TLS/CFS]]*500&gt;WWWW[[#This Row],[Total PoP ]],WWWW[[#This Row],[Total PoP ]],WWWW[[#This Row],['#_of water points in TLS/CFS]]*500)</f>
        <v>0</v>
      </c>
      <c r="CN158" s="425">
        <f>IF(WWWW[[#This Row],['#_of water points in THF]]*500&gt;WWWW[[#This Row],[Total PoP ]],WWWW[[#This Row],[Total PoP ]],WWWW[[#This Row],['#_of water points in THF]]*500)</f>
        <v>0</v>
      </c>
      <c r="CO158" s="82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58" s="82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58" s="823">
        <f>IF(WWWW[[#This Row],[Location Type 1]]="Village",WWWW[[#This Row],[Access to safe drinking water for Village]],WWWW[[#This Row],[Access to safe drinking water for Camp]])</f>
        <v>0</v>
      </c>
      <c r="CR158" s="821">
        <f>WWWW[[#This Row],[%Equitable and continuous access to sufficient quantity of safe drinking water]]*WWWW[[#This Row],[Total PoP ]]</f>
        <v>0</v>
      </c>
      <c r="CS158" s="823">
        <f>IF((WWWW[[#This Row],['#_Constructed/Existing protected/fenced ponds]]*250)/WWWW[[#This Row],[Total PoP ]]&gt;1,1,(WWWW[[#This Row],['#_Constructed/Existing protected/fenced ponds]]*250)/WWWW[[#This Row],[Total PoP ]])</f>
        <v>0</v>
      </c>
      <c r="CT158" s="821">
        <f>WWWW[[#This Row],[% Access to unimproved water points]]*WWWW[[#This Row],[Total PoP ]]</f>
        <v>0</v>
      </c>
      <c r="CU158" s="823">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58" s="8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58" s="821">
        <f>WWWW[[#This Row],[HRP1]]/500</f>
        <v>0</v>
      </c>
      <c r="CX158" s="826">
        <f>1-WWWW[[#This Row],[% Equitable and continuous access to sufficient quantity of domestic water]]</f>
        <v>1</v>
      </c>
      <c r="CY158" s="821">
        <f>WWWW[[#This Row],[%equitable and continuous access to sufficient quantity of safe drinking and domestic water''s GAP]]*WWWW[[#This Row],[Total PoP ]]</f>
        <v>247</v>
      </c>
      <c r="CZ158" s="824">
        <f>IF(WWWW[[#This Row],[Total required water points]]-WWWW[[#This Row],['#Water points coverage]]&lt;0,0,WWWW[[#This Row],[Total required water points]]-WWWW[[#This Row],['#Water points coverage]])</f>
        <v>1</v>
      </c>
      <c r="DA158" s="824">
        <f>ROUND(IF(WWWW[[#This Row],[Total PoP ]]&lt;500,1,WWWW[[#This Row],[Total PoP ]]/500),0)</f>
        <v>1</v>
      </c>
      <c r="DB158" s="824">
        <f>(WWWW[[#This Row],['#_Constructed latrines_by_WASHAgencies]]+WWWW[[#This Row],['#_Non Cluster partner latrines]])-WWWW[[#This Row],['#_Non-functional latrines]]</f>
        <v>0</v>
      </c>
      <c r="DC158" s="634">
        <f>WWWW[[#This Row],[HRP2]]/WWWW[[#This Row],[Total PoP ]]</f>
        <v>0</v>
      </c>
      <c r="DD158" s="8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158" s="827">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58" s="824">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8" s="425">
        <f>IF(WWWW[[#This Row],['# of functional latrines in THF supported by WASH partners during the reporting period2]]="",0,WWWW[[#This Row],['# of functional latrines in THF supported by WASH partners during the reporting period2]]*50)</f>
        <v>0</v>
      </c>
      <c r="DH158" s="824">
        <f>ROUND(IF(WWWW[[#This Row],[Location Type 1]]="camp",WWWW[[#This Row],[Total PoP ]]/20,IF(WWWW[[#This Row],[Location Type 1]]="Temporary Location",WWWW[[#This Row],[Total PoP ]]/50,(WWWW[[#This Row],[Total PoP ]]/6))),0)</f>
        <v>12</v>
      </c>
      <c r="DI158" s="824">
        <f>IF(WWWW[[#This Row],[Total required Latrines]]-(WWWW[[#This Row],['#_Constructed latrines_by_WASHAgencies]]+WWWW[[#This Row],['#_Non Cluster partner latrines]])&lt;0,0,WWWW[[#This Row],[Total required Latrines]]-(WWWW[[#This Row],['#_Constructed latrines_by_WASHAgencies]]+WWWW[[#This Row],['#_Non Cluster partner latrines]]))</f>
        <v>12</v>
      </c>
      <c r="DJ158" s="826">
        <f>1-WWWW[[#This Row],[% people access to functioning Latrine]]</f>
        <v>1</v>
      </c>
      <c r="DK158" s="825">
        <f>IF(OR(WWWW[[#This Row],['#_Non-functional latrines]]="",WWWW[[#This Row],['#_Non-functional latrines]]=0),0,WWWW[[#This Row],['#_Non-functional latrines]]/(WWWW[[#This Row],['#_Constructed latrines_by_WASHAgencies]]+WWWW[[#This Row],['#_Non Cluster partner latrines]]))</f>
        <v>0</v>
      </c>
      <c r="DL158" s="821">
        <f>IF(500*(WWWW[[#This Row],['#_male hygiene promoters]]+WWWW[[#This Row],['#_female hygiene promoters]])&gt;WWWW[[#This Row],[Total PoP ]],WWWW[[#This Row],[Total PoP ]],500*(WWWW[[#This Row],['#_male hygiene promoters]]+WWWW[[#This Row],['#_female hygiene promoters]]))</f>
        <v>0</v>
      </c>
      <c r="DM158" s="824">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247</v>
      </c>
      <c r="DN158" s="824">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58" s="824">
        <f>IF(WWWW[[#This Row],['# People with access to soap]]&gt;WWWW[[#This Row],['# People with access to Sanity Pads]],WWWW[[#This Row],['# People with access to soap]],WWWW[[#This Row],['# People with access to Sanity Pads]])</f>
        <v>247</v>
      </c>
      <c r="DP158" s="824">
        <f>IF(WWWW[[#This Row],['# people reached by regular dedicated hygiene promotion_5]]&gt;WWWW[[#This Row],['# People received regular supply of hygiene items_6]],WWWW[[#This Row],['# people reached by regular dedicated hygiene promotion_5]],WWWW[[#This Row],['# People received regular supply of hygiene items_6]])</f>
        <v>247</v>
      </c>
      <c r="DQ158" s="826">
        <f>IF(WWWW[[#This Row],[HRP3]]/WWWW[[#This Row],[Total PoP ]]&gt;1,1,WWWW[[#This Row],[HRP3]]/WWWW[[#This Row],[Total PoP ]])</f>
        <v>1</v>
      </c>
      <c r="DR158" s="825">
        <f>1-WWWW[[#This Row],[Hygiene Coverage%]]</f>
        <v>0</v>
      </c>
      <c r="DS158" s="823">
        <f>WWWW[[#This Row],['# people reached by regular dedicated hygiene promotion_5]]/WWWW[[#This Row],[Total PoP ]]</f>
        <v>0</v>
      </c>
      <c r="DT158" s="82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58" s="823">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58" s="824">
        <f>WWWW[[#This Row],['#_Constructed/Existing hand washing stations]]-WWWW[[#This Row],['#_Non-Functional_hand_washing_stations]]</f>
        <v>7</v>
      </c>
      <c r="DW158" s="821">
        <f>IF(WWWW[[#This Row],['# Functional hand washing stations during reporting period]]*20&gt;WWWW[[#This Row],[Total HH]],WWWW[[#This Row],[Total HH]],WWWW[[#This Row],['# Functional hand washing stations during reporting period]]*20)</f>
        <v>45</v>
      </c>
      <c r="DX158" s="821">
        <f>IF(WWWW[[#This Row],[Is sufficient soap available for TLS? (Yes/No)]]="yes",WWWW[[#This Row],['#_Constructed/Existing hand washing stations at TLS/CFS/THF]],0)</f>
        <v>0</v>
      </c>
      <c r="DY158" s="429">
        <f>IF(WWWW[[#This Row],['# Functional hand washing stations during reporting period]]*100&gt;WWWW[[#This Row],[Total PoP ]],WWWW[[#This Row],[Total PoP ]],WWWW[[#This Row],['# Functional hand washing stations during reporting period]]*100)</f>
        <v>247</v>
      </c>
      <c r="DZ158" s="429" t="str">
        <f>IF(OR(WWWW[[#This Row],['#_students at TLS_CFS]]="",WWWW[[#This Row],['#_students at TLS_CFS]]=0),"No","Yes")</f>
        <v>No</v>
      </c>
      <c r="EA15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5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8" s="817">
        <f>VLOOKUP(WWWW[[#This Row],[Site Name]],SiteDB6[[Site Name]:[CCCM Management]],6,FALSE)</f>
        <v>0</v>
      </c>
      <c r="EF158" s="817" t="str">
        <f>VLOOKUP(WWWW[[#This Row],[Site Name]],SiteDB6[[Site Name]:[CCCM Focal Agency]],7,FALSE)</f>
        <v xml:space="preserve">Uncovered  </v>
      </c>
      <c r="EG158" s="817" t="str">
        <f>VLOOKUP(WWWW[[#This Row],[Site Name]],SiteDB6[[Site Name]:[Location Type 1]],9,FALSE)</f>
        <v>Camp</v>
      </c>
      <c r="EH158" s="817" t="str">
        <f>VLOOKUP(WWWW[[#This Row],[Site Name]],SiteDB6[[Site Name]:[Type of Accommodation]],10,FALSE)</f>
        <v>Temporarily removed</v>
      </c>
      <c r="EI158" s="817" t="str">
        <f>VLOOKUP(WWWW[[#This Row],[Site Name]],SiteDB6[[Site Name]:[Ethnic or GCA/NGCA]],11,FALSE)</f>
        <v>GCA</v>
      </c>
      <c r="EJ158" s="817">
        <f>VLOOKUP(WWWW[[#This Row],[Site Name]],SiteDB6[[Site Name]:[Lat]],12,FALSE)</f>
        <v>25.2056</v>
      </c>
      <c r="EK158" s="817">
        <f>VLOOKUP(WWWW[[#This Row],[Site Name]],SiteDB6[[Site Name]:[Long]],13,FALSE)</f>
        <v>97.260800000000003</v>
      </c>
      <c r="EL158" s="817" t="str">
        <f>VLOOKUP(WWWW[[#This Row],[Site Name]],SiteDB6[[Site Name]:[Pcode]],3,FALSE)</f>
        <v>MMR001CMP291</v>
      </c>
      <c r="EM158" s="822" t="str">
        <f t="shared" si="2"/>
        <v>Notcovered</v>
      </c>
      <c r="EN158" s="822"/>
      <c r="EO158" s="817">
        <f>VLOOKUP(WWWW[[#This Row],[Site Name]],SiteDB6[[Site Name]:[Pop
(Kachin/Shan-CCCM as of July 2021)]],16,FALSE)</f>
        <v>45</v>
      </c>
      <c r="EP158" s="817">
        <f>VLOOKUP(WWWW[[#This Row],[Site Name]],SiteDB6[[Site Name]:[Pop
(Kachin/Shan-CCCM as of July 2021)]],17,FALSE)</f>
        <v>247</v>
      </c>
    </row>
    <row r="159" spans="1:146" hidden="1">
      <c r="A159" s="752" t="s">
        <v>2785</v>
      </c>
      <c r="B159" s="752" t="s">
        <v>242</v>
      </c>
      <c r="C159" s="753" t="s">
        <v>242</v>
      </c>
      <c r="D159" s="753" t="s">
        <v>307</v>
      </c>
      <c r="E159" s="753" t="s">
        <v>37</v>
      </c>
      <c r="F159" s="753" t="s">
        <v>146</v>
      </c>
      <c r="G159" s="594" t="str">
        <f>VLOOKUP(WWWW[[#This Row],[Site Name]],SiteDB6[[Site Name]:[Location Type]],8,FALSE)</f>
        <v>Camp</v>
      </c>
      <c r="H159" s="753" t="s">
        <v>245</v>
      </c>
      <c r="I159" s="449">
        <v>165</v>
      </c>
      <c r="J159" s="449">
        <v>878</v>
      </c>
      <c r="K159" s="591">
        <v>44197</v>
      </c>
      <c r="L159" s="592">
        <v>44651</v>
      </c>
      <c r="M159" s="755"/>
      <c r="N159" s="755">
        <v>1</v>
      </c>
      <c r="O159" s="755"/>
      <c r="P159" s="755"/>
      <c r="Q159" s="758" t="s">
        <v>41</v>
      </c>
      <c r="R159" s="755">
        <v>2</v>
      </c>
      <c r="S159" s="755">
        <v>5</v>
      </c>
      <c r="T159" s="449"/>
      <c r="U159" s="755"/>
      <c r="V159" s="755"/>
      <c r="W159" s="755"/>
      <c r="X159" s="755"/>
      <c r="Y159" s="755"/>
      <c r="Z159" s="755"/>
      <c r="AA159" s="755">
        <v>4</v>
      </c>
      <c r="AB159" s="755"/>
      <c r="AC159" s="755">
        <v>4</v>
      </c>
      <c r="AD159" s="755"/>
      <c r="AE159" s="755">
        <v>9</v>
      </c>
      <c r="AF159" s="755"/>
      <c r="AG159" s="755"/>
      <c r="AH159" s="755">
        <v>2</v>
      </c>
      <c r="AI159" s="755"/>
      <c r="AJ159" s="755"/>
      <c r="AK159" s="755"/>
      <c r="AL159" s="755"/>
      <c r="AM159" s="755">
        <v>6</v>
      </c>
      <c r="AN159" s="755"/>
      <c r="AO159" s="755"/>
      <c r="AP159" s="593" t="s">
        <v>2900</v>
      </c>
      <c r="AQ159" s="755">
        <v>30</v>
      </c>
      <c r="AR159" s="755">
        <v>12</v>
      </c>
      <c r="AS159" s="760" t="s">
        <v>939</v>
      </c>
      <c r="AT159" s="755">
        <v>10</v>
      </c>
      <c r="AU159" s="755"/>
      <c r="AV159" s="755">
        <v>6</v>
      </c>
      <c r="AW159" s="755"/>
      <c r="AX159" s="755">
        <v>0</v>
      </c>
      <c r="AY159" s="754" t="s">
        <v>41</v>
      </c>
      <c r="AZ159" s="759" t="s">
        <v>137</v>
      </c>
      <c r="BA159" s="755"/>
      <c r="BB159" s="755"/>
      <c r="BC159" s="755">
        <v>2</v>
      </c>
      <c r="BD159" s="449"/>
      <c r="BE159" s="449"/>
      <c r="BF159" s="754"/>
      <c r="BG159" s="755">
        <v>2</v>
      </c>
      <c r="BH159" s="755"/>
      <c r="BI159" s="755"/>
      <c r="BJ159" s="755">
        <v>1</v>
      </c>
      <c r="BK159" s="755"/>
      <c r="BL159" s="755"/>
      <c r="BM159" s="755">
        <v>1</v>
      </c>
      <c r="BN159" s="449">
        <v>6</v>
      </c>
      <c r="BO159" s="449">
        <v>5</v>
      </c>
      <c r="BP159" s="754"/>
      <c r="BQ159" s="761"/>
      <c r="BR159" s="760">
        <v>0.5</v>
      </c>
      <c r="BS159" s="426" t="s">
        <v>2904</v>
      </c>
      <c r="BT159" s="424">
        <v>0.7</v>
      </c>
      <c r="BU159" s="424">
        <v>0.8</v>
      </c>
      <c r="BV159" s="426"/>
      <c r="BW159" s="424">
        <v>0.9</v>
      </c>
      <c r="BX159" s="449">
        <v>2</v>
      </c>
      <c r="BY159" s="449">
        <v>165</v>
      </c>
      <c r="BZ159" s="449">
        <v>1</v>
      </c>
      <c r="CA159" s="449"/>
      <c r="CB159" s="449"/>
      <c r="CC159" s="807"/>
      <c r="CD159" s="449"/>
      <c r="CE159" s="762" t="str">
        <f>IFERROR(WWWW[[#This Row],['#_Water sources passed]]/WWWW[[#This Row],['#_Water sources tested for fecal coliform ]],"no test")</f>
        <v>no test</v>
      </c>
      <c r="CF159" s="760" t="str">
        <f>IFERROR(WWWW[[#This Row],['#_Household passed]]/WWWW[[#This Row],['#_Household water samples tested for fecal coliform]],"no test")</f>
        <v>no test</v>
      </c>
      <c r="CG159" s="761" t="str">
        <f>IF(AND(WWWW[[#This Row],[% of water sources passed]]="no test",WWWW[[#This Row],[% Household passed]]="no test"),"No Test","Tested")</f>
        <v>No Test</v>
      </c>
      <c r="CH159" s="761">
        <f>WWWW[[#This Row],['#_Constructed/existing protected hand dug well]]-WWWW[[#This Row],['#_Non-functional protected hand dug well]]</f>
        <v>0</v>
      </c>
      <c r="CI159" s="761">
        <f>(WWWW[[#This Row],['#_Constructed/Existing tube wells/boreholes/handpumps_WASH_agency]]+WWWW[[#This Row],['#_Non-Cluster partner water tube-wells/boreholes/handpumps]])-WWWW[[#This Row],['#_Non-functional tube wells/boreholes/handpumps]]</f>
        <v>0</v>
      </c>
      <c r="CJ159" s="761">
        <f>WWWW[[#This Row],['#_Constructed/Existingwater storage tank with gravity fed reticulation system]]-WWWW[[#This Row],['#_Non-functional storage tank gravity fed reticulation system]]</f>
        <v>4</v>
      </c>
      <c r="CK159" s="761">
        <f>(WWWW[[#This Row],['#_Water_Liters_supplied_by_Water boating or water trucking]]/90)/15</f>
        <v>0</v>
      </c>
      <c r="CL159" s="761">
        <f>WWWW[[#This Row],['#_Water_Liters_from_Constructed/Existing water distribution system from river or natural spring]]/90/15</f>
        <v>0</v>
      </c>
      <c r="CM159" s="425">
        <f>IF(WWWW[[#This Row],['#_of water points in TLS/CFS]]*500&gt;WWWW[[#This Row],[Total PoP ]],WWWW[[#This Row],[Total PoP ]],WWWW[[#This Row],['#_of water points in TLS/CFS]]*500)</f>
        <v>0</v>
      </c>
      <c r="CN159" s="425">
        <f>IF(WWWW[[#This Row],['#_of water points in THF]]*500&gt;WWWW[[#This Row],[Total PoP ]],WWWW[[#This Row],[Total PoP ]],WWWW[[#This Row],['#_of water points in THF]]*500)</f>
        <v>0</v>
      </c>
      <c r="CO15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0.30372057706909644</v>
      </c>
      <c r="CP15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0.30372057706909644</v>
      </c>
      <c r="CQ159" s="760">
        <f>IF(WWWW[[#This Row],[Location Type 1]]="Village",WWWW[[#This Row],[Access to safe drinking water for Village]],WWWW[[#This Row],[Access to safe drinking water for Camp]])</f>
        <v>0.30372057706909644</v>
      </c>
      <c r="CR159" s="758">
        <f>WWWW[[#This Row],[%Equitable and continuous access to sufficient quantity of safe drinking water]]*WWWW[[#This Row],[Total PoP ]]</f>
        <v>266.66666666666669</v>
      </c>
      <c r="CS159" s="760">
        <f>IF((WWWW[[#This Row],['#_Constructed/Existing protected/fenced ponds]]*250)/WWWW[[#This Row],[Total PoP ]]&gt;1,1,(WWWW[[#This Row],['#_Constructed/Existing protected/fenced ponds]]*250)/WWWW[[#This Row],[Total PoP ]])</f>
        <v>1</v>
      </c>
      <c r="CT159" s="758">
        <f>WWWW[[#This Row],[% Access to unimproved water points]]*WWWW[[#This Row],[Total PoP ]]</f>
        <v>878</v>
      </c>
      <c r="CU15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5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878</v>
      </c>
      <c r="CW159" s="758">
        <f>WWWW[[#This Row],[HRP1]]/500</f>
        <v>1.756</v>
      </c>
      <c r="CX159" s="763">
        <f>1-WWWW[[#This Row],[% Equitable and continuous access to sufficient quantity of domestic water]]</f>
        <v>0</v>
      </c>
      <c r="CY159" s="758">
        <f>WWWW[[#This Row],[%equitable and continuous access to sufficient quantity of safe drinking and domestic water''s GAP]]*WWWW[[#This Row],[Total PoP ]]</f>
        <v>0</v>
      </c>
      <c r="CZ159" s="761">
        <f>IF(WWWW[[#This Row],[Total required water points]]-WWWW[[#This Row],['#Water points coverage]]&lt;0,0,WWWW[[#This Row],[Total required water points]]-WWWW[[#This Row],['#Water points coverage]])</f>
        <v>0.24399999999999999</v>
      </c>
      <c r="DA159" s="761">
        <f>ROUND(IF(WWWW[[#This Row],[Total PoP ]]&lt;500,1,WWWW[[#This Row],[Total PoP ]]/500),0)</f>
        <v>2</v>
      </c>
      <c r="DB159" s="761">
        <f>(WWWW[[#This Row],['#_Constructed latrines_by_WASHAgencies]]+WWWW[[#This Row],['#_Non Cluster partner latrines]])-WWWW[[#This Row],['#_Non-functional latrines]]</f>
        <v>32</v>
      </c>
      <c r="DC159" s="634">
        <f>WWWW[[#This Row],[HRP2]]/WWWW[[#This Row],[Total PoP ]]</f>
        <v>0.72892938496583148</v>
      </c>
      <c r="DD15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15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15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59" s="425">
        <f>IF(WWWW[[#This Row],['# of functional latrines in THF supported by WASH partners during the reporting period2]]="",0,WWWW[[#This Row],['# of functional latrines in THF supported by WASH partners during the reporting period2]]*50)</f>
        <v>0</v>
      </c>
      <c r="DH159" s="761">
        <f>ROUND(IF(WWWW[[#This Row],[Location Type 1]]="camp",WWWW[[#This Row],[Total PoP ]]/20,IF(WWWW[[#This Row],[Location Type 1]]="Temporary Location",WWWW[[#This Row],[Total PoP ]]/50,(WWWW[[#This Row],[Total PoP ]]/6))),0)</f>
        <v>44</v>
      </c>
      <c r="DI159" s="761">
        <f>IF(WWWW[[#This Row],[Total required Latrines]]-(WWWW[[#This Row],['#_Constructed latrines_by_WASHAgencies]]+WWWW[[#This Row],['#_Non Cluster partner latrines]])&lt;0,0,WWWW[[#This Row],[Total required Latrines]]-(WWWW[[#This Row],['#_Constructed latrines_by_WASHAgencies]]+WWWW[[#This Row],['#_Non Cluster partner latrines]]))</f>
        <v>2</v>
      </c>
      <c r="DJ159" s="763">
        <f>1-WWWW[[#This Row],[% people access to functioning Latrine]]</f>
        <v>0.27107061503416852</v>
      </c>
      <c r="DK159" s="762">
        <f>IF(OR(WWWW[[#This Row],['#_Non-functional latrines]]="",WWWW[[#This Row],['#_Non-functional latrines]]=0),0,WWWW[[#This Row],['#_Non-functional latrines]]/(WWWW[[#This Row],['#_Constructed latrines_by_WASHAgencies]]+WWWW[[#This Row],['#_Non Cluster partner latrines]]))</f>
        <v>0.23809523809523808</v>
      </c>
      <c r="DL159" s="758">
        <f>IF(500*(WWWW[[#This Row],['#_male hygiene promoters]]+WWWW[[#This Row],['#_female hygiene promoters]])&gt;WWWW[[#This Row],[Total PoP ]],WWWW[[#This Row],[Total PoP ]],500*(WWWW[[#This Row],['#_male hygiene promoters]]+WWWW[[#This Row],['#_female hygiene promoters]]))</f>
        <v>500</v>
      </c>
      <c r="DM15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5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59" s="761">
        <f>IF(WWWW[[#This Row],['# People with access to soap]]&gt;WWWW[[#This Row],['# People with access to Sanity Pads]],WWWW[[#This Row],['# People with access to soap]],WWWW[[#This Row],['# People with access to Sanity Pads]])</f>
        <v>30</v>
      </c>
      <c r="DP159"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59" s="763">
        <f>IF(WWWW[[#This Row],[HRP3]]/WWWW[[#This Row],[Total PoP ]]&gt;1,1,WWWW[[#This Row],[HRP3]]/WWWW[[#This Row],[Total PoP ]])</f>
        <v>0.56947608200455579</v>
      </c>
      <c r="DR159" s="762">
        <f>1-WWWW[[#This Row],[Hygiene Coverage%]]</f>
        <v>0.43052391799544421</v>
      </c>
      <c r="DS159" s="760">
        <f>WWWW[[#This Row],['# people reached by regular dedicated hygiene promotion_5]]/WWWW[[#This Row],[Total PoP ]]</f>
        <v>0.56947608200455579</v>
      </c>
      <c r="DT15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0.14545454545454545</v>
      </c>
      <c r="DU15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3.0303030303030304E-2</v>
      </c>
      <c r="DV159" s="761">
        <f>WWWW[[#This Row],['#_Constructed/Existing hand washing stations]]-WWWW[[#This Row],['#_Non-Functional_hand_washing_stations]]</f>
        <v>2</v>
      </c>
      <c r="DW159" s="758">
        <f>IF(WWWW[[#This Row],['# Functional hand washing stations during reporting period]]*20&gt;WWWW[[#This Row],[Total HH]],WWWW[[#This Row],[Total HH]],WWWW[[#This Row],['# Functional hand washing stations during reporting period]]*20)</f>
        <v>40</v>
      </c>
      <c r="DX159" s="758">
        <f>IF(WWWW[[#This Row],[Is sufficient soap available for TLS? (Yes/No)]]="yes",WWWW[[#This Row],['#_Constructed/Existing hand washing stations at TLS/CFS/THF]],0)</f>
        <v>0</v>
      </c>
      <c r="DY159" s="429">
        <f>IF(WWWW[[#This Row],['# Functional hand washing stations during reporting period]]*100&gt;WWWW[[#This Row],[Total PoP ]],WWWW[[#This Row],[Total PoP ]],WWWW[[#This Row],['# Functional hand washing stations during reporting period]]*100)</f>
        <v>200</v>
      </c>
      <c r="DZ159" s="429" t="str">
        <f>IF(OR(WWWW[[#This Row],['#_students at TLS_CFS]]="",WWWW[[#This Row],['#_students at TLS_CFS]]=0),"No","Yes")</f>
        <v>No</v>
      </c>
      <c r="EA15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5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168</v>
      </c>
      <c r="EC15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5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59" s="754" t="str">
        <f>VLOOKUP(WWWW[[#This Row],[Site Name]],SiteDB6[[Site Name]:[CCCM Management]],6,FALSE)</f>
        <v>Yes</v>
      </c>
      <c r="EF159" s="754" t="str">
        <f>VLOOKUP(WWWW[[#This Row],[Site Name]],SiteDB6[[Site Name]:[CCCM Focal Agency]],7,FALSE)</f>
        <v>Shalom</v>
      </c>
      <c r="EG159" s="754" t="str">
        <f>VLOOKUP(WWWW[[#This Row],[Site Name]],SiteDB6[[Site Name]:[Location Type 1]],9,FALSE)</f>
        <v>Camp</v>
      </c>
      <c r="EH159" s="754" t="str">
        <f>VLOOKUP(WWWW[[#This Row],[Site Name]],SiteDB6[[Site Name]:[Type of Accommodation]],10,FALSE)</f>
        <v>Camp</v>
      </c>
      <c r="EI159" s="754" t="str">
        <f>VLOOKUP(WWWW[[#This Row],[Site Name]],SiteDB6[[Site Name]:[Ethnic or GCA/NGCA]],11,FALSE)</f>
        <v>GCA</v>
      </c>
      <c r="EJ159" s="754">
        <f>VLOOKUP(WWWW[[#This Row],[Site Name]],SiteDB6[[Site Name]:[Lat]],12,FALSE)</f>
        <v>25.889410000000002</v>
      </c>
      <c r="EK159" s="754">
        <f>VLOOKUP(WWWW[[#This Row],[Site Name]],SiteDB6[[Site Name]:[Long]],13,FALSE)</f>
        <v>98.131550000000004</v>
      </c>
      <c r="EL159" s="754" t="str">
        <f>VLOOKUP(WWWW[[#This Row],[Site Name]],SiteDB6[[Site Name]:[Pcode]],3,FALSE)</f>
        <v>MMR001CMP042</v>
      </c>
      <c r="EM159" s="759" t="str">
        <f t="shared" si="2"/>
        <v>Covered</v>
      </c>
      <c r="EN159" s="759"/>
      <c r="EO159" s="754">
        <f>VLOOKUP(WWWW[[#This Row],[Site Name]],SiteDB6[[Site Name]:[Pop
(Kachin/Shan-CCCM as of July 2021)]],16,FALSE)</f>
        <v>138</v>
      </c>
      <c r="EP159" s="754">
        <f>VLOOKUP(WWWW[[#This Row],[Site Name]],SiteDB6[[Site Name]:[Pop
(Kachin/Shan-CCCM as of July 2021)]],17,FALSE)</f>
        <v>706</v>
      </c>
    </row>
    <row r="160" spans="1:146" hidden="1">
      <c r="A160" s="752" t="s">
        <v>2785</v>
      </c>
      <c r="B160" s="752" t="s">
        <v>242</v>
      </c>
      <c r="C160" s="753" t="s">
        <v>242</v>
      </c>
      <c r="D160" s="753" t="s">
        <v>307</v>
      </c>
      <c r="E160" s="753" t="s">
        <v>37</v>
      </c>
      <c r="F160" s="753" t="s">
        <v>146</v>
      </c>
      <c r="G160" s="594" t="str">
        <f>VLOOKUP(WWWW[[#This Row],[Site Name]],SiteDB6[[Site Name]:[Location Type]],8,FALSE)</f>
        <v>Camp</v>
      </c>
      <c r="H160" s="753" t="s">
        <v>247</v>
      </c>
      <c r="I160" s="449">
        <v>201</v>
      </c>
      <c r="J160" s="449">
        <v>884</v>
      </c>
      <c r="K160" s="591">
        <v>44197</v>
      </c>
      <c r="L160" s="592">
        <v>44651</v>
      </c>
      <c r="M160" s="449">
        <v>270</v>
      </c>
      <c r="N160" s="755">
        <v>1</v>
      </c>
      <c r="O160" s="755"/>
      <c r="P160" s="755"/>
      <c r="Q160" s="758" t="s">
        <v>41</v>
      </c>
      <c r="R160" s="755">
        <v>3</v>
      </c>
      <c r="S160" s="755">
        <v>3</v>
      </c>
      <c r="T160" s="449"/>
      <c r="U160" s="755"/>
      <c r="V160" s="755"/>
      <c r="W160" s="755"/>
      <c r="X160" s="755"/>
      <c r="Y160" s="755"/>
      <c r="Z160" s="755"/>
      <c r="AA160" s="755">
        <v>3</v>
      </c>
      <c r="AB160" s="755">
        <v>1</v>
      </c>
      <c r="AC160" s="755">
        <v>2</v>
      </c>
      <c r="AD160" s="755"/>
      <c r="AE160" s="755">
        <v>13</v>
      </c>
      <c r="AF160" s="755"/>
      <c r="AG160" s="755"/>
      <c r="AH160" s="755"/>
      <c r="AI160" s="755"/>
      <c r="AJ160" s="755"/>
      <c r="AK160" s="755"/>
      <c r="AL160" s="755"/>
      <c r="AM160" s="755">
        <v>1</v>
      </c>
      <c r="AN160" s="755">
        <v>1</v>
      </c>
      <c r="AO160" s="755"/>
      <c r="AP160" s="759"/>
      <c r="AQ160" s="755">
        <v>51</v>
      </c>
      <c r="AR160" s="755">
        <v>14</v>
      </c>
      <c r="AS160" s="760" t="s">
        <v>2135</v>
      </c>
      <c r="AT160" s="755"/>
      <c r="AU160" s="755"/>
      <c r="AV160" s="755">
        <v>3</v>
      </c>
      <c r="AW160" s="755"/>
      <c r="AX160" s="755">
        <v>0</v>
      </c>
      <c r="AY160" s="754" t="s">
        <v>2705</v>
      </c>
      <c r="AZ160" s="759" t="s">
        <v>137</v>
      </c>
      <c r="BA160" s="755"/>
      <c r="BB160" s="755"/>
      <c r="BC160" s="755">
        <v>31</v>
      </c>
      <c r="BD160" s="449">
        <v>31</v>
      </c>
      <c r="BE160" s="449"/>
      <c r="BF160" s="754"/>
      <c r="BG160" s="755">
        <v>8</v>
      </c>
      <c r="BH160" s="755"/>
      <c r="BI160" s="755"/>
      <c r="BJ160" s="755">
        <v>3</v>
      </c>
      <c r="BK160" s="755">
        <v>1</v>
      </c>
      <c r="BL160" s="755">
        <v>1</v>
      </c>
      <c r="BM160" s="755"/>
      <c r="BN160" s="755">
        <v>91</v>
      </c>
      <c r="BO160" s="449">
        <v>124</v>
      </c>
      <c r="BP160" s="754" t="s">
        <v>41</v>
      </c>
      <c r="BQ160" s="761">
        <v>5</v>
      </c>
      <c r="BR160" s="760">
        <v>0.5</v>
      </c>
      <c r="BS160" s="754"/>
      <c r="BT160" s="424">
        <v>0.8</v>
      </c>
      <c r="BU160" s="424">
        <v>0.8</v>
      </c>
      <c r="BV160" s="426">
        <v>10</v>
      </c>
      <c r="BW160" s="424">
        <v>0.6</v>
      </c>
      <c r="BX160" s="449"/>
      <c r="BY160" s="449">
        <v>201</v>
      </c>
      <c r="BZ160" s="449">
        <v>3</v>
      </c>
      <c r="CA160" s="449"/>
      <c r="CB160" s="449"/>
      <c r="CC160" s="807"/>
      <c r="CD160" s="449"/>
      <c r="CE160" s="762" t="str">
        <f>IFERROR(WWWW[[#This Row],['#_Water sources passed]]/WWWW[[#This Row],['#_Water sources tested for fecal coliform ]],"no test")</f>
        <v>no test</v>
      </c>
      <c r="CF160" s="760" t="str">
        <f>IFERROR(WWWW[[#This Row],['#_Household passed]]/WWWW[[#This Row],['#_Household water samples tested for fecal coliform]],"no test")</f>
        <v>no test</v>
      </c>
      <c r="CG160" s="761" t="str">
        <f>IF(AND(WWWW[[#This Row],[% of water sources passed]]="no test",WWWW[[#This Row],[% Household passed]]="no test"),"No Test","Tested")</f>
        <v>No Test</v>
      </c>
      <c r="CH160" s="761">
        <f>WWWW[[#This Row],['#_Constructed/existing protected hand dug well]]-WWWW[[#This Row],['#_Non-functional protected hand dug well]]</f>
        <v>0</v>
      </c>
      <c r="CI160" s="761">
        <f>(WWWW[[#This Row],['#_Constructed/Existing tube wells/boreholes/handpumps_WASH_agency]]+WWWW[[#This Row],['#_Non-Cluster partner water tube-wells/boreholes/handpumps]])-WWWW[[#This Row],['#_Non-functional tube wells/boreholes/handpumps]]</f>
        <v>0</v>
      </c>
      <c r="CJ160" s="761">
        <f>WWWW[[#This Row],['#_Constructed/Existingwater storage tank with gravity fed reticulation system]]-WWWW[[#This Row],['#_Non-functional storage tank gravity fed reticulation system]]</f>
        <v>2</v>
      </c>
      <c r="CK160" s="761">
        <f>(WWWW[[#This Row],['#_Water_Liters_supplied_by_Water boating or water trucking]]/90)/15</f>
        <v>0</v>
      </c>
      <c r="CL160" s="761">
        <f>WWWW[[#This Row],['#_Water_Liters_from_Constructed/Existing water distribution system from river or natural spring]]/90/15</f>
        <v>0</v>
      </c>
      <c r="CM160" s="425">
        <f>IF(WWWW[[#This Row],['#_of water points in TLS/CFS]]*500&gt;WWWW[[#This Row],[Total PoP ]],WWWW[[#This Row],[Total PoP ]],WWWW[[#This Row],['#_of water points in TLS/CFS]]*500)</f>
        <v>500</v>
      </c>
      <c r="CN160" s="425">
        <f>IF(WWWW[[#This Row],['#_of water points in THF]]*500&gt;WWWW[[#This Row],[Total PoP ]],WWWW[[#This Row],[Total PoP ]],WWWW[[#This Row],['#_of water points in THF]]*500)</f>
        <v>0</v>
      </c>
      <c r="CO16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0.1508295625942685</v>
      </c>
      <c r="CP16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0.1508295625942685</v>
      </c>
      <c r="CQ160" s="760">
        <f>IF(WWWW[[#This Row],[Location Type 1]]="Village",WWWW[[#This Row],[Access to safe drinking water for Village]],WWWW[[#This Row],[Access to safe drinking water for Camp]])</f>
        <v>0.1508295625942685</v>
      </c>
      <c r="CR160" s="758">
        <f>WWWW[[#This Row],[%Equitable and continuous access to sufficient quantity of safe drinking water]]*WWWW[[#This Row],[Total PoP ]]</f>
        <v>133.33333333333334</v>
      </c>
      <c r="CS160" s="760">
        <f>IF((WWWW[[#This Row],['#_Constructed/Existing protected/fenced ponds]]*250)/WWWW[[#This Row],[Total PoP ]]&gt;1,1,(WWWW[[#This Row],['#_Constructed/Existing protected/fenced ponds]]*250)/WWWW[[#This Row],[Total PoP ]])</f>
        <v>1</v>
      </c>
      <c r="CT160" s="758">
        <f>WWWW[[#This Row],[% Access to unimproved water points]]*WWWW[[#This Row],[Total PoP ]]</f>
        <v>884</v>
      </c>
      <c r="CU16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884</v>
      </c>
      <c r="CW160" s="758">
        <f>WWWW[[#This Row],[HRP1]]/500</f>
        <v>1.768</v>
      </c>
      <c r="CX160" s="763">
        <f>1-WWWW[[#This Row],[% Equitable and continuous access to sufficient quantity of domestic water]]</f>
        <v>0</v>
      </c>
      <c r="CY160" s="758">
        <f>WWWW[[#This Row],[%equitable and continuous access to sufficient quantity of safe drinking and domestic water''s GAP]]*WWWW[[#This Row],[Total PoP ]]</f>
        <v>0</v>
      </c>
      <c r="CZ160" s="761">
        <f>IF(WWWW[[#This Row],[Total required water points]]-WWWW[[#This Row],['#Water points coverage]]&lt;0,0,WWWW[[#This Row],[Total required water points]]-WWWW[[#This Row],['#Water points coverage]])</f>
        <v>0.23199999999999998</v>
      </c>
      <c r="DA160" s="761">
        <f>ROUND(IF(WWWW[[#This Row],[Total PoP ]]&lt;500,1,WWWW[[#This Row],[Total PoP ]]/500),0)</f>
        <v>2</v>
      </c>
      <c r="DB160" s="761">
        <f>(WWWW[[#This Row],['#_Constructed latrines_by_WASHAgencies]]+WWWW[[#This Row],['#_Non Cluster partner latrines]])-WWWW[[#This Row],['#_Non-functional latrines]]</f>
        <v>65</v>
      </c>
      <c r="DC160" s="634">
        <f>WWWW[[#This Row],[HRP2]]/WWWW[[#This Row],[Total PoP ]]</f>
        <v>1</v>
      </c>
      <c r="DD16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884</v>
      </c>
      <c r="DE16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16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270</v>
      </c>
      <c r="DG160" s="425">
        <f>IF(WWWW[[#This Row],['# of functional latrines in THF supported by WASH partners during the reporting period2]]="",0,WWWW[[#This Row],['# of functional latrines in THF supported by WASH partners during the reporting period2]]*50)</f>
        <v>1550</v>
      </c>
      <c r="DH160" s="761">
        <f>ROUND(IF(WWWW[[#This Row],[Location Type 1]]="camp",WWWW[[#This Row],[Total PoP ]]/20,IF(WWWW[[#This Row],[Location Type 1]]="Temporary Location",WWWW[[#This Row],[Total PoP ]]/50,(WWWW[[#This Row],[Total PoP ]]/6))),0)</f>
        <v>44</v>
      </c>
      <c r="DI160" s="761">
        <f>IF(WWWW[[#This Row],[Total required Latrines]]-(WWWW[[#This Row],['#_Constructed latrines_by_WASHAgencies]]+WWWW[[#This Row],['#_Non Cluster partner latrines]])&lt;0,0,WWWW[[#This Row],[Total required Latrines]]-(WWWW[[#This Row],['#_Constructed latrines_by_WASHAgencies]]+WWWW[[#This Row],['#_Non Cluster partner latrines]]))</f>
        <v>0</v>
      </c>
      <c r="DJ160" s="763">
        <f>1-WWWW[[#This Row],[% people access to functioning Latrine]]</f>
        <v>0</v>
      </c>
      <c r="DK160" s="762">
        <f>IF(OR(WWWW[[#This Row],['#_Non-functional latrines]]="",WWWW[[#This Row],['#_Non-functional latrines]]=0),0,WWWW[[#This Row],['#_Non-functional latrines]]/(WWWW[[#This Row],['#_Constructed latrines_by_WASHAgencies]]+WWWW[[#This Row],['#_Non Cluster partner latrines]]))</f>
        <v>0</v>
      </c>
      <c r="DL160" s="758">
        <f>IF(500*(WWWW[[#This Row],['#_male hygiene promoters]]+WWWW[[#This Row],['#_female hygiene promoters]])&gt;WWWW[[#This Row],[Total PoP ]],WWWW[[#This Row],[Total PoP ]],500*(WWWW[[#This Row],['#_male hygiene promoters]]+WWWW[[#This Row],['#_female hygiene promoters]]))</f>
        <v>500</v>
      </c>
      <c r="DM16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6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60" s="761">
        <f>IF(WWWW[[#This Row],['# People with access to soap]]&gt;WWWW[[#This Row],['# People with access to Sanity Pads]],WWWW[[#This Row],['# People with access to soap]],WWWW[[#This Row],['# People with access to Sanity Pads]])</f>
        <v>455</v>
      </c>
      <c r="DP160"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60" s="763">
        <f>IF(WWWW[[#This Row],[HRP3]]/WWWW[[#This Row],[Total PoP ]]&gt;1,1,WWWW[[#This Row],[HRP3]]/WWWW[[#This Row],[Total PoP ]])</f>
        <v>0.56561085972850678</v>
      </c>
      <c r="DR160" s="762">
        <f>1-WWWW[[#This Row],[Hygiene Coverage%]]</f>
        <v>0.43438914027149322</v>
      </c>
      <c r="DS160" s="760">
        <f>WWWW[[#This Row],['# people reached by regular dedicated hygiene promotion_5]]/WWWW[[#This Row],[Total PoP ]]</f>
        <v>0.56561085972850678</v>
      </c>
      <c r="DT16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0.61691542288557211</v>
      </c>
      <c r="DV160" s="761">
        <f>WWWW[[#This Row],['#_Constructed/Existing hand washing stations]]-WWWW[[#This Row],['#_Non-Functional_hand_washing_stations]]</f>
        <v>8</v>
      </c>
      <c r="DW160" s="758">
        <f>IF(WWWW[[#This Row],['# Functional hand washing stations during reporting period]]*20&gt;WWWW[[#This Row],[Total HH]],WWWW[[#This Row],[Total HH]],WWWW[[#This Row],['# Functional hand washing stations during reporting period]]*20)</f>
        <v>160</v>
      </c>
      <c r="DX160" s="758">
        <f>IF(WWWW[[#This Row],[Is sufficient soap available for TLS? (Yes/No)]]="yes",WWWW[[#This Row],['#_Constructed/Existing hand washing stations at TLS/CFS/THF]],0)</f>
        <v>1</v>
      </c>
      <c r="DY160" s="429">
        <f>IF(WWWW[[#This Row],['# Functional hand washing stations during reporting period]]*100&gt;WWWW[[#This Row],[Total PoP ]],WWWW[[#This Row],[Total PoP ]],WWWW[[#This Row],['# Functional hand washing stations during reporting period]]*100)</f>
        <v>800</v>
      </c>
      <c r="DZ160" s="429" t="str">
        <f>IF(OR(WWWW[[#This Row],['#_students at TLS_CFS]]="",WWWW[[#This Row],['#_students at TLS_CFS]]=0),"No","Yes")</f>
        <v>Yes</v>
      </c>
      <c r="EA160" s="634">
        <f>IF(WWWW[[#This Row],['#_of_affected_people_surveyed_who_report_feeling_informed_about_the_different_WASH_services_available_to_them]]="","",WWWW[[#This Row],['#_of_affected_people_surveyed_who_report_feeling_informed_about_the_different_WASH_services_available_to_them]]/WWWW[[#This Row],[Total PoP ]])</f>
        <v>1.1312217194570135E-2</v>
      </c>
      <c r="EB16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204</v>
      </c>
      <c r="EC16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16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1550</v>
      </c>
      <c r="EE160" s="754" t="str">
        <f>VLOOKUP(WWWW[[#This Row],[Site Name]],SiteDB6[[Site Name]:[CCCM Management]],6,FALSE)</f>
        <v>Yes</v>
      </c>
      <c r="EF160" s="754" t="str">
        <f>VLOOKUP(WWWW[[#This Row],[Site Name]],SiteDB6[[Site Name]:[CCCM Focal Agency]],7,FALSE)</f>
        <v>Shalom</v>
      </c>
      <c r="EG160" s="754" t="str">
        <f>VLOOKUP(WWWW[[#This Row],[Site Name]],SiteDB6[[Site Name]:[Location Type 1]],9,FALSE)</f>
        <v>Camp</v>
      </c>
      <c r="EH160" s="754" t="str">
        <f>VLOOKUP(WWWW[[#This Row],[Site Name]],SiteDB6[[Site Name]:[Type of Accommodation]],10,FALSE)</f>
        <v>Camp</v>
      </c>
      <c r="EI160" s="754" t="str">
        <f>VLOOKUP(WWWW[[#This Row],[Site Name]],SiteDB6[[Site Name]:[Ethnic or GCA/NGCA]],11,FALSE)</f>
        <v>GCA</v>
      </c>
      <c r="EJ160" s="754">
        <f>VLOOKUP(WWWW[[#This Row],[Site Name]],SiteDB6[[Site Name]:[Lat]],12,FALSE)</f>
        <v>25.887339999999998</v>
      </c>
      <c r="EK160" s="754">
        <f>VLOOKUP(WWWW[[#This Row],[Site Name]],SiteDB6[[Site Name]:[Long]],13,FALSE)</f>
        <v>98.129990000000006</v>
      </c>
      <c r="EL160" s="754" t="str">
        <f>VLOOKUP(WWWW[[#This Row],[Site Name]],SiteDB6[[Site Name]:[Pcode]],3,FALSE)</f>
        <v>MMR001CMP195</v>
      </c>
      <c r="EM160" s="759" t="str">
        <f t="shared" si="2"/>
        <v>Covered</v>
      </c>
      <c r="EN160" s="759"/>
      <c r="EO160" s="754">
        <f>VLOOKUP(WWWW[[#This Row],[Site Name]],SiteDB6[[Site Name]:[Pop
(Kachin/Shan-CCCM as of July 2021)]],16,FALSE)</f>
        <v>195</v>
      </c>
      <c r="EP160" s="754">
        <f>VLOOKUP(WWWW[[#This Row],[Site Name]],SiteDB6[[Site Name]:[Pop
(Kachin/Shan-CCCM as of July 2021)]],17,FALSE)</f>
        <v>854</v>
      </c>
    </row>
    <row r="161" spans="1:146" hidden="1">
      <c r="A161" s="752" t="s">
        <v>2785</v>
      </c>
      <c r="B161" s="752" t="s">
        <v>242</v>
      </c>
      <c r="C161" s="753" t="s">
        <v>242</v>
      </c>
      <c r="D161" s="753" t="s">
        <v>307</v>
      </c>
      <c r="E161" s="753" t="s">
        <v>37</v>
      </c>
      <c r="F161" s="753" t="s">
        <v>148</v>
      </c>
      <c r="G161" s="594" t="str">
        <f>VLOOKUP(WWWW[[#This Row],[Site Name]],SiteDB6[[Site Name]:[Location Type]],8,FALSE)</f>
        <v>Camp</v>
      </c>
      <c r="H161" s="753" t="s">
        <v>248</v>
      </c>
      <c r="I161" s="911">
        <v>94</v>
      </c>
      <c r="J161" s="911">
        <v>435</v>
      </c>
      <c r="K161" s="591">
        <v>44197</v>
      </c>
      <c r="L161" s="592">
        <v>44651</v>
      </c>
      <c r="M161" s="449">
        <v>60</v>
      </c>
      <c r="N161" s="449">
        <v>1</v>
      </c>
      <c r="O161" s="755"/>
      <c r="P161" s="755"/>
      <c r="Q161" s="758" t="s">
        <v>41</v>
      </c>
      <c r="R161" s="449">
        <v>5</v>
      </c>
      <c r="S161" s="449">
        <v>5</v>
      </c>
      <c r="T161" s="449">
        <v>3</v>
      </c>
      <c r="U161" s="755"/>
      <c r="V161" s="755"/>
      <c r="W161" s="755"/>
      <c r="X161" s="449">
        <v>3</v>
      </c>
      <c r="Y161" s="755"/>
      <c r="Z161" s="755"/>
      <c r="AA161" s="755"/>
      <c r="AB161" s="755"/>
      <c r="AC161" s="755"/>
      <c r="AD161" s="755"/>
      <c r="AE161" s="755"/>
      <c r="AF161" s="755"/>
      <c r="AG161" s="755"/>
      <c r="AH161" s="755"/>
      <c r="AI161" s="755"/>
      <c r="AJ161" s="755"/>
      <c r="AK161" s="755"/>
      <c r="AL161" s="755"/>
      <c r="AM161" s="755"/>
      <c r="AN161" s="449">
        <v>1</v>
      </c>
      <c r="AO161" s="449"/>
      <c r="AP161" s="593" t="s">
        <v>2914</v>
      </c>
      <c r="AQ161" s="449">
        <v>7</v>
      </c>
      <c r="AR161" s="449">
        <v>8</v>
      </c>
      <c r="AS161" s="424" t="s">
        <v>2136</v>
      </c>
      <c r="AT161" s="449"/>
      <c r="AU161" s="449"/>
      <c r="AV161" s="449"/>
      <c r="AW161" s="755"/>
      <c r="AX161" s="755"/>
      <c r="AY161" s="754" t="s">
        <v>41</v>
      </c>
      <c r="AZ161" s="759" t="s">
        <v>136</v>
      </c>
      <c r="BA161" s="755"/>
      <c r="BB161" s="755"/>
      <c r="BC161" s="755"/>
      <c r="BD161" s="449"/>
      <c r="BE161" s="449">
        <v>8</v>
      </c>
      <c r="BF161" s="426" t="s">
        <v>2918</v>
      </c>
      <c r="BG161" s="449">
        <v>7</v>
      </c>
      <c r="BH161" s="449"/>
      <c r="BI161" s="449"/>
      <c r="BJ161" s="449">
        <v>7</v>
      </c>
      <c r="BK161" s="449"/>
      <c r="BL161" s="449"/>
      <c r="BM161" s="449">
        <v>1</v>
      </c>
      <c r="BN161" s="449">
        <v>104</v>
      </c>
      <c r="BO161" s="449">
        <v>148</v>
      </c>
      <c r="BP161" s="754"/>
      <c r="BQ161" s="761">
        <v>3</v>
      </c>
      <c r="BR161" s="760"/>
      <c r="BS161" s="754" t="s">
        <v>2924</v>
      </c>
      <c r="BT161" s="424"/>
      <c r="BU161" s="424"/>
      <c r="BV161" s="426">
        <v>5</v>
      </c>
      <c r="BW161" s="424"/>
      <c r="BX161" s="449"/>
      <c r="BY161" s="449"/>
      <c r="BZ161" s="449"/>
      <c r="CA161" s="449"/>
      <c r="CB161" s="449"/>
      <c r="CC161" s="807"/>
      <c r="CD161" s="449"/>
      <c r="CE161" s="762" t="str">
        <f>IFERROR(WWWW[[#This Row],['#_Water sources passed]]/WWWW[[#This Row],['#_Water sources tested for fecal coliform ]],"no test")</f>
        <v>no test</v>
      </c>
      <c r="CF161" s="760" t="str">
        <f>IFERROR(WWWW[[#This Row],['#_Household passed]]/WWWW[[#This Row],['#_Household water samples tested for fecal coliform]],"no test")</f>
        <v>no test</v>
      </c>
      <c r="CG161" s="761" t="str">
        <f>IF(AND(WWWW[[#This Row],[% of water sources passed]]="no test",WWWW[[#This Row],[% Household passed]]="no test"),"No Test","Tested")</f>
        <v>No Test</v>
      </c>
      <c r="CH161" s="761">
        <f>WWWW[[#This Row],['#_Constructed/existing protected hand dug well]]-WWWW[[#This Row],['#_Non-functional protected hand dug well]]</f>
        <v>3</v>
      </c>
      <c r="CI161" s="761">
        <f>(WWWW[[#This Row],['#_Constructed/Existing tube wells/boreholes/handpumps_WASH_agency]]+WWWW[[#This Row],['#_Non-Cluster partner water tube-wells/boreholes/handpumps]])-WWWW[[#This Row],['#_Non-functional tube wells/boreholes/handpumps]]</f>
        <v>3</v>
      </c>
      <c r="CJ161" s="761">
        <f>WWWW[[#This Row],['#_Constructed/Existingwater storage tank with gravity fed reticulation system]]-WWWW[[#This Row],['#_Non-functional storage tank gravity fed reticulation system]]</f>
        <v>0</v>
      </c>
      <c r="CK161" s="761">
        <f>(WWWW[[#This Row],['#_Water_Liters_supplied_by_Water boating or water trucking]]/90)/15</f>
        <v>0</v>
      </c>
      <c r="CL161" s="761">
        <f>WWWW[[#This Row],['#_Water_Liters_from_Constructed/Existing water distribution system from river or natural spring]]/90/15</f>
        <v>0</v>
      </c>
      <c r="CM161" s="425">
        <f>IF(WWWW[[#This Row],['#_of water points in TLS/CFS]]*500&gt;WWWW[[#This Row],[Total PoP ]],WWWW[[#This Row],[Total PoP ]],WWWW[[#This Row],['#_of water points in TLS/CFS]]*500)</f>
        <v>435</v>
      </c>
      <c r="CN161" s="425">
        <f>IF(WWWW[[#This Row],['#_of water points in THF]]*500&gt;WWWW[[#This Row],[Total PoP ]],WWWW[[#This Row],[Total PoP ]],WWWW[[#This Row],['#_of water points in THF]]*500)</f>
        <v>0</v>
      </c>
      <c r="CO16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1" s="760">
        <f>IF(WWWW[[#This Row],[Location Type 1]]="Village",WWWW[[#This Row],[Access to safe drinking water for Village]],WWWW[[#This Row],[Access to safe drinking water for Camp]])</f>
        <v>1</v>
      </c>
      <c r="CR161" s="758">
        <f>WWWW[[#This Row],[%Equitable and continuous access to sufficient quantity of safe drinking water]]*WWWW[[#This Row],[Total PoP ]]</f>
        <v>435</v>
      </c>
      <c r="CS161" s="760">
        <f>IF((WWWW[[#This Row],['#_Constructed/Existing protected/fenced ponds]]*250)/WWWW[[#This Row],[Total PoP ]]&gt;1,1,(WWWW[[#This Row],['#_Constructed/Existing protected/fenced ponds]]*250)/WWWW[[#This Row],[Total PoP ]])</f>
        <v>0</v>
      </c>
      <c r="CT161" s="758">
        <f>WWWW[[#This Row],[% Access to unimproved water points]]*WWWW[[#This Row],[Total PoP ]]</f>
        <v>0</v>
      </c>
      <c r="CU16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435</v>
      </c>
      <c r="CW161" s="758">
        <f>WWWW[[#This Row],[HRP1]]/500</f>
        <v>0.87</v>
      </c>
      <c r="CX161" s="763">
        <f>1-WWWW[[#This Row],[% Equitable and continuous access to sufficient quantity of domestic water]]</f>
        <v>0</v>
      </c>
      <c r="CY161" s="758">
        <f>WWWW[[#This Row],[%equitable and continuous access to sufficient quantity of safe drinking and domestic water''s GAP]]*WWWW[[#This Row],[Total PoP ]]</f>
        <v>0</v>
      </c>
      <c r="CZ161" s="761">
        <f>IF(WWWW[[#This Row],[Total required water points]]-WWWW[[#This Row],['#Water points coverage]]&lt;0,0,WWWW[[#This Row],[Total required water points]]-WWWW[[#This Row],['#Water points coverage]])</f>
        <v>0.13</v>
      </c>
      <c r="DA161" s="761">
        <f>ROUND(IF(WWWW[[#This Row],[Total PoP ]]&lt;500,1,WWWW[[#This Row],[Total PoP ]]/500),0)</f>
        <v>1</v>
      </c>
      <c r="DB161" s="761">
        <f>(WWWW[[#This Row],['#_Constructed latrines_by_WASHAgencies]]+WWWW[[#This Row],['#_Non Cluster partner latrines]])-WWWW[[#This Row],['#_Non-functional latrines]]</f>
        <v>15</v>
      </c>
      <c r="DC161" s="634">
        <f>WWWW[[#This Row],[HRP2]]/WWWW[[#This Row],[Total PoP ]]</f>
        <v>0.7080459770114943</v>
      </c>
      <c r="DD16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308</v>
      </c>
      <c r="DE16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1" s="425">
        <f>IF(WWWW[[#This Row],['# of functional latrines in THF supported by WASH partners during the reporting period2]]="",0,WWWW[[#This Row],['# of functional latrines in THF supported by WASH partners during the reporting period2]]*50)</f>
        <v>0</v>
      </c>
      <c r="DH161" s="761">
        <f>ROUND(IF(WWWW[[#This Row],[Location Type 1]]="camp",WWWW[[#This Row],[Total PoP ]]/20,IF(WWWW[[#This Row],[Location Type 1]]="Temporary Location",WWWW[[#This Row],[Total PoP ]]/50,(WWWW[[#This Row],[Total PoP ]]/6))),0)</f>
        <v>22</v>
      </c>
      <c r="DI161" s="761">
        <f>IF(WWWW[[#This Row],[Total required Latrines]]-(WWWW[[#This Row],['#_Constructed latrines_by_WASHAgencies]]+WWWW[[#This Row],['#_Non Cluster partner latrines]])&lt;0,0,WWWW[[#This Row],[Total required Latrines]]-(WWWW[[#This Row],['#_Constructed latrines_by_WASHAgencies]]+WWWW[[#This Row],['#_Non Cluster partner latrines]]))</f>
        <v>7</v>
      </c>
      <c r="DJ161" s="763">
        <f>1-WWWW[[#This Row],[% people access to functioning Latrine]]</f>
        <v>0.2919540229885057</v>
      </c>
      <c r="DK161" s="762">
        <f>IF(OR(WWWW[[#This Row],['#_Non-functional latrines]]="",WWWW[[#This Row],['#_Non-functional latrines]]=0),0,WWWW[[#This Row],['#_Non-functional latrines]]/(WWWW[[#This Row],['#_Constructed latrines_by_WASHAgencies]]+WWWW[[#This Row],['#_Non Cluster partner latrines]]))</f>
        <v>0</v>
      </c>
      <c r="DL161" s="758">
        <f>IF(500*(WWWW[[#This Row],['#_male hygiene promoters]]+WWWW[[#This Row],['#_female hygiene promoters]])&gt;WWWW[[#This Row],[Total PoP ]],WWWW[[#This Row],[Total PoP ]],500*(WWWW[[#This Row],['#_male hygiene promoters]]+WWWW[[#This Row],['#_female hygiene promoters]]))</f>
        <v>435</v>
      </c>
      <c r="DM16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435</v>
      </c>
      <c r="DN16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61" s="761">
        <f>IF(WWWW[[#This Row],['# People with access to soap]]&gt;WWWW[[#This Row],['# People with access to Sanity Pads]],WWWW[[#This Row],['# People with access to soap]],WWWW[[#This Row],['# People with access to Sanity Pads]])</f>
        <v>435</v>
      </c>
      <c r="DP161" s="761">
        <f>IF(WWWW[[#This Row],['# people reached by regular dedicated hygiene promotion_5]]&gt;WWWW[[#This Row],['# People received regular supply of hygiene items_6]],WWWW[[#This Row],['# people reached by regular dedicated hygiene promotion_5]],WWWW[[#This Row],['# People received regular supply of hygiene items_6]])</f>
        <v>435</v>
      </c>
      <c r="DQ161" s="763">
        <f>IF(WWWW[[#This Row],[HRP3]]/WWWW[[#This Row],[Total PoP ]]&gt;1,1,WWWW[[#This Row],[HRP3]]/WWWW[[#This Row],[Total PoP ]])</f>
        <v>1</v>
      </c>
      <c r="DR161" s="762">
        <f>1-WWWW[[#This Row],[Hygiene Coverage%]]</f>
        <v>0</v>
      </c>
      <c r="DS161" s="760">
        <f>WWWW[[#This Row],['# people reached by regular dedicated hygiene promotion_5]]/WWWW[[#This Row],[Total PoP ]]</f>
        <v>1</v>
      </c>
      <c r="DT16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1" s="761">
        <f>WWWW[[#This Row],['#_Constructed/Existing hand washing stations]]-WWWW[[#This Row],['#_Non-Functional_hand_washing_stations]]</f>
        <v>7</v>
      </c>
      <c r="DW161" s="758">
        <f>IF(WWWW[[#This Row],['# Functional hand washing stations during reporting period]]*20&gt;WWWW[[#This Row],[Total HH]],WWWW[[#This Row],[Total HH]],WWWW[[#This Row],['# Functional hand washing stations during reporting period]]*20)</f>
        <v>94</v>
      </c>
      <c r="DX161" s="758">
        <f>IF(WWWW[[#This Row],[Is sufficient soap available for TLS? (Yes/No)]]="yes",WWWW[[#This Row],['#_Constructed/Existing hand washing stations at TLS/CFS/THF]],0)</f>
        <v>0</v>
      </c>
      <c r="DY161" s="429">
        <f>IF(WWWW[[#This Row],['# Functional hand washing stations during reporting period]]*100&gt;WWWW[[#This Row],[Total PoP ]],WWWW[[#This Row],[Total PoP ]],WWWW[[#This Row],['# Functional hand washing stations during reporting period]]*100)</f>
        <v>435</v>
      </c>
      <c r="DZ161" s="429" t="str">
        <f>IF(OR(WWWW[[#This Row],['#_students at TLS_CFS]]="",WWWW[[#This Row],['#_students at TLS_CFS]]=0),"No","Yes")</f>
        <v>Yes</v>
      </c>
      <c r="EA161" s="634">
        <f>IF(WWWW[[#This Row],['#_of_affected_people_surveyed_who_report_feeling_informed_about_the_different_WASH_services_available_to_them]]="","",WWWW[[#This Row],['#_of_affected_people_surveyed_who_report_feeling_informed_about_the_different_WASH_services_available_to_them]]/WWWW[[#This Row],[Total PoP ]])</f>
        <v>1.1494252873563218E-2</v>
      </c>
      <c r="EB16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435</v>
      </c>
      <c r="ED16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1" s="754" t="str">
        <f>VLOOKUP(WWWW[[#This Row],[Site Name]],SiteDB6[[Site Name]:[CCCM Management]],6,FALSE)</f>
        <v>Yes</v>
      </c>
      <c r="EF161" s="754" t="str">
        <f>VLOOKUP(WWWW[[#This Row],[Site Name]],SiteDB6[[Site Name]:[CCCM Focal Agency]],7,FALSE)</f>
        <v>Shalom</v>
      </c>
      <c r="EG161" s="754" t="str">
        <f>VLOOKUP(WWWW[[#This Row],[Site Name]],SiteDB6[[Site Name]:[Location Type 1]],9,FALSE)</f>
        <v>Camp</v>
      </c>
      <c r="EH161" s="754" t="str">
        <f>VLOOKUP(WWWW[[#This Row],[Site Name]],SiteDB6[[Site Name]:[Type of Accommodation]],10,FALSE)</f>
        <v>Camp</v>
      </c>
      <c r="EI161" s="754" t="str">
        <f>VLOOKUP(WWWW[[#This Row],[Site Name]],SiteDB6[[Site Name]:[Ethnic or GCA/NGCA]],11,FALSE)</f>
        <v>GCA</v>
      </c>
      <c r="EJ161" s="754">
        <f>VLOOKUP(WWWW[[#This Row],[Site Name]],SiteDB6[[Site Name]:[Lat]],12,FALSE)</f>
        <v>25.635300000000001</v>
      </c>
      <c r="EK161" s="754">
        <f>VLOOKUP(WWWW[[#This Row],[Site Name]],SiteDB6[[Site Name]:[Long]],13,FALSE)</f>
        <v>96.345569999999995</v>
      </c>
      <c r="EL161" s="754" t="str">
        <f>VLOOKUP(WWWW[[#This Row],[Site Name]],SiteDB6[[Site Name]:[Pcode]],3,FALSE)</f>
        <v>MMR001CMP176</v>
      </c>
      <c r="EM161" s="759" t="str">
        <f t="shared" si="2"/>
        <v>Covered</v>
      </c>
      <c r="EN161" s="759"/>
      <c r="EO161" s="754">
        <f>VLOOKUP(WWWW[[#This Row],[Site Name]],SiteDB6[[Site Name]:[Pop
(Kachin/Shan-CCCM as of July 2021)]],16,FALSE)</f>
        <v>94</v>
      </c>
      <c r="EP161" s="754">
        <f>VLOOKUP(WWWW[[#This Row],[Site Name]],SiteDB6[[Site Name]:[Pop
(Kachin/Shan-CCCM as of July 2021)]],17,FALSE)</f>
        <v>438</v>
      </c>
    </row>
    <row r="162" spans="1:146" hidden="1">
      <c r="A162" s="752" t="s">
        <v>2785</v>
      </c>
      <c r="B162" s="752" t="s">
        <v>242</v>
      </c>
      <c r="C162" s="753" t="s">
        <v>242</v>
      </c>
      <c r="D162" s="753" t="s">
        <v>307</v>
      </c>
      <c r="E162" s="753" t="s">
        <v>37</v>
      </c>
      <c r="F162" s="753" t="s">
        <v>148</v>
      </c>
      <c r="G162" s="594" t="str">
        <f>VLOOKUP(WWWW[[#This Row],[Site Name]],SiteDB6[[Site Name]:[Location Type]],8,FALSE)</f>
        <v>Camp</v>
      </c>
      <c r="H162" s="753" t="s">
        <v>249</v>
      </c>
      <c r="I162" s="449">
        <v>14</v>
      </c>
      <c r="J162" s="449">
        <v>72</v>
      </c>
      <c r="K162" s="591">
        <v>44197</v>
      </c>
      <c r="L162" s="592">
        <v>44651</v>
      </c>
      <c r="M162" s="449"/>
      <c r="N162" s="449">
        <v>1</v>
      </c>
      <c r="O162" s="755"/>
      <c r="P162" s="755"/>
      <c r="Q162" s="758" t="s">
        <v>41</v>
      </c>
      <c r="R162" s="449">
        <v>2</v>
      </c>
      <c r="S162" s="449">
        <v>3</v>
      </c>
      <c r="T162" s="449">
        <v>1</v>
      </c>
      <c r="U162" s="755"/>
      <c r="V162" s="755"/>
      <c r="W162" s="755"/>
      <c r="X162" s="755"/>
      <c r="Y162" s="755"/>
      <c r="Z162" s="755"/>
      <c r="AA162" s="755">
        <v>2</v>
      </c>
      <c r="AB162" s="755"/>
      <c r="AC162" s="755"/>
      <c r="AD162" s="755"/>
      <c r="AE162" s="755"/>
      <c r="AF162" s="755"/>
      <c r="AG162" s="755">
        <v>1</v>
      </c>
      <c r="AH162" s="755"/>
      <c r="AI162" s="755"/>
      <c r="AJ162" s="755"/>
      <c r="AK162" s="755"/>
      <c r="AL162" s="755"/>
      <c r="AM162" s="755">
        <v>3</v>
      </c>
      <c r="AN162" s="449">
        <v>1</v>
      </c>
      <c r="AO162" s="449"/>
      <c r="AP162" s="593"/>
      <c r="AQ162" s="449">
        <v>5</v>
      </c>
      <c r="AR162" s="755"/>
      <c r="AS162" s="760"/>
      <c r="AT162" s="449"/>
      <c r="AU162" s="449"/>
      <c r="AV162" s="449"/>
      <c r="AW162" s="755"/>
      <c r="AX162" s="755"/>
      <c r="AY162" s="754" t="s">
        <v>41</v>
      </c>
      <c r="AZ162" s="759" t="s">
        <v>137</v>
      </c>
      <c r="BA162" s="755"/>
      <c r="BB162" s="755">
        <v>1</v>
      </c>
      <c r="BC162" s="755"/>
      <c r="BD162" s="449"/>
      <c r="BE162" s="449"/>
      <c r="BF162" s="426"/>
      <c r="BG162" s="449">
        <v>7</v>
      </c>
      <c r="BH162" s="449"/>
      <c r="BI162" s="449"/>
      <c r="BJ162" s="449">
        <v>4</v>
      </c>
      <c r="BK162" s="449"/>
      <c r="BL162" s="449"/>
      <c r="BM162" s="449">
        <v>1</v>
      </c>
      <c r="BN162" s="449">
        <v>124</v>
      </c>
      <c r="BO162" s="449">
        <v>198</v>
      </c>
      <c r="BP162" s="754" t="s">
        <v>41</v>
      </c>
      <c r="BQ162" s="425">
        <v>3</v>
      </c>
      <c r="BR162" s="424">
        <v>0.75</v>
      </c>
      <c r="BS162" s="426" t="s">
        <v>2925</v>
      </c>
      <c r="BT162" s="424">
        <v>0.8</v>
      </c>
      <c r="BU162" s="424">
        <v>1</v>
      </c>
      <c r="BV162" s="426">
        <v>4</v>
      </c>
      <c r="BW162" s="424">
        <v>0.7</v>
      </c>
      <c r="BX162" s="449"/>
      <c r="BY162" s="449"/>
      <c r="BZ162" s="449"/>
      <c r="CA162" s="449"/>
      <c r="CB162" s="449"/>
      <c r="CC162" s="807"/>
      <c r="CD162" s="449"/>
      <c r="CE162" s="762" t="str">
        <f>IFERROR(WWWW[[#This Row],['#_Water sources passed]]/WWWW[[#This Row],['#_Water sources tested for fecal coliform ]],"no test")</f>
        <v>no test</v>
      </c>
      <c r="CF162" s="760" t="str">
        <f>IFERROR(WWWW[[#This Row],['#_Household passed]]/WWWW[[#This Row],['#_Household water samples tested for fecal coliform]],"no test")</f>
        <v>no test</v>
      </c>
      <c r="CG162" s="761" t="str">
        <f>IF(AND(WWWW[[#This Row],[% of water sources passed]]="no test",WWWW[[#This Row],[% Household passed]]="no test"),"No Test","Tested")</f>
        <v>No Test</v>
      </c>
      <c r="CH162" s="761">
        <f>WWWW[[#This Row],['#_Constructed/existing protected hand dug well]]-WWWW[[#This Row],['#_Non-functional protected hand dug well]]</f>
        <v>1</v>
      </c>
      <c r="CI162" s="761">
        <f>(WWWW[[#This Row],['#_Constructed/Existing tube wells/boreholes/handpumps_WASH_agency]]+WWWW[[#This Row],['#_Non-Cluster partner water tube-wells/boreholes/handpumps]])-WWWW[[#This Row],['#_Non-functional tube wells/boreholes/handpumps]]</f>
        <v>0</v>
      </c>
      <c r="CJ162" s="761">
        <f>WWWW[[#This Row],['#_Constructed/Existingwater storage tank with gravity fed reticulation system]]-WWWW[[#This Row],['#_Non-functional storage tank gravity fed reticulation system]]</f>
        <v>2</v>
      </c>
      <c r="CK162" s="761">
        <f>(WWWW[[#This Row],['#_Water_Liters_supplied_by_Water boating or water trucking]]/90)/15</f>
        <v>0</v>
      </c>
      <c r="CL162" s="761">
        <f>WWWW[[#This Row],['#_Water_Liters_from_Constructed/Existing water distribution system from river or natural spring]]/90/15</f>
        <v>0</v>
      </c>
      <c r="CM162" s="425">
        <f>IF(WWWW[[#This Row],['#_of water points in TLS/CFS]]*500&gt;WWWW[[#This Row],[Total PoP ]],WWWW[[#This Row],[Total PoP ]],WWWW[[#This Row],['#_of water points in TLS/CFS]]*500)</f>
        <v>72</v>
      </c>
      <c r="CN162" s="425">
        <f>IF(WWWW[[#This Row],['#_of water points in THF]]*500&gt;WWWW[[#This Row],[Total PoP ]],WWWW[[#This Row],[Total PoP ]],WWWW[[#This Row],['#_of water points in THF]]*500)</f>
        <v>0</v>
      </c>
      <c r="CO16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2" s="760">
        <f>IF(WWWW[[#This Row],[Location Type 1]]="Village",WWWW[[#This Row],[Access to safe drinking water for Village]],WWWW[[#This Row],[Access to safe drinking water for Camp]])</f>
        <v>1</v>
      </c>
      <c r="CR162" s="758">
        <f>WWWW[[#This Row],[%Equitable and continuous access to sufficient quantity of safe drinking water]]*WWWW[[#This Row],[Total PoP ]]</f>
        <v>72</v>
      </c>
      <c r="CS162" s="760">
        <f>IF((WWWW[[#This Row],['#_Constructed/Existing protected/fenced ponds]]*250)/WWWW[[#This Row],[Total PoP ]]&gt;1,1,(WWWW[[#This Row],['#_Constructed/Existing protected/fenced ponds]]*250)/WWWW[[#This Row],[Total PoP ]])</f>
        <v>0</v>
      </c>
      <c r="CT162" s="758">
        <f>WWWW[[#This Row],[% Access to unimproved water points]]*WWWW[[#This Row],[Total PoP ]]</f>
        <v>0</v>
      </c>
      <c r="CU16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W162" s="758">
        <f>WWWW[[#This Row],[HRP1]]/500</f>
        <v>0.14399999999999999</v>
      </c>
      <c r="CX162" s="763">
        <f>1-WWWW[[#This Row],[% Equitable and continuous access to sufficient quantity of domestic water]]</f>
        <v>0</v>
      </c>
      <c r="CY162" s="758">
        <f>WWWW[[#This Row],[%equitable and continuous access to sufficient quantity of safe drinking and domestic water''s GAP]]*WWWW[[#This Row],[Total PoP ]]</f>
        <v>0</v>
      </c>
      <c r="CZ162" s="761">
        <f>IF(WWWW[[#This Row],[Total required water points]]-WWWW[[#This Row],['#Water points coverage]]&lt;0,0,WWWW[[#This Row],[Total required water points]]-WWWW[[#This Row],['#Water points coverage]])</f>
        <v>0.85599999999999998</v>
      </c>
      <c r="DA162" s="761">
        <f>ROUND(IF(WWWW[[#This Row],[Total PoP ]]&lt;500,1,WWWW[[#This Row],[Total PoP ]]/500),0)</f>
        <v>1</v>
      </c>
      <c r="DB162" s="761">
        <f>(WWWW[[#This Row],['#_Constructed latrines_by_WASHAgencies]]+WWWW[[#This Row],['#_Non Cluster partner latrines]])-WWWW[[#This Row],['#_Non-functional latrines]]</f>
        <v>5</v>
      </c>
      <c r="DC162" s="634">
        <f>WWWW[[#This Row],[HRP2]]/WWWW[[#This Row],[Total PoP ]]</f>
        <v>1</v>
      </c>
      <c r="DD16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v>
      </c>
      <c r="DE16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2" s="425">
        <f>IF(WWWW[[#This Row],['# of functional latrines in THF supported by WASH partners during the reporting period2]]="",0,WWWW[[#This Row],['# of functional latrines in THF supported by WASH partners during the reporting period2]]*50)</f>
        <v>0</v>
      </c>
      <c r="DH162" s="761">
        <f>ROUND(IF(WWWW[[#This Row],[Location Type 1]]="camp",WWWW[[#This Row],[Total PoP ]]/20,IF(WWWW[[#This Row],[Location Type 1]]="Temporary Location",WWWW[[#This Row],[Total PoP ]]/50,(WWWW[[#This Row],[Total PoP ]]/6))),0)</f>
        <v>4</v>
      </c>
      <c r="DI162" s="761">
        <f>IF(WWWW[[#This Row],[Total required Latrines]]-(WWWW[[#This Row],['#_Constructed latrines_by_WASHAgencies]]+WWWW[[#This Row],['#_Non Cluster partner latrines]])&lt;0,0,WWWW[[#This Row],[Total required Latrines]]-(WWWW[[#This Row],['#_Constructed latrines_by_WASHAgencies]]+WWWW[[#This Row],['#_Non Cluster partner latrines]]))</f>
        <v>0</v>
      </c>
      <c r="DJ162" s="763">
        <f>1-WWWW[[#This Row],[% people access to functioning Latrine]]</f>
        <v>0</v>
      </c>
      <c r="DK162" s="762">
        <f>IF(OR(WWWW[[#This Row],['#_Non-functional latrines]]="",WWWW[[#This Row],['#_Non-functional latrines]]=0),0,WWWW[[#This Row],['#_Non-functional latrines]]/(WWWW[[#This Row],['#_Constructed latrines_by_WASHAgencies]]+WWWW[[#This Row],['#_Non Cluster partner latrines]]))</f>
        <v>0</v>
      </c>
      <c r="DL162" s="758">
        <f>IF(500*(WWWW[[#This Row],['#_male hygiene promoters]]+WWWW[[#This Row],['#_female hygiene promoters]])&gt;WWWW[[#This Row],[Total PoP ]],WWWW[[#This Row],[Total PoP ]],500*(WWWW[[#This Row],['#_male hygiene promoters]]+WWWW[[#This Row],['#_female hygiene promoters]]))</f>
        <v>72</v>
      </c>
      <c r="DM16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N16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72</v>
      </c>
      <c r="DO162" s="761">
        <f>IF(WWWW[[#This Row],['# People with access to soap]]&gt;WWWW[[#This Row],['# People with access to Sanity Pads]],WWWW[[#This Row],['# People with access to soap]],WWWW[[#This Row],['# People with access to Sanity Pads]])</f>
        <v>72</v>
      </c>
      <c r="DP162" s="761">
        <f>IF(WWWW[[#This Row],['# people reached by regular dedicated hygiene promotion_5]]&gt;WWWW[[#This Row],['# People received regular supply of hygiene items_6]],WWWW[[#This Row],['# people reached by regular dedicated hygiene promotion_5]],WWWW[[#This Row],['# People received regular supply of hygiene items_6]])</f>
        <v>72</v>
      </c>
      <c r="DQ162" s="763">
        <f>IF(WWWW[[#This Row],[HRP3]]/WWWW[[#This Row],[Total PoP ]]&gt;1,1,WWWW[[#This Row],[HRP3]]/WWWW[[#This Row],[Total PoP ]])</f>
        <v>1</v>
      </c>
      <c r="DR162" s="762">
        <f>1-WWWW[[#This Row],[Hygiene Coverage%]]</f>
        <v>0</v>
      </c>
      <c r="DS162" s="760">
        <f>WWWW[[#This Row],['# people reached by regular dedicated hygiene promotion_5]]/WWWW[[#This Row],[Total PoP ]]</f>
        <v>1</v>
      </c>
      <c r="DT16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2" s="761">
        <f>WWWW[[#This Row],['#_Constructed/Existing hand washing stations]]-WWWW[[#This Row],['#_Non-Functional_hand_washing_stations]]</f>
        <v>7</v>
      </c>
      <c r="DW162" s="758">
        <f>IF(WWWW[[#This Row],['# Functional hand washing stations during reporting period]]*20&gt;WWWW[[#This Row],[Total HH]],WWWW[[#This Row],[Total HH]],WWWW[[#This Row],['# Functional hand washing stations during reporting period]]*20)</f>
        <v>14</v>
      </c>
      <c r="DX162" s="758">
        <f>IF(WWWW[[#This Row],[Is sufficient soap available for TLS? (Yes/No)]]="yes",WWWW[[#This Row],['#_Constructed/Existing hand washing stations at TLS/CFS/THF]],0)</f>
        <v>3</v>
      </c>
      <c r="DY162" s="429">
        <f>IF(WWWW[[#This Row],['# Functional hand washing stations during reporting period]]*100&gt;WWWW[[#This Row],[Total PoP ]],WWWW[[#This Row],[Total PoP ]],WWWW[[#This Row],['# Functional hand washing stations during reporting period]]*100)</f>
        <v>72</v>
      </c>
      <c r="DZ162" s="429" t="str">
        <f>IF(OR(WWWW[[#This Row],['#_students at TLS_CFS]]="",WWWW[[#This Row],['#_students at TLS_CFS]]=0),"No","Yes")</f>
        <v>No</v>
      </c>
      <c r="EA162" s="634">
        <f>IF(WWWW[[#This Row],['#_of_affected_people_surveyed_who_report_feeling_informed_about_the_different_WASH_services_available_to_them]]="","",WWWW[[#This Row],['#_of_affected_people_surveyed_who_report_feeling_informed_about_the_different_WASH_services_available_to_them]]/WWWW[[#This Row],[Total PoP ]])</f>
        <v>5.5555555555555552E-2</v>
      </c>
      <c r="EB16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72</v>
      </c>
      <c r="ED16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2" s="754" t="str">
        <f>VLOOKUP(WWWW[[#This Row],[Site Name]],SiteDB6[[Site Name]:[CCCM Management]],6,FALSE)</f>
        <v>Yes</v>
      </c>
      <c r="EF162" s="754" t="str">
        <f>VLOOKUP(WWWW[[#This Row],[Site Name]],SiteDB6[[Site Name]:[CCCM Focal Agency]],7,FALSE)</f>
        <v>Shalom</v>
      </c>
      <c r="EG162" s="754" t="str">
        <f>VLOOKUP(WWWW[[#This Row],[Site Name]],SiteDB6[[Site Name]:[Location Type 1]],9,FALSE)</f>
        <v>Camp</v>
      </c>
      <c r="EH162" s="754" t="str">
        <f>VLOOKUP(WWWW[[#This Row],[Site Name]],SiteDB6[[Site Name]:[Type of Accommodation]],10,FALSE)</f>
        <v>Camp</v>
      </c>
      <c r="EI162" s="754" t="str">
        <f>VLOOKUP(WWWW[[#This Row],[Site Name]],SiteDB6[[Site Name]:[Ethnic or GCA/NGCA]],11,FALSE)</f>
        <v>GCA</v>
      </c>
      <c r="EJ162" s="754">
        <f>VLOOKUP(WWWW[[#This Row],[Site Name]],SiteDB6[[Site Name]:[Lat]],12,FALSE)</f>
        <v>25.616509000000001</v>
      </c>
      <c r="EK162" s="754">
        <f>VLOOKUP(WWWW[[#This Row],[Site Name]],SiteDB6[[Site Name]:[Long]],13,FALSE)</f>
        <v>96.317350000000005</v>
      </c>
      <c r="EL162" s="754" t="str">
        <f>VLOOKUP(WWWW[[#This Row],[Site Name]],SiteDB6[[Site Name]:[Pcode]],3,FALSE)</f>
        <v>MMR001CMP190</v>
      </c>
      <c r="EM162" s="759" t="str">
        <f t="shared" si="2"/>
        <v>Covered</v>
      </c>
      <c r="EN162" s="759"/>
      <c r="EO162" s="754">
        <f>VLOOKUP(WWWW[[#This Row],[Site Name]],SiteDB6[[Site Name]:[Pop
(Kachin/Shan-CCCM as of July 2021)]],16,FALSE)</f>
        <v>14</v>
      </c>
      <c r="EP162" s="754">
        <f>VLOOKUP(WWWW[[#This Row],[Site Name]],SiteDB6[[Site Name]:[Pop
(Kachin/Shan-CCCM as of July 2021)]],17,FALSE)</f>
        <v>72</v>
      </c>
    </row>
    <row r="163" spans="1:146" hidden="1">
      <c r="A163" s="752" t="s">
        <v>2785</v>
      </c>
      <c r="B163" s="752" t="s">
        <v>242</v>
      </c>
      <c r="C163" s="753" t="s">
        <v>242</v>
      </c>
      <c r="D163" s="753" t="s">
        <v>307</v>
      </c>
      <c r="E163" s="753" t="s">
        <v>37</v>
      </c>
      <c r="F163" s="753" t="s">
        <v>148</v>
      </c>
      <c r="G163" s="594" t="str">
        <f>VLOOKUP(WWWW[[#This Row],[Site Name]],SiteDB6[[Site Name]:[Location Type]],8,FALSE)</f>
        <v>Camp</v>
      </c>
      <c r="H163" s="753" t="s">
        <v>250</v>
      </c>
      <c r="I163" s="449">
        <v>41</v>
      </c>
      <c r="J163" s="449">
        <v>250</v>
      </c>
      <c r="K163" s="591">
        <v>44197</v>
      </c>
      <c r="L163" s="592">
        <v>44651</v>
      </c>
      <c r="M163" s="449"/>
      <c r="N163" s="449">
        <v>1</v>
      </c>
      <c r="O163" s="755"/>
      <c r="P163" s="755"/>
      <c r="Q163" s="758" t="s">
        <v>41</v>
      </c>
      <c r="R163" s="449">
        <v>1</v>
      </c>
      <c r="S163" s="449">
        <v>5</v>
      </c>
      <c r="T163" s="449">
        <v>2</v>
      </c>
      <c r="U163" s="755"/>
      <c r="V163" s="755"/>
      <c r="W163" s="755"/>
      <c r="X163" s="755"/>
      <c r="Y163" s="755"/>
      <c r="Z163" s="755"/>
      <c r="AA163" s="755"/>
      <c r="AB163" s="755"/>
      <c r="AC163" s="755"/>
      <c r="AD163" s="755"/>
      <c r="AE163" s="755"/>
      <c r="AF163" s="755"/>
      <c r="AG163" s="755">
        <v>1</v>
      </c>
      <c r="AH163" s="755"/>
      <c r="AI163" s="755"/>
      <c r="AJ163" s="755"/>
      <c r="AK163" s="755"/>
      <c r="AL163" s="755"/>
      <c r="AM163" s="755"/>
      <c r="AN163" s="449"/>
      <c r="AO163" s="449"/>
      <c r="AP163" s="593" t="s">
        <v>2915</v>
      </c>
      <c r="AQ163" s="449">
        <v>10</v>
      </c>
      <c r="AR163" s="755"/>
      <c r="AS163" s="760"/>
      <c r="AT163" s="449"/>
      <c r="AU163" s="449"/>
      <c r="AV163" s="449"/>
      <c r="AW163" s="755"/>
      <c r="AX163" s="755"/>
      <c r="AY163" s="754" t="s">
        <v>136</v>
      </c>
      <c r="AZ163" s="759" t="s">
        <v>137</v>
      </c>
      <c r="BA163" s="755"/>
      <c r="BB163" s="755"/>
      <c r="BC163" s="755"/>
      <c r="BD163" s="449"/>
      <c r="BE163" s="449"/>
      <c r="BF163" s="426" t="s">
        <v>2919</v>
      </c>
      <c r="BG163" s="449">
        <v>3</v>
      </c>
      <c r="BH163" s="449"/>
      <c r="BI163" s="449">
        <v>1</v>
      </c>
      <c r="BJ163" s="449">
        <v>2</v>
      </c>
      <c r="BK163" s="449"/>
      <c r="BL163" s="449"/>
      <c r="BM163" s="449">
        <v>1</v>
      </c>
      <c r="BN163" s="449">
        <v>88</v>
      </c>
      <c r="BO163" s="449">
        <v>100</v>
      </c>
      <c r="BP163" s="754"/>
      <c r="BQ163" s="425">
        <v>4</v>
      </c>
      <c r="BR163" s="424"/>
      <c r="BS163" s="426" t="s">
        <v>2926</v>
      </c>
      <c r="BT163" s="424"/>
      <c r="BU163" s="424"/>
      <c r="BV163" s="426">
        <v>10</v>
      </c>
      <c r="BW163" s="424"/>
      <c r="BX163" s="449"/>
      <c r="BY163" s="449"/>
      <c r="BZ163" s="449"/>
      <c r="CA163" s="449"/>
      <c r="CB163" s="449"/>
      <c r="CC163" s="807"/>
      <c r="CD163" s="449"/>
      <c r="CE163" s="762" t="str">
        <f>IFERROR(WWWW[[#This Row],['#_Water sources passed]]/WWWW[[#This Row],['#_Water sources tested for fecal coliform ]],"no test")</f>
        <v>no test</v>
      </c>
      <c r="CF163" s="760" t="str">
        <f>IFERROR(WWWW[[#This Row],['#_Household passed]]/WWWW[[#This Row],['#_Household water samples tested for fecal coliform]],"no test")</f>
        <v>no test</v>
      </c>
      <c r="CG163" s="761" t="str">
        <f>IF(AND(WWWW[[#This Row],[% of water sources passed]]="no test",WWWW[[#This Row],[% Household passed]]="no test"),"No Test","Tested")</f>
        <v>No Test</v>
      </c>
      <c r="CH163" s="761">
        <f>WWWW[[#This Row],['#_Constructed/existing protected hand dug well]]-WWWW[[#This Row],['#_Non-functional protected hand dug well]]</f>
        <v>2</v>
      </c>
      <c r="CI163" s="761">
        <f>(WWWW[[#This Row],['#_Constructed/Existing tube wells/boreholes/handpumps_WASH_agency]]+WWWW[[#This Row],['#_Non-Cluster partner water tube-wells/boreholes/handpumps]])-WWWW[[#This Row],['#_Non-functional tube wells/boreholes/handpumps]]</f>
        <v>0</v>
      </c>
      <c r="CJ163" s="761">
        <f>WWWW[[#This Row],['#_Constructed/Existingwater storage tank with gravity fed reticulation system]]-WWWW[[#This Row],['#_Non-functional storage tank gravity fed reticulation system]]</f>
        <v>0</v>
      </c>
      <c r="CK163" s="761">
        <f>(WWWW[[#This Row],['#_Water_Liters_supplied_by_Water boating or water trucking]]/90)/15</f>
        <v>0</v>
      </c>
      <c r="CL163" s="761">
        <f>WWWW[[#This Row],['#_Water_Liters_from_Constructed/Existing water distribution system from river or natural spring]]/90/15</f>
        <v>0</v>
      </c>
      <c r="CM163" s="425">
        <f>IF(WWWW[[#This Row],['#_of water points in TLS/CFS]]*500&gt;WWWW[[#This Row],[Total PoP ]],WWWW[[#This Row],[Total PoP ]],WWWW[[#This Row],['#_of water points in TLS/CFS]]*500)</f>
        <v>0</v>
      </c>
      <c r="CN163" s="425">
        <f>IF(WWWW[[#This Row],['#_of water points in THF]]*500&gt;WWWW[[#This Row],[Total PoP ]],WWWW[[#This Row],[Total PoP ]],WWWW[[#This Row],['#_of water points in THF]]*500)</f>
        <v>0</v>
      </c>
      <c r="CO16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3" s="760">
        <f>IF(WWWW[[#This Row],[Location Type 1]]="Village",WWWW[[#This Row],[Access to safe drinking water for Village]],WWWW[[#This Row],[Access to safe drinking water for Camp]])</f>
        <v>1</v>
      </c>
      <c r="CR163" s="758">
        <f>WWWW[[#This Row],[%Equitable and continuous access to sufficient quantity of safe drinking water]]*WWWW[[#This Row],[Total PoP ]]</f>
        <v>250</v>
      </c>
      <c r="CS163" s="760">
        <f>IF((WWWW[[#This Row],['#_Constructed/Existing protected/fenced ponds]]*250)/WWWW[[#This Row],[Total PoP ]]&gt;1,1,(WWWW[[#This Row],['#_Constructed/Existing protected/fenced ponds]]*250)/WWWW[[#This Row],[Total PoP ]])</f>
        <v>0</v>
      </c>
      <c r="CT163" s="758">
        <f>WWWW[[#This Row],[% Access to unimproved water points]]*WWWW[[#This Row],[Total PoP ]]</f>
        <v>0</v>
      </c>
      <c r="CU16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163" s="758">
        <f>WWWW[[#This Row],[HRP1]]/500</f>
        <v>0.5</v>
      </c>
      <c r="CX163" s="763">
        <f>1-WWWW[[#This Row],[% Equitable and continuous access to sufficient quantity of domestic water]]</f>
        <v>0</v>
      </c>
      <c r="CY163" s="758">
        <f>WWWW[[#This Row],[%equitable and continuous access to sufficient quantity of safe drinking and domestic water''s GAP]]*WWWW[[#This Row],[Total PoP ]]</f>
        <v>0</v>
      </c>
      <c r="CZ163" s="761">
        <f>IF(WWWW[[#This Row],[Total required water points]]-WWWW[[#This Row],['#Water points coverage]]&lt;0,0,WWWW[[#This Row],[Total required water points]]-WWWW[[#This Row],['#Water points coverage]])</f>
        <v>0.5</v>
      </c>
      <c r="DA163" s="761">
        <f>ROUND(IF(WWWW[[#This Row],[Total PoP ]]&lt;500,1,WWWW[[#This Row],[Total PoP ]]/500),0)</f>
        <v>1</v>
      </c>
      <c r="DB163" s="761">
        <f>(WWWW[[#This Row],['#_Constructed latrines_by_WASHAgencies]]+WWWW[[#This Row],['#_Non Cluster partner latrines]])-WWWW[[#This Row],['#_Non-functional latrines]]</f>
        <v>10</v>
      </c>
      <c r="DC163" s="634">
        <f>WWWW[[#This Row],[HRP2]]/WWWW[[#This Row],[Total PoP ]]</f>
        <v>0.8</v>
      </c>
      <c r="DD16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16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3" s="425">
        <f>IF(WWWW[[#This Row],['# of functional latrines in THF supported by WASH partners during the reporting period2]]="",0,WWWW[[#This Row],['# of functional latrines in THF supported by WASH partners during the reporting period2]]*50)</f>
        <v>0</v>
      </c>
      <c r="DH163" s="761">
        <f>ROUND(IF(WWWW[[#This Row],[Location Type 1]]="camp",WWWW[[#This Row],[Total PoP ]]/20,IF(WWWW[[#This Row],[Location Type 1]]="Temporary Location",WWWW[[#This Row],[Total PoP ]]/50,(WWWW[[#This Row],[Total PoP ]]/6))),0)</f>
        <v>13</v>
      </c>
      <c r="DI163" s="761">
        <f>IF(WWWW[[#This Row],[Total required Latrines]]-(WWWW[[#This Row],['#_Constructed latrines_by_WASHAgencies]]+WWWW[[#This Row],['#_Non Cluster partner latrines]])&lt;0,0,WWWW[[#This Row],[Total required Latrines]]-(WWWW[[#This Row],['#_Constructed latrines_by_WASHAgencies]]+WWWW[[#This Row],['#_Non Cluster partner latrines]]))</f>
        <v>3</v>
      </c>
      <c r="DJ163" s="763">
        <f>1-WWWW[[#This Row],[% people access to functioning Latrine]]</f>
        <v>0.19999999999999996</v>
      </c>
      <c r="DK163" s="762">
        <f>IF(OR(WWWW[[#This Row],['#_Non-functional latrines]]="",WWWW[[#This Row],['#_Non-functional latrines]]=0),0,WWWW[[#This Row],['#_Non-functional latrines]]/(WWWW[[#This Row],['#_Constructed latrines_by_WASHAgencies]]+WWWW[[#This Row],['#_Non Cluster partner latrines]]))</f>
        <v>0</v>
      </c>
      <c r="DL163" s="758">
        <f>IF(500*(WWWW[[#This Row],['#_male hygiene promoters]]+WWWW[[#This Row],['#_female hygiene promoters]])&gt;WWWW[[#This Row],[Total PoP ]],WWWW[[#This Row],[Total PoP ]],500*(WWWW[[#This Row],['#_male hygiene promoters]]+WWWW[[#This Row],['#_female hygiene promoters]]))</f>
        <v>250</v>
      </c>
      <c r="DM16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16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63" s="761">
        <f>IF(WWWW[[#This Row],['# People with access to soap]]&gt;WWWW[[#This Row],['# People with access to Sanity Pads]],WWWW[[#This Row],['# People with access to soap]],WWWW[[#This Row],['# People with access to Sanity Pads]])</f>
        <v>250</v>
      </c>
      <c r="DP163" s="761">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163" s="763">
        <f>IF(WWWW[[#This Row],[HRP3]]/WWWW[[#This Row],[Total PoP ]]&gt;1,1,WWWW[[#This Row],[HRP3]]/WWWW[[#This Row],[Total PoP ]])</f>
        <v>1</v>
      </c>
      <c r="DR163" s="762">
        <f>1-WWWW[[#This Row],[Hygiene Coverage%]]</f>
        <v>0</v>
      </c>
      <c r="DS163" s="760">
        <f>WWWW[[#This Row],['# people reached by regular dedicated hygiene promotion_5]]/WWWW[[#This Row],[Total PoP ]]</f>
        <v>1</v>
      </c>
      <c r="DT16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3" s="761">
        <f>WWWW[[#This Row],['#_Constructed/Existing hand washing stations]]-WWWW[[#This Row],['#_Non-Functional_hand_washing_stations]]</f>
        <v>3</v>
      </c>
      <c r="DW163" s="758">
        <f>IF(WWWW[[#This Row],['# Functional hand washing stations during reporting period]]*20&gt;WWWW[[#This Row],[Total HH]],WWWW[[#This Row],[Total HH]],WWWW[[#This Row],['# Functional hand washing stations during reporting period]]*20)</f>
        <v>41</v>
      </c>
      <c r="DX163" s="758">
        <f>IF(WWWW[[#This Row],[Is sufficient soap available for TLS? (Yes/No)]]="yes",WWWW[[#This Row],['#_Constructed/Existing hand washing stations at TLS/CFS/THF]],0)</f>
        <v>0</v>
      </c>
      <c r="DY163" s="429">
        <f>IF(WWWW[[#This Row],['# Functional hand washing stations during reporting period]]*100&gt;WWWW[[#This Row],[Total PoP ]],WWWW[[#This Row],[Total PoP ]],WWWW[[#This Row],['# Functional hand washing stations during reporting period]]*100)</f>
        <v>250</v>
      </c>
      <c r="DZ163" s="429" t="str">
        <f>IF(OR(WWWW[[#This Row],['#_students at TLS_CFS]]="",WWWW[[#This Row],['#_students at TLS_CFS]]=0),"No","Yes")</f>
        <v>No</v>
      </c>
      <c r="EA163" s="634">
        <f>IF(WWWW[[#This Row],['#_of_affected_people_surveyed_who_report_feeling_informed_about_the_different_WASH_services_available_to_them]]="","",WWWW[[#This Row],['#_of_affected_people_surveyed_who_report_feeling_informed_about_the_different_WASH_services_available_to_them]]/WWWW[[#This Row],[Total PoP ]])</f>
        <v>0.04</v>
      </c>
      <c r="EB16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3" s="754" t="str">
        <f>VLOOKUP(WWWW[[#This Row],[Site Name]],SiteDB6[[Site Name]:[CCCM Management]],6,FALSE)</f>
        <v>Yes</v>
      </c>
      <c r="EF163" s="754" t="str">
        <f>VLOOKUP(WWWW[[#This Row],[Site Name]],SiteDB6[[Site Name]:[CCCM Focal Agency]],7,FALSE)</f>
        <v>KBC-MYT</v>
      </c>
      <c r="EG163" s="754" t="str">
        <f>VLOOKUP(WWWW[[#This Row],[Site Name]],SiteDB6[[Site Name]:[Location Type 1]],9,FALSE)</f>
        <v>Camp</v>
      </c>
      <c r="EH163" s="754" t="str">
        <f>VLOOKUP(WWWW[[#This Row],[Site Name]],SiteDB6[[Site Name]:[Type of Accommodation]],10,FALSE)</f>
        <v>Camp</v>
      </c>
      <c r="EI163" s="754" t="str">
        <f>VLOOKUP(WWWW[[#This Row],[Site Name]],SiteDB6[[Site Name]:[Ethnic or GCA/NGCA]],11,FALSE)</f>
        <v>GCA</v>
      </c>
      <c r="EJ163" s="754">
        <f>VLOOKUP(WWWW[[#This Row],[Site Name]],SiteDB6[[Site Name]:[Lat]],12,FALSE)</f>
        <v>25.647649999999999</v>
      </c>
      <c r="EK163" s="754">
        <f>VLOOKUP(WWWW[[#This Row],[Site Name]],SiteDB6[[Site Name]:[Long]],13,FALSE)</f>
        <v>96.346469999999997</v>
      </c>
      <c r="EL163" s="754" t="str">
        <f>VLOOKUP(WWWW[[#This Row],[Site Name]],SiteDB6[[Site Name]:[Pcode]],3,FALSE)</f>
        <v>MMR001CMP169</v>
      </c>
      <c r="EM163" s="759" t="str">
        <f t="shared" si="2"/>
        <v>Covered</v>
      </c>
      <c r="EN163" s="759"/>
      <c r="EO163" s="754">
        <f>VLOOKUP(WWWW[[#This Row],[Site Name]],SiteDB6[[Site Name]:[Pop
(Kachin/Shan-CCCM as of July 2021)]],16,FALSE)</f>
        <v>41</v>
      </c>
      <c r="EP163" s="754">
        <f>VLOOKUP(WWWW[[#This Row],[Site Name]],SiteDB6[[Site Name]:[Pop
(Kachin/Shan-CCCM as of July 2021)]],17,FALSE)</f>
        <v>249</v>
      </c>
    </row>
    <row r="164" spans="1:146" hidden="1">
      <c r="A164" s="752" t="s">
        <v>2785</v>
      </c>
      <c r="B164" s="752" t="s">
        <v>242</v>
      </c>
      <c r="C164" s="753" t="s">
        <v>242</v>
      </c>
      <c r="D164" s="753" t="s">
        <v>307</v>
      </c>
      <c r="E164" s="753" t="s">
        <v>37</v>
      </c>
      <c r="F164" s="753" t="s">
        <v>148</v>
      </c>
      <c r="G164" s="594" t="str">
        <f>VLOOKUP(WWWW[[#This Row],[Site Name]],SiteDB6[[Site Name]:[Location Type]],8,FALSE)</f>
        <v>Camp</v>
      </c>
      <c r="H164" s="753" t="s">
        <v>251</v>
      </c>
      <c r="I164" s="449">
        <v>5</v>
      </c>
      <c r="J164" s="449">
        <v>24</v>
      </c>
      <c r="K164" s="591">
        <v>44197</v>
      </c>
      <c r="L164" s="592">
        <v>44651</v>
      </c>
      <c r="M164" s="449"/>
      <c r="N164" s="449">
        <v>1</v>
      </c>
      <c r="O164" s="755"/>
      <c r="P164" s="755"/>
      <c r="Q164" s="758" t="s">
        <v>41</v>
      </c>
      <c r="R164" s="449">
        <v>2</v>
      </c>
      <c r="S164" s="449">
        <v>1</v>
      </c>
      <c r="T164" s="449">
        <v>0</v>
      </c>
      <c r="U164" s="755"/>
      <c r="V164" s="755"/>
      <c r="W164" s="755"/>
      <c r="X164" s="755"/>
      <c r="Y164" s="755"/>
      <c r="Z164" s="755"/>
      <c r="AA164" s="755">
        <v>4</v>
      </c>
      <c r="AB164" s="755"/>
      <c r="AC164" s="755"/>
      <c r="AD164" s="755"/>
      <c r="AE164" s="755"/>
      <c r="AF164" s="755"/>
      <c r="AG164" s="755"/>
      <c r="AH164" s="755"/>
      <c r="AI164" s="755"/>
      <c r="AJ164" s="755"/>
      <c r="AK164" s="755"/>
      <c r="AL164" s="755"/>
      <c r="AM164" s="755">
        <v>1</v>
      </c>
      <c r="AN164" s="449"/>
      <c r="AO164" s="449"/>
      <c r="AP164" s="593"/>
      <c r="AQ164" s="449">
        <v>2</v>
      </c>
      <c r="AR164" s="755"/>
      <c r="AS164" s="760"/>
      <c r="AT164" s="449"/>
      <c r="AU164" s="449"/>
      <c r="AV164" s="449"/>
      <c r="AW164" s="755"/>
      <c r="AX164" s="755"/>
      <c r="AY164" s="754" t="s">
        <v>41</v>
      </c>
      <c r="AZ164" s="759" t="s">
        <v>137</v>
      </c>
      <c r="BA164" s="755"/>
      <c r="BB164" s="755"/>
      <c r="BC164" s="755"/>
      <c r="BD164" s="449"/>
      <c r="BE164" s="449"/>
      <c r="BF164" s="426" t="s">
        <v>2920</v>
      </c>
      <c r="BG164" s="449">
        <v>3</v>
      </c>
      <c r="BH164" s="449"/>
      <c r="BI164" s="449"/>
      <c r="BJ164" s="449">
        <v>2</v>
      </c>
      <c r="BK164" s="449"/>
      <c r="BL164" s="449"/>
      <c r="BM164" s="449">
        <v>1</v>
      </c>
      <c r="BN164" s="449">
        <v>10</v>
      </c>
      <c r="BO164" s="449">
        <v>18</v>
      </c>
      <c r="BP164" s="426" t="s">
        <v>41</v>
      </c>
      <c r="BQ164" s="425">
        <v>1</v>
      </c>
      <c r="BR164" s="424">
        <v>0.85</v>
      </c>
      <c r="BS164" s="426" t="s">
        <v>2927</v>
      </c>
      <c r="BT164" s="424">
        <v>0.8</v>
      </c>
      <c r="BU164" s="424">
        <v>0.5</v>
      </c>
      <c r="BV164" s="426">
        <v>5</v>
      </c>
      <c r="BW164" s="424">
        <v>0.8</v>
      </c>
      <c r="BX164" s="449"/>
      <c r="BY164" s="449"/>
      <c r="BZ164" s="449"/>
      <c r="CA164" s="449"/>
      <c r="CB164" s="449"/>
      <c r="CC164" s="807"/>
      <c r="CD164" s="449"/>
      <c r="CE164" s="762" t="str">
        <f>IFERROR(WWWW[[#This Row],['#_Water sources passed]]/WWWW[[#This Row],['#_Water sources tested for fecal coliform ]],"no test")</f>
        <v>no test</v>
      </c>
      <c r="CF164" s="760" t="str">
        <f>IFERROR(WWWW[[#This Row],['#_Household passed]]/WWWW[[#This Row],['#_Household water samples tested for fecal coliform]],"no test")</f>
        <v>no test</v>
      </c>
      <c r="CG164" s="761" t="str">
        <f>IF(AND(WWWW[[#This Row],[% of water sources passed]]="no test",WWWW[[#This Row],[% Household passed]]="no test"),"No Test","Tested")</f>
        <v>No Test</v>
      </c>
      <c r="CH164" s="761">
        <f>WWWW[[#This Row],['#_Constructed/existing protected hand dug well]]-WWWW[[#This Row],['#_Non-functional protected hand dug well]]</f>
        <v>0</v>
      </c>
      <c r="CI164" s="761">
        <f>(WWWW[[#This Row],['#_Constructed/Existing tube wells/boreholes/handpumps_WASH_agency]]+WWWW[[#This Row],['#_Non-Cluster partner water tube-wells/boreholes/handpumps]])-WWWW[[#This Row],['#_Non-functional tube wells/boreholes/handpumps]]</f>
        <v>0</v>
      </c>
      <c r="CJ164" s="761">
        <f>WWWW[[#This Row],['#_Constructed/Existingwater storage tank with gravity fed reticulation system]]-WWWW[[#This Row],['#_Non-functional storage tank gravity fed reticulation system]]</f>
        <v>4</v>
      </c>
      <c r="CK164" s="761">
        <f>(WWWW[[#This Row],['#_Water_Liters_supplied_by_Water boating or water trucking]]/90)/15</f>
        <v>0</v>
      </c>
      <c r="CL164" s="761">
        <f>WWWW[[#This Row],['#_Water_Liters_from_Constructed/Existing water distribution system from river or natural spring]]/90/15</f>
        <v>0</v>
      </c>
      <c r="CM164" s="425">
        <f>IF(WWWW[[#This Row],['#_of water points in TLS/CFS]]*500&gt;WWWW[[#This Row],[Total PoP ]],WWWW[[#This Row],[Total PoP ]],WWWW[[#This Row],['#_of water points in TLS/CFS]]*500)</f>
        <v>0</v>
      </c>
      <c r="CN164" s="425">
        <f>IF(WWWW[[#This Row],['#_of water points in THF]]*500&gt;WWWW[[#This Row],[Total PoP ]],WWWW[[#This Row],[Total PoP ]],WWWW[[#This Row],['#_of water points in THF]]*500)</f>
        <v>0</v>
      </c>
      <c r="CO16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4" s="760">
        <f>IF(WWWW[[#This Row],[Location Type 1]]="Village",WWWW[[#This Row],[Access to safe drinking water for Village]],WWWW[[#This Row],[Access to safe drinking water for Camp]])</f>
        <v>1</v>
      </c>
      <c r="CR164" s="758">
        <f>WWWW[[#This Row],[%Equitable and continuous access to sufficient quantity of safe drinking water]]*WWWW[[#This Row],[Total PoP ]]</f>
        <v>24</v>
      </c>
      <c r="CS164" s="760">
        <f>IF((WWWW[[#This Row],['#_Constructed/Existing protected/fenced ponds]]*250)/WWWW[[#This Row],[Total PoP ]]&gt;1,1,(WWWW[[#This Row],['#_Constructed/Existing protected/fenced ponds]]*250)/WWWW[[#This Row],[Total PoP ]])</f>
        <v>0</v>
      </c>
      <c r="CT164" s="758">
        <f>WWWW[[#This Row],[% Access to unimproved water points]]*WWWW[[#This Row],[Total PoP ]]</f>
        <v>0</v>
      </c>
      <c r="CU16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164" s="758">
        <f>WWWW[[#This Row],[HRP1]]/500</f>
        <v>4.8000000000000001E-2</v>
      </c>
      <c r="CX164" s="763">
        <f>1-WWWW[[#This Row],[% Equitable and continuous access to sufficient quantity of domestic water]]</f>
        <v>0</v>
      </c>
      <c r="CY164" s="758">
        <f>WWWW[[#This Row],[%equitable and continuous access to sufficient quantity of safe drinking and domestic water''s GAP]]*WWWW[[#This Row],[Total PoP ]]</f>
        <v>0</v>
      </c>
      <c r="CZ164" s="761">
        <f>IF(WWWW[[#This Row],[Total required water points]]-WWWW[[#This Row],['#Water points coverage]]&lt;0,0,WWWW[[#This Row],[Total required water points]]-WWWW[[#This Row],['#Water points coverage]])</f>
        <v>0.95199999999999996</v>
      </c>
      <c r="DA164" s="761">
        <f>ROUND(IF(WWWW[[#This Row],[Total PoP ]]&lt;500,1,WWWW[[#This Row],[Total PoP ]]/500),0)</f>
        <v>1</v>
      </c>
      <c r="DB164" s="761">
        <f>(WWWW[[#This Row],['#_Constructed latrines_by_WASHAgencies]]+WWWW[[#This Row],['#_Non Cluster partner latrines]])-WWWW[[#This Row],['#_Non-functional latrines]]</f>
        <v>2</v>
      </c>
      <c r="DC164" s="634">
        <f>WWWW[[#This Row],[HRP2]]/WWWW[[#This Row],[Total PoP ]]</f>
        <v>1</v>
      </c>
      <c r="DD16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16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4" s="425">
        <f>IF(WWWW[[#This Row],['# of functional latrines in THF supported by WASH partners during the reporting period2]]="",0,WWWW[[#This Row],['# of functional latrines in THF supported by WASH partners during the reporting period2]]*50)</f>
        <v>0</v>
      </c>
      <c r="DH164" s="761">
        <f>ROUND(IF(WWWW[[#This Row],[Location Type 1]]="camp",WWWW[[#This Row],[Total PoP ]]/20,IF(WWWW[[#This Row],[Location Type 1]]="Temporary Location",WWWW[[#This Row],[Total PoP ]]/50,(WWWW[[#This Row],[Total PoP ]]/6))),0)</f>
        <v>1</v>
      </c>
      <c r="DI164" s="761">
        <f>IF(WWWW[[#This Row],[Total required Latrines]]-(WWWW[[#This Row],['#_Constructed latrines_by_WASHAgencies]]+WWWW[[#This Row],['#_Non Cluster partner latrines]])&lt;0,0,WWWW[[#This Row],[Total required Latrines]]-(WWWW[[#This Row],['#_Constructed latrines_by_WASHAgencies]]+WWWW[[#This Row],['#_Non Cluster partner latrines]]))</f>
        <v>0</v>
      </c>
      <c r="DJ164" s="763">
        <f>1-WWWW[[#This Row],[% people access to functioning Latrine]]</f>
        <v>0</v>
      </c>
      <c r="DK164" s="762">
        <f>IF(OR(WWWW[[#This Row],['#_Non-functional latrines]]="",WWWW[[#This Row],['#_Non-functional latrines]]=0),0,WWWW[[#This Row],['#_Non-functional latrines]]/(WWWW[[#This Row],['#_Constructed latrines_by_WASHAgencies]]+WWWW[[#This Row],['#_Non Cluster partner latrines]]))</f>
        <v>0</v>
      </c>
      <c r="DL164" s="758">
        <f>IF(500*(WWWW[[#This Row],['#_male hygiene promoters]]+WWWW[[#This Row],['#_female hygiene promoters]])&gt;WWWW[[#This Row],[Total PoP ]],WWWW[[#This Row],[Total PoP ]],500*(WWWW[[#This Row],['#_male hygiene promoters]]+WWWW[[#This Row],['#_female hygiene promoters]]))</f>
        <v>24</v>
      </c>
      <c r="DM16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16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64" s="761">
        <f>IF(WWWW[[#This Row],['# People with access to soap]]&gt;WWWW[[#This Row],['# People with access to Sanity Pads]],WWWW[[#This Row],['# People with access to soap]],WWWW[[#This Row],['# People with access to Sanity Pads]])</f>
        <v>24</v>
      </c>
      <c r="DP164" s="761">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164" s="763">
        <f>IF(WWWW[[#This Row],[HRP3]]/WWWW[[#This Row],[Total PoP ]]&gt;1,1,WWWW[[#This Row],[HRP3]]/WWWW[[#This Row],[Total PoP ]])</f>
        <v>1</v>
      </c>
      <c r="DR164" s="762">
        <f>1-WWWW[[#This Row],[Hygiene Coverage%]]</f>
        <v>0</v>
      </c>
      <c r="DS164" s="760">
        <f>WWWW[[#This Row],['# people reached by regular dedicated hygiene promotion_5]]/WWWW[[#This Row],[Total PoP ]]</f>
        <v>1</v>
      </c>
      <c r="DT16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4" s="761">
        <f>WWWW[[#This Row],['#_Constructed/Existing hand washing stations]]-WWWW[[#This Row],['#_Non-Functional_hand_washing_stations]]</f>
        <v>3</v>
      </c>
      <c r="DW164" s="758">
        <f>IF(WWWW[[#This Row],['# Functional hand washing stations during reporting period]]*20&gt;WWWW[[#This Row],[Total HH]],WWWW[[#This Row],[Total HH]],WWWW[[#This Row],['# Functional hand washing stations during reporting period]]*20)</f>
        <v>5</v>
      </c>
      <c r="DX164" s="758">
        <f>IF(WWWW[[#This Row],[Is sufficient soap available for TLS? (Yes/No)]]="yes",WWWW[[#This Row],['#_Constructed/Existing hand washing stations at TLS/CFS/THF]],0)</f>
        <v>1</v>
      </c>
      <c r="DY164" s="429">
        <f>IF(WWWW[[#This Row],['# Functional hand washing stations during reporting period]]*100&gt;WWWW[[#This Row],[Total PoP ]],WWWW[[#This Row],[Total PoP ]],WWWW[[#This Row],['# Functional hand washing stations during reporting period]]*100)</f>
        <v>24</v>
      </c>
      <c r="DZ164" s="429" t="str">
        <f>IF(OR(WWWW[[#This Row],['#_students at TLS_CFS]]="",WWWW[[#This Row],['#_students at TLS_CFS]]=0),"No","Yes")</f>
        <v>No</v>
      </c>
      <c r="EA164" s="634">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16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4" s="754" t="str">
        <f>VLOOKUP(WWWW[[#This Row],[Site Name]],SiteDB6[[Site Name]:[CCCM Management]],6,FALSE)</f>
        <v>Yes</v>
      </c>
      <c r="EF164" s="754" t="str">
        <f>VLOOKUP(WWWW[[#This Row],[Site Name]],SiteDB6[[Site Name]:[CCCM Focal Agency]],7,FALSE)</f>
        <v>Shalom</v>
      </c>
      <c r="EG164" s="754" t="str">
        <f>VLOOKUP(WWWW[[#This Row],[Site Name]],SiteDB6[[Site Name]:[Location Type 1]],9,FALSE)</f>
        <v>Camp</v>
      </c>
      <c r="EH164" s="754" t="str">
        <f>VLOOKUP(WWWW[[#This Row],[Site Name]],SiteDB6[[Site Name]:[Type of Accommodation]],10,FALSE)</f>
        <v>Camp like setting</v>
      </c>
      <c r="EI164" s="754" t="str">
        <f>VLOOKUP(WWWW[[#This Row],[Site Name]],SiteDB6[[Site Name]:[Ethnic or GCA/NGCA]],11,FALSE)</f>
        <v>GCA</v>
      </c>
      <c r="EJ164" s="754">
        <f>VLOOKUP(WWWW[[#This Row],[Site Name]],SiteDB6[[Site Name]:[Lat]],12,FALSE)</f>
        <v>25.582065</v>
      </c>
      <c r="EK164" s="754">
        <f>VLOOKUP(WWWW[[#This Row],[Site Name]],SiteDB6[[Site Name]:[Long]],13,FALSE)</f>
        <v>96.283377000000002</v>
      </c>
      <c r="EL164" s="754" t="str">
        <f>VLOOKUP(WWWW[[#This Row],[Site Name]],SiteDB6[[Site Name]:[Pcode]],3,FALSE)</f>
        <v>MMR001CMP109</v>
      </c>
      <c r="EM164" s="759" t="str">
        <f t="shared" si="2"/>
        <v>Covered</v>
      </c>
      <c r="EN164" s="759"/>
      <c r="EO164" s="754">
        <f>VLOOKUP(WWWW[[#This Row],[Site Name]],SiteDB6[[Site Name]:[Pop
(Kachin/Shan-CCCM as of July 2021)]],16,FALSE)</f>
        <v>5</v>
      </c>
      <c r="EP164" s="754">
        <f>VLOOKUP(WWWW[[#This Row],[Site Name]],SiteDB6[[Site Name]:[Pop
(Kachin/Shan-CCCM as of July 2021)]],17,FALSE)</f>
        <v>24</v>
      </c>
    </row>
    <row r="165" spans="1:146" hidden="1">
      <c r="A165" s="752" t="s">
        <v>2785</v>
      </c>
      <c r="B165" s="752" t="s">
        <v>242</v>
      </c>
      <c r="C165" s="753" t="s">
        <v>242</v>
      </c>
      <c r="D165" s="753" t="s">
        <v>307</v>
      </c>
      <c r="E165" s="753" t="s">
        <v>37</v>
      </c>
      <c r="F165" s="753" t="s">
        <v>148</v>
      </c>
      <c r="G165" s="594" t="str">
        <f>VLOOKUP(WWWW[[#This Row],[Site Name]],SiteDB6[[Site Name]:[Location Type]],8,FALSE)</f>
        <v>Camp</v>
      </c>
      <c r="H165" s="753" t="s">
        <v>252</v>
      </c>
      <c r="I165" s="449">
        <v>91</v>
      </c>
      <c r="J165" s="449">
        <v>442</v>
      </c>
      <c r="K165" s="591">
        <v>44197</v>
      </c>
      <c r="L165" s="592">
        <v>44651</v>
      </c>
      <c r="M165" s="449">
        <v>125</v>
      </c>
      <c r="N165" s="449">
        <v>1</v>
      </c>
      <c r="O165" s="755"/>
      <c r="P165" s="755"/>
      <c r="Q165" s="758" t="s">
        <v>41</v>
      </c>
      <c r="R165" s="449">
        <v>3</v>
      </c>
      <c r="S165" s="449">
        <v>6</v>
      </c>
      <c r="T165" s="449"/>
      <c r="U165" s="755"/>
      <c r="V165" s="755"/>
      <c r="W165" s="755">
        <v>1</v>
      </c>
      <c r="X165" s="755"/>
      <c r="Y165" s="755"/>
      <c r="Z165" s="755"/>
      <c r="AA165" s="755"/>
      <c r="AB165" s="755"/>
      <c r="AC165" s="755"/>
      <c r="AD165" s="755"/>
      <c r="AE165" s="755">
        <v>2</v>
      </c>
      <c r="AF165" s="755"/>
      <c r="AG165" s="755"/>
      <c r="AH165" s="755"/>
      <c r="AI165" s="755"/>
      <c r="AJ165" s="755"/>
      <c r="AK165" s="755"/>
      <c r="AL165" s="755"/>
      <c r="AM165" s="755">
        <v>1</v>
      </c>
      <c r="AN165" s="449">
        <v>1</v>
      </c>
      <c r="AO165" s="449"/>
      <c r="AP165" s="593" t="s">
        <v>2916</v>
      </c>
      <c r="AQ165" s="449">
        <v>23</v>
      </c>
      <c r="AR165" s="755"/>
      <c r="AS165" s="760"/>
      <c r="AT165" s="449"/>
      <c r="AU165" s="449"/>
      <c r="AV165" s="449">
        <v>3</v>
      </c>
      <c r="AW165" s="755"/>
      <c r="AX165" s="755"/>
      <c r="AY165" s="754" t="s">
        <v>41</v>
      </c>
      <c r="AZ165" s="759" t="s">
        <v>137</v>
      </c>
      <c r="BA165" s="755"/>
      <c r="BB165" s="755">
        <v>1</v>
      </c>
      <c r="BC165" s="755"/>
      <c r="BD165" s="449"/>
      <c r="BE165" s="449">
        <v>7</v>
      </c>
      <c r="BF165" s="426" t="s">
        <v>2921</v>
      </c>
      <c r="BG165" s="449">
        <v>3</v>
      </c>
      <c r="BH165" s="449"/>
      <c r="BI165" s="449"/>
      <c r="BJ165" s="449">
        <v>3</v>
      </c>
      <c r="BK165" s="449"/>
      <c r="BL165" s="449"/>
      <c r="BM165" s="449">
        <v>1</v>
      </c>
      <c r="BN165" s="449">
        <v>41</v>
      </c>
      <c r="BO165" s="449">
        <v>85</v>
      </c>
      <c r="BP165" s="426" t="s">
        <v>136</v>
      </c>
      <c r="BQ165" s="425">
        <v>3</v>
      </c>
      <c r="BR165" s="424"/>
      <c r="BS165" s="426" t="s">
        <v>2924</v>
      </c>
      <c r="BT165" s="424"/>
      <c r="BU165" s="424"/>
      <c r="BV165" s="426">
        <v>50</v>
      </c>
      <c r="BW165" s="424"/>
      <c r="BX165" s="449"/>
      <c r="BY165" s="449"/>
      <c r="BZ165" s="449"/>
      <c r="CA165" s="449"/>
      <c r="CB165" s="449"/>
      <c r="CC165" s="807"/>
      <c r="CD165" s="449"/>
      <c r="CE165" s="762" t="str">
        <f>IFERROR(WWWW[[#This Row],['#_Water sources passed]]/WWWW[[#This Row],['#_Water sources tested for fecal coliform ]],"no test")</f>
        <v>no test</v>
      </c>
      <c r="CF165" s="760" t="str">
        <f>IFERROR(WWWW[[#This Row],['#_Household passed]]/WWWW[[#This Row],['#_Household water samples tested for fecal coliform]],"no test")</f>
        <v>no test</v>
      </c>
      <c r="CG165" s="761" t="str">
        <f>IF(AND(WWWW[[#This Row],[% of water sources passed]]="no test",WWWW[[#This Row],[% Household passed]]="no test"),"No Test","Tested")</f>
        <v>No Test</v>
      </c>
      <c r="CH165" s="761">
        <f>WWWW[[#This Row],['#_Constructed/existing protected hand dug well]]-WWWW[[#This Row],['#_Non-functional protected hand dug well]]</f>
        <v>0</v>
      </c>
      <c r="CI165" s="761">
        <f>(WWWW[[#This Row],['#_Constructed/Existing tube wells/boreholes/handpumps_WASH_agency]]+WWWW[[#This Row],['#_Non-Cluster partner water tube-wells/boreholes/handpumps]])-WWWW[[#This Row],['#_Non-functional tube wells/boreholes/handpumps]]</f>
        <v>1</v>
      </c>
      <c r="CJ165" s="761">
        <f>WWWW[[#This Row],['#_Constructed/Existingwater storage tank with gravity fed reticulation system]]-WWWW[[#This Row],['#_Non-functional storage tank gravity fed reticulation system]]</f>
        <v>0</v>
      </c>
      <c r="CK165" s="761">
        <f>(WWWW[[#This Row],['#_Water_Liters_supplied_by_Water boating or water trucking]]/90)/15</f>
        <v>0</v>
      </c>
      <c r="CL165" s="761">
        <f>WWWW[[#This Row],['#_Water_Liters_from_Constructed/Existing water distribution system from river or natural spring]]/90/15</f>
        <v>0</v>
      </c>
      <c r="CM165" s="425">
        <f>IF(WWWW[[#This Row],['#_of water points in TLS/CFS]]*500&gt;WWWW[[#This Row],[Total PoP ]],WWWW[[#This Row],[Total PoP ]],WWWW[[#This Row],['#_of water points in TLS/CFS]]*500)</f>
        <v>442</v>
      </c>
      <c r="CN165" s="425">
        <f>IF(WWWW[[#This Row],['#_of water points in THF]]*500&gt;WWWW[[#This Row],[Total PoP ]],WWWW[[#This Row],[Total PoP ]],WWWW[[#This Row],['#_of water points in THF]]*500)</f>
        <v>0</v>
      </c>
      <c r="CO16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0.56561085972850678</v>
      </c>
      <c r="CQ165" s="760">
        <f>IF(WWWW[[#This Row],[Location Type 1]]="Village",WWWW[[#This Row],[Access to safe drinking water for Village]],WWWW[[#This Row],[Access to safe drinking water for Camp]])</f>
        <v>1</v>
      </c>
      <c r="CR165" s="758">
        <f>WWWW[[#This Row],[%Equitable and continuous access to sufficient quantity of safe drinking water]]*WWWW[[#This Row],[Total PoP ]]</f>
        <v>442</v>
      </c>
      <c r="CS165" s="760">
        <f>IF((WWWW[[#This Row],['#_Constructed/Existing protected/fenced ponds]]*250)/WWWW[[#This Row],[Total PoP ]]&gt;1,1,(WWWW[[#This Row],['#_Constructed/Existing protected/fenced ponds]]*250)/WWWW[[#This Row],[Total PoP ]])</f>
        <v>1</v>
      </c>
      <c r="CT165" s="758">
        <f>WWWW[[#This Row],[% Access to unimproved water points]]*WWWW[[#This Row],[Total PoP ]]</f>
        <v>442</v>
      </c>
      <c r="CU16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442</v>
      </c>
      <c r="CW165" s="758">
        <f>WWWW[[#This Row],[HRP1]]/500</f>
        <v>0.88400000000000001</v>
      </c>
      <c r="CX165" s="763">
        <f>1-WWWW[[#This Row],[% Equitable and continuous access to sufficient quantity of domestic water]]</f>
        <v>0</v>
      </c>
      <c r="CY165" s="758">
        <f>WWWW[[#This Row],[%equitable and continuous access to sufficient quantity of safe drinking and domestic water''s GAP]]*WWWW[[#This Row],[Total PoP ]]</f>
        <v>0</v>
      </c>
      <c r="CZ165" s="761">
        <f>IF(WWWW[[#This Row],[Total required water points]]-WWWW[[#This Row],['#Water points coverage]]&lt;0,0,WWWW[[#This Row],[Total required water points]]-WWWW[[#This Row],['#Water points coverage]])</f>
        <v>0.11599999999999999</v>
      </c>
      <c r="DA165" s="761">
        <f>ROUND(IF(WWWW[[#This Row],[Total PoP ]]&lt;500,1,WWWW[[#This Row],[Total PoP ]]/500),0)</f>
        <v>1</v>
      </c>
      <c r="DB165" s="761">
        <f>(WWWW[[#This Row],['#_Constructed latrines_by_WASHAgencies]]+WWWW[[#This Row],['#_Non Cluster partner latrines]])-WWWW[[#This Row],['#_Non-functional latrines]]</f>
        <v>23</v>
      </c>
      <c r="DC165" s="634">
        <f>WWWW[[#This Row],[HRP2]]/WWWW[[#This Row],[Total PoP ]]</f>
        <v>1</v>
      </c>
      <c r="DD16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442</v>
      </c>
      <c r="DE16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16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5" s="425">
        <f>IF(WWWW[[#This Row],['# of functional latrines in THF supported by WASH partners during the reporting period2]]="",0,WWWW[[#This Row],['# of functional latrines in THF supported by WASH partners during the reporting period2]]*50)</f>
        <v>0</v>
      </c>
      <c r="DH165" s="761">
        <f>ROUND(IF(WWWW[[#This Row],[Location Type 1]]="camp",WWWW[[#This Row],[Total PoP ]]/20,IF(WWWW[[#This Row],[Location Type 1]]="Temporary Location",WWWW[[#This Row],[Total PoP ]]/50,(WWWW[[#This Row],[Total PoP ]]/6))),0)</f>
        <v>22</v>
      </c>
      <c r="DI165" s="761">
        <f>IF(WWWW[[#This Row],[Total required Latrines]]-(WWWW[[#This Row],['#_Constructed latrines_by_WASHAgencies]]+WWWW[[#This Row],['#_Non Cluster partner latrines]])&lt;0,0,WWWW[[#This Row],[Total required Latrines]]-(WWWW[[#This Row],['#_Constructed latrines_by_WASHAgencies]]+WWWW[[#This Row],['#_Non Cluster partner latrines]]))</f>
        <v>0</v>
      </c>
      <c r="DJ165" s="763">
        <f>1-WWWW[[#This Row],[% people access to functioning Latrine]]</f>
        <v>0</v>
      </c>
      <c r="DK165" s="762">
        <f>IF(OR(WWWW[[#This Row],['#_Non-functional latrines]]="",WWWW[[#This Row],['#_Non-functional latrines]]=0),0,WWWW[[#This Row],['#_Non-functional latrines]]/(WWWW[[#This Row],['#_Constructed latrines_by_WASHAgencies]]+WWWW[[#This Row],['#_Non Cluster partner latrines]]))</f>
        <v>0</v>
      </c>
      <c r="DL165" s="758">
        <f>IF(500*(WWWW[[#This Row],['#_male hygiene promoters]]+WWWW[[#This Row],['#_female hygiene promoters]])&gt;WWWW[[#This Row],[Total PoP ]],WWWW[[#This Row],[Total PoP ]],500*(WWWW[[#This Row],['#_male hygiene promoters]]+WWWW[[#This Row],['#_female hygiene promoters]]))</f>
        <v>442</v>
      </c>
      <c r="DM16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6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65" s="761">
        <f>IF(WWWW[[#This Row],['# People with access to soap]]&gt;WWWW[[#This Row],['# People with access to Sanity Pads]],WWWW[[#This Row],['# People with access to soap]],WWWW[[#This Row],['# People with access to Sanity Pads]])</f>
        <v>205</v>
      </c>
      <c r="DP165" s="761">
        <f>IF(WWWW[[#This Row],['# people reached by regular dedicated hygiene promotion_5]]&gt;WWWW[[#This Row],['# People received regular supply of hygiene items_6]],WWWW[[#This Row],['# people reached by regular dedicated hygiene promotion_5]],WWWW[[#This Row],['# People received regular supply of hygiene items_6]])</f>
        <v>442</v>
      </c>
      <c r="DQ165" s="763">
        <f>IF(WWWW[[#This Row],[HRP3]]/WWWW[[#This Row],[Total PoP ]]&gt;1,1,WWWW[[#This Row],[HRP3]]/WWWW[[#This Row],[Total PoP ]])</f>
        <v>1</v>
      </c>
      <c r="DR165" s="762">
        <f>1-WWWW[[#This Row],[Hygiene Coverage%]]</f>
        <v>0</v>
      </c>
      <c r="DS165" s="760">
        <f>WWWW[[#This Row],['# people reached by regular dedicated hygiene promotion_5]]/WWWW[[#This Row],[Total PoP ]]</f>
        <v>1</v>
      </c>
      <c r="DT16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0.93406593406593408</v>
      </c>
      <c r="DV165" s="761">
        <f>WWWW[[#This Row],['#_Constructed/Existing hand washing stations]]-WWWW[[#This Row],['#_Non-Functional_hand_washing_stations]]</f>
        <v>3</v>
      </c>
      <c r="DW165" s="758">
        <f>IF(WWWW[[#This Row],['# Functional hand washing stations during reporting period]]*20&gt;WWWW[[#This Row],[Total HH]],WWWW[[#This Row],[Total HH]],WWWW[[#This Row],['# Functional hand washing stations during reporting period]]*20)</f>
        <v>60</v>
      </c>
      <c r="DX165" s="758">
        <f>IF(WWWW[[#This Row],[Is sufficient soap available for TLS? (Yes/No)]]="yes",WWWW[[#This Row],['#_Constructed/Existing hand washing stations at TLS/CFS/THF]],0)</f>
        <v>0</v>
      </c>
      <c r="DY165" s="429">
        <f>IF(WWWW[[#This Row],['# Functional hand washing stations during reporting period]]*100&gt;WWWW[[#This Row],[Total PoP ]],WWWW[[#This Row],[Total PoP ]],WWWW[[#This Row],['# Functional hand washing stations during reporting period]]*100)</f>
        <v>300</v>
      </c>
      <c r="DZ165" s="429" t="str">
        <f>IF(OR(WWWW[[#This Row],['#_students at TLS_CFS]]="",WWWW[[#This Row],['#_students at TLS_CFS]]=0),"No","Yes")</f>
        <v>Yes</v>
      </c>
      <c r="EA165" s="634">
        <f>IF(WWWW[[#This Row],['#_of_affected_people_surveyed_who_report_feeling_informed_about_the_different_WASH_services_available_to_them]]="","",WWWW[[#This Row],['#_of_affected_people_surveyed_who_report_feeling_informed_about_the_different_WASH_services_available_to_them]]/WWWW[[#This Row],[Total PoP ]])</f>
        <v>0.11312217194570136</v>
      </c>
      <c r="EB16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442</v>
      </c>
      <c r="ED16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5" s="754" t="str">
        <f>VLOOKUP(WWWW[[#This Row],[Site Name]],SiteDB6[[Site Name]:[CCCM Management]],6,FALSE)</f>
        <v>Yes</v>
      </c>
      <c r="EF165" s="754" t="str">
        <f>VLOOKUP(WWWW[[#This Row],[Site Name]],SiteDB6[[Site Name]:[CCCM Focal Agency]],7,FALSE)</f>
        <v>Shalom</v>
      </c>
      <c r="EG165" s="754" t="str">
        <f>VLOOKUP(WWWW[[#This Row],[Site Name]],SiteDB6[[Site Name]:[Location Type 1]],9,FALSE)</f>
        <v>Camp</v>
      </c>
      <c r="EH165" s="754" t="str">
        <f>VLOOKUP(WWWW[[#This Row],[Site Name]],SiteDB6[[Site Name]:[Type of Accommodation]],10,FALSE)</f>
        <v>Camp</v>
      </c>
      <c r="EI165" s="754" t="str">
        <f>VLOOKUP(WWWW[[#This Row],[Site Name]],SiteDB6[[Site Name]:[Ethnic or GCA/NGCA]],11,FALSE)</f>
        <v>GCA</v>
      </c>
      <c r="EJ165" s="754">
        <f>VLOOKUP(WWWW[[#This Row],[Site Name]],SiteDB6[[Site Name]:[Lat]],12,FALSE)</f>
        <v>25.637309999999999</v>
      </c>
      <c r="EK165" s="754">
        <f>VLOOKUP(WWWW[[#This Row],[Site Name]],SiteDB6[[Site Name]:[Long]],13,FALSE)</f>
        <v>96.35257</v>
      </c>
      <c r="EL165" s="754" t="str">
        <f>VLOOKUP(WWWW[[#This Row],[Site Name]],SiteDB6[[Site Name]:[Pcode]],3,FALSE)</f>
        <v>MMR001CMP174</v>
      </c>
      <c r="EM165" s="759" t="str">
        <f t="shared" si="2"/>
        <v>Covered</v>
      </c>
      <c r="EN165" s="759"/>
      <c r="EO165" s="754">
        <f>VLOOKUP(WWWW[[#This Row],[Site Name]],SiteDB6[[Site Name]:[Pop
(Kachin/Shan-CCCM as of July 2021)]],16,FALSE)</f>
        <v>91</v>
      </c>
      <c r="EP165" s="754">
        <f>VLOOKUP(WWWW[[#This Row],[Site Name]],SiteDB6[[Site Name]:[Pop
(Kachin/Shan-CCCM as of July 2021)]],17,FALSE)</f>
        <v>442</v>
      </c>
    </row>
    <row r="166" spans="1:146" hidden="1">
      <c r="A166" s="752" t="s">
        <v>2785</v>
      </c>
      <c r="B166" s="752" t="s">
        <v>242</v>
      </c>
      <c r="C166" s="753" t="s">
        <v>242</v>
      </c>
      <c r="D166" s="753" t="s">
        <v>307</v>
      </c>
      <c r="E166" s="753" t="s">
        <v>37</v>
      </c>
      <c r="F166" s="753" t="s">
        <v>148</v>
      </c>
      <c r="G166" s="594" t="str">
        <f>VLOOKUP(WWWW[[#This Row],[Site Name]],SiteDB6[[Site Name]:[Location Type]],8,FALSE)</f>
        <v>Camp</v>
      </c>
      <c r="H166" s="753" t="s">
        <v>254</v>
      </c>
      <c r="I166" s="449">
        <v>104</v>
      </c>
      <c r="J166" s="449">
        <v>504</v>
      </c>
      <c r="K166" s="591">
        <v>44197</v>
      </c>
      <c r="L166" s="592">
        <v>44651</v>
      </c>
      <c r="M166" s="449">
        <v>50</v>
      </c>
      <c r="N166" s="449">
        <v>1</v>
      </c>
      <c r="O166" s="755"/>
      <c r="P166" s="755"/>
      <c r="Q166" s="758" t="s">
        <v>41</v>
      </c>
      <c r="R166" s="755">
        <v>7</v>
      </c>
      <c r="S166" s="755">
        <v>2</v>
      </c>
      <c r="T166" s="449">
        <v>0</v>
      </c>
      <c r="U166" s="755"/>
      <c r="V166" s="755"/>
      <c r="W166" s="755"/>
      <c r="X166" s="755"/>
      <c r="Y166" s="755"/>
      <c r="Z166" s="755"/>
      <c r="AA166" s="755">
        <v>2</v>
      </c>
      <c r="AB166" s="755"/>
      <c r="AC166" s="755"/>
      <c r="AD166" s="755"/>
      <c r="AE166" s="755">
        <v>2</v>
      </c>
      <c r="AF166" s="755"/>
      <c r="AG166" s="755">
        <v>3</v>
      </c>
      <c r="AH166" s="755"/>
      <c r="AI166" s="755"/>
      <c r="AJ166" s="755"/>
      <c r="AK166" s="755"/>
      <c r="AL166" s="755"/>
      <c r="AM166" s="755">
        <v>7</v>
      </c>
      <c r="AN166" s="449">
        <v>4</v>
      </c>
      <c r="AO166" s="449"/>
      <c r="AP166" s="593" t="s">
        <v>2917</v>
      </c>
      <c r="AQ166" s="449">
        <v>30</v>
      </c>
      <c r="AR166" s="755"/>
      <c r="AS166" s="760"/>
      <c r="AT166" s="449">
        <v>2</v>
      </c>
      <c r="AU166" s="449"/>
      <c r="AV166" s="449">
        <v>6</v>
      </c>
      <c r="AW166" s="755"/>
      <c r="AX166" s="755"/>
      <c r="AY166" s="754" t="s">
        <v>41</v>
      </c>
      <c r="AZ166" s="759" t="s">
        <v>137</v>
      </c>
      <c r="BA166" s="755">
        <v>2</v>
      </c>
      <c r="BB166" s="755"/>
      <c r="BC166" s="755"/>
      <c r="BD166" s="449"/>
      <c r="BE166" s="449"/>
      <c r="BF166" s="754" t="s">
        <v>2922</v>
      </c>
      <c r="BG166" s="449">
        <v>1</v>
      </c>
      <c r="BH166" s="449"/>
      <c r="BI166" s="449"/>
      <c r="BJ166" s="449">
        <v>1</v>
      </c>
      <c r="BK166" s="449"/>
      <c r="BL166" s="449">
        <v>1</v>
      </c>
      <c r="BM166" s="449">
        <v>1</v>
      </c>
      <c r="BN166" s="449">
        <v>6</v>
      </c>
      <c r="BO166" s="449">
        <v>5</v>
      </c>
      <c r="BP166" s="754" t="s">
        <v>41</v>
      </c>
      <c r="BQ166" s="425">
        <v>3</v>
      </c>
      <c r="BR166" s="424">
        <v>0.55000000000000004</v>
      </c>
      <c r="BS166" s="426" t="s">
        <v>2928</v>
      </c>
      <c r="BT166" s="424">
        <v>1</v>
      </c>
      <c r="BU166" s="424">
        <v>1</v>
      </c>
      <c r="BV166" s="426">
        <v>10</v>
      </c>
      <c r="BW166" s="424">
        <v>0.75</v>
      </c>
      <c r="BX166" s="449"/>
      <c r="BY166" s="449"/>
      <c r="BZ166" s="449"/>
      <c r="CA166" s="449"/>
      <c r="CB166" s="449"/>
      <c r="CC166" s="807"/>
      <c r="CD166" s="449"/>
      <c r="CE166" s="762" t="str">
        <f>IFERROR(WWWW[[#This Row],['#_Water sources passed]]/WWWW[[#This Row],['#_Water sources tested for fecal coliform ]],"no test")</f>
        <v>no test</v>
      </c>
      <c r="CF166" s="760" t="str">
        <f>IFERROR(WWWW[[#This Row],['#_Household passed]]/WWWW[[#This Row],['#_Household water samples tested for fecal coliform]],"no test")</f>
        <v>no test</v>
      </c>
      <c r="CG166" s="761" t="str">
        <f>IF(AND(WWWW[[#This Row],[% of water sources passed]]="no test",WWWW[[#This Row],[% Household passed]]="no test"),"No Test","Tested")</f>
        <v>No Test</v>
      </c>
      <c r="CH166" s="761">
        <f>WWWW[[#This Row],['#_Constructed/existing protected hand dug well]]-WWWW[[#This Row],['#_Non-functional protected hand dug well]]</f>
        <v>0</v>
      </c>
      <c r="CI166" s="761">
        <f>(WWWW[[#This Row],['#_Constructed/Existing tube wells/boreholes/handpumps_WASH_agency]]+WWWW[[#This Row],['#_Non-Cluster partner water tube-wells/boreholes/handpumps]])-WWWW[[#This Row],['#_Non-functional tube wells/boreholes/handpumps]]</f>
        <v>0</v>
      </c>
      <c r="CJ166" s="761">
        <f>WWWW[[#This Row],['#_Constructed/Existingwater storage tank with gravity fed reticulation system]]-WWWW[[#This Row],['#_Non-functional storage tank gravity fed reticulation system]]</f>
        <v>2</v>
      </c>
      <c r="CK166" s="761">
        <f>(WWWW[[#This Row],['#_Water_Liters_supplied_by_Water boating or water trucking]]/90)/15</f>
        <v>0</v>
      </c>
      <c r="CL166" s="761">
        <f>WWWW[[#This Row],['#_Water_Liters_from_Constructed/Existing water distribution system from river or natural spring]]/90/15</f>
        <v>0</v>
      </c>
      <c r="CM166" s="425">
        <f>IF(WWWW[[#This Row],['#_of water points in TLS/CFS]]*500&gt;WWWW[[#This Row],[Total PoP ]],WWWW[[#This Row],[Total PoP ]],WWWW[[#This Row],['#_of water points in TLS/CFS]]*500)</f>
        <v>504</v>
      </c>
      <c r="CN166" s="425">
        <f>IF(WWWW[[#This Row],['#_of water points in THF]]*500&gt;WWWW[[#This Row],[Total PoP ]],WWWW[[#This Row],[Total PoP ]],WWWW[[#This Row],['#_of water points in THF]]*500)</f>
        <v>0</v>
      </c>
      <c r="CO16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0.26455026455026459</v>
      </c>
      <c r="CP16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0.26455026455026459</v>
      </c>
      <c r="CQ166" s="760">
        <f>IF(WWWW[[#This Row],[Location Type 1]]="Village",WWWW[[#This Row],[Access to safe drinking water for Village]],WWWW[[#This Row],[Access to safe drinking water for Camp]])</f>
        <v>0.26455026455026459</v>
      </c>
      <c r="CR166" s="758">
        <f>WWWW[[#This Row],[%Equitable and continuous access to sufficient quantity of safe drinking water]]*WWWW[[#This Row],[Total PoP ]]</f>
        <v>133.33333333333334</v>
      </c>
      <c r="CS166" s="760">
        <f>IF((WWWW[[#This Row],['#_Constructed/Existing protected/fenced ponds]]*250)/WWWW[[#This Row],[Total PoP ]]&gt;1,1,(WWWW[[#This Row],['#_Constructed/Existing protected/fenced ponds]]*250)/WWWW[[#This Row],[Total PoP ]])</f>
        <v>0.99206349206349209</v>
      </c>
      <c r="CT166" s="758">
        <f>WWWW[[#This Row],[% Access to unimproved water points]]*WWWW[[#This Row],[Total PoP ]]</f>
        <v>500</v>
      </c>
      <c r="CU16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504</v>
      </c>
      <c r="CW166" s="758">
        <f>WWWW[[#This Row],[HRP1]]/500</f>
        <v>1.008</v>
      </c>
      <c r="CX166" s="763">
        <f>1-WWWW[[#This Row],[% Equitable and continuous access to sufficient quantity of domestic water]]</f>
        <v>0</v>
      </c>
      <c r="CY166" s="758">
        <f>WWWW[[#This Row],[%equitable and continuous access to sufficient quantity of safe drinking and domestic water''s GAP]]*WWWW[[#This Row],[Total PoP ]]</f>
        <v>0</v>
      </c>
      <c r="CZ166" s="761">
        <f>IF(WWWW[[#This Row],[Total required water points]]-WWWW[[#This Row],['#Water points coverage]]&lt;0,0,WWWW[[#This Row],[Total required water points]]-WWWW[[#This Row],['#Water points coverage]])</f>
        <v>0</v>
      </c>
      <c r="DA166" s="761">
        <f>ROUND(IF(WWWW[[#This Row],[Total PoP ]]&lt;500,1,WWWW[[#This Row],[Total PoP ]]/500),0)</f>
        <v>1</v>
      </c>
      <c r="DB166" s="761">
        <f>(WWWW[[#This Row],['#_Constructed latrines_by_WASHAgencies]]+WWWW[[#This Row],['#_Non Cluster partner latrines]])-WWWW[[#This Row],['#_Non-functional latrines]]</f>
        <v>28</v>
      </c>
      <c r="DC166" s="634">
        <f>WWWW[[#This Row],[HRP2]]/WWWW[[#This Row],[Total PoP ]]</f>
        <v>1</v>
      </c>
      <c r="DD16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504</v>
      </c>
      <c r="DE16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16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6" s="425">
        <f>IF(WWWW[[#This Row],['# of functional latrines in THF supported by WASH partners during the reporting period2]]="",0,WWWW[[#This Row],['# of functional latrines in THF supported by WASH partners during the reporting period2]]*50)</f>
        <v>0</v>
      </c>
      <c r="DH166" s="761">
        <f>ROUND(IF(WWWW[[#This Row],[Location Type 1]]="camp",WWWW[[#This Row],[Total PoP ]]/20,IF(WWWW[[#This Row],[Location Type 1]]="Temporary Location",WWWW[[#This Row],[Total PoP ]]/50,(WWWW[[#This Row],[Total PoP ]]/6))),0)</f>
        <v>25</v>
      </c>
      <c r="DI166" s="761">
        <f>IF(WWWW[[#This Row],[Total required Latrines]]-(WWWW[[#This Row],['#_Constructed latrines_by_WASHAgencies]]+WWWW[[#This Row],['#_Non Cluster partner latrines]])&lt;0,0,WWWW[[#This Row],[Total required Latrines]]-(WWWW[[#This Row],['#_Constructed latrines_by_WASHAgencies]]+WWWW[[#This Row],['#_Non Cluster partner latrines]]))</f>
        <v>0</v>
      </c>
      <c r="DJ166" s="763">
        <f>1-WWWW[[#This Row],[% people access to functioning Latrine]]</f>
        <v>0</v>
      </c>
      <c r="DK166" s="762">
        <f>IF(OR(WWWW[[#This Row],['#_Non-functional latrines]]="",WWWW[[#This Row],['#_Non-functional latrines]]=0),0,WWWW[[#This Row],['#_Non-functional latrines]]/(WWWW[[#This Row],['#_Constructed latrines_by_WASHAgencies]]+WWWW[[#This Row],['#_Non Cluster partner latrines]]))</f>
        <v>6.6666666666666666E-2</v>
      </c>
      <c r="DL166" s="758">
        <f>IF(500*(WWWW[[#This Row],['#_male hygiene promoters]]+WWWW[[#This Row],['#_female hygiene promoters]])&gt;WWWW[[#This Row],[Total PoP ]],WWWW[[#This Row],[Total PoP ]],500*(WWWW[[#This Row],['#_male hygiene promoters]]+WWWW[[#This Row],['#_female hygiene promoters]]))</f>
        <v>504</v>
      </c>
      <c r="DM16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6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66" s="761">
        <f>IF(WWWW[[#This Row],['# People with access to soap]]&gt;WWWW[[#This Row],['# People with access to Sanity Pads]],WWWW[[#This Row],['# People with access to soap]],WWWW[[#This Row],['# People with access to Sanity Pads]])</f>
        <v>30</v>
      </c>
      <c r="DP166" s="761">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166" s="763">
        <f>IF(WWWW[[#This Row],[HRP3]]/WWWW[[#This Row],[Total PoP ]]&gt;1,1,WWWW[[#This Row],[HRP3]]/WWWW[[#This Row],[Total PoP ]])</f>
        <v>1</v>
      </c>
      <c r="DR166" s="762">
        <f>1-WWWW[[#This Row],[Hygiene Coverage%]]</f>
        <v>0</v>
      </c>
      <c r="DS166" s="760">
        <f>WWWW[[#This Row],['# people reached by regular dedicated hygiene promotion_5]]/WWWW[[#This Row],[Total PoP ]]</f>
        <v>1</v>
      </c>
      <c r="DT16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0.23076923076923078</v>
      </c>
      <c r="DU16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4.807692307692308E-2</v>
      </c>
      <c r="DV166" s="761">
        <f>WWWW[[#This Row],['#_Constructed/Existing hand washing stations]]-WWWW[[#This Row],['#_Non-Functional_hand_washing_stations]]</f>
        <v>1</v>
      </c>
      <c r="DW166" s="758">
        <f>IF(WWWW[[#This Row],['# Functional hand washing stations during reporting period]]*20&gt;WWWW[[#This Row],[Total HH]],WWWW[[#This Row],[Total HH]],WWWW[[#This Row],['# Functional hand washing stations during reporting period]]*20)</f>
        <v>20</v>
      </c>
      <c r="DX166" s="758">
        <f>IF(WWWW[[#This Row],[Is sufficient soap available for TLS? (Yes/No)]]="yes",WWWW[[#This Row],['#_Constructed/Existing hand washing stations at TLS/CFS/THF]],0)</f>
        <v>7</v>
      </c>
      <c r="DY166" s="429">
        <f>IF(WWWW[[#This Row],['# Functional hand washing stations during reporting period]]*100&gt;WWWW[[#This Row],[Total PoP ]],WWWW[[#This Row],[Total PoP ]],WWWW[[#This Row],['# Functional hand washing stations during reporting period]]*100)</f>
        <v>100</v>
      </c>
      <c r="DZ166" s="429" t="str">
        <f>IF(OR(WWWW[[#This Row],['#_students at TLS_CFS]]="",WWWW[[#This Row],['#_students at TLS_CFS]]=0),"No","Yes")</f>
        <v>Yes</v>
      </c>
      <c r="EA166" s="634">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16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504</v>
      </c>
      <c r="ED16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6" s="754" t="str">
        <f>VLOOKUP(WWWW[[#This Row],[Site Name]],SiteDB6[[Site Name]:[CCCM Management]],6,FALSE)</f>
        <v>Yes</v>
      </c>
      <c r="EF166" s="754" t="str">
        <f>VLOOKUP(WWWW[[#This Row],[Site Name]],SiteDB6[[Site Name]:[CCCM Focal Agency]],7,FALSE)</f>
        <v>KBC-MYT</v>
      </c>
      <c r="EG166" s="754" t="str">
        <f>VLOOKUP(WWWW[[#This Row],[Site Name]],SiteDB6[[Site Name]:[Location Type 1]],9,FALSE)</f>
        <v>Camp</v>
      </c>
      <c r="EH166" s="754" t="str">
        <f>VLOOKUP(WWWW[[#This Row],[Site Name]],SiteDB6[[Site Name]:[Type of Accommodation]],10,FALSE)</f>
        <v>Camp</v>
      </c>
      <c r="EI166" s="754" t="str">
        <f>VLOOKUP(WWWW[[#This Row],[Site Name]],SiteDB6[[Site Name]:[Ethnic or GCA/NGCA]],11,FALSE)</f>
        <v>GCA</v>
      </c>
      <c r="EJ166" s="754">
        <f>VLOOKUP(WWWW[[#This Row],[Site Name]],SiteDB6[[Site Name]:[Lat]],12,FALSE)</f>
        <v>25.611160000000002</v>
      </c>
      <c r="EK166" s="754">
        <f>VLOOKUP(WWWW[[#This Row],[Site Name]],SiteDB6[[Site Name]:[Long]],13,FALSE)</f>
        <v>96.312790000000007</v>
      </c>
      <c r="EL166" s="754" t="str">
        <f>VLOOKUP(WWWW[[#This Row],[Site Name]],SiteDB6[[Site Name]:[Pcode]],3,FALSE)</f>
        <v>MMR001CMP229</v>
      </c>
      <c r="EM166" s="759" t="str">
        <f t="shared" si="2"/>
        <v>Covered</v>
      </c>
      <c r="EN166" s="759"/>
      <c r="EO166" s="754">
        <f>VLOOKUP(WWWW[[#This Row],[Site Name]],SiteDB6[[Site Name]:[Pop
(Kachin/Shan-CCCM as of July 2021)]],16,FALSE)</f>
        <v>97</v>
      </c>
      <c r="EP166" s="754">
        <f>VLOOKUP(WWWW[[#This Row],[Site Name]],SiteDB6[[Site Name]:[Pop
(Kachin/Shan-CCCM as of July 2021)]],17,FALSE)</f>
        <v>484</v>
      </c>
    </row>
    <row r="167" spans="1:146" hidden="1">
      <c r="A167" s="752" t="s">
        <v>2785</v>
      </c>
      <c r="B167" s="752" t="s">
        <v>242</v>
      </c>
      <c r="C167" s="753" t="s">
        <v>242</v>
      </c>
      <c r="D167" s="753" t="s">
        <v>307</v>
      </c>
      <c r="E167" s="753" t="s">
        <v>37</v>
      </c>
      <c r="F167" s="753" t="s">
        <v>148</v>
      </c>
      <c r="G167" s="594" t="str">
        <f>VLOOKUP(WWWW[[#This Row],[Site Name]],SiteDB6[[Site Name]:[Location Type]],8,FALSE)</f>
        <v>Camp</v>
      </c>
      <c r="H167" s="753" t="s">
        <v>243</v>
      </c>
      <c r="I167" s="449">
        <v>124</v>
      </c>
      <c r="J167" s="449">
        <v>633</v>
      </c>
      <c r="K167" s="591">
        <v>44197</v>
      </c>
      <c r="L167" s="592">
        <v>44651</v>
      </c>
      <c r="M167" s="449">
        <v>221</v>
      </c>
      <c r="N167" s="449">
        <v>1</v>
      </c>
      <c r="O167" s="755"/>
      <c r="P167" s="755"/>
      <c r="Q167" s="758" t="s">
        <v>41</v>
      </c>
      <c r="R167" s="755">
        <v>4</v>
      </c>
      <c r="S167" s="755">
        <v>6</v>
      </c>
      <c r="T167" s="449">
        <v>1</v>
      </c>
      <c r="U167" s="755"/>
      <c r="V167" s="755"/>
      <c r="W167" s="755">
        <v>1</v>
      </c>
      <c r="X167" s="755"/>
      <c r="Y167" s="755">
        <v>1</v>
      </c>
      <c r="Z167" s="755"/>
      <c r="AA167" s="755">
        <v>1</v>
      </c>
      <c r="AB167" s="755"/>
      <c r="AC167" s="755">
        <v>1</v>
      </c>
      <c r="AD167" s="755"/>
      <c r="AE167" s="755">
        <v>1</v>
      </c>
      <c r="AF167" s="755"/>
      <c r="AG167" s="755">
        <v>1</v>
      </c>
      <c r="AH167" s="755"/>
      <c r="AI167" s="755"/>
      <c r="AJ167" s="755"/>
      <c r="AK167" s="755"/>
      <c r="AL167" s="755"/>
      <c r="AM167" s="755">
        <v>5</v>
      </c>
      <c r="AN167" s="449"/>
      <c r="AO167" s="449"/>
      <c r="AP167" s="593"/>
      <c r="AQ167" s="449">
        <v>28</v>
      </c>
      <c r="AR167" s="755"/>
      <c r="AS167" s="760"/>
      <c r="AT167" s="449"/>
      <c r="AU167" s="449">
        <v>10</v>
      </c>
      <c r="AV167" s="449">
        <v>7</v>
      </c>
      <c r="AW167" s="755"/>
      <c r="AX167" s="755">
        <v>0</v>
      </c>
      <c r="AY167" s="754" t="s">
        <v>41</v>
      </c>
      <c r="AZ167" s="759" t="s">
        <v>137</v>
      </c>
      <c r="BA167" s="755">
        <v>1</v>
      </c>
      <c r="BB167" s="755">
        <v>0</v>
      </c>
      <c r="BC167" s="755">
        <v>1</v>
      </c>
      <c r="BD167" s="449"/>
      <c r="BE167" s="449">
        <v>6</v>
      </c>
      <c r="BF167" s="426" t="s">
        <v>2923</v>
      </c>
      <c r="BG167" s="755">
        <v>8</v>
      </c>
      <c r="BH167" s="755"/>
      <c r="BI167" s="755"/>
      <c r="BJ167" s="755">
        <v>3</v>
      </c>
      <c r="BK167" s="449"/>
      <c r="BL167" s="449"/>
      <c r="BM167" s="449">
        <v>1</v>
      </c>
      <c r="BN167" s="449">
        <v>91</v>
      </c>
      <c r="BO167" s="449">
        <v>124</v>
      </c>
      <c r="BP167" s="426" t="s">
        <v>41</v>
      </c>
      <c r="BQ167" s="425">
        <v>4</v>
      </c>
      <c r="BR167" s="424"/>
      <c r="BS167" s="426" t="s">
        <v>2929</v>
      </c>
      <c r="BT167" s="424"/>
      <c r="BU167" s="424"/>
      <c r="BV167" s="426">
        <v>35</v>
      </c>
      <c r="BW167" s="424"/>
      <c r="BX167" s="449"/>
      <c r="BY167" s="449"/>
      <c r="BZ167" s="449"/>
      <c r="CA167" s="449"/>
      <c r="CB167" s="449"/>
      <c r="CC167" s="807"/>
      <c r="CD167" s="449"/>
      <c r="CE167" s="762" t="str">
        <f>IFERROR(WWWW[[#This Row],['#_Water sources passed]]/WWWW[[#This Row],['#_Water sources tested for fecal coliform ]],"no test")</f>
        <v>no test</v>
      </c>
      <c r="CF167" s="760" t="str">
        <f>IFERROR(WWWW[[#This Row],['#_Household passed]]/WWWW[[#This Row],['#_Household water samples tested for fecal coliform]],"no test")</f>
        <v>no test</v>
      </c>
      <c r="CG167" s="761" t="str">
        <f>IF(AND(WWWW[[#This Row],[% of water sources passed]]="no test",WWWW[[#This Row],[% Household passed]]="no test"),"No Test","Tested")</f>
        <v>No Test</v>
      </c>
      <c r="CH167" s="761">
        <f>WWWW[[#This Row],['#_Constructed/existing protected hand dug well]]-WWWW[[#This Row],['#_Non-functional protected hand dug well]]</f>
        <v>1</v>
      </c>
      <c r="CI167" s="761">
        <f>(WWWW[[#This Row],['#_Constructed/Existing tube wells/boreholes/handpumps_WASH_agency]]+WWWW[[#This Row],['#_Non-Cluster partner water tube-wells/boreholes/handpumps]])-WWWW[[#This Row],['#_Non-functional tube wells/boreholes/handpumps]]</f>
        <v>0</v>
      </c>
      <c r="CJ167" s="761">
        <f>WWWW[[#This Row],['#_Constructed/Existingwater storage tank with gravity fed reticulation system]]-WWWW[[#This Row],['#_Non-functional storage tank gravity fed reticulation system]]</f>
        <v>1</v>
      </c>
      <c r="CK167" s="761">
        <f>(WWWW[[#This Row],['#_Water_Liters_supplied_by_Water boating or water trucking]]/90)/15</f>
        <v>0</v>
      </c>
      <c r="CL167" s="761">
        <f>WWWW[[#This Row],['#_Water_Liters_from_Constructed/Existing water distribution system from river or natural spring]]/90/15</f>
        <v>0</v>
      </c>
      <c r="CM167" s="425">
        <f>IF(WWWW[[#This Row],['#_of water points in TLS/CFS]]*500&gt;WWWW[[#This Row],[Total PoP ]],WWWW[[#This Row],[Total PoP ]],WWWW[[#This Row],['#_of water points in TLS/CFS]]*500)</f>
        <v>0</v>
      </c>
      <c r="CN167" s="425">
        <f>IF(WWWW[[#This Row],['#_of water points in THF]]*500&gt;WWWW[[#This Row],[Total PoP ]],WWWW[[#This Row],[Total PoP ]],WWWW[[#This Row],['#_of water points in THF]]*500)</f>
        <v>0</v>
      </c>
      <c r="CO16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0.73723012111637709</v>
      </c>
      <c r="CP16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0.50026329647182732</v>
      </c>
      <c r="CQ167" s="760">
        <f>IF(WWWW[[#This Row],[Location Type 1]]="Village",WWWW[[#This Row],[Access to safe drinking water for Village]],WWWW[[#This Row],[Access to safe drinking water for Camp]])</f>
        <v>0.73723012111637709</v>
      </c>
      <c r="CR167" s="758">
        <f>WWWW[[#This Row],[%Equitable and continuous access to sufficient quantity of safe drinking water]]*WWWW[[#This Row],[Total PoP ]]</f>
        <v>466.66666666666669</v>
      </c>
      <c r="CS167" s="760">
        <f>IF((WWWW[[#This Row],['#_Constructed/Existing protected/fenced ponds]]*250)/WWWW[[#This Row],[Total PoP ]]&gt;1,1,(WWWW[[#This Row],['#_Constructed/Existing protected/fenced ponds]]*250)/WWWW[[#This Row],[Total PoP ]])</f>
        <v>0.39494470774091628</v>
      </c>
      <c r="CT167" s="758">
        <f>WWWW[[#This Row],[% Access to unimproved water points]]*WWWW[[#This Row],[Total PoP ]]</f>
        <v>250</v>
      </c>
      <c r="CU16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633</v>
      </c>
      <c r="CW167" s="758">
        <f>WWWW[[#This Row],[HRP1]]/500</f>
        <v>1.266</v>
      </c>
      <c r="CX167" s="763">
        <f>1-WWWW[[#This Row],[% Equitable and continuous access to sufficient quantity of domestic water]]</f>
        <v>0</v>
      </c>
      <c r="CY167" s="758">
        <f>WWWW[[#This Row],[%equitable and continuous access to sufficient quantity of safe drinking and domestic water''s GAP]]*WWWW[[#This Row],[Total PoP ]]</f>
        <v>0</v>
      </c>
      <c r="CZ167" s="761">
        <f>IF(WWWW[[#This Row],[Total required water points]]-WWWW[[#This Row],['#Water points coverage]]&lt;0,0,WWWW[[#This Row],[Total required water points]]-WWWW[[#This Row],['#Water points coverage]])</f>
        <v>0</v>
      </c>
      <c r="DA167" s="761">
        <f>ROUND(IF(WWWW[[#This Row],[Total PoP ]]&lt;500,1,WWWW[[#This Row],[Total PoP ]]/500),0)</f>
        <v>1</v>
      </c>
      <c r="DB167" s="761">
        <f>(WWWW[[#This Row],['#_Constructed latrines_by_WASHAgencies]]+WWWW[[#This Row],['#_Non Cluster partner latrines]])-WWWW[[#This Row],['#_Non-functional latrines]]</f>
        <v>28</v>
      </c>
      <c r="DC167" s="634">
        <f>WWWW[[#This Row],[HRP2]]/WWWW[[#This Row],[Total PoP ]]</f>
        <v>0.92575039494470779</v>
      </c>
      <c r="DD16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586</v>
      </c>
      <c r="DE16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16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G167" s="425">
        <f>IF(WWWW[[#This Row],['# of functional latrines in THF supported by WASH partners during the reporting period2]]="",0,WWWW[[#This Row],['# of functional latrines in THF supported by WASH partners during the reporting period2]]*50)</f>
        <v>0</v>
      </c>
      <c r="DH167" s="761">
        <f>ROUND(IF(WWWW[[#This Row],[Location Type 1]]="camp",WWWW[[#This Row],[Total PoP ]]/20,IF(WWWW[[#This Row],[Location Type 1]]="Temporary Location",WWWW[[#This Row],[Total PoP ]]/50,(WWWW[[#This Row],[Total PoP ]]/6))),0)</f>
        <v>32</v>
      </c>
      <c r="DI167" s="761">
        <f>IF(WWWW[[#This Row],[Total required Latrines]]-(WWWW[[#This Row],['#_Constructed latrines_by_WASHAgencies]]+WWWW[[#This Row],['#_Non Cluster partner latrines]])&lt;0,0,WWWW[[#This Row],[Total required Latrines]]-(WWWW[[#This Row],['#_Constructed latrines_by_WASHAgencies]]+WWWW[[#This Row],['#_Non Cluster partner latrines]]))</f>
        <v>4</v>
      </c>
      <c r="DJ167" s="763">
        <f>1-WWWW[[#This Row],[% people access to functioning Latrine]]</f>
        <v>7.4249605055292212E-2</v>
      </c>
      <c r="DK167" s="762">
        <f>IF(OR(WWWW[[#This Row],['#_Non-functional latrines]]="",WWWW[[#This Row],['#_Non-functional latrines]]=0),0,WWWW[[#This Row],['#_Non-functional latrines]]/(WWWW[[#This Row],['#_Constructed latrines_by_WASHAgencies]]+WWWW[[#This Row],['#_Non Cluster partner latrines]]))</f>
        <v>0</v>
      </c>
      <c r="DL167" s="758">
        <f>IF(500*(WWWW[[#This Row],['#_male hygiene promoters]]+WWWW[[#This Row],['#_female hygiene promoters]])&gt;WWWW[[#This Row],[Total PoP ]],WWWW[[#This Row],[Total PoP ]],500*(WWWW[[#This Row],['#_male hygiene promoters]]+WWWW[[#This Row],['#_female hygiene promoters]]))</f>
        <v>500</v>
      </c>
      <c r="DM16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16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167" s="761">
        <f>IF(WWWW[[#This Row],['# People with access to soap]]&gt;WWWW[[#This Row],['# People with access to Sanity Pads]],WWWW[[#This Row],['# People with access to soap]],WWWW[[#This Row],['# People with access to Sanity Pads]])</f>
        <v>455</v>
      </c>
      <c r="DP167" s="76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167" s="763">
        <f>IF(WWWW[[#This Row],[HRP3]]/WWWW[[#This Row],[Total PoP ]]&gt;1,1,WWWW[[#This Row],[HRP3]]/WWWW[[#This Row],[Total PoP ]])</f>
        <v>0.78988941548183256</v>
      </c>
      <c r="DR167" s="762">
        <f>1-WWWW[[#This Row],[Hygiene Coverage%]]</f>
        <v>0.21011058451816744</v>
      </c>
      <c r="DS167" s="760">
        <f>WWWW[[#This Row],['# people reached by regular dedicated hygiene promotion_5]]/WWWW[[#This Row],[Total PoP ]]</f>
        <v>0.78988941548183256</v>
      </c>
      <c r="DT16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7" s="761">
        <f>WWWW[[#This Row],['#_Constructed/Existing hand washing stations]]-WWWW[[#This Row],['#_Non-Functional_hand_washing_stations]]</f>
        <v>8</v>
      </c>
      <c r="DW167" s="758">
        <f>IF(WWWW[[#This Row],['# Functional hand washing stations during reporting period]]*20&gt;WWWW[[#This Row],[Total HH]],WWWW[[#This Row],[Total HH]],WWWW[[#This Row],['# Functional hand washing stations during reporting period]]*20)</f>
        <v>124</v>
      </c>
      <c r="DX167" s="758">
        <f>IF(WWWW[[#This Row],[Is sufficient soap available for TLS? (Yes/No)]]="yes",WWWW[[#This Row],['#_Constructed/Existing hand washing stations at TLS/CFS/THF]],0)</f>
        <v>5</v>
      </c>
      <c r="DY167" s="429">
        <f>IF(WWWW[[#This Row],['# Functional hand washing stations during reporting period]]*100&gt;WWWW[[#This Row],[Total PoP ]],WWWW[[#This Row],[Total PoP ]],WWWW[[#This Row],['# Functional hand washing stations during reporting period]]*100)</f>
        <v>633</v>
      </c>
      <c r="DZ167" s="429" t="str">
        <f>IF(OR(WWWW[[#This Row],['#_students at TLS_CFS]]="",WWWW[[#This Row],['#_students at TLS_CFS]]=0),"No","Yes")</f>
        <v>Yes</v>
      </c>
      <c r="EA167" s="634">
        <f>IF(WWWW[[#This Row],['#_of_affected_people_surveyed_who_report_feeling_informed_about_the_different_WASH_services_available_to_them]]="","",WWWW[[#This Row],['#_of_affected_people_surveyed_who_report_feeling_informed_about_the_different_WASH_services_available_to_them]]/WWWW[[#This Row],[Total PoP ]])</f>
        <v>5.5292259083728278E-2</v>
      </c>
      <c r="EB16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v>
      </c>
      <c r="ED16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7" s="754" t="str">
        <f>VLOOKUP(WWWW[[#This Row],[Site Name]],SiteDB6[[Site Name]:[CCCM Management]],6,FALSE)</f>
        <v>Yes</v>
      </c>
      <c r="EF167" s="754" t="str">
        <f>VLOOKUP(WWWW[[#This Row],[Site Name]],SiteDB6[[Site Name]:[CCCM Focal Agency]],7,FALSE)</f>
        <v>KBC-MYT</v>
      </c>
      <c r="EG167" s="754" t="str">
        <f>VLOOKUP(WWWW[[#This Row],[Site Name]],SiteDB6[[Site Name]:[Location Type 1]],9,FALSE)</f>
        <v>Camp</v>
      </c>
      <c r="EH167" s="754" t="str">
        <f>VLOOKUP(WWWW[[#This Row],[Site Name]],SiteDB6[[Site Name]:[Type of Accommodation]],10,FALSE)</f>
        <v>camp</v>
      </c>
      <c r="EI167" s="754" t="str">
        <f>VLOOKUP(WWWW[[#This Row],[Site Name]],SiteDB6[[Site Name]:[Ethnic or GCA/NGCA]],11,FALSE)</f>
        <v>GCA</v>
      </c>
      <c r="EJ167" s="754">
        <f>VLOOKUP(WWWW[[#This Row],[Site Name]],SiteDB6[[Site Name]:[Lat]],12,FALSE)</f>
        <v>25.664000000000001</v>
      </c>
      <c r="EK167" s="754">
        <f>VLOOKUP(WWWW[[#This Row],[Site Name]],SiteDB6[[Site Name]:[Long]],13,FALSE)</f>
        <v>96.34</v>
      </c>
      <c r="EL167" s="754" t="str">
        <f>VLOOKUP(WWWW[[#This Row],[Site Name]],SiteDB6[[Site Name]:[Pcode]],3,FALSE)</f>
        <v>MMR001CMP250</v>
      </c>
      <c r="EM167" s="759" t="str">
        <f t="shared" si="2"/>
        <v>Covered</v>
      </c>
      <c r="EN167" s="759"/>
      <c r="EO167" s="754">
        <f>VLOOKUP(WWWW[[#This Row],[Site Name]],SiteDB6[[Site Name]:[Pop
(Kachin/Shan-CCCM as of July 2021)]],16,FALSE)</f>
        <v>124</v>
      </c>
      <c r="EP167" s="754">
        <f>VLOOKUP(WWWW[[#This Row],[Site Name]],SiteDB6[[Site Name]:[Pop
(Kachin/Shan-CCCM as of July 2021)]],17,FALSE)</f>
        <v>634</v>
      </c>
    </row>
    <row r="168" spans="1:146" hidden="1">
      <c r="A168" s="752" t="s">
        <v>2785</v>
      </c>
      <c r="B168" s="752" t="s">
        <v>242</v>
      </c>
      <c r="C168" s="753" t="s">
        <v>242</v>
      </c>
      <c r="D168" s="753" t="s">
        <v>307</v>
      </c>
      <c r="E168" s="753" t="s">
        <v>37</v>
      </c>
      <c r="F168" s="753" t="s">
        <v>148</v>
      </c>
      <c r="G168" s="594" t="str">
        <f>VLOOKUP(WWWW[[#This Row],[Site Name]],SiteDB6[[Site Name]:[Location Type]],8,FALSE)</f>
        <v>Camp</v>
      </c>
      <c r="H168" s="753" t="s">
        <v>255</v>
      </c>
      <c r="I168" s="449">
        <v>19</v>
      </c>
      <c r="J168" s="449">
        <v>100</v>
      </c>
      <c r="K168" s="591">
        <v>44197</v>
      </c>
      <c r="L168" s="592">
        <v>44651</v>
      </c>
      <c r="M168" s="449">
        <v>15</v>
      </c>
      <c r="N168" s="449">
        <v>1</v>
      </c>
      <c r="O168" s="449"/>
      <c r="P168" s="449"/>
      <c r="Q168" s="743" t="s">
        <v>41</v>
      </c>
      <c r="R168" s="449">
        <v>3</v>
      </c>
      <c r="S168" s="449">
        <v>2</v>
      </c>
      <c r="T168" s="449"/>
      <c r="U168" s="755"/>
      <c r="V168" s="755"/>
      <c r="W168" s="755"/>
      <c r="X168" s="755"/>
      <c r="Y168" s="755"/>
      <c r="Z168" s="755"/>
      <c r="AA168" s="755">
        <v>2</v>
      </c>
      <c r="AB168" s="755"/>
      <c r="AC168" s="755"/>
      <c r="AD168" s="755"/>
      <c r="AE168" s="755">
        <v>1</v>
      </c>
      <c r="AF168" s="449">
        <v>13500</v>
      </c>
      <c r="AG168" s="755"/>
      <c r="AH168" s="755"/>
      <c r="AI168" s="755"/>
      <c r="AJ168" s="755"/>
      <c r="AK168" s="755"/>
      <c r="AL168" s="755"/>
      <c r="AM168" s="755">
        <v>2</v>
      </c>
      <c r="AN168" s="449">
        <v>1</v>
      </c>
      <c r="AO168" s="449"/>
      <c r="AP168" s="593" t="s">
        <v>2930</v>
      </c>
      <c r="AQ168" s="755">
        <v>8</v>
      </c>
      <c r="AR168" s="755"/>
      <c r="AS168" s="760"/>
      <c r="AT168" s="755"/>
      <c r="AU168" s="449"/>
      <c r="AV168" s="449">
        <v>1</v>
      </c>
      <c r="AW168" s="755"/>
      <c r="AX168" s="755"/>
      <c r="AY168" s="754" t="s">
        <v>41</v>
      </c>
      <c r="AZ168" s="759" t="s">
        <v>137</v>
      </c>
      <c r="BA168" s="755"/>
      <c r="BB168" s="755"/>
      <c r="BC168" s="755"/>
      <c r="BD168" s="449"/>
      <c r="BE168" s="449"/>
      <c r="BF168" s="754"/>
      <c r="BG168" s="755">
        <v>2</v>
      </c>
      <c r="BH168" s="755"/>
      <c r="BI168" s="755"/>
      <c r="BJ168" s="755">
        <v>2</v>
      </c>
      <c r="BK168" s="755"/>
      <c r="BL168" s="449">
        <v>1</v>
      </c>
      <c r="BM168" s="449"/>
      <c r="BN168" s="449">
        <v>19</v>
      </c>
      <c r="BO168" s="449">
        <v>26</v>
      </c>
      <c r="BP168" s="754" t="s">
        <v>41</v>
      </c>
      <c r="BQ168" s="425">
        <v>3</v>
      </c>
      <c r="BR168" s="424">
        <v>0.8</v>
      </c>
      <c r="BS168" s="426" t="s">
        <v>2925</v>
      </c>
      <c r="BT168" s="424">
        <v>1</v>
      </c>
      <c r="BU168" s="424">
        <v>0.8</v>
      </c>
      <c r="BV168" s="426">
        <v>5</v>
      </c>
      <c r="BW168" s="424">
        <v>0.8</v>
      </c>
      <c r="BX168" s="449"/>
      <c r="BY168" s="449"/>
      <c r="BZ168" s="449"/>
      <c r="CA168" s="449"/>
      <c r="CB168" s="449"/>
      <c r="CC168" s="807"/>
      <c r="CD168" s="449"/>
      <c r="CE168" s="762" t="str">
        <f>IFERROR(WWWW[[#This Row],['#_Water sources passed]]/WWWW[[#This Row],['#_Water sources tested for fecal coliform ]],"no test")</f>
        <v>no test</v>
      </c>
      <c r="CF168" s="760" t="str">
        <f>IFERROR(WWWW[[#This Row],['#_Household passed]]/WWWW[[#This Row],['#_Household water samples tested for fecal coliform]],"no test")</f>
        <v>no test</v>
      </c>
      <c r="CG168" s="761" t="str">
        <f>IF(AND(WWWW[[#This Row],[% of water sources passed]]="no test",WWWW[[#This Row],[% Household passed]]="no test"),"No Test","Tested")</f>
        <v>No Test</v>
      </c>
      <c r="CH168" s="761">
        <f>WWWW[[#This Row],['#_Constructed/existing protected hand dug well]]-WWWW[[#This Row],['#_Non-functional protected hand dug well]]</f>
        <v>0</v>
      </c>
      <c r="CI168" s="761">
        <f>(WWWW[[#This Row],['#_Constructed/Existing tube wells/boreholes/handpumps_WASH_agency]]+WWWW[[#This Row],['#_Non-Cluster partner water tube-wells/boreholes/handpumps]])-WWWW[[#This Row],['#_Non-functional tube wells/boreholes/handpumps]]</f>
        <v>0</v>
      </c>
      <c r="CJ168" s="761">
        <f>WWWW[[#This Row],['#_Constructed/Existingwater storage tank with gravity fed reticulation system]]-WWWW[[#This Row],['#_Non-functional storage tank gravity fed reticulation system]]</f>
        <v>2</v>
      </c>
      <c r="CK168" s="761">
        <f>(WWWW[[#This Row],['#_Water_Liters_supplied_by_Water boating or water trucking]]/90)/15</f>
        <v>0</v>
      </c>
      <c r="CL168" s="761">
        <f>WWWW[[#This Row],['#_Water_Liters_from_Constructed/Existing water distribution system from river or natural spring]]/90/15</f>
        <v>10</v>
      </c>
      <c r="CM168" s="425">
        <f>IF(WWWW[[#This Row],['#_of water points in TLS/CFS]]*500&gt;WWWW[[#This Row],[Total PoP ]],WWWW[[#This Row],[Total PoP ]],WWWW[[#This Row],['#_of water points in TLS/CFS]]*500)</f>
        <v>100</v>
      </c>
      <c r="CN168" s="425">
        <f>IF(WWWW[[#This Row],['#_of water points in THF]]*500&gt;WWWW[[#This Row],[Total PoP ]],WWWW[[#This Row],[Total PoP ]],WWWW[[#This Row],['#_of water points in THF]]*500)</f>
        <v>0</v>
      </c>
      <c r="CO16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8" s="760">
        <f>IF(WWWW[[#This Row],[Location Type 1]]="Village",WWWW[[#This Row],[Access to safe drinking water for Village]],WWWW[[#This Row],[Access to safe drinking water for Camp]])</f>
        <v>1</v>
      </c>
      <c r="CR168" s="758">
        <f>WWWW[[#This Row],[%Equitable and continuous access to sufficient quantity of safe drinking water]]*WWWW[[#This Row],[Total PoP ]]</f>
        <v>100</v>
      </c>
      <c r="CS168" s="760">
        <f>IF((WWWW[[#This Row],['#_Constructed/Existing protected/fenced ponds]]*250)/WWWW[[#This Row],[Total PoP ]]&gt;1,1,(WWWW[[#This Row],['#_Constructed/Existing protected/fenced ponds]]*250)/WWWW[[#This Row],[Total PoP ]])</f>
        <v>1</v>
      </c>
      <c r="CT168" s="758">
        <f>WWWW[[#This Row],[% Access to unimproved water points]]*WWWW[[#This Row],[Total PoP ]]</f>
        <v>100</v>
      </c>
      <c r="CU16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v>
      </c>
      <c r="CW168" s="758">
        <f>WWWW[[#This Row],[HRP1]]/500</f>
        <v>0.2</v>
      </c>
      <c r="CX168" s="763">
        <f>1-WWWW[[#This Row],[% Equitable and continuous access to sufficient quantity of domestic water]]</f>
        <v>0</v>
      </c>
      <c r="CY168" s="758">
        <f>WWWW[[#This Row],[%equitable and continuous access to sufficient quantity of safe drinking and domestic water''s GAP]]*WWWW[[#This Row],[Total PoP ]]</f>
        <v>0</v>
      </c>
      <c r="CZ168" s="761">
        <f>IF(WWWW[[#This Row],[Total required water points]]-WWWW[[#This Row],['#Water points coverage]]&lt;0,0,WWWW[[#This Row],[Total required water points]]-WWWW[[#This Row],['#Water points coverage]])</f>
        <v>0.8</v>
      </c>
      <c r="DA168" s="761">
        <f>ROUND(IF(WWWW[[#This Row],[Total PoP ]]&lt;500,1,WWWW[[#This Row],[Total PoP ]]/500),0)</f>
        <v>1</v>
      </c>
      <c r="DB168" s="761">
        <f>(WWWW[[#This Row],['#_Constructed latrines_by_WASHAgencies]]+WWWW[[#This Row],['#_Non Cluster partner latrines]])-WWWW[[#This Row],['#_Non-functional latrines]]</f>
        <v>8</v>
      </c>
      <c r="DC168" s="634">
        <f>WWWW[[#This Row],[HRP2]]/WWWW[[#This Row],[Total PoP ]]</f>
        <v>1</v>
      </c>
      <c r="DD16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16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16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8" s="425">
        <f>IF(WWWW[[#This Row],['# of functional latrines in THF supported by WASH partners during the reporting period2]]="",0,WWWW[[#This Row],['# of functional latrines in THF supported by WASH partners during the reporting period2]]*50)</f>
        <v>0</v>
      </c>
      <c r="DH168" s="761">
        <f>ROUND(IF(WWWW[[#This Row],[Location Type 1]]="camp",WWWW[[#This Row],[Total PoP ]]/20,IF(WWWW[[#This Row],[Location Type 1]]="Temporary Location",WWWW[[#This Row],[Total PoP ]]/50,(WWWW[[#This Row],[Total PoP ]]/6))),0)</f>
        <v>5</v>
      </c>
      <c r="DI168" s="761">
        <f>IF(WWWW[[#This Row],[Total required Latrines]]-(WWWW[[#This Row],['#_Constructed latrines_by_WASHAgencies]]+WWWW[[#This Row],['#_Non Cluster partner latrines]])&lt;0,0,WWWW[[#This Row],[Total required Latrines]]-(WWWW[[#This Row],['#_Constructed latrines_by_WASHAgencies]]+WWWW[[#This Row],['#_Non Cluster partner latrines]]))</f>
        <v>0</v>
      </c>
      <c r="DJ168" s="763">
        <f>1-WWWW[[#This Row],[% people access to functioning Latrine]]</f>
        <v>0</v>
      </c>
      <c r="DK168" s="762">
        <f>IF(OR(WWWW[[#This Row],['#_Non-functional latrines]]="",WWWW[[#This Row],['#_Non-functional latrines]]=0),0,WWWW[[#This Row],['#_Non-functional latrines]]/(WWWW[[#This Row],['#_Constructed latrines_by_WASHAgencies]]+WWWW[[#This Row],['#_Non Cluster partner latrines]]))</f>
        <v>0</v>
      </c>
      <c r="DL168" s="758">
        <f>IF(500*(WWWW[[#This Row],['#_male hygiene promoters]]+WWWW[[#This Row],['#_female hygiene promoters]])&gt;WWWW[[#This Row],[Total PoP ]],WWWW[[#This Row],[Total PoP ]],500*(WWWW[[#This Row],['#_male hygiene promoters]]+WWWW[[#This Row],['#_female hygiene promoters]]))</f>
        <v>100</v>
      </c>
      <c r="DM16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100</v>
      </c>
      <c r="DN16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v>
      </c>
      <c r="DO168" s="761">
        <f>IF(WWWW[[#This Row],['# People with access to soap]]&gt;WWWW[[#This Row],['# People with access to Sanity Pads]],WWWW[[#This Row],['# People with access to soap]],WWWW[[#This Row],['# People with access to Sanity Pads]])</f>
        <v>100</v>
      </c>
      <c r="DP168" s="761">
        <f>IF(WWWW[[#This Row],['# people reached by regular dedicated hygiene promotion_5]]&gt;WWWW[[#This Row],['# People received regular supply of hygiene items_6]],WWWW[[#This Row],['# people reached by regular dedicated hygiene promotion_5]],WWWW[[#This Row],['# People received regular supply of hygiene items_6]])</f>
        <v>100</v>
      </c>
      <c r="DQ168" s="763">
        <f>IF(WWWW[[#This Row],[HRP3]]/WWWW[[#This Row],[Total PoP ]]&gt;1,1,WWWW[[#This Row],[HRP3]]/WWWW[[#This Row],[Total PoP ]])</f>
        <v>1</v>
      </c>
      <c r="DR168" s="762">
        <f>1-WWWW[[#This Row],[Hygiene Coverage%]]</f>
        <v>0</v>
      </c>
      <c r="DS168" s="760">
        <f>WWWW[[#This Row],['# people reached by regular dedicated hygiene promotion_5]]/WWWW[[#This Row],[Total PoP ]]</f>
        <v>1</v>
      </c>
      <c r="DT16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8" s="761">
        <f>WWWW[[#This Row],['#_Constructed/Existing hand washing stations]]-WWWW[[#This Row],['#_Non-Functional_hand_washing_stations]]</f>
        <v>2</v>
      </c>
      <c r="DW168" s="758">
        <f>IF(WWWW[[#This Row],['# Functional hand washing stations during reporting period]]*20&gt;WWWW[[#This Row],[Total HH]],WWWW[[#This Row],[Total HH]],WWWW[[#This Row],['# Functional hand washing stations during reporting period]]*20)</f>
        <v>19</v>
      </c>
      <c r="DX168" s="758">
        <f>IF(WWWW[[#This Row],[Is sufficient soap available for TLS? (Yes/No)]]="yes",WWWW[[#This Row],['#_Constructed/Existing hand washing stations at TLS/CFS/THF]],0)</f>
        <v>2</v>
      </c>
      <c r="DY168" s="429">
        <f>IF(WWWW[[#This Row],['# Functional hand washing stations during reporting period]]*100&gt;WWWW[[#This Row],[Total PoP ]],WWWW[[#This Row],[Total PoP ]],WWWW[[#This Row],['# Functional hand washing stations during reporting period]]*100)</f>
        <v>100</v>
      </c>
      <c r="DZ168" s="429" t="str">
        <f>IF(OR(WWWW[[#This Row],['#_students at TLS_CFS]]="",WWWW[[#This Row],['#_students at TLS_CFS]]=0),"No","Yes")</f>
        <v>Yes</v>
      </c>
      <c r="EA168" s="634">
        <f>IF(WWWW[[#This Row],['#_of_affected_people_surveyed_who_report_feeling_informed_about_the_different_WASH_services_available_to_them]]="","",WWWW[[#This Row],['#_of_affected_people_surveyed_who_report_feeling_informed_about_the_different_WASH_services_available_to_them]]/WWWW[[#This Row],[Total PoP ]])</f>
        <v>0.05</v>
      </c>
      <c r="EB16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v>
      </c>
      <c r="ED16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8" s="754" t="str">
        <f>VLOOKUP(WWWW[[#This Row],[Site Name]],SiteDB6[[Site Name]:[CCCM Management]],6,FALSE)</f>
        <v>Yes</v>
      </c>
      <c r="EF168" s="754" t="str">
        <f>VLOOKUP(WWWW[[#This Row],[Site Name]],SiteDB6[[Site Name]:[CCCM Focal Agency]],7,FALSE)</f>
        <v>Shalom</v>
      </c>
      <c r="EG168" s="754" t="str">
        <f>VLOOKUP(WWWW[[#This Row],[Site Name]],SiteDB6[[Site Name]:[Location Type 1]],9,FALSE)</f>
        <v>Camp</v>
      </c>
      <c r="EH168" s="754" t="str">
        <f>VLOOKUP(WWWW[[#This Row],[Site Name]],SiteDB6[[Site Name]:[Type of Accommodation]],10,FALSE)</f>
        <v>Camp</v>
      </c>
      <c r="EI168" s="754" t="str">
        <f>VLOOKUP(WWWW[[#This Row],[Site Name]],SiteDB6[[Site Name]:[Ethnic or GCA/NGCA]],11,FALSE)</f>
        <v>GCA</v>
      </c>
      <c r="EJ168" s="754">
        <f>VLOOKUP(WWWW[[#This Row],[Site Name]],SiteDB6[[Site Name]:[Lat]],12,FALSE)</f>
        <v>25.566510000000001</v>
      </c>
      <c r="EK168" s="754">
        <f>VLOOKUP(WWWW[[#This Row],[Site Name]],SiteDB6[[Site Name]:[Long]],13,FALSE)</f>
        <v>96.269199999999998</v>
      </c>
      <c r="EL168" s="754" t="str">
        <f>VLOOKUP(WWWW[[#This Row],[Site Name]],SiteDB6[[Site Name]:[Pcode]],3,FALSE)</f>
        <v>MMR001CMP181</v>
      </c>
      <c r="EM168" s="759" t="str">
        <f t="shared" si="2"/>
        <v>Covered</v>
      </c>
      <c r="EN168" s="759"/>
      <c r="EO168" s="754">
        <f>VLOOKUP(WWWW[[#This Row],[Site Name]],SiteDB6[[Site Name]:[Pop
(Kachin/Shan-CCCM as of July 2021)]],16,FALSE)</f>
        <v>19</v>
      </c>
      <c r="EP168" s="754">
        <f>VLOOKUP(WWWW[[#This Row],[Site Name]],SiteDB6[[Site Name]:[Pop
(Kachin/Shan-CCCM as of July 2021)]],17,FALSE)</f>
        <v>100</v>
      </c>
    </row>
    <row r="169" spans="1:146" hidden="1">
      <c r="A169" s="752" t="s">
        <v>2785</v>
      </c>
      <c r="B169" s="752" t="s">
        <v>242</v>
      </c>
      <c r="C169" s="753" t="s">
        <v>242</v>
      </c>
      <c r="D169" s="753" t="s">
        <v>307</v>
      </c>
      <c r="E169" s="753" t="s">
        <v>37</v>
      </c>
      <c r="F169" s="753" t="s">
        <v>148</v>
      </c>
      <c r="G169" s="594" t="str">
        <f>VLOOKUP(WWWW[[#This Row],[Site Name]],SiteDB6[[Site Name]:[Location Type]],8,FALSE)</f>
        <v>Camp</v>
      </c>
      <c r="H169" s="753" t="s">
        <v>256</v>
      </c>
      <c r="I169" s="449">
        <v>10</v>
      </c>
      <c r="J169" s="449">
        <v>54</v>
      </c>
      <c r="K169" s="591">
        <v>44197</v>
      </c>
      <c r="L169" s="592">
        <v>44651</v>
      </c>
      <c r="M169" s="449">
        <v>23</v>
      </c>
      <c r="N169" s="449">
        <v>1</v>
      </c>
      <c r="O169" s="449"/>
      <c r="P169" s="449"/>
      <c r="Q169" s="743" t="s">
        <v>41</v>
      </c>
      <c r="R169" s="449">
        <v>3</v>
      </c>
      <c r="S169" s="449">
        <v>4</v>
      </c>
      <c r="T169" s="449">
        <v>1</v>
      </c>
      <c r="U169" s="755"/>
      <c r="V169" s="755"/>
      <c r="W169" s="755"/>
      <c r="X169" s="755"/>
      <c r="Y169" s="755"/>
      <c r="Z169" s="755"/>
      <c r="AA169" s="755"/>
      <c r="AB169" s="755"/>
      <c r="AC169" s="755"/>
      <c r="AD169" s="755"/>
      <c r="AE169" s="755">
        <v>1</v>
      </c>
      <c r="AF169" s="755">
        <v>1000</v>
      </c>
      <c r="AG169" s="755">
        <v>1</v>
      </c>
      <c r="AH169" s="755"/>
      <c r="AI169" s="755"/>
      <c r="AJ169" s="755"/>
      <c r="AK169" s="755"/>
      <c r="AL169" s="755"/>
      <c r="AM169" s="755"/>
      <c r="AN169" s="449"/>
      <c r="AO169" s="449"/>
      <c r="AP169" s="593" t="s">
        <v>2931</v>
      </c>
      <c r="AQ169" s="755">
        <v>2</v>
      </c>
      <c r="AR169" s="755"/>
      <c r="AS169" s="760"/>
      <c r="AT169" s="755"/>
      <c r="AU169" s="755"/>
      <c r="AV169" s="755"/>
      <c r="AW169" s="755"/>
      <c r="AX169" s="755"/>
      <c r="AY169" s="754" t="s">
        <v>41</v>
      </c>
      <c r="AZ169" s="759" t="s">
        <v>137</v>
      </c>
      <c r="BA169" s="755"/>
      <c r="BB169" s="755"/>
      <c r="BC169" s="755"/>
      <c r="BD169" s="449"/>
      <c r="BE169" s="449"/>
      <c r="BF169" s="754"/>
      <c r="BG169" s="755">
        <v>3</v>
      </c>
      <c r="BH169" s="755"/>
      <c r="BI169" s="755"/>
      <c r="BJ169" s="755">
        <v>2</v>
      </c>
      <c r="BK169" s="755"/>
      <c r="BL169" s="449"/>
      <c r="BM169" s="449">
        <v>1</v>
      </c>
      <c r="BN169" s="449">
        <v>10</v>
      </c>
      <c r="BO169" s="449">
        <v>13</v>
      </c>
      <c r="BP169" s="754" t="s">
        <v>136</v>
      </c>
      <c r="BQ169" s="425">
        <v>4</v>
      </c>
      <c r="BR169" s="424"/>
      <c r="BS169" s="426" t="s">
        <v>2934</v>
      </c>
      <c r="BT169" s="424"/>
      <c r="BU169" s="424"/>
      <c r="BV169" s="426"/>
      <c r="BW169" s="424"/>
      <c r="BX169" s="449"/>
      <c r="BY169" s="449"/>
      <c r="BZ169" s="449"/>
      <c r="CA169" s="449"/>
      <c r="CB169" s="449"/>
      <c r="CC169" s="807"/>
      <c r="CD169" s="449"/>
      <c r="CE169" s="762" t="str">
        <f>IFERROR(WWWW[[#This Row],['#_Water sources passed]]/WWWW[[#This Row],['#_Water sources tested for fecal coliform ]],"no test")</f>
        <v>no test</v>
      </c>
      <c r="CF169" s="760" t="str">
        <f>IFERROR(WWWW[[#This Row],['#_Household passed]]/WWWW[[#This Row],['#_Household water samples tested for fecal coliform]],"no test")</f>
        <v>no test</v>
      </c>
      <c r="CG169" s="761" t="str">
        <f>IF(AND(WWWW[[#This Row],[% of water sources passed]]="no test",WWWW[[#This Row],[% Household passed]]="no test"),"No Test","Tested")</f>
        <v>No Test</v>
      </c>
      <c r="CH169" s="761">
        <f>WWWW[[#This Row],['#_Constructed/existing protected hand dug well]]-WWWW[[#This Row],['#_Non-functional protected hand dug well]]</f>
        <v>1</v>
      </c>
      <c r="CI169" s="761">
        <f>(WWWW[[#This Row],['#_Constructed/Existing tube wells/boreholes/handpumps_WASH_agency]]+WWWW[[#This Row],['#_Non-Cluster partner water tube-wells/boreholes/handpumps]])-WWWW[[#This Row],['#_Non-functional tube wells/boreholes/handpumps]]</f>
        <v>0</v>
      </c>
      <c r="CJ169" s="761">
        <f>WWWW[[#This Row],['#_Constructed/Existingwater storage tank with gravity fed reticulation system]]-WWWW[[#This Row],['#_Non-functional storage tank gravity fed reticulation system]]</f>
        <v>0</v>
      </c>
      <c r="CK169" s="761">
        <f>(WWWW[[#This Row],['#_Water_Liters_supplied_by_Water boating or water trucking]]/90)/15</f>
        <v>0</v>
      </c>
      <c r="CL169" s="761">
        <f>WWWW[[#This Row],['#_Water_Liters_from_Constructed/Existing water distribution system from river or natural spring]]/90/15</f>
        <v>0.7407407407407407</v>
      </c>
      <c r="CM169" s="425">
        <f>IF(WWWW[[#This Row],['#_of water points in TLS/CFS]]*500&gt;WWWW[[#This Row],[Total PoP ]],WWWW[[#This Row],[Total PoP ]],WWWW[[#This Row],['#_of water points in TLS/CFS]]*500)</f>
        <v>0</v>
      </c>
      <c r="CN169" s="425">
        <f>IF(WWWW[[#This Row],['#_of water points in THF]]*500&gt;WWWW[[#This Row],[Total PoP ]],WWWW[[#This Row],[Total PoP ]],WWWW[[#This Row],['#_of water points in THF]]*500)</f>
        <v>0</v>
      </c>
      <c r="CO16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6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69" s="760">
        <f>IF(WWWW[[#This Row],[Location Type 1]]="Village",WWWW[[#This Row],[Access to safe drinking water for Village]],WWWW[[#This Row],[Access to safe drinking water for Camp]])</f>
        <v>1</v>
      </c>
      <c r="CR169" s="758">
        <f>WWWW[[#This Row],[%Equitable and continuous access to sufficient quantity of safe drinking water]]*WWWW[[#This Row],[Total PoP ]]</f>
        <v>54</v>
      </c>
      <c r="CS169" s="760">
        <f>IF((WWWW[[#This Row],['#_Constructed/Existing protected/fenced ponds]]*250)/WWWW[[#This Row],[Total PoP ]]&gt;1,1,(WWWW[[#This Row],['#_Constructed/Existing protected/fenced ponds]]*250)/WWWW[[#This Row],[Total PoP ]])</f>
        <v>1</v>
      </c>
      <c r="CT169" s="758">
        <f>WWWW[[#This Row],[% Access to unimproved water points]]*WWWW[[#This Row],[Total PoP ]]</f>
        <v>54</v>
      </c>
      <c r="CU16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6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169" s="758">
        <f>WWWW[[#This Row],[HRP1]]/500</f>
        <v>0.108</v>
      </c>
      <c r="CX169" s="763">
        <f>1-WWWW[[#This Row],[% Equitable and continuous access to sufficient quantity of domestic water]]</f>
        <v>0</v>
      </c>
      <c r="CY169" s="758">
        <f>WWWW[[#This Row],[%equitable and continuous access to sufficient quantity of safe drinking and domestic water''s GAP]]*WWWW[[#This Row],[Total PoP ]]</f>
        <v>0</v>
      </c>
      <c r="CZ169" s="761">
        <f>IF(WWWW[[#This Row],[Total required water points]]-WWWW[[#This Row],['#Water points coverage]]&lt;0,0,WWWW[[#This Row],[Total required water points]]-WWWW[[#This Row],['#Water points coverage]])</f>
        <v>0.89200000000000002</v>
      </c>
      <c r="DA169" s="761">
        <f>ROUND(IF(WWWW[[#This Row],[Total PoP ]]&lt;500,1,WWWW[[#This Row],[Total PoP ]]/500),0)</f>
        <v>1</v>
      </c>
      <c r="DB169" s="761">
        <f>(WWWW[[#This Row],['#_Constructed latrines_by_WASHAgencies]]+WWWW[[#This Row],['#_Non Cluster partner latrines]])-WWWW[[#This Row],['#_Non-functional latrines]]</f>
        <v>2</v>
      </c>
      <c r="DC169" s="634">
        <f>WWWW[[#This Row],[HRP2]]/WWWW[[#This Row],[Total PoP ]]</f>
        <v>0.7407407407407407</v>
      </c>
      <c r="DD16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6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6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69" s="425">
        <f>IF(WWWW[[#This Row],['# of functional latrines in THF supported by WASH partners during the reporting period2]]="",0,WWWW[[#This Row],['# of functional latrines in THF supported by WASH partners during the reporting period2]]*50)</f>
        <v>0</v>
      </c>
      <c r="DH169" s="761">
        <f>ROUND(IF(WWWW[[#This Row],[Location Type 1]]="camp",WWWW[[#This Row],[Total PoP ]]/20,IF(WWWW[[#This Row],[Location Type 1]]="Temporary Location",WWWW[[#This Row],[Total PoP ]]/50,(WWWW[[#This Row],[Total PoP ]]/6))),0)</f>
        <v>3</v>
      </c>
      <c r="DI169" s="761">
        <f>IF(WWWW[[#This Row],[Total required Latrines]]-(WWWW[[#This Row],['#_Constructed latrines_by_WASHAgencies]]+WWWW[[#This Row],['#_Non Cluster partner latrines]])&lt;0,0,WWWW[[#This Row],[Total required Latrines]]-(WWWW[[#This Row],['#_Constructed latrines_by_WASHAgencies]]+WWWW[[#This Row],['#_Non Cluster partner latrines]]))</f>
        <v>1</v>
      </c>
      <c r="DJ169" s="763">
        <f>1-WWWW[[#This Row],[% people access to functioning Latrine]]</f>
        <v>0.2592592592592593</v>
      </c>
      <c r="DK169" s="762">
        <f>IF(OR(WWWW[[#This Row],['#_Non-functional latrines]]="",WWWW[[#This Row],['#_Non-functional latrines]]=0),0,WWWW[[#This Row],['#_Non-functional latrines]]/(WWWW[[#This Row],['#_Constructed latrines_by_WASHAgencies]]+WWWW[[#This Row],['#_Non Cluster partner latrines]]))</f>
        <v>0</v>
      </c>
      <c r="DL169" s="758">
        <f>IF(500*(WWWW[[#This Row],['#_male hygiene promoters]]+WWWW[[#This Row],['#_female hygiene promoters]])&gt;WWWW[[#This Row],[Total PoP ]],WWWW[[#This Row],[Total PoP ]],500*(WWWW[[#This Row],['#_male hygiene promoters]]+WWWW[[#This Row],['#_female hygiene promoters]]))</f>
        <v>54</v>
      </c>
      <c r="DM16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v>
      </c>
      <c r="DN16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v>
      </c>
      <c r="DO169" s="761">
        <f>IF(WWWW[[#This Row],['# People with access to soap]]&gt;WWWW[[#This Row],['# People with access to Sanity Pads]],WWWW[[#This Row],['# People with access to soap]],WWWW[[#This Row],['# People with access to Sanity Pads]])</f>
        <v>54</v>
      </c>
      <c r="DP169" s="761">
        <f>IF(WWWW[[#This Row],['# people reached by regular dedicated hygiene promotion_5]]&gt;WWWW[[#This Row],['# People received regular supply of hygiene items_6]],WWWW[[#This Row],['# people reached by regular dedicated hygiene promotion_5]],WWWW[[#This Row],['# People received regular supply of hygiene items_6]])</f>
        <v>54</v>
      </c>
      <c r="DQ169" s="763">
        <f>IF(WWWW[[#This Row],[HRP3]]/WWWW[[#This Row],[Total PoP ]]&gt;1,1,WWWW[[#This Row],[HRP3]]/WWWW[[#This Row],[Total PoP ]])</f>
        <v>1</v>
      </c>
      <c r="DR169" s="762">
        <f>1-WWWW[[#This Row],[Hygiene Coverage%]]</f>
        <v>0</v>
      </c>
      <c r="DS169" s="760">
        <f>WWWW[[#This Row],['# people reached by regular dedicated hygiene promotion_5]]/WWWW[[#This Row],[Total PoP ]]</f>
        <v>1</v>
      </c>
      <c r="DT16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6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69" s="761">
        <f>WWWW[[#This Row],['#_Constructed/Existing hand washing stations]]-WWWW[[#This Row],['#_Non-Functional_hand_washing_stations]]</f>
        <v>3</v>
      </c>
      <c r="DW169" s="758">
        <f>IF(WWWW[[#This Row],['# Functional hand washing stations during reporting period]]*20&gt;WWWW[[#This Row],[Total HH]],WWWW[[#This Row],[Total HH]],WWWW[[#This Row],['# Functional hand washing stations during reporting period]]*20)</f>
        <v>10</v>
      </c>
      <c r="DX169" s="758">
        <f>IF(WWWW[[#This Row],[Is sufficient soap available for TLS? (Yes/No)]]="yes",WWWW[[#This Row],['#_Constructed/Existing hand washing stations at TLS/CFS/THF]],0)</f>
        <v>0</v>
      </c>
      <c r="DY169" s="429">
        <f>IF(WWWW[[#This Row],['# Functional hand washing stations during reporting period]]*100&gt;WWWW[[#This Row],[Total PoP ]],WWWW[[#This Row],[Total PoP ]],WWWW[[#This Row],['# Functional hand washing stations during reporting period]]*100)</f>
        <v>54</v>
      </c>
      <c r="DZ169" s="429" t="str">
        <f>IF(OR(WWWW[[#This Row],['#_students at TLS_CFS]]="",WWWW[[#This Row],['#_students at TLS_CFS]]=0),"No","Yes")</f>
        <v>Yes</v>
      </c>
      <c r="EA16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6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6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6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69" s="754" t="str">
        <f>VLOOKUP(WWWW[[#This Row],[Site Name]],SiteDB6[[Site Name]:[CCCM Management]],6,FALSE)</f>
        <v>Yes</v>
      </c>
      <c r="EF169" s="754" t="str">
        <f>VLOOKUP(WWWW[[#This Row],[Site Name]],SiteDB6[[Site Name]:[CCCM Focal Agency]],7,FALSE)</f>
        <v>Shalom</v>
      </c>
      <c r="EG169" s="754" t="str">
        <f>VLOOKUP(WWWW[[#This Row],[Site Name]],SiteDB6[[Site Name]:[Location Type 1]],9,FALSE)</f>
        <v>Camp</v>
      </c>
      <c r="EH169" s="754" t="str">
        <f>VLOOKUP(WWWW[[#This Row],[Site Name]],SiteDB6[[Site Name]:[Type of Accommodation]],10,FALSE)</f>
        <v>Camp</v>
      </c>
      <c r="EI169" s="754" t="str">
        <f>VLOOKUP(WWWW[[#This Row],[Site Name]],SiteDB6[[Site Name]:[Ethnic or GCA/NGCA]],11,FALSE)</f>
        <v>GCA</v>
      </c>
      <c r="EJ169" s="754">
        <f>VLOOKUP(WWWW[[#This Row],[Site Name]],SiteDB6[[Site Name]:[Lat]],12,FALSE)</f>
        <v>25.61842</v>
      </c>
      <c r="EK169" s="754">
        <f>VLOOKUP(WWWW[[#This Row],[Site Name]],SiteDB6[[Site Name]:[Long]],13,FALSE)</f>
        <v>96.316400000000002</v>
      </c>
      <c r="EL169" s="754" t="str">
        <f>VLOOKUP(WWWW[[#This Row],[Site Name]],SiteDB6[[Site Name]:[Pcode]],3,FALSE)</f>
        <v>MMR001CMP167</v>
      </c>
      <c r="EM169" s="759" t="str">
        <f t="shared" si="2"/>
        <v>Covered</v>
      </c>
      <c r="EN169" s="759"/>
      <c r="EO169" s="754">
        <f>VLOOKUP(WWWW[[#This Row],[Site Name]],SiteDB6[[Site Name]:[Pop
(Kachin/Shan-CCCM as of July 2021)]],16,FALSE)</f>
        <v>10</v>
      </c>
      <c r="EP169" s="754">
        <f>VLOOKUP(WWWW[[#This Row],[Site Name]],SiteDB6[[Site Name]:[Pop
(Kachin/Shan-CCCM as of July 2021)]],17,FALSE)</f>
        <v>54</v>
      </c>
    </row>
    <row r="170" spans="1:146" hidden="1">
      <c r="A170" s="752" t="s">
        <v>2785</v>
      </c>
      <c r="B170" s="752" t="s">
        <v>242</v>
      </c>
      <c r="C170" s="753" t="s">
        <v>242</v>
      </c>
      <c r="D170" s="753" t="s">
        <v>307</v>
      </c>
      <c r="E170" s="753" t="s">
        <v>37</v>
      </c>
      <c r="F170" s="753" t="s">
        <v>148</v>
      </c>
      <c r="G170" s="594" t="str">
        <f>VLOOKUP(WWWW[[#This Row],[Site Name]],SiteDB6[[Site Name]:[Location Type]],8,FALSE)</f>
        <v>Camp</v>
      </c>
      <c r="H170" s="753" t="s">
        <v>258</v>
      </c>
      <c r="I170" s="449">
        <v>7</v>
      </c>
      <c r="J170" s="449">
        <v>24</v>
      </c>
      <c r="K170" s="591">
        <v>44197</v>
      </c>
      <c r="L170" s="592">
        <v>44651</v>
      </c>
      <c r="M170" s="449"/>
      <c r="N170" s="449">
        <v>1</v>
      </c>
      <c r="O170" s="449"/>
      <c r="P170" s="449"/>
      <c r="Q170" s="743" t="s">
        <v>41</v>
      </c>
      <c r="R170" s="449">
        <v>2</v>
      </c>
      <c r="S170" s="449">
        <v>2</v>
      </c>
      <c r="T170" s="449">
        <v>1</v>
      </c>
      <c r="U170" s="755"/>
      <c r="V170" s="755"/>
      <c r="W170" s="755"/>
      <c r="X170" s="755"/>
      <c r="Y170" s="755"/>
      <c r="Z170" s="755">
        <v>1</v>
      </c>
      <c r="AA170" s="755">
        <v>1</v>
      </c>
      <c r="AB170" s="755"/>
      <c r="AC170" s="755"/>
      <c r="AD170" s="755"/>
      <c r="AE170" s="755">
        <v>1</v>
      </c>
      <c r="AF170" s="755"/>
      <c r="AG170" s="755">
        <v>1</v>
      </c>
      <c r="AH170" s="755"/>
      <c r="AI170" s="755"/>
      <c r="AJ170" s="755"/>
      <c r="AK170" s="755"/>
      <c r="AL170" s="755"/>
      <c r="AM170" s="755"/>
      <c r="AN170" s="449"/>
      <c r="AO170" s="449"/>
      <c r="AP170" s="759"/>
      <c r="AQ170" s="755">
        <v>3</v>
      </c>
      <c r="AR170" s="755"/>
      <c r="AS170" s="760"/>
      <c r="AT170" s="755"/>
      <c r="AU170" s="755"/>
      <c r="AV170" s="755"/>
      <c r="AW170" s="755"/>
      <c r="AX170" s="755"/>
      <c r="AY170" s="754" t="s">
        <v>41</v>
      </c>
      <c r="AZ170" s="759" t="s">
        <v>136</v>
      </c>
      <c r="BA170" s="755"/>
      <c r="BB170" s="755"/>
      <c r="BC170" s="755"/>
      <c r="BD170" s="449"/>
      <c r="BE170" s="449"/>
      <c r="BF170" s="754"/>
      <c r="BG170" s="755">
        <v>3</v>
      </c>
      <c r="BH170" s="755"/>
      <c r="BI170" s="755"/>
      <c r="BJ170" s="755">
        <v>2</v>
      </c>
      <c r="BK170" s="755"/>
      <c r="BL170" s="449">
        <v>1</v>
      </c>
      <c r="BM170" s="449"/>
      <c r="BN170" s="449">
        <v>7</v>
      </c>
      <c r="BO170" s="449">
        <v>4</v>
      </c>
      <c r="BP170" s="426" t="s">
        <v>136</v>
      </c>
      <c r="BQ170" s="425"/>
      <c r="BR170" s="424"/>
      <c r="BS170" s="426" t="s">
        <v>2935</v>
      </c>
      <c r="BT170" s="424"/>
      <c r="BU170" s="424"/>
      <c r="BV170" s="426">
        <v>5</v>
      </c>
      <c r="BW170" s="424"/>
      <c r="BX170" s="449"/>
      <c r="BY170" s="449"/>
      <c r="BZ170" s="449"/>
      <c r="CA170" s="449"/>
      <c r="CB170" s="449"/>
      <c r="CC170" s="807"/>
      <c r="CD170" s="449"/>
      <c r="CE170" s="762" t="str">
        <f>IFERROR(WWWW[[#This Row],['#_Water sources passed]]/WWWW[[#This Row],['#_Water sources tested for fecal coliform ]],"no test")</f>
        <v>no test</v>
      </c>
      <c r="CF170" s="760" t="str">
        <f>IFERROR(WWWW[[#This Row],['#_Household passed]]/WWWW[[#This Row],['#_Household water samples tested for fecal coliform]],"no test")</f>
        <v>no test</v>
      </c>
      <c r="CG170" s="761" t="str">
        <f>IF(AND(WWWW[[#This Row],[% of water sources passed]]="no test",WWWW[[#This Row],[% Household passed]]="no test"),"No Test","Tested")</f>
        <v>No Test</v>
      </c>
      <c r="CH170" s="761">
        <f>WWWW[[#This Row],['#_Constructed/existing protected hand dug well]]-WWWW[[#This Row],['#_Non-functional protected hand dug well]]</f>
        <v>1</v>
      </c>
      <c r="CI170" s="761">
        <f>(WWWW[[#This Row],['#_Constructed/Existing tube wells/boreholes/handpumps_WASH_agency]]+WWWW[[#This Row],['#_Non-Cluster partner water tube-wells/boreholes/handpumps]])-WWWW[[#This Row],['#_Non-functional tube wells/boreholes/handpumps]]</f>
        <v>0</v>
      </c>
      <c r="CJ170" s="761">
        <f>WWWW[[#This Row],['#_Constructed/Existingwater storage tank with gravity fed reticulation system]]-WWWW[[#This Row],['#_Non-functional storage tank gravity fed reticulation system]]</f>
        <v>1</v>
      </c>
      <c r="CK170" s="761">
        <f>(WWWW[[#This Row],['#_Water_Liters_supplied_by_Water boating or water trucking]]/90)/15</f>
        <v>0</v>
      </c>
      <c r="CL170" s="761">
        <f>WWWW[[#This Row],['#_Water_Liters_from_Constructed/Existing water distribution system from river or natural spring]]/90/15</f>
        <v>0</v>
      </c>
      <c r="CM170" s="425">
        <f>IF(WWWW[[#This Row],['#_of water points in TLS/CFS]]*500&gt;WWWW[[#This Row],[Total PoP ]],WWWW[[#This Row],[Total PoP ]],WWWW[[#This Row],['#_of water points in TLS/CFS]]*500)</f>
        <v>0</v>
      </c>
      <c r="CN170" s="425">
        <f>IF(WWWW[[#This Row],['#_of water points in THF]]*500&gt;WWWW[[#This Row],[Total PoP ]],WWWW[[#This Row],[Total PoP ]],WWWW[[#This Row],['#_of water points in THF]]*500)</f>
        <v>0</v>
      </c>
      <c r="CO17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0" s="760">
        <f>IF(WWWW[[#This Row],[Location Type 1]]="Village",WWWW[[#This Row],[Access to safe drinking water for Village]],WWWW[[#This Row],[Access to safe drinking water for Camp]])</f>
        <v>1</v>
      </c>
      <c r="CR170" s="758">
        <f>WWWW[[#This Row],[%Equitable and continuous access to sufficient quantity of safe drinking water]]*WWWW[[#This Row],[Total PoP ]]</f>
        <v>24</v>
      </c>
      <c r="CS170" s="760">
        <f>IF((WWWW[[#This Row],['#_Constructed/Existing protected/fenced ponds]]*250)/WWWW[[#This Row],[Total PoP ]]&gt;1,1,(WWWW[[#This Row],['#_Constructed/Existing protected/fenced ponds]]*250)/WWWW[[#This Row],[Total PoP ]])</f>
        <v>1</v>
      </c>
      <c r="CT170" s="758">
        <f>WWWW[[#This Row],[% Access to unimproved water points]]*WWWW[[#This Row],[Total PoP ]]</f>
        <v>24</v>
      </c>
      <c r="CU17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170" s="758">
        <f>WWWW[[#This Row],[HRP1]]/500</f>
        <v>4.8000000000000001E-2</v>
      </c>
      <c r="CX170" s="763">
        <f>1-WWWW[[#This Row],[% Equitable and continuous access to sufficient quantity of domestic water]]</f>
        <v>0</v>
      </c>
      <c r="CY170" s="758">
        <f>WWWW[[#This Row],[%equitable and continuous access to sufficient quantity of safe drinking and domestic water''s GAP]]*WWWW[[#This Row],[Total PoP ]]</f>
        <v>0</v>
      </c>
      <c r="CZ170" s="761">
        <f>IF(WWWW[[#This Row],[Total required water points]]-WWWW[[#This Row],['#Water points coverage]]&lt;0,0,WWWW[[#This Row],[Total required water points]]-WWWW[[#This Row],['#Water points coverage]])</f>
        <v>0.95199999999999996</v>
      </c>
      <c r="DA170" s="761">
        <f>ROUND(IF(WWWW[[#This Row],[Total PoP ]]&lt;500,1,WWWW[[#This Row],[Total PoP ]]/500),0)</f>
        <v>1</v>
      </c>
      <c r="DB170" s="761">
        <f>(WWWW[[#This Row],['#_Constructed latrines_by_WASHAgencies]]+WWWW[[#This Row],['#_Non Cluster partner latrines]])-WWWW[[#This Row],['#_Non-functional latrines]]</f>
        <v>3</v>
      </c>
      <c r="DC170" s="634">
        <f>WWWW[[#This Row],[HRP2]]/WWWW[[#This Row],[Total PoP ]]</f>
        <v>1</v>
      </c>
      <c r="DD17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17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0" s="425">
        <f>IF(WWWW[[#This Row],['# of functional latrines in THF supported by WASH partners during the reporting period2]]="",0,WWWW[[#This Row],['# of functional latrines in THF supported by WASH partners during the reporting period2]]*50)</f>
        <v>0</v>
      </c>
      <c r="DH170" s="761">
        <f>ROUND(IF(WWWW[[#This Row],[Location Type 1]]="camp",WWWW[[#This Row],[Total PoP ]]/20,IF(WWWW[[#This Row],[Location Type 1]]="Temporary Location",WWWW[[#This Row],[Total PoP ]]/50,(WWWW[[#This Row],[Total PoP ]]/6))),0)</f>
        <v>1</v>
      </c>
      <c r="DI170" s="761">
        <f>IF(WWWW[[#This Row],[Total required Latrines]]-(WWWW[[#This Row],['#_Constructed latrines_by_WASHAgencies]]+WWWW[[#This Row],['#_Non Cluster partner latrines]])&lt;0,0,WWWW[[#This Row],[Total required Latrines]]-(WWWW[[#This Row],['#_Constructed latrines_by_WASHAgencies]]+WWWW[[#This Row],['#_Non Cluster partner latrines]]))</f>
        <v>0</v>
      </c>
      <c r="DJ170" s="763">
        <f>1-WWWW[[#This Row],[% people access to functioning Latrine]]</f>
        <v>0</v>
      </c>
      <c r="DK170" s="762">
        <f>IF(OR(WWWW[[#This Row],['#_Non-functional latrines]]="",WWWW[[#This Row],['#_Non-functional latrines]]=0),0,WWWW[[#This Row],['#_Non-functional latrines]]/(WWWW[[#This Row],['#_Constructed latrines_by_WASHAgencies]]+WWWW[[#This Row],['#_Non Cluster partner latrines]]))</f>
        <v>0</v>
      </c>
      <c r="DL170" s="758">
        <f>IF(500*(WWWW[[#This Row],['#_male hygiene promoters]]+WWWW[[#This Row],['#_female hygiene promoters]])&gt;WWWW[[#This Row],[Total PoP ]],WWWW[[#This Row],[Total PoP ]],500*(WWWW[[#This Row],['#_male hygiene promoters]]+WWWW[[#This Row],['#_female hygiene promoters]]))</f>
        <v>24</v>
      </c>
      <c r="DM17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17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O170" s="761">
        <f>IF(WWWW[[#This Row],['# People with access to soap]]&gt;WWWW[[#This Row],['# People with access to Sanity Pads]],WWWW[[#This Row],['# People with access to soap]],WWWW[[#This Row],['# People with access to Sanity Pads]])</f>
        <v>24</v>
      </c>
      <c r="DP170" s="761">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170" s="763">
        <f>IF(WWWW[[#This Row],[HRP3]]/WWWW[[#This Row],[Total PoP ]]&gt;1,1,WWWW[[#This Row],[HRP3]]/WWWW[[#This Row],[Total PoP ]])</f>
        <v>1</v>
      </c>
      <c r="DR170" s="762">
        <f>1-WWWW[[#This Row],[Hygiene Coverage%]]</f>
        <v>0</v>
      </c>
      <c r="DS170" s="760">
        <f>WWWW[[#This Row],['# people reached by regular dedicated hygiene promotion_5]]/WWWW[[#This Row],[Total PoP ]]</f>
        <v>1</v>
      </c>
      <c r="DT17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V170" s="761">
        <f>WWWW[[#This Row],['#_Constructed/Existing hand washing stations]]-WWWW[[#This Row],['#_Non-Functional_hand_washing_stations]]</f>
        <v>3</v>
      </c>
      <c r="DW170" s="758">
        <f>IF(WWWW[[#This Row],['# Functional hand washing stations during reporting period]]*20&gt;WWWW[[#This Row],[Total HH]],WWWW[[#This Row],[Total HH]],WWWW[[#This Row],['# Functional hand washing stations during reporting period]]*20)</f>
        <v>7</v>
      </c>
      <c r="DX170" s="758">
        <f>IF(WWWW[[#This Row],[Is sufficient soap available for TLS? (Yes/No)]]="yes",WWWW[[#This Row],['#_Constructed/Existing hand washing stations at TLS/CFS/THF]],0)</f>
        <v>0</v>
      </c>
      <c r="DY170" s="429">
        <f>IF(WWWW[[#This Row],['# Functional hand washing stations during reporting period]]*100&gt;WWWW[[#This Row],[Total PoP ]],WWWW[[#This Row],[Total PoP ]],WWWW[[#This Row],['# Functional hand washing stations during reporting period]]*100)</f>
        <v>24</v>
      </c>
      <c r="DZ170" s="429" t="str">
        <f>IF(OR(WWWW[[#This Row],['#_students at TLS_CFS]]="",WWWW[[#This Row],['#_students at TLS_CFS]]=0),"No","Yes")</f>
        <v>No</v>
      </c>
      <c r="EA170" s="634">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17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0" s="754" t="str">
        <f>VLOOKUP(WWWW[[#This Row],[Site Name]],SiteDB6[[Site Name]:[CCCM Management]],6,FALSE)</f>
        <v>Yes</v>
      </c>
      <c r="EF170" s="754" t="str">
        <f>VLOOKUP(WWWW[[#This Row],[Site Name]],SiteDB6[[Site Name]:[CCCM Focal Agency]],7,FALSE)</f>
        <v>Shalom</v>
      </c>
      <c r="EG170" s="754" t="str">
        <f>VLOOKUP(WWWW[[#This Row],[Site Name]],SiteDB6[[Site Name]:[Location Type 1]],9,FALSE)</f>
        <v>Camp</v>
      </c>
      <c r="EH170" s="754" t="str">
        <f>VLOOKUP(WWWW[[#This Row],[Site Name]],SiteDB6[[Site Name]:[Type of Accommodation]],10,FALSE)</f>
        <v>Camp like setting</v>
      </c>
      <c r="EI170" s="754" t="str">
        <f>VLOOKUP(WWWW[[#This Row],[Site Name]],SiteDB6[[Site Name]:[Ethnic or GCA/NGCA]],11,FALSE)</f>
        <v>GCA</v>
      </c>
      <c r="EJ170" s="754">
        <f>VLOOKUP(WWWW[[#This Row],[Site Name]],SiteDB6[[Site Name]:[Lat]],12,FALSE)</f>
        <v>25.617998</v>
      </c>
      <c r="EK170" s="754">
        <f>VLOOKUP(WWWW[[#This Row],[Site Name]],SiteDB6[[Site Name]:[Long]],13,FALSE)</f>
        <v>96.339590000000001</v>
      </c>
      <c r="EL170" s="754" t="str">
        <f>VLOOKUP(WWWW[[#This Row],[Site Name]],SiteDB6[[Site Name]:[Pcode]],3,FALSE)</f>
        <v>MMR001CMP192</v>
      </c>
      <c r="EM170" s="759" t="str">
        <f t="shared" si="2"/>
        <v>Covered</v>
      </c>
      <c r="EN170" s="759"/>
      <c r="EO170" s="754">
        <f>VLOOKUP(WWWW[[#This Row],[Site Name]],SiteDB6[[Site Name]:[Pop
(Kachin/Shan-CCCM as of July 2021)]],16,FALSE)</f>
        <v>7</v>
      </c>
      <c r="EP170" s="754">
        <f>VLOOKUP(WWWW[[#This Row],[Site Name]],SiteDB6[[Site Name]:[Pop
(Kachin/Shan-CCCM as of July 2021)]],17,FALSE)</f>
        <v>24</v>
      </c>
    </row>
    <row r="171" spans="1:146" hidden="1">
      <c r="A171" s="752" t="s">
        <v>2785</v>
      </c>
      <c r="B171" s="752" t="s">
        <v>242</v>
      </c>
      <c r="C171" s="753" t="s">
        <v>242</v>
      </c>
      <c r="D171" s="753" t="s">
        <v>307</v>
      </c>
      <c r="E171" s="753" t="s">
        <v>37</v>
      </c>
      <c r="F171" s="753" t="s">
        <v>148</v>
      </c>
      <c r="G171" s="594" t="str">
        <f>VLOOKUP(WWWW[[#This Row],[Site Name]],SiteDB6[[Site Name]:[Location Type]],8,FALSE)</f>
        <v>Camp</v>
      </c>
      <c r="H171" s="753" t="s">
        <v>259</v>
      </c>
      <c r="I171" s="449">
        <v>16</v>
      </c>
      <c r="J171" s="449">
        <v>70</v>
      </c>
      <c r="K171" s="591">
        <v>44197</v>
      </c>
      <c r="L171" s="592">
        <v>44651</v>
      </c>
      <c r="M171" s="449"/>
      <c r="N171" s="449">
        <v>1</v>
      </c>
      <c r="O171" s="449"/>
      <c r="P171" s="449"/>
      <c r="Q171" s="743" t="s">
        <v>41</v>
      </c>
      <c r="R171" s="449">
        <v>1</v>
      </c>
      <c r="S171" s="449">
        <v>3</v>
      </c>
      <c r="T171" s="449">
        <v>1</v>
      </c>
      <c r="U171" s="755"/>
      <c r="V171" s="755"/>
      <c r="W171" s="755"/>
      <c r="X171" s="755">
        <v>1</v>
      </c>
      <c r="Y171" s="755"/>
      <c r="Z171" s="755"/>
      <c r="AA171" s="755">
        <v>1</v>
      </c>
      <c r="AB171" s="755"/>
      <c r="AC171" s="755"/>
      <c r="AD171" s="755"/>
      <c r="AE171" s="755"/>
      <c r="AF171" s="449">
        <v>4500</v>
      </c>
      <c r="AG171" s="755">
        <v>1</v>
      </c>
      <c r="AH171" s="755">
        <v>1</v>
      </c>
      <c r="AI171" s="755"/>
      <c r="AJ171" s="755"/>
      <c r="AK171" s="755"/>
      <c r="AL171" s="755"/>
      <c r="AM171" s="755">
        <v>4</v>
      </c>
      <c r="AN171" s="449"/>
      <c r="AO171" s="449"/>
      <c r="AP171" s="593" t="s">
        <v>2932</v>
      </c>
      <c r="AQ171" s="755">
        <v>2</v>
      </c>
      <c r="AR171" s="755"/>
      <c r="AS171" s="760"/>
      <c r="AT171" s="755"/>
      <c r="AU171" s="755"/>
      <c r="AV171" s="755"/>
      <c r="AW171" s="755"/>
      <c r="AX171" s="755"/>
      <c r="AY171" s="754" t="s">
        <v>41</v>
      </c>
      <c r="AZ171" s="759" t="s">
        <v>137</v>
      </c>
      <c r="BA171" s="755"/>
      <c r="BB171" s="755"/>
      <c r="BC171" s="755"/>
      <c r="BD171" s="449"/>
      <c r="BE171" s="449"/>
      <c r="BF171" s="754"/>
      <c r="BG171" s="755">
        <v>4</v>
      </c>
      <c r="BH171" s="755"/>
      <c r="BI171" s="755"/>
      <c r="BJ171" s="755">
        <v>2</v>
      </c>
      <c r="BK171" s="755"/>
      <c r="BL171" s="449">
        <v>1</v>
      </c>
      <c r="BM171" s="449"/>
      <c r="BN171" s="449">
        <v>16</v>
      </c>
      <c r="BO171" s="449">
        <v>25</v>
      </c>
      <c r="BP171" s="754" t="s">
        <v>41</v>
      </c>
      <c r="BQ171" s="425">
        <v>3</v>
      </c>
      <c r="BR171" s="424">
        <v>0.75</v>
      </c>
      <c r="BS171" s="426"/>
      <c r="BT171" s="424">
        <v>1</v>
      </c>
      <c r="BU171" s="424">
        <v>0.5</v>
      </c>
      <c r="BV171" s="426">
        <v>2</v>
      </c>
      <c r="BW171" s="424">
        <v>0.7</v>
      </c>
      <c r="BX171" s="449"/>
      <c r="BY171" s="449"/>
      <c r="BZ171" s="449"/>
      <c r="CA171" s="449"/>
      <c r="CB171" s="449"/>
      <c r="CC171" s="807"/>
      <c r="CD171" s="449"/>
      <c r="CE171" s="762" t="str">
        <f>IFERROR(WWWW[[#This Row],['#_Water sources passed]]/WWWW[[#This Row],['#_Water sources tested for fecal coliform ]],"no test")</f>
        <v>no test</v>
      </c>
      <c r="CF171" s="760" t="str">
        <f>IFERROR(WWWW[[#This Row],['#_Household passed]]/WWWW[[#This Row],['#_Household water samples tested for fecal coliform]],"no test")</f>
        <v>no test</v>
      </c>
      <c r="CG171" s="761" t="str">
        <f>IF(AND(WWWW[[#This Row],[% of water sources passed]]="no test",WWWW[[#This Row],[% Household passed]]="no test"),"No Test","Tested")</f>
        <v>No Test</v>
      </c>
      <c r="CH171" s="761">
        <f>WWWW[[#This Row],['#_Constructed/existing protected hand dug well]]-WWWW[[#This Row],['#_Non-functional protected hand dug well]]</f>
        <v>1</v>
      </c>
      <c r="CI171" s="761">
        <f>(WWWW[[#This Row],['#_Constructed/Existing tube wells/boreholes/handpumps_WASH_agency]]+WWWW[[#This Row],['#_Non-Cluster partner water tube-wells/boreholes/handpumps]])-WWWW[[#This Row],['#_Non-functional tube wells/boreholes/handpumps]]</f>
        <v>1</v>
      </c>
      <c r="CJ171" s="761">
        <f>WWWW[[#This Row],['#_Constructed/Existingwater storage tank with gravity fed reticulation system]]-WWWW[[#This Row],['#_Non-functional storage tank gravity fed reticulation system]]</f>
        <v>1</v>
      </c>
      <c r="CK171" s="761">
        <f>(WWWW[[#This Row],['#_Water_Liters_supplied_by_Water boating or water trucking]]/90)/15</f>
        <v>0</v>
      </c>
      <c r="CL171" s="761">
        <f>WWWW[[#This Row],['#_Water_Liters_from_Constructed/Existing water distribution system from river or natural spring]]/90/15</f>
        <v>3.3333333333333335</v>
      </c>
      <c r="CM171" s="425">
        <f>IF(WWWW[[#This Row],['#_of water points in TLS/CFS]]*500&gt;WWWW[[#This Row],[Total PoP ]],WWWW[[#This Row],[Total PoP ]],WWWW[[#This Row],['#_of water points in TLS/CFS]]*500)</f>
        <v>0</v>
      </c>
      <c r="CN171" s="425">
        <f>IF(WWWW[[#This Row],['#_of water points in THF]]*500&gt;WWWW[[#This Row],[Total PoP ]],WWWW[[#This Row],[Total PoP ]],WWWW[[#This Row],['#_of water points in THF]]*500)</f>
        <v>0</v>
      </c>
      <c r="CO17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1" s="760">
        <f>IF(WWWW[[#This Row],[Location Type 1]]="Village",WWWW[[#This Row],[Access to safe drinking water for Village]],WWWW[[#This Row],[Access to safe drinking water for Camp]])</f>
        <v>1</v>
      </c>
      <c r="CR171" s="758">
        <f>WWWW[[#This Row],[%Equitable and continuous access to sufficient quantity of safe drinking water]]*WWWW[[#This Row],[Total PoP ]]</f>
        <v>70</v>
      </c>
      <c r="CS171" s="760">
        <f>IF((WWWW[[#This Row],['#_Constructed/Existing protected/fenced ponds]]*250)/WWWW[[#This Row],[Total PoP ]]&gt;1,1,(WWWW[[#This Row],['#_Constructed/Existing protected/fenced ponds]]*250)/WWWW[[#This Row],[Total PoP ]])</f>
        <v>0</v>
      </c>
      <c r="CT171" s="758">
        <f>WWWW[[#This Row],[% Access to unimproved water points]]*WWWW[[#This Row],[Total PoP ]]</f>
        <v>0</v>
      </c>
      <c r="CU17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171" s="758">
        <f>WWWW[[#This Row],[HRP1]]/500</f>
        <v>0.14000000000000001</v>
      </c>
      <c r="CX171" s="763">
        <f>1-WWWW[[#This Row],[% Equitable and continuous access to sufficient quantity of domestic water]]</f>
        <v>0</v>
      </c>
      <c r="CY171" s="758">
        <f>WWWW[[#This Row],[%equitable and continuous access to sufficient quantity of safe drinking and domestic water''s GAP]]*WWWW[[#This Row],[Total PoP ]]</f>
        <v>0</v>
      </c>
      <c r="CZ171" s="761">
        <f>IF(WWWW[[#This Row],[Total required water points]]-WWWW[[#This Row],['#Water points coverage]]&lt;0,0,WWWW[[#This Row],[Total required water points]]-WWWW[[#This Row],['#Water points coverage]])</f>
        <v>0.86</v>
      </c>
      <c r="DA171" s="761">
        <f>ROUND(IF(WWWW[[#This Row],[Total PoP ]]&lt;500,1,WWWW[[#This Row],[Total PoP ]]/500),0)</f>
        <v>1</v>
      </c>
      <c r="DB171" s="761">
        <f>(WWWW[[#This Row],['#_Constructed latrines_by_WASHAgencies]]+WWWW[[#This Row],['#_Non Cluster partner latrines]])-WWWW[[#This Row],['#_Non-functional latrines]]</f>
        <v>2</v>
      </c>
      <c r="DC171" s="634">
        <f>WWWW[[#This Row],[HRP2]]/WWWW[[#This Row],[Total PoP ]]</f>
        <v>0.5714285714285714</v>
      </c>
      <c r="DD17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17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1" s="425">
        <f>IF(WWWW[[#This Row],['# of functional latrines in THF supported by WASH partners during the reporting period2]]="",0,WWWW[[#This Row],['# of functional latrines in THF supported by WASH partners during the reporting period2]]*50)</f>
        <v>0</v>
      </c>
      <c r="DH171" s="761">
        <f>ROUND(IF(WWWW[[#This Row],[Location Type 1]]="camp",WWWW[[#This Row],[Total PoP ]]/20,IF(WWWW[[#This Row],[Location Type 1]]="Temporary Location",WWWW[[#This Row],[Total PoP ]]/50,(WWWW[[#This Row],[Total PoP ]]/6))),0)</f>
        <v>4</v>
      </c>
      <c r="DI171" s="761">
        <f>IF(WWWW[[#This Row],[Total required Latrines]]-(WWWW[[#This Row],['#_Constructed latrines_by_WASHAgencies]]+WWWW[[#This Row],['#_Non Cluster partner latrines]])&lt;0,0,WWWW[[#This Row],[Total required Latrines]]-(WWWW[[#This Row],['#_Constructed latrines_by_WASHAgencies]]+WWWW[[#This Row],['#_Non Cluster partner latrines]]))</f>
        <v>2</v>
      </c>
      <c r="DJ171" s="763">
        <f>1-WWWW[[#This Row],[% people access to functioning Latrine]]</f>
        <v>0.4285714285714286</v>
      </c>
      <c r="DK171" s="762">
        <f>IF(OR(WWWW[[#This Row],['#_Non-functional latrines]]="",WWWW[[#This Row],['#_Non-functional latrines]]=0),0,WWWW[[#This Row],['#_Non-functional latrines]]/(WWWW[[#This Row],['#_Constructed latrines_by_WASHAgencies]]+WWWW[[#This Row],['#_Non Cluster partner latrines]]))</f>
        <v>0</v>
      </c>
      <c r="DL171" s="758">
        <f>IF(500*(WWWW[[#This Row],['#_male hygiene promoters]]+WWWW[[#This Row],['#_female hygiene promoters]])&gt;WWWW[[#This Row],[Total PoP ]],WWWW[[#This Row],[Total PoP ]],500*(WWWW[[#This Row],['#_male hygiene promoters]]+WWWW[[#This Row],['#_female hygiene promoters]]))</f>
        <v>70</v>
      </c>
      <c r="DM17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17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v>
      </c>
      <c r="DO171" s="761">
        <f>IF(WWWW[[#This Row],['# People with access to soap]]&gt;WWWW[[#This Row],['# People with access to Sanity Pads]],WWWW[[#This Row],['# People with access to soap]],WWWW[[#This Row],['# People with access to Sanity Pads]])</f>
        <v>70</v>
      </c>
      <c r="DP171" s="761">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171" s="763">
        <f>IF(WWWW[[#This Row],[HRP3]]/WWWW[[#This Row],[Total PoP ]]&gt;1,1,WWWW[[#This Row],[HRP3]]/WWWW[[#This Row],[Total PoP ]])</f>
        <v>1</v>
      </c>
      <c r="DR171" s="762">
        <f>1-WWWW[[#This Row],[Hygiene Coverage%]]</f>
        <v>0</v>
      </c>
      <c r="DS171" s="760">
        <f>WWWW[[#This Row],['# people reached by regular dedicated hygiene promotion_5]]/WWWW[[#This Row],[Total PoP ]]</f>
        <v>1</v>
      </c>
      <c r="DT17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1" s="761">
        <f>WWWW[[#This Row],['#_Constructed/Existing hand washing stations]]-WWWW[[#This Row],['#_Non-Functional_hand_washing_stations]]</f>
        <v>4</v>
      </c>
      <c r="DW171" s="758">
        <f>IF(WWWW[[#This Row],['# Functional hand washing stations during reporting period]]*20&gt;WWWW[[#This Row],[Total HH]],WWWW[[#This Row],[Total HH]],WWWW[[#This Row],['# Functional hand washing stations during reporting period]]*20)</f>
        <v>16</v>
      </c>
      <c r="DX171" s="758">
        <f>IF(WWWW[[#This Row],[Is sufficient soap available for TLS? (Yes/No)]]="yes",WWWW[[#This Row],['#_Constructed/Existing hand washing stations at TLS/CFS/THF]],0)</f>
        <v>4</v>
      </c>
      <c r="DY171" s="429">
        <f>IF(WWWW[[#This Row],['# Functional hand washing stations during reporting period]]*100&gt;WWWW[[#This Row],[Total PoP ]],WWWW[[#This Row],[Total PoP ]],WWWW[[#This Row],['# Functional hand washing stations during reporting period]]*100)</f>
        <v>70</v>
      </c>
      <c r="DZ171" s="429" t="str">
        <f>IF(OR(WWWW[[#This Row],['#_students at TLS_CFS]]="",WWWW[[#This Row],['#_students at TLS_CFS]]=0),"No","Yes")</f>
        <v>No</v>
      </c>
      <c r="EA171" s="634">
        <f>IF(WWWW[[#This Row],['#_of_affected_people_surveyed_who_report_feeling_informed_about_the_different_WASH_services_available_to_them]]="","",WWWW[[#This Row],['#_of_affected_people_surveyed_who_report_feeling_informed_about_the_different_WASH_services_available_to_them]]/WWWW[[#This Row],[Total PoP ]])</f>
        <v>2.8571428571428571E-2</v>
      </c>
      <c r="EB17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1" s="754" t="str">
        <f>VLOOKUP(WWWW[[#This Row],[Site Name]],SiteDB6[[Site Name]:[CCCM Management]],6,FALSE)</f>
        <v>Yes</v>
      </c>
      <c r="EF171" s="754" t="str">
        <f>VLOOKUP(WWWW[[#This Row],[Site Name]],SiteDB6[[Site Name]:[CCCM Focal Agency]],7,FALSE)</f>
        <v>Shalom</v>
      </c>
      <c r="EG171" s="754" t="str">
        <f>VLOOKUP(WWWW[[#This Row],[Site Name]],SiteDB6[[Site Name]:[Location Type 1]],9,FALSE)</f>
        <v>Camp</v>
      </c>
      <c r="EH171" s="754" t="str">
        <f>VLOOKUP(WWWW[[#This Row],[Site Name]],SiteDB6[[Site Name]:[Type of Accommodation]],10,FALSE)</f>
        <v>Camp like setting</v>
      </c>
      <c r="EI171" s="754" t="str">
        <f>VLOOKUP(WWWW[[#This Row],[Site Name]],SiteDB6[[Site Name]:[Ethnic or GCA/NGCA]],11,FALSE)</f>
        <v>GCA</v>
      </c>
      <c r="EJ171" s="754">
        <f>VLOOKUP(WWWW[[#This Row],[Site Name]],SiteDB6[[Site Name]:[Lat]],12,FALSE)</f>
        <v>25.56551</v>
      </c>
      <c r="EK171" s="754">
        <f>VLOOKUP(WWWW[[#This Row],[Site Name]],SiteDB6[[Site Name]:[Long]],13,FALSE)</f>
        <v>96.279200000000003</v>
      </c>
      <c r="EL171" s="754" t="str">
        <f>VLOOKUP(WWWW[[#This Row],[Site Name]],SiteDB6[[Site Name]:[Pcode]],3,FALSE)</f>
        <v>MMR001CMP182</v>
      </c>
      <c r="EM171" s="759" t="str">
        <f t="shared" si="2"/>
        <v>Covered</v>
      </c>
      <c r="EN171" s="759"/>
      <c r="EO171" s="754">
        <f>VLOOKUP(WWWW[[#This Row],[Site Name]],SiteDB6[[Site Name]:[Pop
(Kachin/Shan-CCCM as of July 2021)]],16,FALSE)</f>
        <v>16</v>
      </c>
      <c r="EP171" s="754">
        <f>VLOOKUP(WWWW[[#This Row],[Site Name]],SiteDB6[[Site Name]:[Pop
(Kachin/Shan-CCCM as of July 2021)]],17,FALSE)</f>
        <v>70</v>
      </c>
    </row>
    <row r="172" spans="1:146" hidden="1">
      <c r="A172" s="752" t="s">
        <v>2785</v>
      </c>
      <c r="B172" s="752" t="s">
        <v>242</v>
      </c>
      <c r="C172" s="753" t="s">
        <v>242</v>
      </c>
      <c r="D172" s="753" t="s">
        <v>307</v>
      </c>
      <c r="E172" s="753" t="s">
        <v>37</v>
      </c>
      <c r="F172" s="753" t="s">
        <v>148</v>
      </c>
      <c r="G172" s="594" t="str">
        <f>VLOOKUP(WWWW[[#This Row],[Site Name]],SiteDB6[[Site Name]:[Location Type]],8,FALSE)</f>
        <v>Camp</v>
      </c>
      <c r="H172" s="753" t="s">
        <v>261</v>
      </c>
      <c r="I172" s="449">
        <v>25</v>
      </c>
      <c r="J172" s="449">
        <v>133</v>
      </c>
      <c r="K172" s="591">
        <v>44197</v>
      </c>
      <c r="L172" s="592">
        <v>44651</v>
      </c>
      <c r="M172" s="449">
        <v>30</v>
      </c>
      <c r="N172" s="449"/>
      <c r="O172" s="449">
        <v>3</v>
      </c>
      <c r="P172" s="449"/>
      <c r="Q172" s="743" t="s">
        <v>41</v>
      </c>
      <c r="R172" s="449">
        <v>2</v>
      </c>
      <c r="S172" s="449">
        <v>2</v>
      </c>
      <c r="T172" s="449">
        <v>1</v>
      </c>
      <c r="U172" s="755"/>
      <c r="V172" s="755"/>
      <c r="W172" s="755"/>
      <c r="X172" s="755"/>
      <c r="Y172" s="755"/>
      <c r="Z172" s="755"/>
      <c r="AA172" s="755">
        <v>1</v>
      </c>
      <c r="AB172" s="755"/>
      <c r="AC172" s="755"/>
      <c r="AD172" s="755"/>
      <c r="AE172" s="755">
        <v>1</v>
      </c>
      <c r="AF172" s="755"/>
      <c r="AG172" s="755"/>
      <c r="AH172" s="755"/>
      <c r="AI172" s="755"/>
      <c r="AJ172" s="755"/>
      <c r="AK172" s="755"/>
      <c r="AL172" s="755"/>
      <c r="AM172" s="755">
        <v>1</v>
      </c>
      <c r="AN172" s="449">
        <v>2</v>
      </c>
      <c r="AO172" s="449"/>
      <c r="AP172" s="759" t="s">
        <v>2933</v>
      </c>
      <c r="AQ172" s="755">
        <v>8</v>
      </c>
      <c r="AR172" s="449">
        <v>3</v>
      </c>
      <c r="AS172" s="760" t="s">
        <v>2706</v>
      </c>
      <c r="AT172" s="755"/>
      <c r="AU172" s="755"/>
      <c r="AV172" s="755"/>
      <c r="AW172" s="755"/>
      <c r="AX172" s="755">
        <v>1</v>
      </c>
      <c r="AY172" s="754" t="s">
        <v>41</v>
      </c>
      <c r="AZ172" s="759" t="s">
        <v>137</v>
      </c>
      <c r="BA172" s="755"/>
      <c r="BB172" s="755"/>
      <c r="BC172" s="755"/>
      <c r="BD172" s="449"/>
      <c r="BE172" s="449">
        <v>1</v>
      </c>
      <c r="BF172" s="426"/>
      <c r="BG172" s="755">
        <v>5</v>
      </c>
      <c r="BH172" s="755"/>
      <c r="BI172" s="755"/>
      <c r="BJ172" s="755">
        <v>2</v>
      </c>
      <c r="BK172" s="755"/>
      <c r="BL172" s="449">
        <v>1</v>
      </c>
      <c r="BM172" s="449">
        <v>3</v>
      </c>
      <c r="BN172" s="449">
        <v>25</v>
      </c>
      <c r="BO172" s="449">
        <v>47</v>
      </c>
      <c r="BP172" s="754" t="s">
        <v>41</v>
      </c>
      <c r="BQ172" s="425">
        <v>3</v>
      </c>
      <c r="BR172" s="424">
        <v>0.55000000000000004</v>
      </c>
      <c r="BS172" s="426" t="s">
        <v>2936</v>
      </c>
      <c r="BT172" s="424">
        <v>0.8</v>
      </c>
      <c r="BU172" s="424">
        <v>0.8</v>
      </c>
      <c r="BV172" s="426">
        <v>10</v>
      </c>
      <c r="BW172" s="424">
        <v>0.8</v>
      </c>
      <c r="BX172" s="449"/>
      <c r="BY172" s="449"/>
      <c r="BZ172" s="449"/>
      <c r="CA172" s="449"/>
      <c r="CB172" s="449"/>
      <c r="CC172" s="807"/>
      <c r="CD172" s="449"/>
      <c r="CE172" s="762" t="str">
        <f>IFERROR(WWWW[[#This Row],['#_Water sources passed]]/WWWW[[#This Row],['#_Water sources tested for fecal coliform ]],"no test")</f>
        <v>no test</v>
      </c>
      <c r="CF172" s="760" t="str">
        <f>IFERROR(WWWW[[#This Row],['#_Household passed]]/WWWW[[#This Row],['#_Household water samples tested for fecal coliform]],"no test")</f>
        <v>no test</v>
      </c>
      <c r="CG172" s="761" t="str">
        <f>IF(AND(WWWW[[#This Row],[% of water sources passed]]="no test",WWWW[[#This Row],[% Household passed]]="no test"),"No Test","Tested")</f>
        <v>No Test</v>
      </c>
      <c r="CH172" s="761">
        <f>WWWW[[#This Row],['#_Constructed/existing protected hand dug well]]-WWWW[[#This Row],['#_Non-functional protected hand dug well]]</f>
        <v>1</v>
      </c>
      <c r="CI172" s="761">
        <f>(WWWW[[#This Row],['#_Constructed/Existing tube wells/boreholes/handpumps_WASH_agency]]+WWWW[[#This Row],['#_Non-Cluster partner water tube-wells/boreholes/handpumps]])-WWWW[[#This Row],['#_Non-functional tube wells/boreholes/handpumps]]</f>
        <v>0</v>
      </c>
      <c r="CJ172" s="761">
        <f>WWWW[[#This Row],['#_Constructed/Existingwater storage tank with gravity fed reticulation system]]-WWWW[[#This Row],['#_Non-functional storage tank gravity fed reticulation system]]</f>
        <v>1</v>
      </c>
      <c r="CK172" s="761">
        <f>(WWWW[[#This Row],['#_Water_Liters_supplied_by_Water boating or water trucking]]/90)/15</f>
        <v>0</v>
      </c>
      <c r="CL172" s="761">
        <f>WWWW[[#This Row],['#_Water_Liters_from_Constructed/Existing water distribution system from river or natural spring]]/90/15</f>
        <v>0</v>
      </c>
      <c r="CM172" s="425">
        <f>IF(WWWW[[#This Row],['#_of water points in TLS/CFS]]*500&gt;WWWW[[#This Row],[Total PoP ]],WWWW[[#This Row],[Total PoP ]],WWWW[[#This Row],['#_of water points in TLS/CFS]]*500)</f>
        <v>133</v>
      </c>
      <c r="CN172" s="425">
        <f>IF(WWWW[[#This Row],['#_of water points in THF]]*500&gt;WWWW[[#This Row],[Total PoP ]],WWWW[[#This Row],[Total PoP ]],WWWW[[#This Row],['#_of water points in THF]]*500)</f>
        <v>0</v>
      </c>
      <c r="CO17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2" s="760">
        <f>IF(WWWW[[#This Row],[Location Type 1]]="Village",WWWW[[#This Row],[Access to safe drinking water for Village]],WWWW[[#This Row],[Access to safe drinking water for Camp]])</f>
        <v>1</v>
      </c>
      <c r="CR172" s="758">
        <f>WWWW[[#This Row],[%Equitable and continuous access to sufficient quantity of safe drinking water]]*WWWW[[#This Row],[Total PoP ]]</f>
        <v>133</v>
      </c>
      <c r="CS172" s="760">
        <f>IF((WWWW[[#This Row],['#_Constructed/Existing protected/fenced ponds]]*250)/WWWW[[#This Row],[Total PoP ]]&gt;1,1,(WWWW[[#This Row],['#_Constructed/Existing protected/fenced ponds]]*250)/WWWW[[#This Row],[Total PoP ]])</f>
        <v>1</v>
      </c>
      <c r="CT172" s="758">
        <f>WWWW[[#This Row],[% Access to unimproved water points]]*WWWW[[#This Row],[Total PoP ]]</f>
        <v>133</v>
      </c>
      <c r="CU17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172" s="758">
        <f>WWWW[[#This Row],[HRP1]]/500</f>
        <v>0.26600000000000001</v>
      </c>
      <c r="CX172" s="763">
        <f>1-WWWW[[#This Row],[% Equitable and continuous access to sufficient quantity of domestic water]]</f>
        <v>0</v>
      </c>
      <c r="CY172" s="758">
        <f>WWWW[[#This Row],[%equitable and continuous access to sufficient quantity of safe drinking and domestic water''s GAP]]*WWWW[[#This Row],[Total PoP ]]</f>
        <v>0</v>
      </c>
      <c r="CZ172" s="761">
        <f>IF(WWWW[[#This Row],[Total required water points]]-WWWW[[#This Row],['#Water points coverage]]&lt;0,0,WWWW[[#This Row],[Total required water points]]-WWWW[[#This Row],['#Water points coverage]])</f>
        <v>0.73399999999999999</v>
      </c>
      <c r="DA172" s="761">
        <f>ROUND(IF(WWWW[[#This Row],[Total PoP ]]&lt;500,1,WWWW[[#This Row],[Total PoP ]]/500),0)</f>
        <v>1</v>
      </c>
      <c r="DB172" s="761">
        <f>(WWWW[[#This Row],['#_Constructed latrines_by_WASHAgencies]]+WWWW[[#This Row],['#_Non Cluster partner latrines]])-WWWW[[#This Row],['#_Non-functional latrines]]</f>
        <v>11</v>
      </c>
      <c r="DC172" s="634">
        <f>WWWW[[#This Row],[HRP2]]/WWWW[[#This Row],[Total PoP ]]</f>
        <v>1</v>
      </c>
      <c r="DD17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17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2" s="425">
        <f>IF(WWWW[[#This Row],['# of functional latrines in THF supported by WASH partners during the reporting period2]]="",0,WWWW[[#This Row],['# of functional latrines in THF supported by WASH partners during the reporting period2]]*50)</f>
        <v>0</v>
      </c>
      <c r="DH172" s="761">
        <f>ROUND(IF(WWWW[[#This Row],[Location Type 1]]="camp",WWWW[[#This Row],[Total PoP ]]/20,IF(WWWW[[#This Row],[Location Type 1]]="Temporary Location",WWWW[[#This Row],[Total PoP ]]/50,(WWWW[[#This Row],[Total PoP ]]/6))),0)</f>
        <v>7</v>
      </c>
      <c r="DI172" s="761">
        <f>IF(WWWW[[#This Row],[Total required Latrines]]-(WWWW[[#This Row],['#_Constructed latrines_by_WASHAgencies]]+WWWW[[#This Row],['#_Non Cluster partner latrines]])&lt;0,0,WWWW[[#This Row],[Total required Latrines]]-(WWWW[[#This Row],['#_Constructed latrines_by_WASHAgencies]]+WWWW[[#This Row],['#_Non Cluster partner latrines]]))</f>
        <v>0</v>
      </c>
      <c r="DJ172" s="763">
        <f>1-WWWW[[#This Row],[% people access to functioning Latrine]]</f>
        <v>0</v>
      </c>
      <c r="DK172" s="762">
        <f>IF(OR(WWWW[[#This Row],['#_Non-functional latrines]]="",WWWW[[#This Row],['#_Non-functional latrines]]=0),0,WWWW[[#This Row],['#_Non-functional latrines]]/(WWWW[[#This Row],['#_Constructed latrines_by_WASHAgencies]]+WWWW[[#This Row],['#_Non Cluster partner latrines]]))</f>
        <v>0</v>
      </c>
      <c r="DL172" s="758">
        <f>IF(500*(WWWW[[#This Row],['#_male hygiene promoters]]+WWWW[[#This Row],['#_female hygiene promoters]])&gt;WWWW[[#This Row],[Total PoP ]],WWWW[[#This Row],[Total PoP ]],500*(WWWW[[#This Row],['#_male hygiene promoters]]+WWWW[[#This Row],['#_female hygiene promoters]]))</f>
        <v>133</v>
      </c>
      <c r="DM17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v>
      </c>
      <c r="DN17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47</v>
      </c>
      <c r="DO172" s="761">
        <f>IF(WWWW[[#This Row],['# People with access to soap]]&gt;WWWW[[#This Row],['# People with access to Sanity Pads]],WWWW[[#This Row],['# People with access to soap]],WWWW[[#This Row],['# People with access to Sanity Pads]])</f>
        <v>133</v>
      </c>
      <c r="DP172" s="761">
        <f>IF(WWWW[[#This Row],['# people reached by regular dedicated hygiene promotion_5]]&gt;WWWW[[#This Row],['# People received regular supply of hygiene items_6]],WWWW[[#This Row],['# people reached by regular dedicated hygiene promotion_5]],WWWW[[#This Row],['# People received regular supply of hygiene items_6]])</f>
        <v>133</v>
      </c>
      <c r="DQ172" s="763">
        <f>IF(WWWW[[#This Row],[HRP3]]/WWWW[[#This Row],[Total PoP ]]&gt;1,1,WWWW[[#This Row],[HRP3]]/WWWW[[#This Row],[Total PoP ]])</f>
        <v>1</v>
      </c>
      <c r="DR172" s="762">
        <f>1-WWWW[[#This Row],[Hygiene Coverage%]]</f>
        <v>0</v>
      </c>
      <c r="DS172" s="760">
        <f>WWWW[[#This Row],['# people reached by regular dedicated hygiene promotion_5]]/WWWW[[#This Row],[Total PoP ]]</f>
        <v>1</v>
      </c>
      <c r="DT17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2" s="761">
        <f>WWWW[[#This Row],['#_Constructed/Existing hand washing stations]]-WWWW[[#This Row],['#_Non-Functional_hand_washing_stations]]</f>
        <v>5</v>
      </c>
      <c r="DW172" s="758">
        <f>IF(WWWW[[#This Row],['# Functional hand washing stations during reporting period]]*20&gt;WWWW[[#This Row],[Total HH]],WWWW[[#This Row],[Total HH]],WWWW[[#This Row],['# Functional hand washing stations during reporting period]]*20)</f>
        <v>25</v>
      </c>
      <c r="DX172" s="758">
        <f>IF(WWWW[[#This Row],[Is sufficient soap available for TLS? (Yes/No)]]="yes",WWWW[[#This Row],['#_Constructed/Existing hand washing stations at TLS/CFS/THF]],0)</f>
        <v>1</v>
      </c>
      <c r="DY172" s="429">
        <f>IF(WWWW[[#This Row],['# Functional hand washing stations during reporting period]]*100&gt;WWWW[[#This Row],[Total PoP ]],WWWW[[#This Row],[Total PoP ]],WWWW[[#This Row],['# Functional hand washing stations during reporting period]]*100)</f>
        <v>133</v>
      </c>
      <c r="DZ172" s="429" t="str">
        <f>IF(OR(WWWW[[#This Row],['#_students at TLS_CFS]]="",WWWW[[#This Row],['#_students at TLS_CFS]]=0),"No","Yes")</f>
        <v>Yes</v>
      </c>
      <c r="EA172" s="634">
        <f>IF(WWWW[[#This Row],['#_of_affected_people_surveyed_who_report_feeling_informed_about_the_different_WASH_services_available_to_them]]="","",WWWW[[#This Row],['#_of_affected_people_surveyed_who_report_feeling_informed_about_the_different_WASH_services_available_to_them]]/WWWW[[#This Row],[Total PoP ]])</f>
        <v>7.5187969924812026E-2</v>
      </c>
      <c r="EB17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133</v>
      </c>
      <c r="ED17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2" s="754" t="str">
        <f>VLOOKUP(WWWW[[#This Row],[Site Name]],SiteDB6[[Site Name]:[CCCM Management]],6,FALSE)</f>
        <v>Yes</v>
      </c>
      <c r="EF172" s="754" t="str">
        <f>VLOOKUP(WWWW[[#This Row],[Site Name]],SiteDB6[[Site Name]:[CCCM Focal Agency]],7,FALSE)</f>
        <v>KBC-MYT</v>
      </c>
      <c r="EG172" s="754" t="str">
        <f>VLOOKUP(WWWW[[#This Row],[Site Name]],SiteDB6[[Site Name]:[Location Type 1]],9,FALSE)</f>
        <v>Camp</v>
      </c>
      <c r="EH172" s="754" t="str">
        <f>VLOOKUP(WWWW[[#This Row],[Site Name]],SiteDB6[[Site Name]:[Type of Accommodation]],10,FALSE)</f>
        <v>Camp</v>
      </c>
      <c r="EI172" s="754" t="str">
        <f>VLOOKUP(WWWW[[#This Row],[Site Name]],SiteDB6[[Site Name]:[Ethnic or GCA/NGCA]],11,FALSE)</f>
        <v>GCA</v>
      </c>
      <c r="EJ172" s="754">
        <f>VLOOKUP(WWWW[[#This Row],[Site Name]],SiteDB6[[Site Name]:[Lat]],12,FALSE)</f>
        <v>25.577559999999998</v>
      </c>
      <c r="EK172" s="754">
        <f>VLOOKUP(WWWW[[#This Row],[Site Name]],SiteDB6[[Site Name]:[Long]],13,FALSE)</f>
        <v>96.286680000000004</v>
      </c>
      <c r="EL172" s="754" t="str">
        <f>VLOOKUP(WWWW[[#This Row],[Site Name]],SiteDB6[[Site Name]:[Pcode]],3,FALSE)</f>
        <v>MMR001CMP184</v>
      </c>
      <c r="EM172" s="759" t="str">
        <f t="shared" si="2"/>
        <v>Covered</v>
      </c>
      <c r="EN172" s="759"/>
      <c r="EO172" s="754">
        <f>VLOOKUP(WWWW[[#This Row],[Site Name]],SiteDB6[[Site Name]:[Pop
(Kachin/Shan-CCCM as of July 2021)]],16,FALSE)</f>
        <v>25</v>
      </c>
      <c r="EP172" s="754">
        <f>VLOOKUP(WWWW[[#This Row],[Site Name]],SiteDB6[[Site Name]:[Pop
(Kachin/Shan-CCCM as of July 2021)]],17,FALSE)</f>
        <v>133</v>
      </c>
    </row>
    <row r="173" spans="1:146" hidden="1">
      <c r="A173" s="752" t="s">
        <v>2785</v>
      </c>
      <c r="B173" s="752" t="s">
        <v>242</v>
      </c>
      <c r="C173" s="753" t="s">
        <v>242</v>
      </c>
      <c r="D173" s="753" t="s">
        <v>307</v>
      </c>
      <c r="E173" s="753" t="s">
        <v>37</v>
      </c>
      <c r="F173" s="753" t="s">
        <v>148</v>
      </c>
      <c r="G173" s="594" t="str">
        <f>VLOOKUP(WWWW[[#This Row],[Site Name]],SiteDB6[[Site Name]:[Location Type]],8,FALSE)</f>
        <v>Camp</v>
      </c>
      <c r="H173" s="753" t="s">
        <v>262</v>
      </c>
      <c r="I173" s="449">
        <v>16</v>
      </c>
      <c r="J173" s="449">
        <v>66</v>
      </c>
      <c r="K173" s="591">
        <v>44197</v>
      </c>
      <c r="L173" s="592">
        <v>44651</v>
      </c>
      <c r="M173" s="449">
        <v>15</v>
      </c>
      <c r="N173" s="449">
        <v>1</v>
      </c>
      <c r="O173" s="449"/>
      <c r="P173" s="449"/>
      <c r="Q173" s="743" t="s">
        <v>41</v>
      </c>
      <c r="R173" s="449">
        <v>2</v>
      </c>
      <c r="S173" s="449">
        <v>4</v>
      </c>
      <c r="T173" s="449"/>
      <c r="U173" s="755"/>
      <c r="V173" s="755"/>
      <c r="W173" s="755"/>
      <c r="X173" s="755"/>
      <c r="Y173" s="755"/>
      <c r="Z173" s="755"/>
      <c r="AA173" s="755">
        <v>1</v>
      </c>
      <c r="AB173" s="755"/>
      <c r="AC173" s="755"/>
      <c r="AD173" s="755"/>
      <c r="AE173" s="755">
        <v>1</v>
      </c>
      <c r="AF173" s="755"/>
      <c r="AG173" s="755"/>
      <c r="AH173" s="755"/>
      <c r="AI173" s="755"/>
      <c r="AJ173" s="755"/>
      <c r="AK173" s="755"/>
      <c r="AL173" s="755">
        <v>3</v>
      </c>
      <c r="AM173" s="755"/>
      <c r="AN173" s="449"/>
      <c r="AO173" s="449"/>
      <c r="AP173" s="759"/>
      <c r="AQ173" s="755">
        <v>5</v>
      </c>
      <c r="AR173" s="755"/>
      <c r="AS173" s="760"/>
      <c r="AT173" s="755"/>
      <c r="AU173" s="755"/>
      <c r="AV173" s="755"/>
      <c r="AW173" s="755"/>
      <c r="AX173" s="755"/>
      <c r="AY173" s="754" t="s">
        <v>41</v>
      </c>
      <c r="AZ173" s="759" t="s">
        <v>137</v>
      </c>
      <c r="BA173" s="755">
        <v>2</v>
      </c>
      <c r="BB173" s="755"/>
      <c r="BC173" s="755"/>
      <c r="BD173" s="449"/>
      <c r="BE173" s="449"/>
      <c r="BF173" s="754"/>
      <c r="BG173" s="755">
        <v>3</v>
      </c>
      <c r="BH173" s="755"/>
      <c r="BI173" s="755"/>
      <c r="BJ173" s="755">
        <v>2</v>
      </c>
      <c r="BK173" s="755"/>
      <c r="BL173" s="449">
        <v>2</v>
      </c>
      <c r="BM173" s="449">
        <v>1</v>
      </c>
      <c r="BN173" s="449">
        <v>16</v>
      </c>
      <c r="BO173" s="449">
        <v>18</v>
      </c>
      <c r="BP173" s="754" t="s">
        <v>41</v>
      </c>
      <c r="BQ173" s="425">
        <v>4</v>
      </c>
      <c r="BR173" s="424">
        <v>0.5</v>
      </c>
      <c r="BS173" s="426" t="s">
        <v>2937</v>
      </c>
      <c r="BT173" s="424">
        <v>0.8</v>
      </c>
      <c r="BU173" s="424">
        <v>0.8</v>
      </c>
      <c r="BV173" s="426">
        <v>7</v>
      </c>
      <c r="BW173" s="424">
        <v>0.75</v>
      </c>
      <c r="BX173" s="449"/>
      <c r="BY173" s="449"/>
      <c r="BZ173" s="449"/>
      <c r="CA173" s="449"/>
      <c r="CB173" s="449"/>
      <c r="CC173" s="807"/>
      <c r="CD173" s="449"/>
      <c r="CE173" s="762" t="str">
        <f>IFERROR(WWWW[[#This Row],['#_Water sources passed]]/WWWW[[#This Row],['#_Water sources tested for fecal coliform ]],"no test")</f>
        <v>no test</v>
      </c>
      <c r="CF173" s="760" t="str">
        <f>IFERROR(WWWW[[#This Row],['#_Household passed]]/WWWW[[#This Row],['#_Household water samples tested for fecal coliform]],"no test")</f>
        <v>no test</v>
      </c>
      <c r="CG173" s="761" t="str">
        <f>IF(AND(WWWW[[#This Row],[% of water sources passed]]="no test",WWWW[[#This Row],[% Household passed]]="no test"),"No Test","Tested")</f>
        <v>No Test</v>
      </c>
      <c r="CH173" s="761">
        <f>WWWW[[#This Row],['#_Constructed/existing protected hand dug well]]-WWWW[[#This Row],['#_Non-functional protected hand dug well]]</f>
        <v>0</v>
      </c>
      <c r="CI173" s="761">
        <f>(WWWW[[#This Row],['#_Constructed/Existing tube wells/boreholes/handpumps_WASH_agency]]+WWWW[[#This Row],['#_Non-Cluster partner water tube-wells/boreholes/handpumps]])-WWWW[[#This Row],['#_Non-functional tube wells/boreholes/handpumps]]</f>
        <v>0</v>
      </c>
      <c r="CJ173" s="761">
        <f>WWWW[[#This Row],['#_Constructed/Existingwater storage tank with gravity fed reticulation system]]-WWWW[[#This Row],['#_Non-functional storage tank gravity fed reticulation system]]</f>
        <v>1</v>
      </c>
      <c r="CK173" s="761">
        <f>(WWWW[[#This Row],['#_Water_Liters_supplied_by_Water boating or water trucking]]/90)/15</f>
        <v>0</v>
      </c>
      <c r="CL173" s="761">
        <f>WWWW[[#This Row],['#_Water_Liters_from_Constructed/Existing water distribution system from river or natural spring]]/90/15</f>
        <v>0</v>
      </c>
      <c r="CM173" s="425">
        <f>IF(WWWW[[#This Row],['#_of water points in TLS/CFS]]*500&gt;WWWW[[#This Row],[Total PoP ]],WWWW[[#This Row],[Total PoP ]],WWWW[[#This Row],['#_of water points in TLS/CFS]]*500)</f>
        <v>0</v>
      </c>
      <c r="CN173" s="425">
        <f>IF(WWWW[[#This Row],['#_of water points in THF]]*500&gt;WWWW[[#This Row],[Total PoP ]],WWWW[[#This Row],[Total PoP ]],WWWW[[#This Row],['#_of water points in THF]]*500)</f>
        <v>0</v>
      </c>
      <c r="CO17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3" s="760">
        <f>IF(WWWW[[#This Row],[Location Type 1]]="Village",WWWW[[#This Row],[Access to safe drinking water for Village]],WWWW[[#This Row],[Access to safe drinking water for Camp]])</f>
        <v>1</v>
      </c>
      <c r="CR173" s="758">
        <f>WWWW[[#This Row],[%Equitable and continuous access to sufficient quantity of safe drinking water]]*WWWW[[#This Row],[Total PoP ]]</f>
        <v>66</v>
      </c>
      <c r="CS173" s="760">
        <f>IF((WWWW[[#This Row],['#_Constructed/Existing protected/fenced ponds]]*250)/WWWW[[#This Row],[Total PoP ]]&gt;1,1,(WWWW[[#This Row],['#_Constructed/Existing protected/fenced ponds]]*250)/WWWW[[#This Row],[Total PoP ]])</f>
        <v>1</v>
      </c>
      <c r="CT173" s="758">
        <f>WWWW[[#This Row],[% Access to unimproved water points]]*WWWW[[#This Row],[Total PoP ]]</f>
        <v>66</v>
      </c>
      <c r="CU17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173" s="758">
        <f>WWWW[[#This Row],[HRP1]]/500</f>
        <v>0.13200000000000001</v>
      </c>
      <c r="CX173" s="763">
        <f>1-WWWW[[#This Row],[% Equitable and continuous access to sufficient quantity of domestic water]]</f>
        <v>0</v>
      </c>
      <c r="CY173" s="758">
        <f>WWWW[[#This Row],[%equitable and continuous access to sufficient quantity of safe drinking and domestic water''s GAP]]*WWWW[[#This Row],[Total PoP ]]</f>
        <v>0</v>
      </c>
      <c r="CZ173" s="761">
        <f>IF(WWWW[[#This Row],[Total required water points]]-WWWW[[#This Row],['#Water points coverage]]&lt;0,0,WWWW[[#This Row],[Total required water points]]-WWWW[[#This Row],['#Water points coverage]])</f>
        <v>0.86799999999999999</v>
      </c>
      <c r="DA173" s="761">
        <f>ROUND(IF(WWWW[[#This Row],[Total PoP ]]&lt;500,1,WWWW[[#This Row],[Total PoP ]]/500),0)</f>
        <v>1</v>
      </c>
      <c r="DB173" s="761">
        <f>(WWWW[[#This Row],['#_Constructed latrines_by_WASHAgencies]]+WWWW[[#This Row],['#_Non Cluster partner latrines]])-WWWW[[#This Row],['#_Non-functional latrines]]</f>
        <v>5</v>
      </c>
      <c r="DC173" s="634">
        <f>WWWW[[#This Row],[HRP2]]/WWWW[[#This Row],[Total PoP ]]</f>
        <v>1</v>
      </c>
      <c r="DD17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17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3" s="425">
        <f>IF(WWWW[[#This Row],['# of functional latrines in THF supported by WASH partners during the reporting period2]]="",0,WWWW[[#This Row],['# of functional latrines in THF supported by WASH partners during the reporting period2]]*50)</f>
        <v>0</v>
      </c>
      <c r="DH173" s="761">
        <f>ROUND(IF(WWWW[[#This Row],[Location Type 1]]="camp",WWWW[[#This Row],[Total PoP ]]/20,IF(WWWW[[#This Row],[Location Type 1]]="Temporary Location",WWWW[[#This Row],[Total PoP ]]/50,(WWWW[[#This Row],[Total PoP ]]/6))),0)</f>
        <v>3</v>
      </c>
      <c r="DI173" s="761">
        <f>IF(WWWW[[#This Row],[Total required Latrines]]-(WWWW[[#This Row],['#_Constructed latrines_by_WASHAgencies]]+WWWW[[#This Row],['#_Non Cluster partner latrines]])&lt;0,0,WWWW[[#This Row],[Total required Latrines]]-(WWWW[[#This Row],['#_Constructed latrines_by_WASHAgencies]]+WWWW[[#This Row],['#_Non Cluster partner latrines]]))</f>
        <v>0</v>
      </c>
      <c r="DJ173" s="763">
        <f>1-WWWW[[#This Row],[% people access to functioning Latrine]]</f>
        <v>0</v>
      </c>
      <c r="DK173" s="762">
        <f>IF(OR(WWWW[[#This Row],['#_Non-functional latrines]]="",WWWW[[#This Row],['#_Non-functional latrines]]=0),0,WWWW[[#This Row],['#_Non-functional latrines]]/(WWWW[[#This Row],['#_Constructed latrines_by_WASHAgencies]]+WWWW[[#This Row],['#_Non Cluster partner latrines]]))</f>
        <v>0</v>
      </c>
      <c r="DL173" s="758">
        <f>IF(500*(WWWW[[#This Row],['#_male hygiene promoters]]+WWWW[[#This Row],['#_female hygiene promoters]])&gt;WWWW[[#This Row],[Total PoP ]],WWWW[[#This Row],[Total PoP ]],500*(WWWW[[#This Row],['#_male hygiene promoters]]+WWWW[[#This Row],['#_female hygiene promoters]]))</f>
        <v>66</v>
      </c>
      <c r="DM17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17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73" s="761">
        <f>IF(WWWW[[#This Row],['# People with access to soap]]&gt;WWWW[[#This Row],['# People with access to Sanity Pads]],WWWW[[#This Row],['# People with access to soap]],WWWW[[#This Row],['# People with access to Sanity Pads]])</f>
        <v>66</v>
      </c>
      <c r="DP173" s="761">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173" s="763">
        <f>IF(WWWW[[#This Row],[HRP3]]/WWWW[[#This Row],[Total PoP ]]&gt;1,1,WWWW[[#This Row],[HRP3]]/WWWW[[#This Row],[Total PoP ]])</f>
        <v>1</v>
      </c>
      <c r="DR173" s="762">
        <f>1-WWWW[[#This Row],[Hygiene Coverage%]]</f>
        <v>0</v>
      </c>
      <c r="DS173" s="760">
        <f>WWWW[[#This Row],['# people reached by regular dedicated hygiene promotion_5]]/WWWW[[#This Row],[Total PoP ]]</f>
        <v>1</v>
      </c>
      <c r="DT17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3" s="761">
        <f>WWWW[[#This Row],['#_Constructed/Existing hand washing stations]]-WWWW[[#This Row],['#_Non-Functional_hand_washing_stations]]</f>
        <v>3</v>
      </c>
      <c r="DW173" s="758">
        <f>IF(WWWW[[#This Row],['# Functional hand washing stations during reporting period]]*20&gt;WWWW[[#This Row],[Total HH]],WWWW[[#This Row],[Total HH]],WWWW[[#This Row],['# Functional hand washing stations during reporting period]]*20)</f>
        <v>16</v>
      </c>
      <c r="DX173" s="758">
        <f>IF(WWWW[[#This Row],[Is sufficient soap available for TLS? (Yes/No)]]="yes",WWWW[[#This Row],['#_Constructed/Existing hand washing stations at TLS/CFS/THF]],0)</f>
        <v>0</v>
      </c>
      <c r="DY173" s="429">
        <f>IF(WWWW[[#This Row],['# Functional hand washing stations during reporting period]]*100&gt;WWWW[[#This Row],[Total PoP ]],WWWW[[#This Row],[Total PoP ]],WWWW[[#This Row],['# Functional hand washing stations during reporting period]]*100)</f>
        <v>66</v>
      </c>
      <c r="DZ173" s="429" t="str">
        <f>IF(OR(WWWW[[#This Row],['#_students at TLS_CFS]]="",WWWW[[#This Row],['#_students at TLS_CFS]]=0),"No","Yes")</f>
        <v>Yes</v>
      </c>
      <c r="EA173" s="634">
        <f>IF(WWWW[[#This Row],['#_of_affected_people_surveyed_who_report_feeling_informed_about_the_different_WASH_services_available_to_them]]="","",WWWW[[#This Row],['#_of_affected_people_surveyed_who_report_feeling_informed_about_the_different_WASH_services_available_to_them]]/WWWW[[#This Row],[Total PoP ]])</f>
        <v>0.10606060606060606</v>
      </c>
      <c r="EB17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3" s="754" t="str">
        <f>VLOOKUP(WWWW[[#This Row],[Site Name]],SiteDB6[[Site Name]:[CCCM Management]],6,FALSE)</f>
        <v>Yes</v>
      </c>
      <c r="EF173" s="754" t="str">
        <f>VLOOKUP(WWWW[[#This Row],[Site Name]],SiteDB6[[Site Name]:[CCCM Focal Agency]],7,FALSE)</f>
        <v>KBC-MYT</v>
      </c>
      <c r="EG173" s="754" t="str">
        <f>VLOOKUP(WWWW[[#This Row],[Site Name]],SiteDB6[[Site Name]:[Location Type 1]],9,FALSE)</f>
        <v>Camp</v>
      </c>
      <c r="EH173" s="754" t="str">
        <f>VLOOKUP(WWWW[[#This Row],[Site Name]],SiteDB6[[Site Name]:[Type of Accommodation]],10,FALSE)</f>
        <v>Camp</v>
      </c>
      <c r="EI173" s="754" t="str">
        <f>VLOOKUP(WWWW[[#This Row],[Site Name]],SiteDB6[[Site Name]:[Ethnic or GCA/NGCA]],11,FALSE)</f>
        <v>GCA</v>
      </c>
      <c r="EJ173" s="754">
        <f>VLOOKUP(WWWW[[#This Row],[Site Name]],SiteDB6[[Site Name]:[Lat]],12,FALSE)</f>
        <v>25.599250000000001</v>
      </c>
      <c r="EK173" s="754">
        <f>VLOOKUP(WWWW[[#This Row],[Site Name]],SiteDB6[[Site Name]:[Long]],13,FALSE)</f>
        <v>96.306910999999999</v>
      </c>
      <c r="EL173" s="754" t="str">
        <f>VLOOKUP(WWWW[[#This Row],[Site Name]],SiteDB6[[Site Name]:[Pcode]],3,FALSE)</f>
        <v>MMR001CMP105</v>
      </c>
      <c r="EM173" s="759" t="str">
        <f t="shared" si="2"/>
        <v>Covered</v>
      </c>
      <c r="EN173" s="759"/>
      <c r="EO173" s="754">
        <f>VLOOKUP(WWWW[[#This Row],[Site Name]],SiteDB6[[Site Name]:[Pop
(Kachin/Shan-CCCM as of July 2021)]],16,FALSE)</f>
        <v>16</v>
      </c>
      <c r="EP173" s="754">
        <f>VLOOKUP(WWWW[[#This Row],[Site Name]],SiteDB6[[Site Name]:[Pop
(Kachin/Shan-CCCM as of July 2021)]],17,FALSE)</f>
        <v>64</v>
      </c>
    </row>
    <row r="174" spans="1:146" hidden="1">
      <c r="A174" s="752" t="s">
        <v>2785</v>
      </c>
      <c r="B174" s="752" t="s">
        <v>242</v>
      </c>
      <c r="C174" s="753" t="s">
        <v>242</v>
      </c>
      <c r="D174" s="753" t="s">
        <v>307</v>
      </c>
      <c r="E174" s="753" t="s">
        <v>37</v>
      </c>
      <c r="F174" s="753" t="s">
        <v>159</v>
      </c>
      <c r="G174" s="594" t="str">
        <f>VLOOKUP(WWWW[[#This Row],[Site Name]],SiteDB6[[Site Name]:[Location Type]],8,FALSE)</f>
        <v>Camp</v>
      </c>
      <c r="H174" s="753" t="s">
        <v>263</v>
      </c>
      <c r="I174" s="449">
        <v>22</v>
      </c>
      <c r="J174" s="449">
        <v>90</v>
      </c>
      <c r="K174" s="591">
        <v>44197</v>
      </c>
      <c r="L174" s="592">
        <v>44651</v>
      </c>
      <c r="M174" s="755"/>
      <c r="N174" s="755">
        <v>1</v>
      </c>
      <c r="O174" s="755"/>
      <c r="P174" s="755"/>
      <c r="Q174" s="758" t="s">
        <v>41</v>
      </c>
      <c r="R174" s="755">
        <v>2</v>
      </c>
      <c r="S174" s="755">
        <v>3</v>
      </c>
      <c r="T174" s="449">
        <v>1</v>
      </c>
      <c r="U174" s="755"/>
      <c r="V174" s="755"/>
      <c r="W174" s="755"/>
      <c r="X174" s="755">
        <v>1</v>
      </c>
      <c r="Y174" s="755"/>
      <c r="Z174" s="755"/>
      <c r="AA174" s="755"/>
      <c r="AB174" s="755"/>
      <c r="AC174" s="755"/>
      <c r="AD174" s="755"/>
      <c r="AE174" s="755"/>
      <c r="AF174" s="755"/>
      <c r="AG174" s="755"/>
      <c r="AH174" s="755"/>
      <c r="AI174" s="755"/>
      <c r="AJ174" s="755"/>
      <c r="AK174" s="755"/>
      <c r="AL174" s="755"/>
      <c r="AM174" s="755"/>
      <c r="AN174" s="755"/>
      <c r="AO174" s="755"/>
      <c r="AP174" s="759"/>
      <c r="AQ174" s="755">
        <v>4</v>
      </c>
      <c r="AR174" s="755"/>
      <c r="AS174" s="760"/>
      <c r="AT174" s="755"/>
      <c r="AU174" s="755"/>
      <c r="AV174" s="755">
        <v>4</v>
      </c>
      <c r="AW174" s="755"/>
      <c r="AX174" s="755"/>
      <c r="AY174" s="754" t="s">
        <v>41</v>
      </c>
      <c r="AZ174" s="759" t="s">
        <v>137</v>
      </c>
      <c r="BA174" s="755"/>
      <c r="BB174" s="755"/>
      <c r="BC174" s="755"/>
      <c r="BD174" s="449"/>
      <c r="BE174" s="449"/>
      <c r="BF174" s="754"/>
      <c r="BG174" s="755">
        <v>8</v>
      </c>
      <c r="BH174" s="755"/>
      <c r="BI174" s="755"/>
      <c r="BJ174" s="755">
        <v>3</v>
      </c>
      <c r="BK174" s="755"/>
      <c r="BL174" s="755">
        <v>1</v>
      </c>
      <c r="BM174" s="755"/>
      <c r="BN174" s="449">
        <v>91</v>
      </c>
      <c r="BO174" s="449">
        <v>124</v>
      </c>
      <c r="BP174" s="754"/>
      <c r="BQ174" s="761"/>
      <c r="BR174" s="760">
        <v>0.5</v>
      </c>
      <c r="BS174" s="426" t="s">
        <v>2905</v>
      </c>
      <c r="BT174" s="424">
        <v>0.5</v>
      </c>
      <c r="BU174" s="424">
        <v>0.8</v>
      </c>
      <c r="BV174" s="426"/>
      <c r="BW174" s="424">
        <v>0.5</v>
      </c>
      <c r="BX174" s="449"/>
      <c r="BY174" s="449"/>
      <c r="BZ174" s="449">
        <v>2</v>
      </c>
      <c r="CA174" s="449"/>
      <c r="CB174" s="449"/>
      <c r="CC174" s="807"/>
      <c r="CD174" s="449"/>
      <c r="CE174" s="762" t="str">
        <f>IFERROR(WWWW[[#This Row],['#_Water sources passed]]/WWWW[[#This Row],['#_Water sources tested for fecal coliform ]],"no test")</f>
        <v>no test</v>
      </c>
      <c r="CF174" s="760" t="str">
        <f>IFERROR(WWWW[[#This Row],['#_Household passed]]/WWWW[[#This Row],['#_Household water samples tested for fecal coliform]],"no test")</f>
        <v>no test</v>
      </c>
      <c r="CG174" s="761" t="str">
        <f>IF(AND(WWWW[[#This Row],[% of water sources passed]]="no test",WWWW[[#This Row],[% Household passed]]="no test"),"No Test","Tested")</f>
        <v>No Test</v>
      </c>
      <c r="CH174" s="761">
        <f>WWWW[[#This Row],['#_Constructed/existing protected hand dug well]]-WWWW[[#This Row],['#_Non-functional protected hand dug well]]</f>
        <v>1</v>
      </c>
      <c r="CI174" s="761">
        <f>(WWWW[[#This Row],['#_Constructed/Existing tube wells/boreholes/handpumps_WASH_agency]]+WWWW[[#This Row],['#_Non-Cluster partner water tube-wells/boreholes/handpumps]])-WWWW[[#This Row],['#_Non-functional tube wells/boreholes/handpumps]]</f>
        <v>1</v>
      </c>
      <c r="CJ174" s="761">
        <f>WWWW[[#This Row],['#_Constructed/Existingwater storage tank with gravity fed reticulation system]]-WWWW[[#This Row],['#_Non-functional storage tank gravity fed reticulation system]]</f>
        <v>0</v>
      </c>
      <c r="CK174" s="761">
        <f>(WWWW[[#This Row],['#_Water_Liters_supplied_by_Water boating or water trucking]]/90)/15</f>
        <v>0</v>
      </c>
      <c r="CL174" s="761">
        <f>WWWW[[#This Row],['#_Water_Liters_from_Constructed/Existing water distribution system from river or natural spring]]/90/15</f>
        <v>0</v>
      </c>
      <c r="CM174" s="425">
        <f>IF(WWWW[[#This Row],['#_of water points in TLS/CFS]]*500&gt;WWWW[[#This Row],[Total PoP ]],WWWW[[#This Row],[Total PoP ]],WWWW[[#This Row],['#_of water points in TLS/CFS]]*500)</f>
        <v>0</v>
      </c>
      <c r="CN174" s="425">
        <f>IF(WWWW[[#This Row],['#_of water points in THF]]*500&gt;WWWW[[#This Row],[Total PoP ]],WWWW[[#This Row],[Total PoP ]],WWWW[[#This Row],['#_of water points in THF]]*500)</f>
        <v>0</v>
      </c>
      <c r="CO17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4" s="760">
        <f>IF(WWWW[[#This Row],[Location Type 1]]="Village",WWWW[[#This Row],[Access to safe drinking water for Village]],WWWW[[#This Row],[Access to safe drinking water for Camp]])</f>
        <v>1</v>
      </c>
      <c r="CR174" s="758">
        <f>WWWW[[#This Row],[%Equitable and continuous access to sufficient quantity of safe drinking water]]*WWWW[[#This Row],[Total PoP ]]</f>
        <v>90</v>
      </c>
      <c r="CS174" s="760">
        <f>IF((WWWW[[#This Row],['#_Constructed/Existing protected/fenced ponds]]*250)/WWWW[[#This Row],[Total PoP ]]&gt;1,1,(WWWW[[#This Row],['#_Constructed/Existing protected/fenced ponds]]*250)/WWWW[[#This Row],[Total PoP ]])</f>
        <v>0</v>
      </c>
      <c r="CT174" s="758">
        <f>WWWW[[#This Row],[% Access to unimproved water points]]*WWWW[[#This Row],[Total PoP ]]</f>
        <v>0</v>
      </c>
      <c r="CU17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v>
      </c>
      <c r="CW174" s="758">
        <f>WWWW[[#This Row],[HRP1]]/500</f>
        <v>0.18</v>
      </c>
      <c r="CX174" s="763">
        <f>1-WWWW[[#This Row],[% Equitable and continuous access to sufficient quantity of domestic water]]</f>
        <v>0</v>
      </c>
      <c r="CY174" s="758">
        <f>WWWW[[#This Row],[%equitable and continuous access to sufficient quantity of safe drinking and domestic water''s GAP]]*WWWW[[#This Row],[Total PoP ]]</f>
        <v>0</v>
      </c>
      <c r="CZ174" s="761">
        <f>IF(WWWW[[#This Row],[Total required water points]]-WWWW[[#This Row],['#Water points coverage]]&lt;0,0,WWWW[[#This Row],[Total required water points]]-WWWW[[#This Row],['#Water points coverage]])</f>
        <v>0.82000000000000006</v>
      </c>
      <c r="DA174" s="761">
        <f>ROUND(IF(WWWW[[#This Row],[Total PoP ]]&lt;500,1,WWWW[[#This Row],[Total PoP ]]/500),0)</f>
        <v>1</v>
      </c>
      <c r="DB174" s="761">
        <f>(WWWW[[#This Row],['#_Constructed latrines_by_WASHAgencies]]+WWWW[[#This Row],['#_Non Cluster partner latrines]])-WWWW[[#This Row],['#_Non-functional latrines]]</f>
        <v>4</v>
      </c>
      <c r="DC174" s="634">
        <f>WWWW[[#This Row],[HRP2]]/WWWW[[#This Row],[Total PoP ]]</f>
        <v>0.88888888888888884</v>
      </c>
      <c r="DD17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7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17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4" s="425">
        <f>IF(WWWW[[#This Row],['# of functional latrines in THF supported by WASH partners during the reporting period2]]="",0,WWWW[[#This Row],['# of functional latrines in THF supported by WASH partners during the reporting period2]]*50)</f>
        <v>0</v>
      </c>
      <c r="DH174" s="761">
        <f>ROUND(IF(WWWW[[#This Row],[Location Type 1]]="camp",WWWW[[#This Row],[Total PoP ]]/20,IF(WWWW[[#This Row],[Location Type 1]]="Temporary Location",WWWW[[#This Row],[Total PoP ]]/50,(WWWW[[#This Row],[Total PoP ]]/6))),0)</f>
        <v>5</v>
      </c>
      <c r="DI174" s="761">
        <f>IF(WWWW[[#This Row],[Total required Latrines]]-(WWWW[[#This Row],['#_Constructed latrines_by_WASHAgencies]]+WWWW[[#This Row],['#_Non Cluster partner latrines]])&lt;0,0,WWWW[[#This Row],[Total required Latrines]]-(WWWW[[#This Row],['#_Constructed latrines_by_WASHAgencies]]+WWWW[[#This Row],['#_Non Cluster partner latrines]]))</f>
        <v>1</v>
      </c>
      <c r="DJ174" s="763">
        <f>1-WWWW[[#This Row],[% people access to functioning Latrine]]</f>
        <v>0.11111111111111116</v>
      </c>
      <c r="DK174" s="762">
        <f>IF(OR(WWWW[[#This Row],['#_Non-functional latrines]]="",WWWW[[#This Row],['#_Non-functional latrines]]=0),0,WWWW[[#This Row],['#_Non-functional latrines]]/(WWWW[[#This Row],['#_Constructed latrines_by_WASHAgencies]]+WWWW[[#This Row],['#_Non Cluster partner latrines]]))</f>
        <v>0</v>
      </c>
      <c r="DL174" s="758">
        <f>IF(500*(WWWW[[#This Row],['#_male hygiene promoters]]+WWWW[[#This Row],['#_female hygiene promoters]])&gt;WWWW[[#This Row],[Total PoP ]],WWWW[[#This Row],[Total PoP ]],500*(WWWW[[#This Row],['#_male hygiene promoters]]+WWWW[[#This Row],['#_female hygiene promoters]]))</f>
        <v>90</v>
      </c>
      <c r="DM17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90</v>
      </c>
      <c r="DN17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v>
      </c>
      <c r="DO174" s="761">
        <f>IF(WWWW[[#This Row],['# People with access to soap]]&gt;WWWW[[#This Row],['# People with access to Sanity Pads]],WWWW[[#This Row],['# People with access to soap]],WWWW[[#This Row],['# People with access to Sanity Pads]])</f>
        <v>90</v>
      </c>
      <c r="DP174" s="761">
        <f>IF(WWWW[[#This Row],['# people reached by regular dedicated hygiene promotion_5]]&gt;WWWW[[#This Row],['# People received regular supply of hygiene items_6]],WWWW[[#This Row],['# people reached by regular dedicated hygiene promotion_5]],WWWW[[#This Row],['# People received regular supply of hygiene items_6]])</f>
        <v>90</v>
      </c>
      <c r="DQ174" s="763">
        <f>IF(WWWW[[#This Row],[HRP3]]/WWWW[[#This Row],[Total PoP ]]&gt;1,1,WWWW[[#This Row],[HRP3]]/WWWW[[#This Row],[Total PoP ]])</f>
        <v>1</v>
      </c>
      <c r="DR174" s="762">
        <f>1-WWWW[[#This Row],[Hygiene Coverage%]]</f>
        <v>0</v>
      </c>
      <c r="DS174" s="760">
        <f>WWWW[[#This Row],['# people reached by regular dedicated hygiene promotion_5]]/WWWW[[#This Row],[Total PoP ]]</f>
        <v>1</v>
      </c>
      <c r="DT17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4" s="761">
        <f>WWWW[[#This Row],['#_Constructed/Existing hand washing stations]]-WWWW[[#This Row],['#_Non-Functional_hand_washing_stations]]</f>
        <v>8</v>
      </c>
      <c r="DW174" s="758">
        <f>IF(WWWW[[#This Row],['# Functional hand washing stations during reporting period]]*20&gt;WWWW[[#This Row],[Total HH]],WWWW[[#This Row],[Total HH]],WWWW[[#This Row],['# Functional hand washing stations during reporting period]]*20)</f>
        <v>22</v>
      </c>
      <c r="DX174" s="758">
        <f>IF(WWWW[[#This Row],[Is sufficient soap available for TLS? (Yes/No)]]="yes",WWWW[[#This Row],['#_Constructed/Existing hand washing stations at TLS/CFS/THF]],0)</f>
        <v>0</v>
      </c>
      <c r="DY174" s="429">
        <f>IF(WWWW[[#This Row],['# Functional hand washing stations during reporting period]]*100&gt;WWWW[[#This Row],[Total PoP ]],WWWW[[#This Row],[Total PoP ]],WWWW[[#This Row],['# Functional hand washing stations during reporting period]]*100)</f>
        <v>90</v>
      </c>
      <c r="DZ174" s="429" t="str">
        <f>IF(OR(WWWW[[#This Row],['#_students at TLS_CFS]]="",WWWW[[#This Row],['#_students at TLS_CFS]]=0),"No","Yes")</f>
        <v>No</v>
      </c>
      <c r="EA17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v>
      </c>
      <c r="EC17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4" s="754" t="str">
        <f>VLOOKUP(WWWW[[#This Row],[Site Name]],SiteDB6[[Site Name]:[CCCM Management]],6,FALSE)</f>
        <v>Yes</v>
      </c>
      <c r="EF174" s="754" t="str">
        <f>VLOOKUP(WWWW[[#This Row],[Site Name]],SiteDB6[[Site Name]:[CCCM Focal Agency]],7,FALSE)</f>
        <v>Shalom</v>
      </c>
      <c r="EG174" s="754" t="str">
        <f>VLOOKUP(WWWW[[#This Row],[Site Name]],SiteDB6[[Site Name]:[Location Type 1]],9,FALSE)</f>
        <v>Camp</v>
      </c>
      <c r="EH174" s="754" t="str">
        <f>VLOOKUP(WWWW[[#This Row],[Site Name]],SiteDB6[[Site Name]:[Type of Accommodation]],10,FALSE)</f>
        <v>Camp</v>
      </c>
      <c r="EI174" s="754" t="str">
        <f>VLOOKUP(WWWW[[#This Row],[Site Name]],SiteDB6[[Site Name]:[Ethnic or GCA/NGCA]],11,FALSE)</f>
        <v>GCA</v>
      </c>
      <c r="EJ174" s="754">
        <f>VLOOKUP(WWWW[[#This Row],[Site Name]],SiteDB6[[Site Name]:[Lat]],12,FALSE)</f>
        <v>25.374343974359</v>
      </c>
      <c r="EK174" s="754">
        <f>VLOOKUP(WWWW[[#This Row],[Site Name]],SiteDB6[[Site Name]:[Long]],13,FALSE)</f>
        <v>97.2843958974359</v>
      </c>
      <c r="EL174" s="754" t="str">
        <f>VLOOKUP(WWWW[[#This Row],[Site Name]],SiteDB6[[Site Name]:[Pcode]],3,FALSE)</f>
        <v>MMR001CMP020</v>
      </c>
      <c r="EM174" s="759" t="str">
        <f t="shared" si="2"/>
        <v>Covered</v>
      </c>
      <c r="EN174" s="759"/>
      <c r="EO174" s="754">
        <f>VLOOKUP(WWWW[[#This Row],[Site Name]],SiteDB6[[Site Name]:[Pop
(Kachin/Shan-CCCM as of July 2021)]],16,FALSE)</f>
        <v>22</v>
      </c>
      <c r="EP174" s="754">
        <f>VLOOKUP(WWWW[[#This Row],[Site Name]],SiteDB6[[Site Name]:[Pop
(Kachin/Shan-CCCM as of July 2021)]],17,FALSE)</f>
        <v>90</v>
      </c>
    </row>
    <row r="175" spans="1:146" hidden="1">
      <c r="A175" s="752" t="s">
        <v>2785</v>
      </c>
      <c r="B175" s="752" t="s">
        <v>242</v>
      </c>
      <c r="C175" s="753" t="s">
        <v>242</v>
      </c>
      <c r="D175" s="753" t="s">
        <v>307</v>
      </c>
      <c r="E175" s="753" t="s">
        <v>37</v>
      </c>
      <c r="F175" s="753" t="s">
        <v>159</v>
      </c>
      <c r="G175" s="594" t="str">
        <f>VLOOKUP(WWWW[[#This Row],[Site Name]],SiteDB6[[Site Name]:[Location Type]],8,FALSE)</f>
        <v>Camp</v>
      </c>
      <c r="H175" s="753" t="s">
        <v>264</v>
      </c>
      <c r="I175" s="449">
        <v>28</v>
      </c>
      <c r="J175" s="449">
        <v>166</v>
      </c>
      <c r="K175" s="591">
        <v>44197</v>
      </c>
      <c r="L175" s="592">
        <v>44651</v>
      </c>
      <c r="M175" s="755">
        <v>43</v>
      </c>
      <c r="N175" s="755">
        <v>1</v>
      </c>
      <c r="O175" s="755"/>
      <c r="P175" s="755"/>
      <c r="Q175" s="758" t="s">
        <v>41</v>
      </c>
      <c r="R175" s="755"/>
      <c r="S175" s="755">
        <v>5</v>
      </c>
      <c r="T175" s="449">
        <v>1</v>
      </c>
      <c r="U175" s="755"/>
      <c r="V175" s="449">
        <v>1</v>
      </c>
      <c r="W175" s="449">
        <v>1</v>
      </c>
      <c r="X175" s="449">
        <v>1</v>
      </c>
      <c r="Y175" s="755"/>
      <c r="Z175" s="755">
        <v>1</v>
      </c>
      <c r="AA175" s="755"/>
      <c r="AB175" s="755"/>
      <c r="AC175" s="755"/>
      <c r="AD175" s="755"/>
      <c r="AE175" s="755">
        <v>2</v>
      </c>
      <c r="AF175" s="755"/>
      <c r="AG175" s="755"/>
      <c r="AH175" s="755"/>
      <c r="AI175" s="755"/>
      <c r="AJ175" s="755"/>
      <c r="AK175" s="755"/>
      <c r="AL175" s="755"/>
      <c r="AM175" s="755">
        <v>1</v>
      </c>
      <c r="AN175" s="755"/>
      <c r="AO175" s="755"/>
      <c r="AP175" s="593" t="s">
        <v>2901</v>
      </c>
      <c r="AQ175" s="755">
        <v>6</v>
      </c>
      <c r="AR175" s="755"/>
      <c r="AS175" s="760"/>
      <c r="AT175" s="755"/>
      <c r="AU175" s="755"/>
      <c r="AV175" s="755"/>
      <c r="AW175" s="755"/>
      <c r="AX175" s="755"/>
      <c r="AY175" s="754" t="s">
        <v>136</v>
      </c>
      <c r="AZ175" s="759" t="s">
        <v>137</v>
      </c>
      <c r="BA175" s="755"/>
      <c r="BB175" s="755"/>
      <c r="BC175" s="755"/>
      <c r="BD175" s="449"/>
      <c r="BE175" s="449"/>
      <c r="BF175" s="426" t="s">
        <v>2903</v>
      </c>
      <c r="BG175" s="755">
        <v>7</v>
      </c>
      <c r="BH175" s="755"/>
      <c r="BI175" s="755"/>
      <c r="BJ175" s="755">
        <v>7</v>
      </c>
      <c r="BK175" s="755"/>
      <c r="BL175" s="755"/>
      <c r="BM175" s="755">
        <v>1</v>
      </c>
      <c r="BN175" s="449">
        <v>104</v>
      </c>
      <c r="BO175" s="449">
        <v>148</v>
      </c>
      <c r="BP175" s="426" t="s">
        <v>136</v>
      </c>
      <c r="BQ175" s="761">
        <v>2</v>
      </c>
      <c r="BR175" s="424">
        <v>0.7</v>
      </c>
      <c r="BS175" s="426" t="s">
        <v>2906</v>
      </c>
      <c r="BT175" s="424">
        <v>0.9</v>
      </c>
      <c r="BU175" s="424">
        <v>0.9</v>
      </c>
      <c r="BV175" s="426">
        <v>60</v>
      </c>
      <c r="BW175" s="424">
        <v>0.7</v>
      </c>
      <c r="BX175" s="449"/>
      <c r="BY175" s="449"/>
      <c r="BZ175" s="449"/>
      <c r="CA175" s="449"/>
      <c r="CB175" s="449"/>
      <c r="CC175" s="807"/>
      <c r="CD175" s="449"/>
      <c r="CE175" s="762" t="str">
        <f>IFERROR(WWWW[[#This Row],['#_Water sources passed]]/WWWW[[#This Row],['#_Water sources tested for fecal coliform ]],"no test")</f>
        <v>no test</v>
      </c>
      <c r="CF175" s="760" t="str">
        <f>IFERROR(WWWW[[#This Row],['#_Household passed]]/WWWW[[#This Row],['#_Household water samples tested for fecal coliform]],"no test")</f>
        <v>no test</v>
      </c>
      <c r="CG175" s="761" t="str">
        <f>IF(AND(WWWW[[#This Row],[% of water sources passed]]="no test",WWWW[[#This Row],[% Household passed]]="no test"),"No Test","Tested")</f>
        <v>No Test</v>
      </c>
      <c r="CH175" s="761">
        <f>WWWW[[#This Row],['#_Constructed/existing protected hand dug well]]-WWWW[[#This Row],['#_Non-functional protected hand dug well]]</f>
        <v>1</v>
      </c>
      <c r="CI175" s="761">
        <f>(WWWW[[#This Row],['#_Constructed/Existing tube wells/boreholes/handpumps_WASH_agency]]+WWWW[[#This Row],['#_Non-Cluster partner water tube-wells/boreholes/handpumps]])-WWWW[[#This Row],['#_Non-functional tube wells/boreholes/handpumps]]</f>
        <v>2</v>
      </c>
      <c r="CJ175" s="761">
        <f>WWWW[[#This Row],['#_Constructed/Existingwater storage tank with gravity fed reticulation system]]-WWWW[[#This Row],['#_Non-functional storage tank gravity fed reticulation system]]</f>
        <v>0</v>
      </c>
      <c r="CK175" s="761">
        <f>(WWWW[[#This Row],['#_Water_Liters_supplied_by_Water boating or water trucking]]/90)/15</f>
        <v>0</v>
      </c>
      <c r="CL175" s="761">
        <f>WWWW[[#This Row],['#_Water_Liters_from_Constructed/Existing water distribution system from river or natural spring]]/90/15</f>
        <v>0</v>
      </c>
      <c r="CM175" s="425">
        <f>IF(WWWW[[#This Row],['#_of water points in TLS/CFS]]*500&gt;WWWW[[#This Row],[Total PoP ]],WWWW[[#This Row],[Total PoP ]],WWWW[[#This Row],['#_of water points in TLS/CFS]]*500)</f>
        <v>0</v>
      </c>
      <c r="CN175" s="425">
        <f>IF(WWWW[[#This Row],['#_of water points in THF]]*500&gt;WWWW[[#This Row],[Total PoP ]],WWWW[[#This Row],[Total PoP ]],WWWW[[#This Row],['#_of water points in THF]]*500)</f>
        <v>0</v>
      </c>
      <c r="CO17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5" s="760">
        <f>IF(WWWW[[#This Row],[Location Type 1]]="Village",WWWW[[#This Row],[Access to safe drinking water for Village]],WWWW[[#This Row],[Access to safe drinking water for Camp]])</f>
        <v>1</v>
      </c>
      <c r="CR175" s="758">
        <f>WWWW[[#This Row],[%Equitable and continuous access to sufficient quantity of safe drinking water]]*WWWW[[#This Row],[Total PoP ]]</f>
        <v>166</v>
      </c>
      <c r="CS175" s="760">
        <f>IF((WWWW[[#This Row],['#_Constructed/Existing protected/fenced ponds]]*250)/WWWW[[#This Row],[Total PoP ]]&gt;1,1,(WWWW[[#This Row],['#_Constructed/Existing protected/fenced ponds]]*250)/WWWW[[#This Row],[Total PoP ]])</f>
        <v>1</v>
      </c>
      <c r="CT175" s="758">
        <f>WWWW[[#This Row],[% Access to unimproved water points]]*WWWW[[#This Row],[Total PoP ]]</f>
        <v>166</v>
      </c>
      <c r="CU17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W175" s="758">
        <f>WWWW[[#This Row],[HRP1]]/500</f>
        <v>0.33200000000000002</v>
      </c>
      <c r="CX175" s="763">
        <f>1-WWWW[[#This Row],[% Equitable and continuous access to sufficient quantity of domestic water]]</f>
        <v>0</v>
      </c>
      <c r="CY175" s="758">
        <f>WWWW[[#This Row],[%equitable and continuous access to sufficient quantity of safe drinking and domestic water''s GAP]]*WWWW[[#This Row],[Total PoP ]]</f>
        <v>0</v>
      </c>
      <c r="CZ175" s="761">
        <f>IF(WWWW[[#This Row],[Total required water points]]-WWWW[[#This Row],['#Water points coverage]]&lt;0,0,WWWW[[#This Row],[Total required water points]]-WWWW[[#This Row],['#Water points coverage]])</f>
        <v>0.66799999999999993</v>
      </c>
      <c r="DA175" s="761">
        <f>ROUND(IF(WWWW[[#This Row],[Total PoP ]]&lt;500,1,WWWW[[#This Row],[Total PoP ]]/500),0)</f>
        <v>1</v>
      </c>
      <c r="DB175" s="761">
        <f>(WWWW[[#This Row],['#_Constructed latrines_by_WASHAgencies]]+WWWW[[#This Row],['#_Non Cluster partner latrines]])-WWWW[[#This Row],['#_Non-functional latrines]]</f>
        <v>6</v>
      </c>
      <c r="DC175" s="634">
        <f>WWWW[[#This Row],[HRP2]]/WWWW[[#This Row],[Total PoP ]]</f>
        <v>0.72289156626506024</v>
      </c>
      <c r="DD17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7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5" s="425">
        <f>IF(WWWW[[#This Row],['# of functional latrines in THF supported by WASH partners during the reporting period2]]="",0,WWWW[[#This Row],['# of functional latrines in THF supported by WASH partners during the reporting period2]]*50)</f>
        <v>0</v>
      </c>
      <c r="DH175" s="761">
        <f>ROUND(IF(WWWW[[#This Row],[Location Type 1]]="camp",WWWW[[#This Row],[Total PoP ]]/20,IF(WWWW[[#This Row],[Location Type 1]]="Temporary Location",WWWW[[#This Row],[Total PoP ]]/50,(WWWW[[#This Row],[Total PoP ]]/6))),0)</f>
        <v>8</v>
      </c>
      <c r="DI175" s="761">
        <f>IF(WWWW[[#This Row],[Total required Latrines]]-(WWWW[[#This Row],['#_Constructed latrines_by_WASHAgencies]]+WWWW[[#This Row],['#_Non Cluster partner latrines]])&lt;0,0,WWWW[[#This Row],[Total required Latrines]]-(WWWW[[#This Row],['#_Constructed latrines_by_WASHAgencies]]+WWWW[[#This Row],['#_Non Cluster partner latrines]]))</f>
        <v>2</v>
      </c>
      <c r="DJ175" s="763">
        <f>1-WWWW[[#This Row],[% people access to functioning Latrine]]</f>
        <v>0.27710843373493976</v>
      </c>
      <c r="DK175" s="762">
        <f>IF(OR(WWWW[[#This Row],['#_Non-functional latrines]]="",WWWW[[#This Row],['#_Non-functional latrines]]=0),0,WWWW[[#This Row],['#_Non-functional latrines]]/(WWWW[[#This Row],['#_Constructed latrines_by_WASHAgencies]]+WWWW[[#This Row],['#_Non Cluster partner latrines]]))</f>
        <v>0</v>
      </c>
      <c r="DL175" s="758">
        <f>IF(500*(WWWW[[#This Row],['#_male hygiene promoters]]+WWWW[[#This Row],['#_female hygiene promoters]])&gt;WWWW[[#This Row],[Total PoP ]],WWWW[[#This Row],[Total PoP ]],500*(WWWW[[#This Row],['#_male hygiene promoters]]+WWWW[[#This Row],['#_female hygiene promoters]]))</f>
        <v>166</v>
      </c>
      <c r="DM17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166</v>
      </c>
      <c r="DN17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75" s="761">
        <f>IF(WWWW[[#This Row],['# People with access to soap]]&gt;WWWW[[#This Row],['# People with access to Sanity Pads]],WWWW[[#This Row],['# People with access to soap]],WWWW[[#This Row],['# People with access to Sanity Pads]])</f>
        <v>166</v>
      </c>
      <c r="DP175" s="761">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Q175" s="763">
        <f>IF(WWWW[[#This Row],[HRP3]]/WWWW[[#This Row],[Total PoP ]]&gt;1,1,WWWW[[#This Row],[HRP3]]/WWWW[[#This Row],[Total PoP ]])</f>
        <v>1</v>
      </c>
      <c r="DR175" s="762">
        <f>1-WWWW[[#This Row],[Hygiene Coverage%]]</f>
        <v>0</v>
      </c>
      <c r="DS175" s="760">
        <f>WWWW[[#This Row],['# people reached by regular dedicated hygiene promotion_5]]/WWWW[[#This Row],[Total PoP ]]</f>
        <v>1</v>
      </c>
      <c r="DT17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5" s="761">
        <f>WWWW[[#This Row],['#_Constructed/Existing hand washing stations]]-WWWW[[#This Row],['#_Non-Functional_hand_washing_stations]]</f>
        <v>7</v>
      </c>
      <c r="DW175" s="758">
        <f>IF(WWWW[[#This Row],['# Functional hand washing stations during reporting period]]*20&gt;WWWW[[#This Row],[Total HH]],WWWW[[#This Row],[Total HH]],WWWW[[#This Row],['# Functional hand washing stations during reporting period]]*20)</f>
        <v>28</v>
      </c>
      <c r="DX175" s="758">
        <f>IF(WWWW[[#This Row],[Is sufficient soap available for TLS? (Yes/No)]]="yes",WWWW[[#This Row],['#_Constructed/Existing hand washing stations at TLS/CFS/THF]],0)</f>
        <v>0</v>
      </c>
      <c r="DY175" s="429">
        <f>IF(WWWW[[#This Row],['# Functional hand washing stations during reporting period]]*100&gt;WWWW[[#This Row],[Total PoP ]],WWWW[[#This Row],[Total PoP ]],WWWW[[#This Row],['# Functional hand washing stations during reporting period]]*100)</f>
        <v>166</v>
      </c>
      <c r="DZ175" s="429" t="str">
        <f>IF(OR(WWWW[[#This Row],['#_students at TLS_CFS]]="",WWWW[[#This Row],['#_students at TLS_CFS]]=0),"No","Yes")</f>
        <v>Yes</v>
      </c>
      <c r="EA175" s="634">
        <f>IF(WWWW[[#This Row],['#_of_affected_people_surveyed_who_report_feeling_informed_about_the_different_WASH_services_available_to_them]]="","",WWWW[[#This Row],['#_of_affected_people_surveyed_who_report_feeling_informed_about_the_different_WASH_services_available_to_them]]/WWWW[[#This Row],[Total PoP ]])</f>
        <v>0.36144578313253012</v>
      </c>
      <c r="EB17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5" s="754" t="str">
        <f>VLOOKUP(WWWW[[#This Row],[Site Name]],SiteDB6[[Site Name]:[CCCM Management]],6,FALSE)</f>
        <v>Yes</v>
      </c>
      <c r="EF175" s="754" t="str">
        <f>VLOOKUP(WWWW[[#This Row],[Site Name]],SiteDB6[[Site Name]:[CCCM Focal Agency]],7,FALSE)</f>
        <v>Shalom</v>
      </c>
      <c r="EG175" s="754" t="str">
        <f>VLOOKUP(WWWW[[#This Row],[Site Name]],SiteDB6[[Site Name]:[Location Type 1]],9,FALSE)</f>
        <v>Camp</v>
      </c>
      <c r="EH175" s="754" t="str">
        <f>VLOOKUP(WWWW[[#This Row],[Site Name]],SiteDB6[[Site Name]:[Type of Accommodation]],10,FALSE)</f>
        <v>Camp</v>
      </c>
      <c r="EI175" s="754" t="str">
        <f>VLOOKUP(WWWW[[#This Row],[Site Name]],SiteDB6[[Site Name]:[Ethnic or GCA/NGCA]],11,FALSE)</f>
        <v>GCA</v>
      </c>
      <c r="EJ175" s="754">
        <f>VLOOKUP(WWWW[[#This Row],[Site Name]],SiteDB6[[Site Name]:[Lat]],12,FALSE)</f>
        <v>25.371049444444399</v>
      </c>
      <c r="EK175" s="754">
        <f>VLOOKUP(WWWW[[#This Row],[Site Name]],SiteDB6[[Site Name]:[Long]],13,FALSE)</f>
        <v>97.290952037037002</v>
      </c>
      <c r="EL175" s="754" t="str">
        <f>VLOOKUP(WWWW[[#This Row],[Site Name]],SiteDB6[[Site Name]:[Pcode]],3,FALSE)</f>
        <v>MMR001CMP021</v>
      </c>
      <c r="EM175" s="759" t="str">
        <f t="shared" si="2"/>
        <v>Covered</v>
      </c>
      <c r="EN175" s="759"/>
      <c r="EO175" s="754">
        <f>VLOOKUP(WWWW[[#This Row],[Site Name]],SiteDB6[[Site Name]:[Pop
(Kachin/Shan-CCCM as of July 2021)]],16,FALSE)</f>
        <v>30</v>
      </c>
      <c r="EP175" s="754">
        <f>VLOOKUP(WWWW[[#This Row],[Site Name]],SiteDB6[[Site Name]:[Pop
(Kachin/Shan-CCCM as of July 2021)]],17,FALSE)</f>
        <v>177</v>
      </c>
    </row>
    <row r="176" spans="1:146" hidden="1">
      <c r="A176" s="752" t="s">
        <v>2785</v>
      </c>
      <c r="B176" s="752" t="s">
        <v>242</v>
      </c>
      <c r="C176" s="753" t="s">
        <v>242</v>
      </c>
      <c r="D176" s="753" t="s">
        <v>307</v>
      </c>
      <c r="E176" s="753" t="s">
        <v>37</v>
      </c>
      <c r="F176" s="753" t="s">
        <v>159</v>
      </c>
      <c r="G176" s="594" t="str">
        <f>VLOOKUP(WWWW[[#This Row],[Site Name]],SiteDB6[[Site Name]:[Location Type]],8,FALSE)</f>
        <v>Camp</v>
      </c>
      <c r="H176" s="753" t="s">
        <v>3042</v>
      </c>
      <c r="I176" s="449">
        <v>16</v>
      </c>
      <c r="J176" s="449">
        <v>83</v>
      </c>
      <c r="K176" s="591">
        <v>44197</v>
      </c>
      <c r="L176" s="592">
        <v>44651</v>
      </c>
      <c r="M176" s="449">
        <v>14</v>
      </c>
      <c r="N176" s="755">
        <v>1</v>
      </c>
      <c r="O176" s="755"/>
      <c r="P176" s="755"/>
      <c r="Q176" s="758" t="s">
        <v>41</v>
      </c>
      <c r="R176" s="755">
        <v>2</v>
      </c>
      <c r="S176" s="755">
        <v>3</v>
      </c>
      <c r="T176" s="449">
        <v>1</v>
      </c>
      <c r="U176" s="449">
        <v>1</v>
      </c>
      <c r="V176" s="755"/>
      <c r="W176" s="449">
        <v>3</v>
      </c>
      <c r="X176" s="449">
        <v>2</v>
      </c>
      <c r="Y176" s="449">
        <v>1</v>
      </c>
      <c r="Z176" s="755">
        <v>3</v>
      </c>
      <c r="AA176" s="755"/>
      <c r="AB176" s="755"/>
      <c r="AC176" s="755"/>
      <c r="AD176" s="755"/>
      <c r="AE176" s="449">
        <v>2</v>
      </c>
      <c r="AF176" s="755"/>
      <c r="AG176" s="755"/>
      <c r="AH176" s="755"/>
      <c r="AI176" s="755"/>
      <c r="AJ176" s="755"/>
      <c r="AK176" s="755"/>
      <c r="AL176" s="755"/>
      <c r="AM176" s="755">
        <v>4</v>
      </c>
      <c r="AN176" s="755">
        <v>5</v>
      </c>
      <c r="AO176" s="755"/>
      <c r="AP176" s="593"/>
      <c r="AQ176" s="755">
        <v>2</v>
      </c>
      <c r="AR176" s="755">
        <v>3</v>
      </c>
      <c r="AS176" s="760" t="s">
        <v>2136</v>
      </c>
      <c r="AT176" s="755"/>
      <c r="AU176" s="755"/>
      <c r="AV176" s="755"/>
      <c r="AW176" s="755"/>
      <c r="AX176" s="755"/>
      <c r="AY176" s="754" t="s">
        <v>41</v>
      </c>
      <c r="AZ176" s="759" t="s">
        <v>137</v>
      </c>
      <c r="BA176" s="755">
        <v>3</v>
      </c>
      <c r="BB176" s="755"/>
      <c r="BC176" s="755">
        <v>2</v>
      </c>
      <c r="BD176" s="449"/>
      <c r="BE176" s="449"/>
      <c r="BF176" s="754"/>
      <c r="BG176" s="755">
        <v>3</v>
      </c>
      <c r="BH176" s="755"/>
      <c r="BI176" s="755"/>
      <c r="BJ176" s="755">
        <v>2</v>
      </c>
      <c r="BK176" s="755"/>
      <c r="BL176" s="755"/>
      <c r="BM176" s="755">
        <v>1</v>
      </c>
      <c r="BN176" s="449">
        <v>10</v>
      </c>
      <c r="BO176" s="449">
        <v>18</v>
      </c>
      <c r="BP176" s="426" t="s">
        <v>41</v>
      </c>
      <c r="BQ176" s="761"/>
      <c r="BR176" s="760">
        <v>0.7</v>
      </c>
      <c r="BS176" s="754"/>
      <c r="BT176" s="424">
        <v>1</v>
      </c>
      <c r="BU176" s="424">
        <v>1</v>
      </c>
      <c r="BV176" s="426"/>
      <c r="BW176" s="424">
        <v>0.8</v>
      </c>
      <c r="BX176" s="449"/>
      <c r="BY176" s="449"/>
      <c r="BZ176" s="449"/>
      <c r="CA176" s="449"/>
      <c r="CB176" s="449"/>
      <c r="CC176" s="807"/>
      <c r="CD176" s="449"/>
      <c r="CE176" s="762" t="str">
        <f>IFERROR(WWWW[[#This Row],['#_Water sources passed]]/WWWW[[#This Row],['#_Water sources tested for fecal coliform ]],"no test")</f>
        <v>no test</v>
      </c>
      <c r="CF176" s="760" t="str">
        <f>IFERROR(WWWW[[#This Row],['#_Household passed]]/WWWW[[#This Row],['#_Household water samples tested for fecal coliform]],"no test")</f>
        <v>no test</v>
      </c>
      <c r="CG176" s="761" t="str">
        <f>IF(AND(WWWW[[#This Row],[% of water sources passed]]="no test",WWWW[[#This Row],[% Household passed]]="no test"),"No Test","Tested")</f>
        <v>No Test</v>
      </c>
      <c r="CH176" s="761">
        <f>WWWW[[#This Row],['#_Constructed/existing protected hand dug well]]-WWWW[[#This Row],['#_Non-functional protected hand dug well]]</f>
        <v>0</v>
      </c>
      <c r="CI176" s="761">
        <f>(WWWW[[#This Row],['#_Constructed/Existing tube wells/boreholes/handpumps_WASH_agency]]+WWWW[[#This Row],['#_Non-Cluster partner water tube-wells/boreholes/handpumps]])-WWWW[[#This Row],['#_Non-functional tube wells/boreholes/handpumps]]</f>
        <v>4</v>
      </c>
      <c r="CJ176" s="761">
        <f>WWWW[[#This Row],['#_Constructed/Existingwater storage tank with gravity fed reticulation system]]-WWWW[[#This Row],['#_Non-functional storage tank gravity fed reticulation system]]</f>
        <v>0</v>
      </c>
      <c r="CK176" s="761">
        <f>(WWWW[[#This Row],['#_Water_Liters_supplied_by_Water boating or water trucking]]/90)/15</f>
        <v>0</v>
      </c>
      <c r="CL176" s="761">
        <f>WWWW[[#This Row],['#_Water_Liters_from_Constructed/Existing water distribution system from river or natural spring]]/90/15</f>
        <v>0</v>
      </c>
      <c r="CM176" s="425">
        <f>IF(WWWW[[#This Row],['#_of water points in TLS/CFS]]*500&gt;WWWW[[#This Row],[Total PoP ]],WWWW[[#This Row],[Total PoP ]],WWWW[[#This Row],['#_of water points in TLS/CFS]]*500)</f>
        <v>83</v>
      </c>
      <c r="CN176" s="425">
        <f>IF(WWWW[[#This Row],['#_of water points in THF]]*500&gt;WWWW[[#This Row],[Total PoP ]],WWWW[[#This Row],[Total PoP ]],WWWW[[#This Row],['#_of water points in THF]]*500)</f>
        <v>0</v>
      </c>
      <c r="CO17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6" s="760">
        <f>IF(WWWW[[#This Row],[Location Type 1]]="Village",WWWW[[#This Row],[Access to safe drinking water for Village]],WWWW[[#This Row],[Access to safe drinking water for Camp]])</f>
        <v>1</v>
      </c>
      <c r="CR176" s="758">
        <f>WWWW[[#This Row],[%Equitable and continuous access to sufficient quantity of safe drinking water]]*WWWW[[#This Row],[Total PoP ]]</f>
        <v>83</v>
      </c>
      <c r="CS176" s="760">
        <f>IF((WWWW[[#This Row],['#_Constructed/Existing protected/fenced ponds]]*250)/WWWW[[#This Row],[Total PoP ]]&gt;1,1,(WWWW[[#This Row],['#_Constructed/Existing protected/fenced ponds]]*250)/WWWW[[#This Row],[Total PoP ]])</f>
        <v>1</v>
      </c>
      <c r="CT176" s="758">
        <f>WWWW[[#This Row],[% Access to unimproved water points]]*WWWW[[#This Row],[Total PoP ]]</f>
        <v>83</v>
      </c>
      <c r="CU17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v>
      </c>
      <c r="CW176" s="758">
        <f>WWWW[[#This Row],[HRP1]]/500</f>
        <v>0.16600000000000001</v>
      </c>
      <c r="CX176" s="763">
        <f>1-WWWW[[#This Row],[% Equitable and continuous access to sufficient quantity of domestic water]]</f>
        <v>0</v>
      </c>
      <c r="CY176" s="758">
        <f>WWWW[[#This Row],[%equitable and continuous access to sufficient quantity of safe drinking and domestic water''s GAP]]*WWWW[[#This Row],[Total PoP ]]</f>
        <v>0</v>
      </c>
      <c r="CZ176" s="761">
        <f>IF(WWWW[[#This Row],[Total required water points]]-WWWW[[#This Row],['#Water points coverage]]&lt;0,0,WWWW[[#This Row],[Total required water points]]-WWWW[[#This Row],['#Water points coverage]])</f>
        <v>0.83399999999999996</v>
      </c>
      <c r="DA176" s="761">
        <f>ROUND(IF(WWWW[[#This Row],[Total PoP ]]&lt;500,1,WWWW[[#This Row],[Total PoP ]]/500),0)</f>
        <v>1</v>
      </c>
      <c r="DB176" s="761">
        <f>(WWWW[[#This Row],['#_Constructed latrines_by_WASHAgencies]]+WWWW[[#This Row],['#_Non Cluster partner latrines]])-WWWW[[#This Row],['#_Non-functional latrines]]</f>
        <v>5</v>
      </c>
      <c r="DC176" s="634">
        <f>WWWW[[#This Row],[HRP2]]/WWWW[[#This Row],[Total PoP ]]</f>
        <v>1</v>
      </c>
      <c r="DD17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83</v>
      </c>
      <c r="DE17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14</v>
      </c>
      <c r="DG176" s="425">
        <f>IF(WWWW[[#This Row],['# of functional latrines in THF supported by WASH partners during the reporting period2]]="",0,WWWW[[#This Row],['# of functional latrines in THF supported by WASH partners during the reporting period2]]*50)</f>
        <v>0</v>
      </c>
      <c r="DH176" s="761">
        <f>ROUND(IF(WWWW[[#This Row],[Location Type 1]]="camp",WWWW[[#This Row],[Total PoP ]]/20,IF(WWWW[[#This Row],[Location Type 1]]="Temporary Location",WWWW[[#This Row],[Total PoP ]]/50,(WWWW[[#This Row],[Total PoP ]]/6))),0)</f>
        <v>4</v>
      </c>
      <c r="DI176" s="761">
        <f>IF(WWWW[[#This Row],[Total required Latrines]]-(WWWW[[#This Row],['#_Constructed latrines_by_WASHAgencies]]+WWWW[[#This Row],['#_Non Cluster partner latrines]])&lt;0,0,WWWW[[#This Row],[Total required Latrines]]-(WWWW[[#This Row],['#_Constructed latrines_by_WASHAgencies]]+WWWW[[#This Row],['#_Non Cluster partner latrines]]))</f>
        <v>0</v>
      </c>
      <c r="DJ176" s="763">
        <f>1-WWWW[[#This Row],[% people access to functioning Latrine]]</f>
        <v>0</v>
      </c>
      <c r="DK176" s="762">
        <f>IF(OR(WWWW[[#This Row],['#_Non-functional latrines]]="",WWWW[[#This Row],['#_Non-functional latrines]]=0),0,WWWW[[#This Row],['#_Non-functional latrines]]/(WWWW[[#This Row],['#_Constructed latrines_by_WASHAgencies]]+WWWW[[#This Row],['#_Non Cluster partner latrines]]))</f>
        <v>0</v>
      </c>
      <c r="DL176" s="758">
        <f>IF(500*(WWWW[[#This Row],['#_male hygiene promoters]]+WWWW[[#This Row],['#_female hygiene promoters]])&gt;WWWW[[#This Row],[Total PoP ]],WWWW[[#This Row],[Total PoP ]],500*(WWWW[[#This Row],['#_male hygiene promoters]]+WWWW[[#This Row],['#_female hygiene promoters]]))</f>
        <v>83</v>
      </c>
      <c r="DM17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7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76" s="761">
        <f>IF(WWWW[[#This Row],['# People with access to soap]]&gt;WWWW[[#This Row],['# People with access to Sanity Pads]],WWWW[[#This Row],['# People with access to soap]],WWWW[[#This Row],['# People with access to Sanity Pads]])</f>
        <v>50</v>
      </c>
      <c r="DP176" s="761">
        <f>IF(WWWW[[#This Row],['# people reached by regular dedicated hygiene promotion_5]]&gt;WWWW[[#This Row],['# People received regular supply of hygiene items_6]],WWWW[[#This Row],['# people reached by regular dedicated hygiene promotion_5]],WWWW[[#This Row],['# People received regular supply of hygiene items_6]])</f>
        <v>83</v>
      </c>
      <c r="DQ176" s="763">
        <f>IF(WWWW[[#This Row],[HRP3]]/WWWW[[#This Row],[Total PoP ]]&gt;1,1,WWWW[[#This Row],[HRP3]]/WWWW[[#This Row],[Total PoP ]])</f>
        <v>1</v>
      </c>
      <c r="DR176" s="762">
        <f>1-WWWW[[#This Row],[Hygiene Coverage%]]</f>
        <v>0</v>
      </c>
      <c r="DS176" s="760">
        <f>WWWW[[#This Row],['# people reached by regular dedicated hygiene promotion_5]]/WWWW[[#This Row],[Total PoP ]]</f>
        <v>1</v>
      </c>
      <c r="DT17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6" s="761">
        <f>WWWW[[#This Row],['#_Constructed/Existing hand washing stations]]-WWWW[[#This Row],['#_Non-Functional_hand_washing_stations]]</f>
        <v>3</v>
      </c>
      <c r="DW176" s="758">
        <f>IF(WWWW[[#This Row],['# Functional hand washing stations during reporting period]]*20&gt;WWWW[[#This Row],[Total HH]],WWWW[[#This Row],[Total HH]],WWWW[[#This Row],['# Functional hand washing stations during reporting period]]*20)</f>
        <v>16</v>
      </c>
      <c r="DX176" s="758">
        <f>IF(WWWW[[#This Row],[Is sufficient soap available for TLS? (Yes/No)]]="yes",WWWW[[#This Row],['#_Constructed/Existing hand washing stations at TLS/CFS/THF]],0)</f>
        <v>4</v>
      </c>
      <c r="DY176" s="429">
        <f>IF(WWWW[[#This Row],['# Functional hand washing stations during reporting period]]*100&gt;WWWW[[#This Row],[Total PoP ]],WWWW[[#This Row],[Total PoP ]],WWWW[[#This Row],['# Functional hand washing stations during reporting period]]*100)</f>
        <v>83</v>
      </c>
      <c r="DZ176" s="429" t="str">
        <f>IF(OR(WWWW[[#This Row],['#_students at TLS_CFS]]="",WWWW[[#This Row],['#_students at TLS_CFS]]=0),"No","Yes")</f>
        <v>Yes</v>
      </c>
      <c r="EA17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83</v>
      </c>
      <c r="ED17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6" s="754" t="str">
        <f>VLOOKUP(WWWW[[#This Row],[Site Name]],SiteDB6[[Site Name]:[CCCM Management]],6,FALSE)</f>
        <v>Yes</v>
      </c>
      <c r="EF176" s="754" t="str">
        <f>VLOOKUP(WWWW[[#This Row],[Site Name]],SiteDB6[[Site Name]:[CCCM Focal Agency]],7,FALSE)</f>
        <v>Shalom</v>
      </c>
      <c r="EG176" s="754" t="str">
        <f>VLOOKUP(WWWW[[#This Row],[Site Name]],SiteDB6[[Site Name]:[Location Type 1]],9,FALSE)</f>
        <v>Camp</v>
      </c>
      <c r="EH176" s="754" t="str">
        <f>VLOOKUP(WWWW[[#This Row],[Site Name]],SiteDB6[[Site Name]:[Type of Accommodation]],10,FALSE)</f>
        <v>Camp</v>
      </c>
      <c r="EI176" s="754" t="str">
        <f>VLOOKUP(WWWW[[#This Row],[Site Name]],SiteDB6[[Site Name]:[Ethnic or GCA/NGCA]],11,FALSE)</f>
        <v>GCA</v>
      </c>
      <c r="EJ176" s="754">
        <f>VLOOKUP(WWWW[[#This Row],[Site Name]],SiteDB6[[Site Name]:[Lat]],12,FALSE)</f>
        <v>25.417733999999999</v>
      </c>
      <c r="EK176" s="754">
        <f>VLOOKUP(WWWW[[#This Row],[Site Name]],SiteDB6[[Site Name]:[Long]],13,FALSE)</f>
        <v>97.389778000000007</v>
      </c>
      <c r="EL176" s="754" t="str">
        <f>VLOOKUP(WWWW[[#This Row],[Site Name]],SiteDB6[[Site Name]:[Pcode]],3,FALSE)</f>
        <v>MMR001CMP004</v>
      </c>
      <c r="EM176" s="759" t="str">
        <f t="shared" si="2"/>
        <v>Covered</v>
      </c>
      <c r="EN176" s="759"/>
      <c r="EO176" s="754">
        <f>VLOOKUP(WWWW[[#This Row],[Site Name]],SiteDB6[[Site Name]:[Pop
(Kachin/Shan-CCCM as of July 2021)]],16,FALSE)</f>
        <v>16</v>
      </c>
      <c r="EP176" s="754">
        <f>VLOOKUP(WWWW[[#This Row],[Site Name]],SiteDB6[[Site Name]:[Pop
(Kachin/Shan-CCCM as of July 2021)]],17,FALSE)</f>
        <v>83</v>
      </c>
    </row>
    <row r="177" spans="1:146" hidden="1">
      <c r="A177" s="752" t="s">
        <v>2785</v>
      </c>
      <c r="B177" s="752" t="s">
        <v>242</v>
      </c>
      <c r="C177" s="753" t="s">
        <v>242</v>
      </c>
      <c r="D177" s="753" t="s">
        <v>307</v>
      </c>
      <c r="E177" s="753" t="s">
        <v>37</v>
      </c>
      <c r="F177" s="753" t="s">
        <v>159</v>
      </c>
      <c r="G177" s="594" t="str">
        <f>VLOOKUP(WWWW[[#This Row],[Site Name]],SiteDB6[[Site Name]:[Location Type]],8,FALSE)</f>
        <v>Camp</v>
      </c>
      <c r="H177" s="753" t="s">
        <v>265</v>
      </c>
      <c r="I177" s="449">
        <v>26</v>
      </c>
      <c r="J177" s="449">
        <v>119</v>
      </c>
      <c r="K177" s="591">
        <v>44197</v>
      </c>
      <c r="L177" s="592">
        <v>44651</v>
      </c>
      <c r="M177" s="755"/>
      <c r="N177" s="755">
        <v>1</v>
      </c>
      <c r="O177" s="755"/>
      <c r="P177" s="755"/>
      <c r="Q177" s="758" t="s">
        <v>41</v>
      </c>
      <c r="R177" s="755">
        <v>1</v>
      </c>
      <c r="S177" s="755">
        <v>4</v>
      </c>
      <c r="T177" s="449">
        <v>1</v>
      </c>
      <c r="U177" s="755"/>
      <c r="V177" s="755"/>
      <c r="W177" s="755"/>
      <c r="X177" s="755"/>
      <c r="Y177" s="755"/>
      <c r="Z177" s="755"/>
      <c r="AA177" s="755"/>
      <c r="AB177" s="755"/>
      <c r="AC177" s="755"/>
      <c r="AD177" s="755"/>
      <c r="AE177" s="755"/>
      <c r="AF177" s="755"/>
      <c r="AG177" s="755"/>
      <c r="AH177" s="755"/>
      <c r="AI177" s="755"/>
      <c r="AJ177" s="755"/>
      <c r="AK177" s="755"/>
      <c r="AL177" s="755"/>
      <c r="AM177" s="755">
        <v>2</v>
      </c>
      <c r="AN177" s="755"/>
      <c r="AO177" s="755"/>
      <c r="AP177" s="759"/>
      <c r="AQ177" s="755">
        <v>2</v>
      </c>
      <c r="AR177" s="755">
        <v>5</v>
      </c>
      <c r="AS177" s="760" t="s">
        <v>2136</v>
      </c>
      <c r="AT177" s="755"/>
      <c r="AU177" s="755"/>
      <c r="AV177" s="755"/>
      <c r="AW177" s="755"/>
      <c r="AX177" s="755"/>
      <c r="AY177" s="754" t="s">
        <v>41</v>
      </c>
      <c r="AZ177" s="759" t="s">
        <v>137</v>
      </c>
      <c r="BA177" s="755"/>
      <c r="BB177" s="755"/>
      <c r="BC177" s="755"/>
      <c r="BD177" s="449"/>
      <c r="BE177" s="449"/>
      <c r="BF177" s="754"/>
      <c r="BG177" s="755">
        <v>7</v>
      </c>
      <c r="BH177" s="755"/>
      <c r="BI177" s="755"/>
      <c r="BJ177" s="755">
        <v>4</v>
      </c>
      <c r="BK177" s="755"/>
      <c r="BL177" s="755"/>
      <c r="BM177" s="755">
        <v>1</v>
      </c>
      <c r="BN177" s="449">
        <v>124</v>
      </c>
      <c r="BO177" s="755">
        <v>198</v>
      </c>
      <c r="BP177" s="754"/>
      <c r="BQ177" s="761"/>
      <c r="BR177" s="760"/>
      <c r="BS177" s="754"/>
      <c r="BT177" s="424"/>
      <c r="BU177" s="424"/>
      <c r="BV177" s="426">
        <v>60</v>
      </c>
      <c r="BW177" s="424">
        <v>0.5</v>
      </c>
      <c r="BX177" s="449"/>
      <c r="BY177" s="449"/>
      <c r="BZ177" s="449"/>
      <c r="CA177" s="449"/>
      <c r="CB177" s="449"/>
      <c r="CC177" s="807"/>
      <c r="CD177" s="449"/>
      <c r="CE177" s="762" t="str">
        <f>IFERROR(WWWW[[#This Row],['#_Water sources passed]]/WWWW[[#This Row],['#_Water sources tested for fecal coliform ]],"no test")</f>
        <v>no test</v>
      </c>
      <c r="CF177" s="760" t="str">
        <f>IFERROR(WWWW[[#This Row],['#_Household passed]]/WWWW[[#This Row],['#_Household water samples tested for fecal coliform]],"no test")</f>
        <v>no test</v>
      </c>
      <c r="CG177" s="761" t="str">
        <f>IF(AND(WWWW[[#This Row],[% of water sources passed]]="no test",WWWW[[#This Row],[% Household passed]]="no test"),"No Test","Tested")</f>
        <v>No Test</v>
      </c>
      <c r="CH177" s="761">
        <f>WWWW[[#This Row],['#_Constructed/existing protected hand dug well]]-WWWW[[#This Row],['#_Non-functional protected hand dug well]]</f>
        <v>1</v>
      </c>
      <c r="CI177" s="761">
        <f>(WWWW[[#This Row],['#_Constructed/Existing tube wells/boreholes/handpumps_WASH_agency]]+WWWW[[#This Row],['#_Non-Cluster partner water tube-wells/boreholes/handpumps]])-WWWW[[#This Row],['#_Non-functional tube wells/boreholes/handpumps]]</f>
        <v>0</v>
      </c>
      <c r="CJ177" s="761">
        <f>WWWW[[#This Row],['#_Constructed/Existingwater storage tank with gravity fed reticulation system]]-WWWW[[#This Row],['#_Non-functional storage tank gravity fed reticulation system]]</f>
        <v>0</v>
      </c>
      <c r="CK177" s="761">
        <f>(WWWW[[#This Row],['#_Water_Liters_supplied_by_Water boating or water trucking]]/90)/15</f>
        <v>0</v>
      </c>
      <c r="CL177" s="761">
        <f>WWWW[[#This Row],['#_Water_Liters_from_Constructed/Existing water distribution system from river or natural spring]]/90/15</f>
        <v>0</v>
      </c>
      <c r="CM177" s="425">
        <f>IF(WWWW[[#This Row],['#_of water points in TLS/CFS]]*500&gt;WWWW[[#This Row],[Total PoP ]],WWWW[[#This Row],[Total PoP ]],WWWW[[#This Row],['#_of water points in TLS/CFS]]*500)</f>
        <v>0</v>
      </c>
      <c r="CN177" s="425">
        <f>IF(WWWW[[#This Row],['#_of water points in THF]]*500&gt;WWWW[[#This Row],[Total PoP ]],WWWW[[#This Row],[Total PoP ]],WWWW[[#This Row],['#_of water points in THF]]*500)</f>
        <v>0</v>
      </c>
      <c r="CO17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7" s="760">
        <f>IF(WWWW[[#This Row],[Location Type 1]]="Village",WWWW[[#This Row],[Access to safe drinking water for Village]],WWWW[[#This Row],[Access to safe drinking water for Camp]])</f>
        <v>1</v>
      </c>
      <c r="CR177" s="758">
        <f>WWWW[[#This Row],[%Equitable and continuous access to sufficient quantity of safe drinking water]]*WWWW[[#This Row],[Total PoP ]]</f>
        <v>119</v>
      </c>
      <c r="CS177" s="760">
        <f>IF((WWWW[[#This Row],['#_Constructed/Existing protected/fenced ponds]]*250)/WWWW[[#This Row],[Total PoP ]]&gt;1,1,(WWWW[[#This Row],['#_Constructed/Existing protected/fenced ponds]]*250)/WWWW[[#This Row],[Total PoP ]])</f>
        <v>0</v>
      </c>
      <c r="CT177" s="758">
        <f>WWWW[[#This Row],[% Access to unimproved water points]]*WWWW[[#This Row],[Total PoP ]]</f>
        <v>0</v>
      </c>
      <c r="CU17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119</v>
      </c>
      <c r="CW177" s="758">
        <f>WWWW[[#This Row],[HRP1]]/500</f>
        <v>0.23799999999999999</v>
      </c>
      <c r="CX177" s="763">
        <f>1-WWWW[[#This Row],[% Equitable and continuous access to sufficient quantity of domestic water]]</f>
        <v>0</v>
      </c>
      <c r="CY177" s="758">
        <f>WWWW[[#This Row],[%equitable and continuous access to sufficient quantity of safe drinking and domestic water''s GAP]]*WWWW[[#This Row],[Total PoP ]]</f>
        <v>0</v>
      </c>
      <c r="CZ177" s="761">
        <f>IF(WWWW[[#This Row],[Total required water points]]-WWWW[[#This Row],['#Water points coverage]]&lt;0,0,WWWW[[#This Row],[Total required water points]]-WWWW[[#This Row],['#Water points coverage]])</f>
        <v>0.76200000000000001</v>
      </c>
      <c r="DA177" s="761">
        <f>ROUND(IF(WWWW[[#This Row],[Total PoP ]]&lt;500,1,WWWW[[#This Row],[Total PoP ]]/500),0)</f>
        <v>1</v>
      </c>
      <c r="DB177" s="761">
        <f>(WWWW[[#This Row],['#_Constructed latrines_by_WASHAgencies]]+WWWW[[#This Row],['#_Non Cluster partner latrines]])-WWWW[[#This Row],['#_Non-functional latrines]]</f>
        <v>7</v>
      </c>
      <c r="DC177" s="634">
        <f>WWWW[[#This Row],[HRP2]]/WWWW[[#This Row],[Total PoP ]]</f>
        <v>1</v>
      </c>
      <c r="DD17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119</v>
      </c>
      <c r="DE17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7" s="425">
        <f>IF(WWWW[[#This Row],['# of functional latrines in THF supported by WASH partners during the reporting period2]]="",0,WWWW[[#This Row],['# of functional latrines in THF supported by WASH partners during the reporting period2]]*50)</f>
        <v>0</v>
      </c>
      <c r="DH177" s="761">
        <f>ROUND(IF(WWWW[[#This Row],[Location Type 1]]="camp",WWWW[[#This Row],[Total PoP ]]/20,IF(WWWW[[#This Row],[Location Type 1]]="Temporary Location",WWWW[[#This Row],[Total PoP ]]/50,(WWWW[[#This Row],[Total PoP ]]/6))),0)</f>
        <v>6</v>
      </c>
      <c r="DI177" s="761">
        <f>IF(WWWW[[#This Row],[Total required Latrines]]-(WWWW[[#This Row],['#_Constructed latrines_by_WASHAgencies]]+WWWW[[#This Row],['#_Non Cluster partner latrines]])&lt;0,0,WWWW[[#This Row],[Total required Latrines]]-(WWWW[[#This Row],['#_Constructed latrines_by_WASHAgencies]]+WWWW[[#This Row],['#_Non Cluster partner latrines]]))</f>
        <v>0</v>
      </c>
      <c r="DJ177" s="763">
        <f>1-WWWW[[#This Row],[% people access to functioning Latrine]]</f>
        <v>0</v>
      </c>
      <c r="DK177" s="762">
        <f>IF(OR(WWWW[[#This Row],['#_Non-functional latrines]]="",WWWW[[#This Row],['#_Non-functional latrines]]=0),0,WWWW[[#This Row],['#_Non-functional latrines]]/(WWWW[[#This Row],['#_Constructed latrines_by_WASHAgencies]]+WWWW[[#This Row],['#_Non Cluster partner latrines]]))</f>
        <v>0</v>
      </c>
      <c r="DL177" s="758">
        <f>IF(500*(WWWW[[#This Row],['#_male hygiene promoters]]+WWWW[[#This Row],['#_female hygiene promoters]])&gt;WWWW[[#This Row],[Total PoP ]],WWWW[[#This Row],[Total PoP ]],500*(WWWW[[#This Row],['#_male hygiene promoters]]+WWWW[[#This Row],['#_female hygiene promoters]]))</f>
        <v>119</v>
      </c>
      <c r="DM17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119</v>
      </c>
      <c r="DN17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119</v>
      </c>
      <c r="DO177" s="761">
        <f>IF(WWWW[[#This Row],['# People with access to soap]]&gt;WWWW[[#This Row],['# People with access to Sanity Pads]],WWWW[[#This Row],['# People with access to soap]],WWWW[[#This Row],['# People with access to Sanity Pads]])</f>
        <v>119</v>
      </c>
      <c r="DP177" s="761">
        <f>IF(WWWW[[#This Row],['# people reached by regular dedicated hygiene promotion_5]]&gt;WWWW[[#This Row],['# People received regular supply of hygiene items_6]],WWWW[[#This Row],['# people reached by regular dedicated hygiene promotion_5]],WWWW[[#This Row],['# People received regular supply of hygiene items_6]])</f>
        <v>119</v>
      </c>
      <c r="DQ177" s="763">
        <f>IF(WWWW[[#This Row],[HRP3]]/WWWW[[#This Row],[Total PoP ]]&gt;1,1,WWWW[[#This Row],[HRP3]]/WWWW[[#This Row],[Total PoP ]])</f>
        <v>1</v>
      </c>
      <c r="DR177" s="762">
        <f>1-WWWW[[#This Row],[Hygiene Coverage%]]</f>
        <v>0</v>
      </c>
      <c r="DS177" s="760">
        <f>WWWW[[#This Row],['# people reached by regular dedicated hygiene promotion_5]]/WWWW[[#This Row],[Total PoP ]]</f>
        <v>1</v>
      </c>
      <c r="DT17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7" s="761">
        <f>WWWW[[#This Row],['#_Constructed/Existing hand washing stations]]-WWWW[[#This Row],['#_Non-Functional_hand_washing_stations]]</f>
        <v>7</v>
      </c>
      <c r="DW177" s="758">
        <f>IF(WWWW[[#This Row],['# Functional hand washing stations during reporting period]]*20&gt;WWWW[[#This Row],[Total HH]],WWWW[[#This Row],[Total HH]],WWWW[[#This Row],['# Functional hand washing stations during reporting period]]*20)</f>
        <v>26</v>
      </c>
      <c r="DX177" s="758">
        <f>IF(WWWW[[#This Row],[Is sufficient soap available for TLS? (Yes/No)]]="yes",WWWW[[#This Row],['#_Constructed/Existing hand washing stations at TLS/CFS/THF]],0)</f>
        <v>0</v>
      </c>
      <c r="DY177" s="429">
        <f>IF(WWWW[[#This Row],['# Functional hand washing stations during reporting period]]*100&gt;WWWW[[#This Row],[Total PoP ]],WWWW[[#This Row],[Total PoP ]],WWWW[[#This Row],['# Functional hand washing stations during reporting period]]*100)</f>
        <v>119</v>
      </c>
      <c r="DZ177" s="429" t="str">
        <f>IF(OR(WWWW[[#This Row],['#_students at TLS_CFS]]="",WWWW[[#This Row],['#_students at TLS_CFS]]=0),"No","Yes")</f>
        <v>No</v>
      </c>
      <c r="EA177" s="634">
        <f>IF(WWWW[[#This Row],['#_of_affected_people_surveyed_who_report_feeling_informed_about_the_different_WASH_services_available_to_them]]="","",WWWW[[#This Row],['#_of_affected_people_surveyed_who_report_feeling_informed_about_the_different_WASH_services_available_to_them]]/WWWW[[#This Row],[Total PoP ]])</f>
        <v>0.50420168067226889</v>
      </c>
      <c r="EB17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7" s="754" t="str">
        <f>VLOOKUP(WWWW[[#This Row],[Site Name]],SiteDB6[[Site Name]:[CCCM Management]],6,FALSE)</f>
        <v>Yes</v>
      </c>
      <c r="EF177" s="754" t="str">
        <f>VLOOKUP(WWWW[[#This Row],[Site Name]],SiteDB6[[Site Name]:[CCCM Focal Agency]],7,FALSE)</f>
        <v>Shalom</v>
      </c>
      <c r="EG177" s="754" t="str">
        <f>VLOOKUP(WWWW[[#This Row],[Site Name]],SiteDB6[[Site Name]:[Location Type 1]],9,FALSE)</f>
        <v>Camp</v>
      </c>
      <c r="EH177" s="754" t="str">
        <f>VLOOKUP(WWWW[[#This Row],[Site Name]],SiteDB6[[Site Name]:[Type of Accommodation]],10,FALSE)</f>
        <v>Camp</v>
      </c>
      <c r="EI177" s="754" t="str">
        <f>VLOOKUP(WWWW[[#This Row],[Site Name]],SiteDB6[[Site Name]:[Ethnic or GCA/NGCA]],11,FALSE)</f>
        <v>GCA</v>
      </c>
      <c r="EJ177" s="754">
        <f>VLOOKUP(WWWW[[#This Row],[Site Name]],SiteDB6[[Site Name]:[Lat]],12,FALSE)</f>
        <v>25.423817</v>
      </c>
      <c r="EK177" s="754">
        <f>VLOOKUP(WWWW[[#This Row],[Site Name]],SiteDB6[[Site Name]:[Long]],13,FALSE)</f>
        <v>97.418004999999994</v>
      </c>
      <c r="EL177" s="754" t="str">
        <f>VLOOKUP(WWWW[[#This Row],[Site Name]],SiteDB6[[Site Name]:[Pcode]],3,FALSE)</f>
        <v>MMR001CMP007</v>
      </c>
      <c r="EM177" s="759" t="str">
        <f t="shared" si="2"/>
        <v>Covered</v>
      </c>
      <c r="EN177" s="759"/>
      <c r="EO177" s="754">
        <f>VLOOKUP(WWWW[[#This Row],[Site Name]],SiteDB6[[Site Name]:[Pop
(Kachin/Shan-CCCM as of July 2021)]],16,FALSE)</f>
        <v>26</v>
      </c>
      <c r="EP177" s="754">
        <f>VLOOKUP(WWWW[[#This Row],[Site Name]],SiteDB6[[Site Name]:[Pop
(Kachin/Shan-CCCM as of July 2021)]],17,FALSE)</f>
        <v>119</v>
      </c>
    </row>
    <row r="178" spans="1:146" hidden="1">
      <c r="A178" s="752" t="s">
        <v>2785</v>
      </c>
      <c r="B178" s="752" t="s">
        <v>242</v>
      </c>
      <c r="C178" s="753" t="s">
        <v>242</v>
      </c>
      <c r="D178" s="753" t="s">
        <v>307</v>
      </c>
      <c r="E178" s="753" t="s">
        <v>37</v>
      </c>
      <c r="F178" s="753" t="s">
        <v>159</v>
      </c>
      <c r="G178" s="594" t="str">
        <f>VLOOKUP(WWWW[[#This Row],[Site Name]],SiteDB6[[Site Name]:[Location Type]],8,FALSE)</f>
        <v>Camp</v>
      </c>
      <c r="H178" s="753" t="s">
        <v>266</v>
      </c>
      <c r="I178" s="449">
        <v>56</v>
      </c>
      <c r="J178" s="449">
        <v>262</v>
      </c>
      <c r="K178" s="591">
        <v>44197</v>
      </c>
      <c r="L178" s="592">
        <v>44651</v>
      </c>
      <c r="M178" s="449">
        <v>68</v>
      </c>
      <c r="N178" s="755">
        <v>1</v>
      </c>
      <c r="O178" s="755"/>
      <c r="P178" s="755"/>
      <c r="Q178" s="758" t="s">
        <v>41</v>
      </c>
      <c r="R178" s="755">
        <v>2</v>
      </c>
      <c r="S178" s="755">
        <v>5</v>
      </c>
      <c r="T178" s="449">
        <v>1</v>
      </c>
      <c r="U178" s="755"/>
      <c r="V178" s="755"/>
      <c r="W178" s="449">
        <v>5</v>
      </c>
      <c r="X178" s="449">
        <v>1</v>
      </c>
      <c r="Y178" s="449">
        <v>1</v>
      </c>
      <c r="Z178" s="755">
        <v>4</v>
      </c>
      <c r="AA178" s="755"/>
      <c r="AB178" s="755"/>
      <c r="AC178" s="755"/>
      <c r="AD178" s="755"/>
      <c r="AE178" s="449">
        <v>5</v>
      </c>
      <c r="AF178" s="755"/>
      <c r="AG178" s="755"/>
      <c r="AH178" s="755"/>
      <c r="AI178" s="755"/>
      <c r="AJ178" s="755"/>
      <c r="AK178" s="755"/>
      <c r="AL178" s="755"/>
      <c r="AM178" s="755">
        <v>4</v>
      </c>
      <c r="AN178" s="755"/>
      <c r="AO178" s="755"/>
      <c r="AP178" s="593" t="s">
        <v>2902</v>
      </c>
      <c r="AQ178" s="755">
        <v>19</v>
      </c>
      <c r="AR178" s="755"/>
      <c r="AS178" s="760"/>
      <c r="AT178" s="755"/>
      <c r="AU178" s="755"/>
      <c r="AV178" s="755"/>
      <c r="AW178" s="755"/>
      <c r="AX178" s="755"/>
      <c r="AY178" s="754" t="s">
        <v>41</v>
      </c>
      <c r="AZ178" s="759" t="s">
        <v>137</v>
      </c>
      <c r="BA178" s="755"/>
      <c r="BB178" s="755"/>
      <c r="BC178" s="755"/>
      <c r="BD178" s="449"/>
      <c r="BE178" s="449">
        <v>8</v>
      </c>
      <c r="BF178" s="754"/>
      <c r="BG178" s="755">
        <v>3</v>
      </c>
      <c r="BH178" s="755"/>
      <c r="BI178" s="755"/>
      <c r="BJ178" s="755">
        <v>2</v>
      </c>
      <c r="BK178" s="755"/>
      <c r="BL178" s="755"/>
      <c r="BM178" s="755">
        <v>1</v>
      </c>
      <c r="BN178" s="449">
        <v>88</v>
      </c>
      <c r="BO178" s="449">
        <v>100</v>
      </c>
      <c r="BP178" s="754" t="s">
        <v>41</v>
      </c>
      <c r="BQ178" s="761">
        <v>1</v>
      </c>
      <c r="BR178" s="760">
        <v>0.4</v>
      </c>
      <c r="BS178" s="754"/>
      <c r="BT178" s="424">
        <v>1</v>
      </c>
      <c r="BU178" s="424">
        <v>1</v>
      </c>
      <c r="BV178" s="426"/>
      <c r="BW178" s="424">
        <v>0.7</v>
      </c>
      <c r="BX178" s="449"/>
      <c r="BY178" s="449"/>
      <c r="BZ178" s="449"/>
      <c r="CA178" s="449"/>
      <c r="CB178" s="449"/>
      <c r="CC178" s="807"/>
      <c r="CD178" s="449"/>
      <c r="CE178" s="762" t="str">
        <f>IFERROR(WWWW[[#This Row],['#_Water sources passed]]/WWWW[[#This Row],['#_Water sources tested for fecal coliform ]],"no test")</f>
        <v>no test</v>
      </c>
      <c r="CF178" s="760" t="str">
        <f>IFERROR(WWWW[[#This Row],['#_Household passed]]/WWWW[[#This Row],['#_Household water samples tested for fecal coliform]],"no test")</f>
        <v>no test</v>
      </c>
      <c r="CG178" s="761" t="str">
        <f>IF(AND(WWWW[[#This Row],[% of water sources passed]]="no test",WWWW[[#This Row],[% Household passed]]="no test"),"No Test","Tested")</f>
        <v>No Test</v>
      </c>
      <c r="CH178" s="761">
        <f>WWWW[[#This Row],['#_Constructed/existing protected hand dug well]]-WWWW[[#This Row],['#_Non-functional protected hand dug well]]</f>
        <v>1</v>
      </c>
      <c r="CI178" s="761">
        <f>(WWWW[[#This Row],['#_Constructed/Existing tube wells/boreholes/handpumps_WASH_agency]]+WWWW[[#This Row],['#_Non-Cluster partner water tube-wells/boreholes/handpumps]])-WWWW[[#This Row],['#_Non-functional tube wells/boreholes/handpumps]]</f>
        <v>5</v>
      </c>
      <c r="CJ178" s="761">
        <f>WWWW[[#This Row],['#_Constructed/Existingwater storage tank with gravity fed reticulation system]]-WWWW[[#This Row],['#_Non-functional storage tank gravity fed reticulation system]]</f>
        <v>0</v>
      </c>
      <c r="CK178" s="761">
        <f>(WWWW[[#This Row],['#_Water_Liters_supplied_by_Water boating or water trucking]]/90)/15</f>
        <v>0</v>
      </c>
      <c r="CL178" s="761">
        <f>WWWW[[#This Row],['#_Water_Liters_from_Constructed/Existing water distribution system from river or natural spring]]/90/15</f>
        <v>0</v>
      </c>
      <c r="CM178" s="425">
        <f>IF(WWWW[[#This Row],['#_of water points in TLS/CFS]]*500&gt;WWWW[[#This Row],[Total PoP ]],WWWW[[#This Row],[Total PoP ]],WWWW[[#This Row],['#_of water points in TLS/CFS]]*500)</f>
        <v>0</v>
      </c>
      <c r="CN178" s="425">
        <f>IF(WWWW[[#This Row],['#_of water points in THF]]*500&gt;WWWW[[#This Row],[Total PoP ]],WWWW[[#This Row],[Total PoP ]],WWWW[[#This Row],['#_of water points in THF]]*500)</f>
        <v>0</v>
      </c>
      <c r="CO17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8" s="760">
        <f>IF(WWWW[[#This Row],[Location Type 1]]="Village",WWWW[[#This Row],[Access to safe drinking water for Village]],WWWW[[#This Row],[Access to safe drinking water for Camp]])</f>
        <v>1</v>
      </c>
      <c r="CR178" s="758">
        <f>WWWW[[#This Row],[%Equitable and continuous access to sufficient quantity of safe drinking water]]*WWWW[[#This Row],[Total PoP ]]</f>
        <v>262</v>
      </c>
      <c r="CS178" s="760">
        <f>IF((WWWW[[#This Row],['#_Constructed/Existing protected/fenced ponds]]*250)/WWWW[[#This Row],[Total PoP ]]&gt;1,1,(WWWW[[#This Row],['#_Constructed/Existing protected/fenced ponds]]*250)/WWWW[[#This Row],[Total PoP ]])</f>
        <v>1</v>
      </c>
      <c r="CT178" s="758">
        <f>WWWW[[#This Row],[% Access to unimproved water points]]*WWWW[[#This Row],[Total PoP ]]</f>
        <v>262</v>
      </c>
      <c r="CU17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v>
      </c>
      <c r="CW178" s="758">
        <f>WWWW[[#This Row],[HRP1]]/500</f>
        <v>0.52400000000000002</v>
      </c>
      <c r="CX178" s="763">
        <f>1-WWWW[[#This Row],[% Equitable and continuous access to sufficient quantity of domestic water]]</f>
        <v>0</v>
      </c>
      <c r="CY178" s="758">
        <f>WWWW[[#This Row],[%equitable and continuous access to sufficient quantity of safe drinking and domestic water''s GAP]]*WWWW[[#This Row],[Total PoP ]]</f>
        <v>0</v>
      </c>
      <c r="CZ178" s="761">
        <f>IF(WWWW[[#This Row],[Total required water points]]-WWWW[[#This Row],['#Water points coverage]]&lt;0,0,WWWW[[#This Row],[Total required water points]]-WWWW[[#This Row],['#Water points coverage]])</f>
        <v>0.47599999999999998</v>
      </c>
      <c r="DA178" s="761">
        <f>ROUND(IF(WWWW[[#This Row],[Total PoP ]]&lt;500,1,WWWW[[#This Row],[Total PoP ]]/500),0)</f>
        <v>1</v>
      </c>
      <c r="DB178" s="761">
        <f>(WWWW[[#This Row],['#_Constructed latrines_by_WASHAgencies]]+WWWW[[#This Row],['#_Non Cluster partner latrines]])-WWWW[[#This Row],['#_Non-functional latrines]]</f>
        <v>19</v>
      </c>
      <c r="DC178" s="634">
        <f>WWWW[[#This Row],[HRP2]]/WWWW[[#This Row],[Total PoP ]]</f>
        <v>1</v>
      </c>
      <c r="DD17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262</v>
      </c>
      <c r="DE17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8" s="425">
        <f>IF(WWWW[[#This Row],['# of functional latrines in THF supported by WASH partners during the reporting period2]]="",0,WWWW[[#This Row],['# of functional latrines in THF supported by WASH partners during the reporting period2]]*50)</f>
        <v>0</v>
      </c>
      <c r="DH178" s="761">
        <f>ROUND(IF(WWWW[[#This Row],[Location Type 1]]="camp",WWWW[[#This Row],[Total PoP ]]/20,IF(WWWW[[#This Row],[Location Type 1]]="Temporary Location",WWWW[[#This Row],[Total PoP ]]/50,(WWWW[[#This Row],[Total PoP ]]/6))),0)</f>
        <v>13</v>
      </c>
      <c r="DI178" s="761">
        <f>IF(WWWW[[#This Row],[Total required Latrines]]-(WWWW[[#This Row],['#_Constructed latrines_by_WASHAgencies]]+WWWW[[#This Row],['#_Non Cluster partner latrines]])&lt;0,0,WWWW[[#This Row],[Total required Latrines]]-(WWWW[[#This Row],['#_Constructed latrines_by_WASHAgencies]]+WWWW[[#This Row],['#_Non Cluster partner latrines]]))</f>
        <v>0</v>
      </c>
      <c r="DJ178" s="763">
        <f>1-WWWW[[#This Row],[% people access to functioning Latrine]]</f>
        <v>0</v>
      </c>
      <c r="DK178" s="762">
        <f>IF(OR(WWWW[[#This Row],['#_Non-functional latrines]]="",WWWW[[#This Row],['#_Non-functional latrines]]=0),0,WWWW[[#This Row],['#_Non-functional latrines]]/(WWWW[[#This Row],['#_Constructed latrines_by_WASHAgencies]]+WWWW[[#This Row],['#_Non Cluster partner latrines]]))</f>
        <v>0</v>
      </c>
      <c r="DL178" s="758">
        <f>IF(500*(WWWW[[#This Row],['#_male hygiene promoters]]+WWWW[[#This Row],['#_female hygiene promoters]])&gt;WWWW[[#This Row],[Total PoP ]],WWWW[[#This Row],[Total PoP ]],500*(WWWW[[#This Row],['#_male hygiene promoters]]+WWWW[[#This Row],['#_female hygiene promoters]]))</f>
        <v>262</v>
      </c>
      <c r="DM17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262</v>
      </c>
      <c r="DN17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78" s="761">
        <f>IF(WWWW[[#This Row],['# People with access to soap]]&gt;WWWW[[#This Row],['# People with access to Sanity Pads]],WWWW[[#This Row],['# People with access to soap]],WWWW[[#This Row],['# People with access to Sanity Pads]])</f>
        <v>262</v>
      </c>
      <c r="DP178" s="761">
        <f>IF(WWWW[[#This Row],['# people reached by regular dedicated hygiene promotion_5]]&gt;WWWW[[#This Row],['# People received regular supply of hygiene items_6]],WWWW[[#This Row],['# people reached by regular dedicated hygiene promotion_5]],WWWW[[#This Row],['# People received regular supply of hygiene items_6]])</f>
        <v>262</v>
      </c>
      <c r="DQ178" s="763">
        <f>IF(WWWW[[#This Row],[HRP3]]/WWWW[[#This Row],[Total PoP ]]&gt;1,1,WWWW[[#This Row],[HRP3]]/WWWW[[#This Row],[Total PoP ]])</f>
        <v>1</v>
      </c>
      <c r="DR178" s="762">
        <f>1-WWWW[[#This Row],[Hygiene Coverage%]]</f>
        <v>0</v>
      </c>
      <c r="DS178" s="760">
        <f>WWWW[[#This Row],['# people reached by regular dedicated hygiene promotion_5]]/WWWW[[#This Row],[Total PoP ]]</f>
        <v>1</v>
      </c>
      <c r="DT17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8" s="761">
        <f>WWWW[[#This Row],['#_Constructed/Existing hand washing stations]]-WWWW[[#This Row],['#_Non-Functional_hand_washing_stations]]</f>
        <v>3</v>
      </c>
      <c r="DW178" s="758">
        <f>IF(WWWW[[#This Row],['# Functional hand washing stations during reporting period]]*20&gt;WWWW[[#This Row],[Total HH]],WWWW[[#This Row],[Total HH]],WWWW[[#This Row],['# Functional hand washing stations during reporting period]]*20)</f>
        <v>56</v>
      </c>
      <c r="DX178" s="758">
        <f>IF(WWWW[[#This Row],[Is sufficient soap available for TLS? (Yes/No)]]="yes",WWWW[[#This Row],['#_Constructed/Existing hand washing stations at TLS/CFS/THF]],0)</f>
        <v>4</v>
      </c>
      <c r="DY178" s="429">
        <f>IF(WWWW[[#This Row],['# Functional hand washing stations during reporting period]]*100&gt;WWWW[[#This Row],[Total PoP ]],WWWW[[#This Row],[Total PoP ]],WWWW[[#This Row],['# Functional hand washing stations during reporting period]]*100)</f>
        <v>262</v>
      </c>
      <c r="DZ178" s="429" t="str">
        <f>IF(OR(WWWW[[#This Row],['#_students at TLS_CFS]]="",WWWW[[#This Row],['#_students at TLS_CFS]]=0),"No","Yes")</f>
        <v>Yes</v>
      </c>
      <c r="EA17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7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78" s="754" t="str">
        <f>VLOOKUP(WWWW[[#This Row],[Site Name]],SiteDB6[[Site Name]:[CCCM Management]],6,FALSE)</f>
        <v>Yes</v>
      </c>
      <c r="EF178" s="754" t="str">
        <f>VLOOKUP(WWWW[[#This Row],[Site Name]],SiteDB6[[Site Name]:[CCCM Focal Agency]],7,FALSE)</f>
        <v>Shalom</v>
      </c>
      <c r="EG178" s="754" t="str">
        <f>VLOOKUP(WWWW[[#This Row],[Site Name]],SiteDB6[[Site Name]:[Location Type 1]],9,FALSE)</f>
        <v>Camp</v>
      </c>
      <c r="EH178" s="754" t="str">
        <f>VLOOKUP(WWWW[[#This Row],[Site Name]],SiteDB6[[Site Name]:[Type of Accommodation]],10,FALSE)</f>
        <v>Camp</v>
      </c>
      <c r="EI178" s="754" t="str">
        <f>VLOOKUP(WWWW[[#This Row],[Site Name]],SiteDB6[[Site Name]:[Ethnic or GCA/NGCA]],11,FALSE)</f>
        <v>GCA</v>
      </c>
      <c r="EJ178" s="754">
        <f>VLOOKUP(WWWW[[#This Row],[Site Name]],SiteDB6[[Site Name]:[Lat]],12,FALSE)</f>
        <v>25.423209</v>
      </c>
      <c r="EK178" s="754">
        <f>VLOOKUP(WWWW[[#This Row],[Site Name]],SiteDB6[[Site Name]:[Long]],13,FALSE)</f>
        <v>97.379987</v>
      </c>
      <c r="EL178" s="754" t="str">
        <f>VLOOKUP(WWWW[[#This Row],[Site Name]],SiteDB6[[Site Name]:[Pcode]],3,FALSE)</f>
        <v>MMR001CMP023</v>
      </c>
      <c r="EM178" s="759" t="str">
        <f t="shared" si="2"/>
        <v>Covered</v>
      </c>
      <c r="EN178" s="759"/>
      <c r="EO178" s="754">
        <f>VLOOKUP(WWWW[[#This Row],[Site Name]],SiteDB6[[Site Name]:[Pop
(Kachin/Shan-CCCM as of July 2021)]],16,FALSE)</f>
        <v>56</v>
      </c>
      <c r="EP178" s="754">
        <f>VLOOKUP(WWWW[[#This Row],[Site Name]],SiteDB6[[Site Name]:[Pop
(Kachin/Shan-CCCM as of July 2021)]],17,FALSE)</f>
        <v>266</v>
      </c>
    </row>
    <row r="179" spans="1:146" hidden="1">
      <c r="A179" s="752" t="s">
        <v>2785</v>
      </c>
      <c r="B179" s="752" t="s">
        <v>242</v>
      </c>
      <c r="C179" s="753" t="s">
        <v>242</v>
      </c>
      <c r="D179" s="753" t="s">
        <v>307</v>
      </c>
      <c r="E179" s="753" t="s">
        <v>37</v>
      </c>
      <c r="F179" s="753" t="s">
        <v>142</v>
      </c>
      <c r="G179" s="594" t="str">
        <f>VLOOKUP(WWWW[[#This Row],[Site Name]],SiteDB6[[Site Name]:[Location Type]],8,FALSE)</f>
        <v>Camp</v>
      </c>
      <c r="H179" s="753" t="s">
        <v>268</v>
      </c>
      <c r="I179" s="449">
        <v>59</v>
      </c>
      <c r="J179" s="449">
        <v>291</v>
      </c>
      <c r="K179" s="591">
        <v>44197</v>
      </c>
      <c r="L179" s="592">
        <v>44651</v>
      </c>
      <c r="M179" s="755"/>
      <c r="N179" s="755">
        <v>1</v>
      </c>
      <c r="O179" s="755"/>
      <c r="P179" s="755"/>
      <c r="Q179" s="758" t="s">
        <v>41</v>
      </c>
      <c r="R179" s="755">
        <v>4</v>
      </c>
      <c r="S179" s="755">
        <v>2</v>
      </c>
      <c r="T179" s="449">
        <v>2</v>
      </c>
      <c r="U179" s="755"/>
      <c r="V179" s="755"/>
      <c r="W179" s="755"/>
      <c r="X179" s="755"/>
      <c r="Y179" s="755"/>
      <c r="Z179" s="755"/>
      <c r="AA179" s="755"/>
      <c r="AB179" s="755"/>
      <c r="AC179" s="755"/>
      <c r="AD179" s="755"/>
      <c r="AE179" s="755"/>
      <c r="AF179" s="755"/>
      <c r="AG179" s="755"/>
      <c r="AH179" s="755"/>
      <c r="AI179" s="755"/>
      <c r="AJ179" s="755"/>
      <c r="AK179" s="755"/>
      <c r="AL179" s="755"/>
      <c r="AM179" s="755"/>
      <c r="AN179" s="755"/>
      <c r="AO179" s="755"/>
      <c r="AP179" s="759"/>
      <c r="AQ179" s="755">
        <v>24</v>
      </c>
      <c r="AR179" s="755">
        <v>20</v>
      </c>
      <c r="AS179" s="760" t="s">
        <v>2137</v>
      </c>
      <c r="AT179" s="755"/>
      <c r="AU179" s="755"/>
      <c r="AV179" s="755"/>
      <c r="AW179" s="755"/>
      <c r="AX179" s="755"/>
      <c r="AY179" s="754" t="s">
        <v>41</v>
      </c>
      <c r="AZ179" s="759" t="s">
        <v>137</v>
      </c>
      <c r="BA179" s="755"/>
      <c r="BB179" s="755"/>
      <c r="BC179" s="755"/>
      <c r="BD179" s="449">
        <v>4</v>
      </c>
      <c r="BE179" s="449"/>
      <c r="BF179" s="754"/>
      <c r="BG179" s="755">
        <v>1</v>
      </c>
      <c r="BH179" s="755"/>
      <c r="BI179" s="755"/>
      <c r="BJ179" s="755">
        <v>3</v>
      </c>
      <c r="BK179" s="755"/>
      <c r="BL179" s="449">
        <v>1</v>
      </c>
      <c r="BM179" s="449"/>
      <c r="BN179" s="449">
        <v>41</v>
      </c>
      <c r="BO179" s="755">
        <v>85</v>
      </c>
      <c r="BP179" s="426"/>
      <c r="BQ179" s="761"/>
      <c r="BR179" s="424">
        <v>0.45</v>
      </c>
      <c r="BS179" s="426"/>
      <c r="BT179" s="424">
        <v>0.9</v>
      </c>
      <c r="BU179" s="424">
        <v>0.9</v>
      </c>
      <c r="BV179" s="426"/>
      <c r="BW179" s="424">
        <v>0.95</v>
      </c>
      <c r="BX179" s="449"/>
      <c r="BY179" s="449">
        <v>59</v>
      </c>
      <c r="BZ179" s="449"/>
      <c r="CA179" s="449"/>
      <c r="CB179" s="449"/>
      <c r="CC179" s="807"/>
      <c r="CD179" s="449"/>
      <c r="CE179" s="762" t="str">
        <f>IFERROR(WWWW[[#This Row],['#_Water sources passed]]/WWWW[[#This Row],['#_Water sources tested for fecal coliform ]],"no test")</f>
        <v>no test</v>
      </c>
      <c r="CF179" s="760" t="str">
        <f>IFERROR(WWWW[[#This Row],['#_Household passed]]/WWWW[[#This Row],['#_Household water samples tested for fecal coliform]],"no test")</f>
        <v>no test</v>
      </c>
      <c r="CG179" s="761" t="str">
        <f>IF(AND(WWWW[[#This Row],[% of water sources passed]]="no test",WWWW[[#This Row],[% Household passed]]="no test"),"No Test","Tested")</f>
        <v>No Test</v>
      </c>
      <c r="CH179" s="761">
        <f>WWWW[[#This Row],['#_Constructed/existing protected hand dug well]]-WWWW[[#This Row],['#_Non-functional protected hand dug well]]</f>
        <v>2</v>
      </c>
      <c r="CI179" s="761">
        <f>(WWWW[[#This Row],['#_Constructed/Existing tube wells/boreholes/handpumps_WASH_agency]]+WWWW[[#This Row],['#_Non-Cluster partner water tube-wells/boreholes/handpumps]])-WWWW[[#This Row],['#_Non-functional tube wells/boreholes/handpumps]]</f>
        <v>0</v>
      </c>
      <c r="CJ179" s="761">
        <f>WWWW[[#This Row],['#_Constructed/Existingwater storage tank with gravity fed reticulation system]]-WWWW[[#This Row],['#_Non-functional storage tank gravity fed reticulation system]]</f>
        <v>0</v>
      </c>
      <c r="CK179" s="761">
        <f>(WWWW[[#This Row],['#_Water_Liters_supplied_by_Water boating or water trucking]]/90)/15</f>
        <v>0</v>
      </c>
      <c r="CL179" s="761">
        <f>WWWW[[#This Row],['#_Water_Liters_from_Constructed/Existing water distribution system from river or natural spring]]/90/15</f>
        <v>0</v>
      </c>
      <c r="CM179" s="425">
        <f>IF(WWWW[[#This Row],['#_of water points in TLS/CFS]]*500&gt;WWWW[[#This Row],[Total PoP ]],WWWW[[#This Row],[Total PoP ]],WWWW[[#This Row],['#_of water points in TLS/CFS]]*500)</f>
        <v>0</v>
      </c>
      <c r="CN179" s="425">
        <f>IF(WWWW[[#This Row],['#_of water points in THF]]*500&gt;WWWW[[#This Row],[Total PoP ]],WWWW[[#This Row],[Total PoP ]],WWWW[[#This Row],['#_of water points in THF]]*500)</f>
        <v>0</v>
      </c>
      <c r="CO17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7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79" s="760">
        <f>IF(WWWW[[#This Row],[Location Type 1]]="Village",WWWW[[#This Row],[Access to safe drinking water for Village]],WWWW[[#This Row],[Access to safe drinking water for Camp]])</f>
        <v>1</v>
      </c>
      <c r="CR179" s="758">
        <f>WWWW[[#This Row],[%Equitable and continuous access to sufficient quantity of safe drinking water]]*WWWW[[#This Row],[Total PoP ]]</f>
        <v>291</v>
      </c>
      <c r="CS179" s="760">
        <f>IF((WWWW[[#This Row],['#_Constructed/Existing protected/fenced ponds]]*250)/WWWW[[#This Row],[Total PoP ]]&gt;1,1,(WWWW[[#This Row],['#_Constructed/Existing protected/fenced ponds]]*250)/WWWW[[#This Row],[Total PoP ]])</f>
        <v>0</v>
      </c>
      <c r="CT179" s="758">
        <f>WWWW[[#This Row],[% Access to unimproved water points]]*WWWW[[#This Row],[Total PoP ]]</f>
        <v>0</v>
      </c>
      <c r="CU17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7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179" s="758">
        <f>WWWW[[#This Row],[HRP1]]/500</f>
        <v>0.58199999999999996</v>
      </c>
      <c r="CX179" s="763">
        <f>1-WWWW[[#This Row],[% Equitable and continuous access to sufficient quantity of domestic water]]</f>
        <v>0</v>
      </c>
      <c r="CY179" s="758">
        <f>WWWW[[#This Row],[%equitable and continuous access to sufficient quantity of safe drinking and domestic water''s GAP]]*WWWW[[#This Row],[Total PoP ]]</f>
        <v>0</v>
      </c>
      <c r="CZ179" s="761">
        <f>IF(WWWW[[#This Row],[Total required water points]]-WWWW[[#This Row],['#Water points coverage]]&lt;0,0,WWWW[[#This Row],[Total required water points]]-WWWW[[#This Row],['#Water points coverage]])</f>
        <v>0.41800000000000004</v>
      </c>
      <c r="DA179" s="761">
        <f>ROUND(IF(WWWW[[#This Row],[Total PoP ]]&lt;500,1,WWWW[[#This Row],[Total PoP ]]/500),0)</f>
        <v>1</v>
      </c>
      <c r="DB179" s="761">
        <f>(WWWW[[#This Row],['#_Constructed latrines_by_WASHAgencies]]+WWWW[[#This Row],['#_Non Cluster partner latrines]])-WWWW[[#This Row],['#_Non-functional latrines]]</f>
        <v>44</v>
      </c>
      <c r="DC179" s="634">
        <f>WWWW[[#This Row],[HRP2]]/WWWW[[#This Row],[Total PoP ]]</f>
        <v>1</v>
      </c>
      <c r="DD17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17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7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79" s="425">
        <f>IF(WWWW[[#This Row],['# of functional latrines in THF supported by WASH partners during the reporting period2]]="",0,WWWW[[#This Row],['# of functional latrines in THF supported by WASH partners during the reporting period2]]*50)</f>
        <v>200</v>
      </c>
      <c r="DH179" s="761">
        <f>ROUND(IF(WWWW[[#This Row],[Location Type 1]]="camp",WWWW[[#This Row],[Total PoP ]]/20,IF(WWWW[[#This Row],[Location Type 1]]="Temporary Location",WWWW[[#This Row],[Total PoP ]]/50,(WWWW[[#This Row],[Total PoP ]]/6))),0)</f>
        <v>15</v>
      </c>
      <c r="DI179" s="761">
        <f>IF(WWWW[[#This Row],[Total required Latrines]]-(WWWW[[#This Row],['#_Constructed latrines_by_WASHAgencies]]+WWWW[[#This Row],['#_Non Cluster partner latrines]])&lt;0,0,WWWW[[#This Row],[Total required Latrines]]-(WWWW[[#This Row],['#_Constructed latrines_by_WASHAgencies]]+WWWW[[#This Row],['#_Non Cluster partner latrines]]))</f>
        <v>0</v>
      </c>
      <c r="DJ179" s="763">
        <f>1-WWWW[[#This Row],[% people access to functioning Latrine]]</f>
        <v>0</v>
      </c>
      <c r="DK179" s="762">
        <f>IF(OR(WWWW[[#This Row],['#_Non-functional latrines]]="",WWWW[[#This Row],['#_Non-functional latrines]]=0),0,WWWW[[#This Row],['#_Non-functional latrines]]/(WWWW[[#This Row],['#_Constructed latrines_by_WASHAgencies]]+WWWW[[#This Row],['#_Non Cluster partner latrines]]))</f>
        <v>0</v>
      </c>
      <c r="DL179" s="758">
        <f>IF(500*(WWWW[[#This Row],['#_male hygiene promoters]]+WWWW[[#This Row],['#_female hygiene promoters]])&gt;WWWW[[#This Row],[Total PoP ]],WWWW[[#This Row],[Total PoP ]],500*(WWWW[[#This Row],['#_male hygiene promoters]]+WWWW[[#This Row],['#_female hygiene promoters]]))</f>
        <v>291</v>
      </c>
      <c r="DM17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7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79" s="761">
        <f>IF(WWWW[[#This Row],['# People with access to soap]]&gt;WWWW[[#This Row],['# People with access to Sanity Pads]],WWWW[[#This Row],['# People with access to soap]],WWWW[[#This Row],['# People with access to Sanity Pads]])</f>
        <v>205</v>
      </c>
      <c r="DP179" s="761">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179" s="763">
        <f>IF(WWWW[[#This Row],[HRP3]]/WWWW[[#This Row],[Total PoP ]]&gt;1,1,WWWW[[#This Row],[HRP3]]/WWWW[[#This Row],[Total PoP ]])</f>
        <v>1</v>
      </c>
      <c r="DR179" s="762">
        <f>1-WWWW[[#This Row],[Hygiene Coverage%]]</f>
        <v>0</v>
      </c>
      <c r="DS179" s="760">
        <f>WWWW[[#This Row],['# people reached by regular dedicated hygiene promotion_5]]/WWWW[[#This Row],[Total PoP ]]</f>
        <v>1</v>
      </c>
      <c r="DT17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7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79" s="761">
        <f>WWWW[[#This Row],['#_Constructed/Existing hand washing stations]]-WWWW[[#This Row],['#_Non-Functional_hand_washing_stations]]</f>
        <v>1</v>
      </c>
      <c r="DW179" s="758">
        <f>IF(WWWW[[#This Row],['# Functional hand washing stations during reporting period]]*20&gt;WWWW[[#This Row],[Total HH]],WWWW[[#This Row],[Total HH]],WWWW[[#This Row],['# Functional hand washing stations during reporting period]]*20)</f>
        <v>20</v>
      </c>
      <c r="DX179" s="758">
        <f>IF(WWWW[[#This Row],[Is sufficient soap available for TLS? (Yes/No)]]="yes",WWWW[[#This Row],['#_Constructed/Existing hand washing stations at TLS/CFS/THF]],0)</f>
        <v>0</v>
      </c>
      <c r="DY179" s="429">
        <f>IF(WWWW[[#This Row],['# Functional hand washing stations during reporting period]]*100&gt;WWWW[[#This Row],[Total PoP ]],WWWW[[#This Row],[Total PoP ]],WWWW[[#This Row],['# Functional hand washing stations during reporting period]]*100)</f>
        <v>100</v>
      </c>
      <c r="DZ179" s="429" t="str">
        <f>IF(OR(WWWW[[#This Row],['#_students at TLS_CFS]]="",WWWW[[#This Row],['#_students at TLS_CFS]]=0),"No","Yes")</f>
        <v>No</v>
      </c>
      <c r="EA17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7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59</v>
      </c>
      <c r="EC17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7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179" s="754" t="str">
        <f>VLOOKUP(WWWW[[#This Row],[Site Name]],SiteDB6[[Site Name]:[CCCM Management]],6,FALSE)</f>
        <v>Yes</v>
      </c>
      <c r="EF179" s="754" t="str">
        <f>VLOOKUP(WWWW[[#This Row],[Site Name]],SiteDB6[[Site Name]:[CCCM Focal Agency]],7,FALSE)</f>
        <v>Shalom</v>
      </c>
      <c r="EG179" s="754" t="str">
        <f>VLOOKUP(WWWW[[#This Row],[Site Name]],SiteDB6[[Site Name]:[Location Type 1]],9,FALSE)</f>
        <v>Camp</v>
      </c>
      <c r="EH179" s="754" t="str">
        <f>VLOOKUP(WWWW[[#This Row],[Site Name]],SiteDB6[[Site Name]:[Type of Accommodation]],10,FALSE)</f>
        <v>Camp</v>
      </c>
      <c r="EI179" s="754" t="str">
        <f>VLOOKUP(WWWW[[#This Row],[Site Name]],SiteDB6[[Site Name]:[Ethnic or GCA/NGCA]],11,FALSE)</f>
        <v>GCA</v>
      </c>
      <c r="EJ179" s="754">
        <f>VLOOKUP(WWWW[[#This Row],[Site Name]],SiteDB6[[Site Name]:[Lat]],12,FALSE)</f>
        <v>25.321710740740698</v>
      </c>
      <c r="EK179" s="754">
        <f>VLOOKUP(WWWW[[#This Row],[Site Name]],SiteDB6[[Site Name]:[Long]],13,FALSE)</f>
        <v>97.404195925926004</v>
      </c>
      <c r="EL179" s="754" t="str">
        <f>VLOOKUP(WWWW[[#This Row],[Site Name]],SiteDB6[[Site Name]:[Pcode]],3,FALSE)</f>
        <v>MMR001CMP028</v>
      </c>
      <c r="EM179" s="759" t="str">
        <f t="shared" si="2"/>
        <v>Covered</v>
      </c>
      <c r="EN179" s="759"/>
      <c r="EO179" s="754">
        <f>VLOOKUP(WWWW[[#This Row],[Site Name]],SiteDB6[[Site Name]:[Pop
(Kachin/Shan-CCCM as of July 2021)]],16,FALSE)</f>
        <v>59</v>
      </c>
      <c r="EP179" s="754">
        <f>VLOOKUP(WWWW[[#This Row],[Site Name]],SiteDB6[[Site Name]:[Pop
(Kachin/Shan-CCCM as of July 2021)]],17,FALSE)</f>
        <v>291</v>
      </c>
    </row>
    <row r="180" spans="1:146" hidden="1">
      <c r="A180" s="752" t="s">
        <v>2785</v>
      </c>
      <c r="B180" s="752" t="s">
        <v>242</v>
      </c>
      <c r="C180" s="753" t="s">
        <v>242</v>
      </c>
      <c r="D180" s="753" t="s">
        <v>307</v>
      </c>
      <c r="E180" s="753" t="s">
        <v>37</v>
      </c>
      <c r="F180" s="753" t="s">
        <v>142</v>
      </c>
      <c r="G180" s="594" t="str">
        <f>VLOOKUP(WWWW[[#This Row],[Site Name]],SiteDB6[[Site Name]:[Location Type]],8,FALSE)</f>
        <v>Camp</v>
      </c>
      <c r="H180" s="753" t="s">
        <v>269</v>
      </c>
      <c r="I180" s="449">
        <v>353</v>
      </c>
      <c r="J180" s="449">
        <v>2160</v>
      </c>
      <c r="K180" s="591">
        <v>44197</v>
      </c>
      <c r="L180" s="592">
        <v>44651</v>
      </c>
      <c r="M180" s="755"/>
      <c r="N180" s="755">
        <v>1</v>
      </c>
      <c r="O180" s="755"/>
      <c r="P180" s="755"/>
      <c r="Q180" s="758" t="s">
        <v>41</v>
      </c>
      <c r="R180" s="755">
        <v>1</v>
      </c>
      <c r="S180" s="755">
        <v>6</v>
      </c>
      <c r="T180" s="449">
        <v>3</v>
      </c>
      <c r="U180" s="755">
        <v>3</v>
      </c>
      <c r="V180" s="755"/>
      <c r="W180" s="755">
        <v>1</v>
      </c>
      <c r="X180" s="755">
        <v>2</v>
      </c>
      <c r="Y180" s="755">
        <v>1</v>
      </c>
      <c r="Z180" s="755"/>
      <c r="AA180" s="755"/>
      <c r="AB180" s="755"/>
      <c r="AC180" s="755"/>
      <c r="AD180" s="755"/>
      <c r="AE180" s="755"/>
      <c r="AF180" s="755"/>
      <c r="AG180" s="755"/>
      <c r="AH180" s="755"/>
      <c r="AI180" s="755"/>
      <c r="AJ180" s="755"/>
      <c r="AK180" s="755"/>
      <c r="AL180" s="755"/>
      <c r="AM180" s="755">
        <v>2</v>
      </c>
      <c r="AN180" s="755"/>
      <c r="AO180" s="755"/>
      <c r="AP180" s="759"/>
      <c r="AQ180" s="755">
        <v>20</v>
      </c>
      <c r="AR180" s="755">
        <v>4</v>
      </c>
      <c r="AS180" s="760" t="s">
        <v>2707</v>
      </c>
      <c r="AT180" s="755">
        <v>3</v>
      </c>
      <c r="AU180" s="755"/>
      <c r="AV180" s="755"/>
      <c r="AW180" s="755"/>
      <c r="AX180" s="755"/>
      <c r="AY180" s="754" t="s">
        <v>41</v>
      </c>
      <c r="AZ180" s="759" t="s">
        <v>137</v>
      </c>
      <c r="BA180" s="755"/>
      <c r="BB180" s="755">
        <v>10</v>
      </c>
      <c r="BC180" s="755">
        <v>10</v>
      </c>
      <c r="BD180" s="449">
        <v>10</v>
      </c>
      <c r="BE180" s="449"/>
      <c r="BF180" s="426" t="s">
        <v>2912</v>
      </c>
      <c r="BG180" s="755">
        <v>1</v>
      </c>
      <c r="BH180" s="755"/>
      <c r="BI180" s="755"/>
      <c r="BJ180" s="755">
        <v>1</v>
      </c>
      <c r="BK180" s="755">
        <v>1</v>
      </c>
      <c r="BL180" s="449">
        <v>1</v>
      </c>
      <c r="BM180" s="449">
        <v>1</v>
      </c>
      <c r="BN180" s="449">
        <v>6</v>
      </c>
      <c r="BO180" s="755">
        <v>5</v>
      </c>
      <c r="BP180" s="426" t="s">
        <v>41</v>
      </c>
      <c r="BQ180" s="761"/>
      <c r="BR180" s="424">
        <v>0.8</v>
      </c>
      <c r="BS180" s="426" t="s">
        <v>2913</v>
      </c>
      <c r="BT180" s="424">
        <v>1</v>
      </c>
      <c r="BU180" s="424">
        <v>1</v>
      </c>
      <c r="BV180" s="426"/>
      <c r="BW180" s="424"/>
      <c r="BX180" s="449"/>
      <c r="BY180" s="449"/>
      <c r="BZ180" s="449"/>
      <c r="CA180" s="449"/>
      <c r="CB180" s="449"/>
      <c r="CC180" s="807"/>
      <c r="CD180" s="449"/>
      <c r="CE180" s="762" t="str">
        <f>IFERROR(WWWW[[#This Row],['#_Water sources passed]]/WWWW[[#This Row],['#_Water sources tested for fecal coliform ]],"no test")</f>
        <v>no test</v>
      </c>
      <c r="CF180" s="760" t="str">
        <f>IFERROR(WWWW[[#This Row],['#_Household passed]]/WWWW[[#This Row],['#_Household water samples tested for fecal coliform]],"no test")</f>
        <v>no test</v>
      </c>
      <c r="CG180" s="761" t="str">
        <f>IF(AND(WWWW[[#This Row],[% of water sources passed]]="no test",WWWW[[#This Row],[% Household passed]]="no test"),"No Test","Tested")</f>
        <v>No Test</v>
      </c>
      <c r="CH180" s="761">
        <f>WWWW[[#This Row],['#_Constructed/existing protected hand dug well]]-WWWW[[#This Row],['#_Non-functional protected hand dug well]]</f>
        <v>0</v>
      </c>
      <c r="CI180" s="761">
        <f>(WWWW[[#This Row],['#_Constructed/Existing tube wells/boreholes/handpumps_WASH_agency]]+WWWW[[#This Row],['#_Non-Cluster partner water tube-wells/boreholes/handpumps]])-WWWW[[#This Row],['#_Non-functional tube wells/boreholes/handpumps]]</f>
        <v>2</v>
      </c>
      <c r="CJ180" s="761">
        <f>WWWW[[#This Row],['#_Constructed/Existingwater storage tank with gravity fed reticulation system]]-WWWW[[#This Row],['#_Non-functional storage tank gravity fed reticulation system]]</f>
        <v>0</v>
      </c>
      <c r="CK180" s="761">
        <f>(WWWW[[#This Row],['#_Water_Liters_supplied_by_Water boating or water trucking]]/90)/15</f>
        <v>0</v>
      </c>
      <c r="CL180" s="761">
        <f>WWWW[[#This Row],['#_Water_Liters_from_Constructed/Existing water distribution system from river or natural spring]]/90/15</f>
        <v>0</v>
      </c>
      <c r="CM180" s="425">
        <f>IF(WWWW[[#This Row],['#_of water points in TLS/CFS]]*500&gt;WWWW[[#This Row],[Total PoP ]],WWWW[[#This Row],[Total PoP ]],WWWW[[#This Row],['#_of water points in TLS/CFS]]*500)</f>
        <v>0</v>
      </c>
      <c r="CN180" s="425">
        <f>IF(WWWW[[#This Row],['#_of water points in THF]]*500&gt;WWWW[[#This Row],[Total PoP ]],WWWW[[#This Row],[Total PoP ]],WWWW[[#This Row],['#_of water points in THF]]*500)</f>
        <v>0</v>
      </c>
      <c r="CO18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0.46296296296296297</v>
      </c>
      <c r="CP18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0.23148148148148148</v>
      </c>
      <c r="CQ180" s="760">
        <f>IF(WWWW[[#This Row],[Location Type 1]]="Village",WWWW[[#This Row],[Access to safe drinking water for Village]],WWWW[[#This Row],[Access to safe drinking water for Camp]])</f>
        <v>0.46296296296296297</v>
      </c>
      <c r="CR180" s="758">
        <f>WWWW[[#This Row],[%Equitable and continuous access to sufficient quantity of safe drinking water]]*WWWW[[#This Row],[Total PoP ]]</f>
        <v>1000</v>
      </c>
      <c r="CS180" s="760">
        <f>IF((WWWW[[#This Row],['#_Constructed/Existing protected/fenced ponds]]*250)/WWWW[[#This Row],[Total PoP ]]&gt;1,1,(WWWW[[#This Row],['#_Constructed/Existing protected/fenced ponds]]*250)/WWWW[[#This Row],[Total PoP ]])</f>
        <v>0</v>
      </c>
      <c r="CT180" s="758">
        <f>WWWW[[#This Row],[% Access to unimproved water points]]*WWWW[[#This Row],[Total PoP ]]</f>
        <v>0</v>
      </c>
      <c r="CU18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0.46296296296296297</v>
      </c>
      <c r="CV18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1000</v>
      </c>
      <c r="CW180" s="758">
        <f>WWWW[[#This Row],[HRP1]]/500</f>
        <v>2</v>
      </c>
      <c r="CX180" s="763">
        <f>1-WWWW[[#This Row],[% Equitable and continuous access to sufficient quantity of domestic water]]</f>
        <v>0.53703703703703698</v>
      </c>
      <c r="CY180" s="758">
        <f>WWWW[[#This Row],[%equitable and continuous access to sufficient quantity of safe drinking and domestic water''s GAP]]*WWWW[[#This Row],[Total PoP ]]</f>
        <v>1159.9999999999998</v>
      </c>
      <c r="CZ180" s="761">
        <f>IF(WWWW[[#This Row],[Total required water points]]-WWWW[[#This Row],['#Water points coverage]]&lt;0,0,WWWW[[#This Row],[Total required water points]]-WWWW[[#This Row],['#Water points coverage]])</f>
        <v>2</v>
      </c>
      <c r="DA180" s="761">
        <f>ROUND(IF(WWWW[[#This Row],[Total PoP ]]&lt;500,1,WWWW[[#This Row],[Total PoP ]]/500),0)</f>
        <v>4</v>
      </c>
      <c r="DB180" s="761">
        <f>(WWWW[[#This Row],['#_Constructed latrines_by_WASHAgencies]]+WWWW[[#This Row],['#_Non Cluster partner latrines]])-WWWW[[#This Row],['#_Non-functional latrines]]</f>
        <v>21</v>
      </c>
      <c r="DC180" s="634">
        <f>WWWW[[#This Row],[HRP2]]/WWWW[[#This Row],[Total PoP ]]</f>
        <v>0.19444444444444445</v>
      </c>
      <c r="DD18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18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0" s="425">
        <f>IF(WWWW[[#This Row],['# of functional latrines in THF supported by WASH partners during the reporting period2]]="",0,WWWW[[#This Row],['# of functional latrines in THF supported by WASH partners during the reporting period2]]*50)</f>
        <v>500</v>
      </c>
      <c r="DH180" s="761">
        <f>ROUND(IF(WWWW[[#This Row],[Location Type 1]]="camp",WWWW[[#This Row],[Total PoP ]]/20,IF(WWWW[[#This Row],[Location Type 1]]="Temporary Location",WWWW[[#This Row],[Total PoP ]]/50,(WWWW[[#This Row],[Total PoP ]]/6))),0)</f>
        <v>108</v>
      </c>
      <c r="DI180" s="761">
        <f>IF(WWWW[[#This Row],[Total required Latrines]]-(WWWW[[#This Row],['#_Constructed latrines_by_WASHAgencies]]+WWWW[[#This Row],['#_Non Cluster partner latrines]])&lt;0,0,WWWW[[#This Row],[Total required Latrines]]-(WWWW[[#This Row],['#_Constructed latrines_by_WASHAgencies]]+WWWW[[#This Row],['#_Non Cluster partner latrines]]))</f>
        <v>84</v>
      </c>
      <c r="DJ180" s="763">
        <f>1-WWWW[[#This Row],[% people access to functioning Latrine]]</f>
        <v>0.80555555555555558</v>
      </c>
      <c r="DK180" s="762">
        <f>IF(OR(WWWW[[#This Row],['#_Non-functional latrines]]="",WWWW[[#This Row],['#_Non-functional latrines]]=0),0,WWWW[[#This Row],['#_Non-functional latrines]]/(WWWW[[#This Row],['#_Constructed latrines_by_WASHAgencies]]+WWWW[[#This Row],['#_Non Cluster partner latrines]]))</f>
        <v>0.125</v>
      </c>
      <c r="DL180" s="758">
        <f>IF(500*(WWWW[[#This Row],['#_male hygiene promoters]]+WWWW[[#This Row],['#_female hygiene promoters]])&gt;WWWW[[#This Row],[Total PoP ]],WWWW[[#This Row],[Total PoP ]],500*(WWWW[[#This Row],['#_male hygiene promoters]]+WWWW[[#This Row],['#_female hygiene promoters]]))</f>
        <v>1000</v>
      </c>
      <c r="DM18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8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80" s="761">
        <f>IF(WWWW[[#This Row],['# People with access to soap]]&gt;WWWW[[#This Row],['# People with access to Sanity Pads]],WWWW[[#This Row],['# People with access to soap]],WWWW[[#This Row],['# People with access to Sanity Pads]])</f>
        <v>30</v>
      </c>
      <c r="DP180" s="761">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Q180" s="763">
        <f>IF(WWWW[[#This Row],[HRP3]]/WWWW[[#This Row],[Total PoP ]]&gt;1,1,WWWW[[#This Row],[HRP3]]/WWWW[[#This Row],[Total PoP ]])</f>
        <v>0.46296296296296297</v>
      </c>
      <c r="DR180" s="762">
        <f>1-WWWW[[#This Row],[Hygiene Coverage%]]</f>
        <v>0.53703703703703698</v>
      </c>
      <c r="DS180" s="760">
        <f>WWWW[[#This Row],['# people reached by regular dedicated hygiene promotion_5]]/WWWW[[#This Row],[Total PoP ]]</f>
        <v>0.46296296296296297</v>
      </c>
      <c r="DT18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6.79886685552408E-2</v>
      </c>
      <c r="DU18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1.4164305949008499E-2</v>
      </c>
      <c r="DV180" s="761">
        <f>WWWW[[#This Row],['#_Constructed/Existing hand washing stations]]-WWWW[[#This Row],['#_Non-Functional_hand_washing_stations]]</f>
        <v>1</v>
      </c>
      <c r="DW180" s="758">
        <f>IF(WWWW[[#This Row],['# Functional hand washing stations during reporting period]]*20&gt;WWWW[[#This Row],[Total HH]],WWWW[[#This Row],[Total HH]],WWWW[[#This Row],['# Functional hand washing stations during reporting period]]*20)</f>
        <v>20</v>
      </c>
      <c r="DX180" s="758">
        <f>IF(WWWW[[#This Row],[Is sufficient soap available for TLS? (Yes/No)]]="yes",WWWW[[#This Row],['#_Constructed/Existing hand washing stations at TLS/CFS/THF]],0)</f>
        <v>2</v>
      </c>
      <c r="DY180" s="429">
        <f>IF(WWWW[[#This Row],['# Functional hand washing stations during reporting period]]*100&gt;WWWW[[#This Row],[Total PoP ]],WWWW[[#This Row],[Total PoP ]],WWWW[[#This Row],['# Functional hand washing stations during reporting period]]*100)</f>
        <v>100</v>
      </c>
      <c r="DZ180" s="429" t="str">
        <f>IF(OR(WWWW[[#This Row],['#_students at TLS_CFS]]="",WWWW[[#This Row],['#_students at TLS_CFS]]=0),"No","Yes")</f>
        <v>No</v>
      </c>
      <c r="EA18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500</v>
      </c>
      <c r="EE180" s="754" t="str">
        <f>VLOOKUP(WWWW[[#This Row],[Site Name]],SiteDB6[[Site Name]:[CCCM Management]],6,FALSE)</f>
        <v>Yes</v>
      </c>
      <c r="EF180" s="754" t="str">
        <f>VLOOKUP(WWWW[[#This Row],[Site Name]],SiteDB6[[Site Name]:[CCCM Focal Agency]],7,FALSE)</f>
        <v>Shalom</v>
      </c>
      <c r="EG180" s="754" t="str">
        <f>VLOOKUP(WWWW[[#This Row],[Site Name]],SiteDB6[[Site Name]:[Location Type 1]],9,FALSE)</f>
        <v>Camp</v>
      </c>
      <c r="EH180" s="754" t="str">
        <f>VLOOKUP(WWWW[[#This Row],[Site Name]],SiteDB6[[Site Name]:[Type of Accommodation]],10,FALSE)</f>
        <v>Camp</v>
      </c>
      <c r="EI180" s="754" t="str">
        <f>VLOOKUP(WWWW[[#This Row],[Site Name]],SiteDB6[[Site Name]:[Ethnic or GCA/NGCA]],11,FALSE)</f>
        <v>GCA</v>
      </c>
      <c r="EJ180" s="754">
        <f>VLOOKUP(WWWW[[#This Row],[Site Name]],SiteDB6[[Site Name]:[Lat]],12,FALSE)</f>
        <v>25.424529444444399</v>
      </c>
      <c r="EK180" s="754">
        <f>VLOOKUP(WWWW[[#This Row],[Site Name]],SiteDB6[[Site Name]:[Long]],13,FALSE)</f>
        <v>97.433419259259296</v>
      </c>
      <c r="EL180" s="754" t="str">
        <f>VLOOKUP(WWWW[[#This Row],[Site Name]],SiteDB6[[Site Name]:[Pcode]],3,FALSE)</f>
        <v>MMR001CMP031</v>
      </c>
      <c r="EM180" s="759" t="str">
        <f t="shared" si="2"/>
        <v>Covered</v>
      </c>
      <c r="EN180" s="759"/>
      <c r="EO180" s="754">
        <f>VLOOKUP(WWWW[[#This Row],[Site Name]],SiteDB6[[Site Name]:[Pop
(Kachin/Shan-CCCM as of July 2021)]],16,FALSE)</f>
        <v>353</v>
      </c>
      <c r="EP180" s="754">
        <f>VLOOKUP(WWWW[[#This Row],[Site Name]],SiteDB6[[Site Name]:[Pop
(Kachin/Shan-CCCM as of July 2021)]],17,FALSE)</f>
        <v>2166</v>
      </c>
    </row>
    <row r="181" spans="1:146" hidden="1">
      <c r="A181" s="752" t="s">
        <v>2785</v>
      </c>
      <c r="B181" s="752" t="s">
        <v>242</v>
      </c>
      <c r="C181" s="753" t="s">
        <v>242</v>
      </c>
      <c r="D181" s="753" t="s">
        <v>307</v>
      </c>
      <c r="E181" s="753" t="s">
        <v>37</v>
      </c>
      <c r="F181" s="753" t="s">
        <v>142</v>
      </c>
      <c r="G181" s="594" t="str">
        <f>VLOOKUP(WWWW[[#This Row],[Site Name]],SiteDB6[[Site Name]:[Location Type]],8,FALSE)</f>
        <v>Camp</v>
      </c>
      <c r="H181" s="753" t="s">
        <v>270</v>
      </c>
      <c r="I181" s="449">
        <v>19</v>
      </c>
      <c r="J181" s="449">
        <v>85</v>
      </c>
      <c r="K181" s="591">
        <v>44197</v>
      </c>
      <c r="L181" s="592">
        <v>44651</v>
      </c>
      <c r="M181" s="755">
        <v>13</v>
      </c>
      <c r="N181" s="755">
        <v>1</v>
      </c>
      <c r="O181" s="755"/>
      <c r="P181" s="755"/>
      <c r="Q181" s="758" t="s">
        <v>41</v>
      </c>
      <c r="R181" s="755"/>
      <c r="S181" s="755">
        <v>5</v>
      </c>
      <c r="T181" s="449">
        <v>1</v>
      </c>
      <c r="U181" s="755"/>
      <c r="V181" s="755"/>
      <c r="W181" s="755">
        <v>1</v>
      </c>
      <c r="X181" s="755"/>
      <c r="Y181" s="755"/>
      <c r="Z181" s="755"/>
      <c r="AA181" s="755"/>
      <c r="AB181" s="755"/>
      <c r="AC181" s="755"/>
      <c r="AD181" s="755"/>
      <c r="AE181" s="755"/>
      <c r="AF181" s="755"/>
      <c r="AG181" s="755"/>
      <c r="AH181" s="755"/>
      <c r="AI181" s="755"/>
      <c r="AJ181" s="755"/>
      <c r="AK181" s="755"/>
      <c r="AL181" s="755"/>
      <c r="AM181" s="755">
        <v>2</v>
      </c>
      <c r="AN181" s="755"/>
      <c r="AO181" s="755"/>
      <c r="AP181" s="759" t="s">
        <v>2907</v>
      </c>
      <c r="AQ181" s="755">
        <v>4</v>
      </c>
      <c r="AR181" s="755"/>
      <c r="AS181" s="760"/>
      <c r="AT181" s="755"/>
      <c r="AU181" s="755"/>
      <c r="AV181" s="755">
        <v>4</v>
      </c>
      <c r="AW181" s="755"/>
      <c r="AX181" s="755"/>
      <c r="AY181" s="754" t="s">
        <v>41</v>
      </c>
      <c r="AZ181" s="759" t="s">
        <v>137</v>
      </c>
      <c r="BA181" s="755"/>
      <c r="BB181" s="755"/>
      <c r="BC181" s="755"/>
      <c r="BD181" s="449"/>
      <c r="BE181" s="449"/>
      <c r="BF181" s="754"/>
      <c r="BG181" s="755">
        <v>8</v>
      </c>
      <c r="BH181" s="755"/>
      <c r="BI181" s="755"/>
      <c r="BJ181" s="755">
        <v>3</v>
      </c>
      <c r="BK181" s="755"/>
      <c r="BL181" s="449"/>
      <c r="BM181" s="449">
        <v>1</v>
      </c>
      <c r="BN181" s="449">
        <v>91</v>
      </c>
      <c r="BO181" s="449">
        <v>124</v>
      </c>
      <c r="BP181" s="754"/>
      <c r="BQ181" s="761"/>
      <c r="BR181" s="424">
        <v>0.7</v>
      </c>
      <c r="BS181" s="426"/>
      <c r="BT181" s="424"/>
      <c r="BU181" s="424">
        <v>0.7</v>
      </c>
      <c r="BV181" s="426">
        <v>4</v>
      </c>
      <c r="BW181" s="424">
        <v>0.9</v>
      </c>
      <c r="BX181" s="449"/>
      <c r="BY181" s="449"/>
      <c r="BZ181" s="449"/>
      <c r="CA181" s="449"/>
      <c r="CB181" s="449"/>
      <c r="CC181" s="807"/>
      <c r="CD181" s="449"/>
      <c r="CE181" s="762" t="str">
        <f>IFERROR(WWWW[[#This Row],['#_Water sources passed]]/WWWW[[#This Row],['#_Water sources tested for fecal coliform ]],"no test")</f>
        <v>no test</v>
      </c>
      <c r="CF181" s="760" t="str">
        <f>IFERROR(WWWW[[#This Row],['#_Household passed]]/WWWW[[#This Row],['#_Household water samples tested for fecal coliform]],"no test")</f>
        <v>no test</v>
      </c>
      <c r="CG181" s="761" t="str">
        <f>IF(AND(WWWW[[#This Row],[% of water sources passed]]="no test",WWWW[[#This Row],[% Household passed]]="no test"),"No Test","Tested")</f>
        <v>No Test</v>
      </c>
      <c r="CH181" s="761">
        <f>WWWW[[#This Row],['#_Constructed/existing protected hand dug well]]-WWWW[[#This Row],['#_Non-functional protected hand dug well]]</f>
        <v>1</v>
      </c>
      <c r="CI181" s="761">
        <f>(WWWW[[#This Row],['#_Constructed/Existing tube wells/boreholes/handpumps_WASH_agency]]+WWWW[[#This Row],['#_Non-Cluster partner water tube-wells/boreholes/handpumps]])-WWWW[[#This Row],['#_Non-functional tube wells/boreholes/handpumps]]</f>
        <v>1</v>
      </c>
      <c r="CJ181" s="761">
        <f>WWWW[[#This Row],['#_Constructed/Existingwater storage tank with gravity fed reticulation system]]-WWWW[[#This Row],['#_Non-functional storage tank gravity fed reticulation system]]</f>
        <v>0</v>
      </c>
      <c r="CK181" s="761">
        <f>(WWWW[[#This Row],['#_Water_Liters_supplied_by_Water boating or water trucking]]/90)/15</f>
        <v>0</v>
      </c>
      <c r="CL181" s="761">
        <f>WWWW[[#This Row],['#_Water_Liters_from_Constructed/Existing water distribution system from river or natural spring]]/90/15</f>
        <v>0</v>
      </c>
      <c r="CM181" s="425">
        <f>IF(WWWW[[#This Row],['#_of water points in TLS/CFS]]*500&gt;WWWW[[#This Row],[Total PoP ]],WWWW[[#This Row],[Total PoP ]],WWWW[[#This Row],['#_of water points in TLS/CFS]]*500)</f>
        <v>0</v>
      </c>
      <c r="CN181" s="425">
        <f>IF(WWWW[[#This Row],['#_of water points in THF]]*500&gt;WWWW[[#This Row],[Total PoP ]],WWWW[[#This Row],[Total PoP ]],WWWW[[#This Row],['#_of water points in THF]]*500)</f>
        <v>0</v>
      </c>
      <c r="CO18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1" s="760">
        <f>IF(WWWW[[#This Row],[Location Type 1]]="Village",WWWW[[#This Row],[Access to safe drinking water for Village]],WWWW[[#This Row],[Access to safe drinking water for Camp]])</f>
        <v>1</v>
      </c>
      <c r="CR181" s="758">
        <f>WWWW[[#This Row],[%Equitable and continuous access to sufficient quantity of safe drinking water]]*WWWW[[#This Row],[Total PoP ]]</f>
        <v>85</v>
      </c>
      <c r="CS181" s="760">
        <f>IF((WWWW[[#This Row],['#_Constructed/Existing protected/fenced ponds]]*250)/WWWW[[#This Row],[Total PoP ]]&gt;1,1,(WWWW[[#This Row],['#_Constructed/Existing protected/fenced ponds]]*250)/WWWW[[#This Row],[Total PoP ]])</f>
        <v>0</v>
      </c>
      <c r="CT181" s="758">
        <f>WWWW[[#This Row],[% Access to unimproved water points]]*WWWW[[#This Row],[Total PoP ]]</f>
        <v>0</v>
      </c>
      <c r="CU18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181" s="758">
        <f>WWWW[[#This Row],[HRP1]]/500</f>
        <v>0.17</v>
      </c>
      <c r="CX181" s="763">
        <f>1-WWWW[[#This Row],[% Equitable and continuous access to sufficient quantity of domestic water]]</f>
        <v>0</v>
      </c>
      <c r="CY181" s="758">
        <f>WWWW[[#This Row],[%equitable and continuous access to sufficient quantity of safe drinking and domestic water''s GAP]]*WWWW[[#This Row],[Total PoP ]]</f>
        <v>0</v>
      </c>
      <c r="CZ181" s="761">
        <f>IF(WWWW[[#This Row],[Total required water points]]-WWWW[[#This Row],['#Water points coverage]]&lt;0,0,WWWW[[#This Row],[Total required water points]]-WWWW[[#This Row],['#Water points coverage]])</f>
        <v>0.83</v>
      </c>
      <c r="DA181" s="761">
        <f>ROUND(IF(WWWW[[#This Row],[Total PoP ]]&lt;500,1,WWWW[[#This Row],[Total PoP ]]/500),0)</f>
        <v>1</v>
      </c>
      <c r="DB181" s="761">
        <f>(WWWW[[#This Row],['#_Constructed latrines_by_WASHAgencies]]+WWWW[[#This Row],['#_Non Cluster partner latrines]])-WWWW[[#This Row],['#_Non-functional latrines]]</f>
        <v>4</v>
      </c>
      <c r="DC181" s="634">
        <f>WWWW[[#This Row],[HRP2]]/WWWW[[#This Row],[Total PoP ]]</f>
        <v>0.94117647058823528</v>
      </c>
      <c r="DD18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18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18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1" s="425">
        <f>IF(WWWW[[#This Row],['# of functional latrines in THF supported by WASH partners during the reporting period2]]="",0,WWWW[[#This Row],['# of functional latrines in THF supported by WASH partners during the reporting period2]]*50)</f>
        <v>0</v>
      </c>
      <c r="DH181" s="761">
        <f>ROUND(IF(WWWW[[#This Row],[Location Type 1]]="camp",WWWW[[#This Row],[Total PoP ]]/20,IF(WWWW[[#This Row],[Location Type 1]]="Temporary Location",WWWW[[#This Row],[Total PoP ]]/50,(WWWW[[#This Row],[Total PoP ]]/6))),0)</f>
        <v>4</v>
      </c>
      <c r="DI181" s="761">
        <f>IF(WWWW[[#This Row],[Total required Latrines]]-(WWWW[[#This Row],['#_Constructed latrines_by_WASHAgencies]]+WWWW[[#This Row],['#_Non Cluster partner latrines]])&lt;0,0,WWWW[[#This Row],[Total required Latrines]]-(WWWW[[#This Row],['#_Constructed latrines_by_WASHAgencies]]+WWWW[[#This Row],['#_Non Cluster partner latrines]]))</f>
        <v>0</v>
      </c>
      <c r="DJ181" s="763">
        <f>1-WWWW[[#This Row],[% people access to functioning Latrine]]</f>
        <v>5.8823529411764719E-2</v>
      </c>
      <c r="DK181" s="762">
        <f>IF(OR(WWWW[[#This Row],['#_Non-functional latrines]]="",WWWW[[#This Row],['#_Non-functional latrines]]=0),0,WWWW[[#This Row],['#_Non-functional latrines]]/(WWWW[[#This Row],['#_Constructed latrines_by_WASHAgencies]]+WWWW[[#This Row],['#_Non Cluster partner latrines]]))</f>
        <v>0</v>
      </c>
      <c r="DL181" s="758">
        <f>IF(500*(WWWW[[#This Row],['#_male hygiene promoters]]+WWWW[[#This Row],['#_female hygiene promoters]])&gt;WWWW[[#This Row],[Total PoP ]],WWWW[[#This Row],[Total PoP ]],500*(WWWW[[#This Row],['#_male hygiene promoters]]+WWWW[[#This Row],['#_female hygiene promoters]]))</f>
        <v>85</v>
      </c>
      <c r="DM18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18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81" s="761">
        <f>IF(WWWW[[#This Row],['# People with access to soap]]&gt;WWWW[[#This Row],['# People with access to Sanity Pads]],WWWW[[#This Row],['# People with access to soap]],WWWW[[#This Row],['# People with access to Sanity Pads]])</f>
        <v>85</v>
      </c>
      <c r="DP181" s="761">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181" s="763">
        <f>IF(WWWW[[#This Row],[HRP3]]/WWWW[[#This Row],[Total PoP ]]&gt;1,1,WWWW[[#This Row],[HRP3]]/WWWW[[#This Row],[Total PoP ]])</f>
        <v>1</v>
      </c>
      <c r="DR181" s="762">
        <f>1-WWWW[[#This Row],[Hygiene Coverage%]]</f>
        <v>0</v>
      </c>
      <c r="DS181" s="760">
        <f>WWWW[[#This Row],['# people reached by regular dedicated hygiene promotion_5]]/WWWW[[#This Row],[Total PoP ]]</f>
        <v>1</v>
      </c>
      <c r="DT18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1" s="761">
        <f>WWWW[[#This Row],['#_Constructed/Existing hand washing stations]]-WWWW[[#This Row],['#_Non-Functional_hand_washing_stations]]</f>
        <v>8</v>
      </c>
      <c r="DW181" s="758">
        <f>IF(WWWW[[#This Row],['# Functional hand washing stations during reporting period]]*20&gt;WWWW[[#This Row],[Total HH]],WWWW[[#This Row],[Total HH]],WWWW[[#This Row],['# Functional hand washing stations during reporting period]]*20)</f>
        <v>19</v>
      </c>
      <c r="DX181" s="758">
        <f>IF(WWWW[[#This Row],[Is sufficient soap available for TLS? (Yes/No)]]="yes",WWWW[[#This Row],['#_Constructed/Existing hand washing stations at TLS/CFS/THF]],0)</f>
        <v>0</v>
      </c>
      <c r="DY181" s="429">
        <f>IF(WWWW[[#This Row],['# Functional hand washing stations during reporting period]]*100&gt;WWWW[[#This Row],[Total PoP ]],WWWW[[#This Row],[Total PoP ]],WWWW[[#This Row],['# Functional hand washing stations during reporting period]]*100)</f>
        <v>85</v>
      </c>
      <c r="DZ181" s="429" t="str">
        <f>IF(OR(WWWW[[#This Row],['#_students at TLS_CFS]]="",WWWW[[#This Row],['#_students at TLS_CFS]]=0),"No","Yes")</f>
        <v>Yes</v>
      </c>
      <c r="EA181" s="634">
        <f>IF(WWWW[[#This Row],['#_of_affected_people_surveyed_who_report_feeling_informed_about_the_different_WASH_services_available_to_them]]="","",WWWW[[#This Row],['#_of_affected_people_surveyed_who_report_feeling_informed_about_the_different_WASH_services_available_to_them]]/WWWW[[#This Row],[Total PoP ]])</f>
        <v>4.7058823529411764E-2</v>
      </c>
      <c r="EB18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1" s="754" t="str">
        <f>VLOOKUP(WWWW[[#This Row],[Site Name]],SiteDB6[[Site Name]:[CCCM Management]],6,FALSE)</f>
        <v>Yes</v>
      </c>
      <c r="EF181" s="754" t="str">
        <f>VLOOKUP(WWWW[[#This Row],[Site Name]],SiteDB6[[Site Name]:[CCCM Focal Agency]],7,FALSE)</f>
        <v>Shalom</v>
      </c>
      <c r="EG181" s="754" t="str">
        <f>VLOOKUP(WWWW[[#This Row],[Site Name]],SiteDB6[[Site Name]:[Location Type 1]],9,FALSE)</f>
        <v>Camp</v>
      </c>
      <c r="EH181" s="754" t="str">
        <f>VLOOKUP(WWWW[[#This Row],[Site Name]],SiteDB6[[Site Name]:[Type of Accommodation]],10,FALSE)</f>
        <v>Camp</v>
      </c>
      <c r="EI181" s="754" t="str">
        <f>VLOOKUP(WWWW[[#This Row],[Site Name]],SiteDB6[[Site Name]:[Ethnic or GCA/NGCA]],11,FALSE)</f>
        <v>GCA</v>
      </c>
      <c r="EJ181" s="754">
        <f>VLOOKUP(WWWW[[#This Row],[Site Name]],SiteDB6[[Site Name]:[Lat]],12,FALSE)</f>
        <v>25.351965</v>
      </c>
      <c r="EK181" s="754">
        <f>VLOOKUP(WWWW[[#This Row],[Site Name]],SiteDB6[[Site Name]:[Long]],13,FALSE)</f>
        <v>97.345039</v>
      </c>
      <c r="EL181" s="754" t="str">
        <f>VLOOKUP(WWWW[[#This Row],[Site Name]],SiteDB6[[Site Name]:[Pcode]],3,FALSE)</f>
        <v>MMR001CMP033</v>
      </c>
      <c r="EM181" s="759" t="str">
        <f t="shared" si="2"/>
        <v>Covered</v>
      </c>
      <c r="EN181" s="759"/>
      <c r="EO181" s="754">
        <f>VLOOKUP(WWWW[[#This Row],[Site Name]],SiteDB6[[Site Name]:[Pop
(Kachin/Shan-CCCM as of July 2021)]],16,FALSE)</f>
        <v>19</v>
      </c>
      <c r="EP181" s="754">
        <f>VLOOKUP(WWWW[[#This Row],[Site Name]],SiteDB6[[Site Name]:[Pop
(Kachin/Shan-CCCM as of July 2021)]],17,FALSE)</f>
        <v>85</v>
      </c>
    </row>
    <row r="182" spans="1:146" hidden="1">
      <c r="A182" s="752" t="s">
        <v>2785</v>
      </c>
      <c r="B182" s="752" t="s">
        <v>242</v>
      </c>
      <c r="C182" s="753" t="s">
        <v>242</v>
      </c>
      <c r="D182" s="753" t="s">
        <v>307</v>
      </c>
      <c r="E182" s="753" t="s">
        <v>37</v>
      </c>
      <c r="F182" s="753" t="s">
        <v>142</v>
      </c>
      <c r="G182" s="594" t="str">
        <f>VLOOKUP(WWWW[[#This Row],[Site Name]],SiteDB6[[Site Name]:[Location Type]],8,FALSE)</f>
        <v>Camp</v>
      </c>
      <c r="H182" s="753" t="s">
        <v>271</v>
      </c>
      <c r="I182" s="449">
        <v>111</v>
      </c>
      <c r="J182" s="449">
        <v>506</v>
      </c>
      <c r="K182" s="591">
        <v>44197</v>
      </c>
      <c r="L182" s="592">
        <v>44651</v>
      </c>
      <c r="M182" s="755">
        <v>70</v>
      </c>
      <c r="N182" s="755">
        <v>2</v>
      </c>
      <c r="O182" s="755"/>
      <c r="P182" s="755"/>
      <c r="Q182" s="758" t="s">
        <v>41</v>
      </c>
      <c r="R182" s="755">
        <v>3</v>
      </c>
      <c r="S182" s="755">
        <v>11</v>
      </c>
      <c r="T182" s="449">
        <v>4</v>
      </c>
      <c r="U182" s="755">
        <v>1</v>
      </c>
      <c r="V182" s="449">
        <v>1</v>
      </c>
      <c r="W182" s="755">
        <v>2</v>
      </c>
      <c r="X182" s="755"/>
      <c r="Y182" s="755">
        <v>2</v>
      </c>
      <c r="Z182" s="755">
        <v>1</v>
      </c>
      <c r="AA182" s="755"/>
      <c r="AB182" s="755"/>
      <c r="AC182" s="755"/>
      <c r="AD182" s="755"/>
      <c r="AE182" s="755"/>
      <c r="AF182" s="755"/>
      <c r="AG182" s="755"/>
      <c r="AH182" s="755"/>
      <c r="AI182" s="755"/>
      <c r="AJ182" s="755"/>
      <c r="AK182" s="755"/>
      <c r="AL182" s="755"/>
      <c r="AM182" s="755">
        <v>7</v>
      </c>
      <c r="AN182" s="755"/>
      <c r="AO182" s="755"/>
      <c r="AP182" s="593" t="s">
        <v>2908</v>
      </c>
      <c r="AQ182" s="755">
        <v>15</v>
      </c>
      <c r="AR182" s="755">
        <v>10</v>
      </c>
      <c r="AS182" s="760" t="s">
        <v>2253</v>
      </c>
      <c r="AT182" s="755">
        <v>4</v>
      </c>
      <c r="AU182" s="755">
        <v>2</v>
      </c>
      <c r="AV182" s="755"/>
      <c r="AW182" s="755"/>
      <c r="AX182" s="755"/>
      <c r="AY182" s="754" t="s">
        <v>41</v>
      </c>
      <c r="AZ182" s="759" t="s">
        <v>137</v>
      </c>
      <c r="BA182" s="755"/>
      <c r="BB182" s="755">
        <v>1</v>
      </c>
      <c r="BC182" s="755">
        <v>6</v>
      </c>
      <c r="BD182" s="449">
        <v>6</v>
      </c>
      <c r="BE182" s="449"/>
      <c r="BF182" s="754"/>
      <c r="BG182" s="755">
        <v>10</v>
      </c>
      <c r="BH182" s="449"/>
      <c r="BI182" s="755"/>
      <c r="BJ182" s="755">
        <v>7</v>
      </c>
      <c r="BK182" s="755"/>
      <c r="BL182" s="755"/>
      <c r="BM182" s="755">
        <v>2</v>
      </c>
      <c r="BN182" s="755">
        <v>104</v>
      </c>
      <c r="BO182" s="755">
        <v>148</v>
      </c>
      <c r="BP182" s="754"/>
      <c r="BQ182" s="761"/>
      <c r="BR182" s="424"/>
      <c r="BS182" s="426"/>
      <c r="BT182" s="424"/>
      <c r="BU182" s="424"/>
      <c r="BV182" s="426">
        <v>5</v>
      </c>
      <c r="BW182" s="424"/>
      <c r="BX182" s="449"/>
      <c r="BY182" s="449">
        <v>111</v>
      </c>
      <c r="BZ182" s="449"/>
      <c r="CA182" s="449"/>
      <c r="CB182" s="449"/>
      <c r="CC182" s="807"/>
      <c r="CD182" s="449"/>
      <c r="CE182" s="762" t="str">
        <f>IFERROR(WWWW[[#This Row],['#_Water sources passed]]/WWWW[[#This Row],['#_Water sources tested for fecal coliform ]],"no test")</f>
        <v>no test</v>
      </c>
      <c r="CF182" s="760" t="str">
        <f>IFERROR(WWWW[[#This Row],['#_Household passed]]/WWWW[[#This Row],['#_Household water samples tested for fecal coliform]],"no test")</f>
        <v>no test</v>
      </c>
      <c r="CG182" s="761" t="str">
        <f>IF(AND(WWWW[[#This Row],[% of water sources passed]]="no test",WWWW[[#This Row],[% Household passed]]="no test"),"No Test","Tested")</f>
        <v>No Test</v>
      </c>
      <c r="CH182" s="761">
        <f>WWWW[[#This Row],['#_Constructed/existing protected hand dug well]]-WWWW[[#This Row],['#_Non-functional protected hand dug well]]</f>
        <v>3</v>
      </c>
      <c r="CI182" s="761">
        <f>(WWWW[[#This Row],['#_Constructed/Existing tube wells/boreholes/handpumps_WASH_agency]]+WWWW[[#This Row],['#_Non-Cluster partner water tube-wells/boreholes/handpumps]])-WWWW[[#This Row],['#_Non-functional tube wells/boreholes/handpumps]]</f>
        <v>0</v>
      </c>
      <c r="CJ182" s="761">
        <f>WWWW[[#This Row],['#_Constructed/Existingwater storage tank with gravity fed reticulation system]]-WWWW[[#This Row],['#_Non-functional storage tank gravity fed reticulation system]]</f>
        <v>0</v>
      </c>
      <c r="CK182" s="761">
        <f>(WWWW[[#This Row],['#_Water_Liters_supplied_by_Water boating or water trucking]]/90)/15</f>
        <v>0</v>
      </c>
      <c r="CL182" s="761">
        <f>WWWW[[#This Row],['#_Water_Liters_from_Constructed/Existing water distribution system from river or natural spring]]/90/15</f>
        <v>0</v>
      </c>
      <c r="CM182" s="425">
        <f>IF(WWWW[[#This Row],['#_of water points in TLS/CFS]]*500&gt;WWWW[[#This Row],[Total PoP ]],WWWW[[#This Row],[Total PoP ]],WWWW[[#This Row],['#_of water points in TLS/CFS]]*500)</f>
        <v>0</v>
      </c>
      <c r="CN182" s="425">
        <f>IF(WWWW[[#This Row],['#_of water points in THF]]*500&gt;WWWW[[#This Row],[Total PoP ]],WWWW[[#This Row],[Total PoP ]],WWWW[[#This Row],['#_of water points in THF]]*500)</f>
        <v>0</v>
      </c>
      <c r="CO18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2" s="760">
        <f>IF(WWWW[[#This Row],[Location Type 1]]="Village",WWWW[[#This Row],[Access to safe drinking water for Village]],WWWW[[#This Row],[Access to safe drinking water for Camp]])</f>
        <v>1</v>
      </c>
      <c r="CR182" s="758">
        <f>WWWW[[#This Row],[%Equitable and continuous access to sufficient quantity of safe drinking water]]*WWWW[[#This Row],[Total PoP ]]</f>
        <v>506</v>
      </c>
      <c r="CS182" s="760">
        <f>IF((WWWW[[#This Row],['#_Constructed/Existing protected/fenced ponds]]*250)/WWWW[[#This Row],[Total PoP ]]&gt;1,1,(WWWW[[#This Row],['#_Constructed/Existing protected/fenced ponds]]*250)/WWWW[[#This Row],[Total PoP ]])</f>
        <v>0</v>
      </c>
      <c r="CT182" s="758">
        <f>WWWW[[#This Row],[% Access to unimproved water points]]*WWWW[[#This Row],[Total PoP ]]</f>
        <v>0</v>
      </c>
      <c r="CU18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W182" s="758">
        <f>WWWW[[#This Row],[HRP1]]/500</f>
        <v>1.012</v>
      </c>
      <c r="CX182" s="763">
        <f>1-WWWW[[#This Row],[% Equitable and continuous access to sufficient quantity of domestic water]]</f>
        <v>0</v>
      </c>
      <c r="CY182" s="758">
        <f>WWWW[[#This Row],[%equitable and continuous access to sufficient quantity of safe drinking and domestic water''s GAP]]*WWWW[[#This Row],[Total PoP ]]</f>
        <v>0</v>
      </c>
      <c r="CZ182" s="761">
        <f>IF(WWWW[[#This Row],[Total required water points]]-WWWW[[#This Row],['#Water points coverage]]&lt;0,0,WWWW[[#This Row],[Total required water points]]-WWWW[[#This Row],['#Water points coverage]])</f>
        <v>0</v>
      </c>
      <c r="DA182" s="761">
        <f>ROUND(IF(WWWW[[#This Row],[Total PoP ]]&lt;500,1,WWWW[[#This Row],[Total PoP ]]/500),0)</f>
        <v>1</v>
      </c>
      <c r="DB182" s="761">
        <f>(WWWW[[#This Row],['#_Constructed latrines_by_WASHAgencies]]+WWWW[[#This Row],['#_Non Cluster partner latrines]])-WWWW[[#This Row],['#_Non-functional latrines]]</f>
        <v>21</v>
      </c>
      <c r="DC182" s="634">
        <f>WWWW[[#This Row],[HRP2]]/WWWW[[#This Row],[Total PoP ]]</f>
        <v>0.83003952569169959</v>
      </c>
      <c r="DD18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18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70</v>
      </c>
      <c r="DG182" s="425">
        <f>IF(WWWW[[#This Row],['# of functional latrines in THF supported by WASH partners during the reporting period2]]="",0,WWWW[[#This Row],['# of functional latrines in THF supported by WASH partners during the reporting period2]]*50)</f>
        <v>300</v>
      </c>
      <c r="DH182" s="761">
        <f>ROUND(IF(WWWW[[#This Row],[Location Type 1]]="camp",WWWW[[#This Row],[Total PoP ]]/20,IF(WWWW[[#This Row],[Location Type 1]]="Temporary Location",WWWW[[#This Row],[Total PoP ]]/50,(WWWW[[#This Row],[Total PoP ]]/6))),0)</f>
        <v>25</v>
      </c>
      <c r="DI182" s="761">
        <f>IF(WWWW[[#This Row],[Total required Latrines]]-(WWWW[[#This Row],['#_Constructed latrines_by_WASHAgencies]]+WWWW[[#This Row],['#_Non Cluster partner latrines]])&lt;0,0,WWWW[[#This Row],[Total required Latrines]]-(WWWW[[#This Row],['#_Constructed latrines_by_WASHAgencies]]+WWWW[[#This Row],['#_Non Cluster partner latrines]]))</f>
        <v>0</v>
      </c>
      <c r="DJ182" s="763">
        <f>1-WWWW[[#This Row],[% people access to functioning Latrine]]</f>
        <v>0.16996047430830041</v>
      </c>
      <c r="DK182" s="762">
        <f>IF(OR(WWWW[[#This Row],['#_Non-functional latrines]]="",WWWW[[#This Row],['#_Non-functional latrines]]=0),0,WWWW[[#This Row],['#_Non-functional latrines]]/(WWWW[[#This Row],['#_Constructed latrines_by_WASHAgencies]]+WWWW[[#This Row],['#_Non Cluster partner latrines]]))</f>
        <v>0.16</v>
      </c>
      <c r="DL182" s="758">
        <f>IF(500*(WWWW[[#This Row],['#_male hygiene promoters]]+WWWW[[#This Row],['#_female hygiene promoters]])&gt;WWWW[[#This Row],[Total PoP ]],WWWW[[#This Row],[Total PoP ]],500*(WWWW[[#This Row],['#_male hygiene promoters]]+WWWW[[#This Row],['#_female hygiene promoters]]))</f>
        <v>506</v>
      </c>
      <c r="DM18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506</v>
      </c>
      <c r="DN18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182" s="761">
        <f>IF(WWWW[[#This Row],['# People with access to soap]]&gt;WWWW[[#This Row],['# People with access to Sanity Pads]],WWWW[[#This Row],['# People with access to soap]],WWWW[[#This Row],['# People with access to Sanity Pads]])</f>
        <v>506</v>
      </c>
      <c r="DP182" s="761">
        <f>IF(WWWW[[#This Row],['# people reached by regular dedicated hygiene promotion_5]]&gt;WWWW[[#This Row],['# People received regular supply of hygiene items_6]],WWWW[[#This Row],['# people reached by regular dedicated hygiene promotion_5]],WWWW[[#This Row],['# People received regular supply of hygiene items_6]])</f>
        <v>506</v>
      </c>
      <c r="DQ182" s="763">
        <f>IF(WWWW[[#This Row],[HRP3]]/WWWW[[#This Row],[Total PoP ]]&gt;1,1,WWWW[[#This Row],[HRP3]]/WWWW[[#This Row],[Total PoP ]])</f>
        <v>1</v>
      </c>
      <c r="DR182" s="762">
        <f>1-WWWW[[#This Row],[Hygiene Coverage%]]</f>
        <v>0</v>
      </c>
      <c r="DS182" s="760">
        <f>WWWW[[#This Row],['# people reached by regular dedicated hygiene promotion_5]]/WWWW[[#This Row],[Total PoP ]]</f>
        <v>1</v>
      </c>
      <c r="DT18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2" s="761">
        <f>WWWW[[#This Row],['#_Constructed/Existing hand washing stations]]-WWWW[[#This Row],['#_Non-Functional_hand_washing_stations]]</f>
        <v>10</v>
      </c>
      <c r="DW182" s="758">
        <f>IF(WWWW[[#This Row],['# Functional hand washing stations during reporting period]]*20&gt;WWWW[[#This Row],[Total HH]],WWWW[[#This Row],[Total HH]],WWWW[[#This Row],['# Functional hand washing stations during reporting period]]*20)</f>
        <v>111</v>
      </c>
      <c r="DX182" s="758">
        <f>IF(WWWW[[#This Row],[Is sufficient soap available for TLS? (Yes/No)]]="yes",WWWW[[#This Row],['#_Constructed/Existing hand washing stations at TLS/CFS/THF]],0)</f>
        <v>0</v>
      </c>
      <c r="DY182" s="429">
        <f>IF(WWWW[[#This Row],['# Functional hand washing stations during reporting period]]*100&gt;WWWW[[#This Row],[Total PoP ]],WWWW[[#This Row],[Total PoP ]],WWWW[[#This Row],['# Functional hand washing stations during reporting period]]*100)</f>
        <v>506</v>
      </c>
      <c r="DZ182" s="429" t="str">
        <f>IF(OR(WWWW[[#This Row],['#_students at TLS_CFS]]="",WWWW[[#This Row],['#_students at TLS_CFS]]=0),"No","Yes")</f>
        <v>Yes</v>
      </c>
      <c r="EA182" s="634">
        <f>IF(WWWW[[#This Row],['#_of_affected_people_surveyed_who_report_feeling_informed_about_the_different_WASH_services_available_to_them]]="","",WWWW[[#This Row],['#_of_affected_people_surveyed_who_report_feeling_informed_about_the_different_WASH_services_available_to_them]]/WWWW[[#This Row],[Total PoP ]])</f>
        <v>9.881422924901186E-3</v>
      </c>
      <c r="EB18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111</v>
      </c>
      <c r="EC18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70</v>
      </c>
      <c r="ED18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300</v>
      </c>
      <c r="EE182" s="754" t="str">
        <f>VLOOKUP(WWWW[[#This Row],[Site Name]],SiteDB6[[Site Name]:[CCCM Management]],6,FALSE)</f>
        <v>Yes</v>
      </c>
      <c r="EF182" s="754" t="str">
        <f>VLOOKUP(WWWW[[#This Row],[Site Name]],SiteDB6[[Site Name]:[CCCM Focal Agency]],7,FALSE)</f>
        <v>Shalom</v>
      </c>
      <c r="EG182" s="754" t="str">
        <f>VLOOKUP(WWWW[[#This Row],[Site Name]],SiteDB6[[Site Name]:[Location Type 1]],9,FALSE)</f>
        <v>Camp</v>
      </c>
      <c r="EH182" s="754" t="str">
        <f>VLOOKUP(WWWW[[#This Row],[Site Name]],SiteDB6[[Site Name]:[Type of Accommodation]],10,FALSE)</f>
        <v>Camp</v>
      </c>
      <c r="EI182" s="754" t="str">
        <f>VLOOKUP(WWWW[[#This Row],[Site Name]],SiteDB6[[Site Name]:[Ethnic or GCA/NGCA]],11,FALSE)</f>
        <v>GCA</v>
      </c>
      <c r="EJ182" s="754">
        <f>VLOOKUP(WWWW[[#This Row],[Site Name]],SiteDB6[[Site Name]:[Lat]],12,FALSE)</f>
        <v>25.3540362037037</v>
      </c>
      <c r="EK182" s="754">
        <f>VLOOKUP(WWWW[[#This Row],[Site Name]],SiteDB6[[Site Name]:[Long]],13,FALSE)</f>
        <v>97.441166388888902</v>
      </c>
      <c r="EL182" s="754" t="str">
        <f>VLOOKUP(WWWW[[#This Row],[Site Name]],SiteDB6[[Site Name]:[Pcode]],3,FALSE)</f>
        <v>MMR001CMP032</v>
      </c>
      <c r="EM182" s="759" t="str">
        <f t="shared" si="2"/>
        <v>Covered</v>
      </c>
      <c r="EN182" s="759"/>
      <c r="EO182" s="754">
        <f>VLOOKUP(WWWW[[#This Row],[Site Name]],SiteDB6[[Site Name]:[Pop
(Kachin/Shan-CCCM as of July 2021)]],16,FALSE)</f>
        <v>111</v>
      </c>
      <c r="EP182" s="754">
        <f>VLOOKUP(WWWW[[#This Row],[Site Name]],SiteDB6[[Site Name]:[Pop
(Kachin/Shan-CCCM as of July 2021)]],17,FALSE)</f>
        <v>505</v>
      </c>
    </row>
    <row r="183" spans="1:146" hidden="1">
      <c r="A183" s="752" t="s">
        <v>2785</v>
      </c>
      <c r="B183" s="752" t="s">
        <v>242</v>
      </c>
      <c r="C183" s="753" t="s">
        <v>242</v>
      </c>
      <c r="D183" s="753" t="s">
        <v>307</v>
      </c>
      <c r="E183" s="753" t="s">
        <v>37</v>
      </c>
      <c r="F183" s="753" t="s">
        <v>142</v>
      </c>
      <c r="G183" s="594" t="str">
        <f>VLOOKUP(WWWW[[#This Row],[Site Name]],SiteDB6[[Site Name]:[Location Type]],8,FALSE)</f>
        <v>Camp</v>
      </c>
      <c r="H183" s="753" t="s">
        <v>3025</v>
      </c>
      <c r="I183" s="449">
        <v>40</v>
      </c>
      <c r="J183" s="449">
        <v>221</v>
      </c>
      <c r="K183" s="591">
        <v>44197</v>
      </c>
      <c r="L183" s="592">
        <v>44651</v>
      </c>
      <c r="M183" s="755"/>
      <c r="N183" s="755">
        <v>1</v>
      </c>
      <c r="O183" s="755"/>
      <c r="P183" s="755"/>
      <c r="Q183" s="758" t="s">
        <v>41</v>
      </c>
      <c r="R183" s="755">
        <v>1</v>
      </c>
      <c r="S183" s="755">
        <v>4</v>
      </c>
      <c r="T183" s="449">
        <v>1</v>
      </c>
      <c r="U183" s="755"/>
      <c r="V183" s="755"/>
      <c r="W183" s="755"/>
      <c r="X183" s="755"/>
      <c r="Y183" s="755"/>
      <c r="Z183" s="755"/>
      <c r="AA183" s="755"/>
      <c r="AB183" s="755"/>
      <c r="AC183" s="755"/>
      <c r="AD183" s="755"/>
      <c r="AE183" s="755"/>
      <c r="AF183" s="755"/>
      <c r="AG183" s="755"/>
      <c r="AH183" s="755"/>
      <c r="AI183" s="755"/>
      <c r="AJ183" s="755"/>
      <c r="AK183" s="755"/>
      <c r="AL183" s="755"/>
      <c r="AM183" s="755"/>
      <c r="AN183" s="755"/>
      <c r="AO183" s="755"/>
      <c r="AP183" s="759" t="s">
        <v>2909</v>
      </c>
      <c r="AQ183" s="755">
        <v>8</v>
      </c>
      <c r="AR183" s="755"/>
      <c r="AS183" s="760"/>
      <c r="AT183" s="755"/>
      <c r="AU183" s="755"/>
      <c r="AV183" s="755"/>
      <c r="AW183" s="755"/>
      <c r="AX183" s="755"/>
      <c r="AY183" s="754" t="s">
        <v>41</v>
      </c>
      <c r="AZ183" s="759" t="s">
        <v>137</v>
      </c>
      <c r="BA183" s="755"/>
      <c r="BB183" s="755"/>
      <c r="BC183" s="755"/>
      <c r="BD183" s="449"/>
      <c r="BE183" s="449"/>
      <c r="BF183" s="754"/>
      <c r="BG183" s="755">
        <v>7</v>
      </c>
      <c r="BH183" s="755"/>
      <c r="BI183" s="755"/>
      <c r="BJ183" s="755">
        <v>4</v>
      </c>
      <c r="BK183" s="755"/>
      <c r="BL183" s="755">
        <v>1</v>
      </c>
      <c r="BM183" s="755"/>
      <c r="BN183" s="755">
        <v>124</v>
      </c>
      <c r="BO183" s="755">
        <v>198</v>
      </c>
      <c r="BP183" s="754" t="s">
        <v>136</v>
      </c>
      <c r="BQ183" s="761"/>
      <c r="BR183" s="424">
        <v>0.5</v>
      </c>
      <c r="BS183" s="426"/>
      <c r="BT183" s="424">
        <v>0.98</v>
      </c>
      <c r="BU183" s="424">
        <v>0.9</v>
      </c>
      <c r="BV183" s="426">
        <v>4</v>
      </c>
      <c r="BW183" s="424">
        <v>0.99</v>
      </c>
      <c r="BX183" s="449"/>
      <c r="BY183" s="449"/>
      <c r="BZ183" s="449"/>
      <c r="CA183" s="449"/>
      <c r="CB183" s="449"/>
      <c r="CC183" s="807"/>
      <c r="CD183" s="449"/>
      <c r="CE183" s="762" t="str">
        <f>IFERROR(WWWW[[#This Row],['#_Water sources passed]]/WWWW[[#This Row],['#_Water sources tested for fecal coliform ]],"no test")</f>
        <v>no test</v>
      </c>
      <c r="CF183" s="760" t="str">
        <f>IFERROR(WWWW[[#This Row],['#_Household passed]]/WWWW[[#This Row],['#_Household water samples tested for fecal coliform]],"no test")</f>
        <v>no test</v>
      </c>
      <c r="CG183" s="761" t="str">
        <f>IF(AND(WWWW[[#This Row],[% of water sources passed]]="no test",WWWW[[#This Row],[% Household passed]]="no test"),"No Test","Tested")</f>
        <v>No Test</v>
      </c>
      <c r="CH183" s="761">
        <f>WWWW[[#This Row],['#_Constructed/existing protected hand dug well]]-WWWW[[#This Row],['#_Non-functional protected hand dug well]]</f>
        <v>1</v>
      </c>
      <c r="CI183" s="761">
        <f>(WWWW[[#This Row],['#_Constructed/Existing tube wells/boreholes/handpumps_WASH_agency]]+WWWW[[#This Row],['#_Non-Cluster partner water tube-wells/boreholes/handpumps]])-WWWW[[#This Row],['#_Non-functional tube wells/boreholes/handpumps]]</f>
        <v>0</v>
      </c>
      <c r="CJ183" s="761">
        <f>WWWW[[#This Row],['#_Constructed/Existingwater storage tank with gravity fed reticulation system]]-WWWW[[#This Row],['#_Non-functional storage tank gravity fed reticulation system]]</f>
        <v>0</v>
      </c>
      <c r="CK183" s="761">
        <f>(WWWW[[#This Row],['#_Water_Liters_supplied_by_Water boating or water trucking]]/90)/15</f>
        <v>0</v>
      </c>
      <c r="CL183" s="761">
        <f>WWWW[[#This Row],['#_Water_Liters_from_Constructed/Existing water distribution system from river or natural spring]]/90/15</f>
        <v>0</v>
      </c>
      <c r="CM183" s="425">
        <f>IF(WWWW[[#This Row],['#_of water points in TLS/CFS]]*500&gt;WWWW[[#This Row],[Total PoP ]],WWWW[[#This Row],[Total PoP ]],WWWW[[#This Row],['#_of water points in TLS/CFS]]*500)</f>
        <v>0</v>
      </c>
      <c r="CN183" s="425">
        <f>IF(WWWW[[#This Row],['#_of water points in THF]]*500&gt;WWWW[[#This Row],[Total PoP ]],WWWW[[#This Row],[Total PoP ]],WWWW[[#This Row],['#_of water points in THF]]*500)</f>
        <v>0</v>
      </c>
      <c r="CO18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3" s="760">
        <f>IF(WWWW[[#This Row],[Location Type 1]]="Village",WWWW[[#This Row],[Access to safe drinking water for Village]],WWWW[[#This Row],[Access to safe drinking water for Camp]])</f>
        <v>1</v>
      </c>
      <c r="CR183" s="758">
        <f>WWWW[[#This Row],[%Equitable and continuous access to sufficient quantity of safe drinking water]]*WWWW[[#This Row],[Total PoP ]]</f>
        <v>221</v>
      </c>
      <c r="CS183" s="760">
        <f>IF((WWWW[[#This Row],['#_Constructed/Existing protected/fenced ponds]]*250)/WWWW[[#This Row],[Total PoP ]]&gt;1,1,(WWWW[[#This Row],['#_Constructed/Existing protected/fenced ponds]]*250)/WWWW[[#This Row],[Total PoP ]])</f>
        <v>0</v>
      </c>
      <c r="CT183" s="758">
        <f>WWWW[[#This Row],[% Access to unimproved water points]]*WWWW[[#This Row],[Total PoP ]]</f>
        <v>0</v>
      </c>
      <c r="CU18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183" s="758">
        <f>WWWW[[#This Row],[HRP1]]/500</f>
        <v>0.442</v>
      </c>
      <c r="CX183" s="763">
        <f>1-WWWW[[#This Row],[% Equitable and continuous access to sufficient quantity of domestic water]]</f>
        <v>0</v>
      </c>
      <c r="CY183" s="758">
        <f>WWWW[[#This Row],[%equitable and continuous access to sufficient quantity of safe drinking and domestic water''s GAP]]*WWWW[[#This Row],[Total PoP ]]</f>
        <v>0</v>
      </c>
      <c r="CZ183" s="761">
        <f>IF(WWWW[[#This Row],[Total required water points]]-WWWW[[#This Row],['#Water points coverage]]&lt;0,0,WWWW[[#This Row],[Total required water points]]-WWWW[[#This Row],['#Water points coverage]])</f>
        <v>0.55800000000000005</v>
      </c>
      <c r="DA183" s="761">
        <f>ROUND(IF(WWWW[[#This Row],[Total PoP ]]&lt;500,1,WWWW[[#This Row],[Total PoP ]]/500),0)</f>
        <v>1</v>
      </c>
      <c r="DB183" s="761">
        <f>(WWWW[[#This Row],['#_Constructed latrines_by_WASHAgencies]]+WWWW[[#This Row],['#_Non Cluster partner latrines]])-WWWW[[#This Row],['#_Non-functional latrines]]</f>
        <v>8</v>
      </c>
      <c r="DC183" s="634">
        <f>WWWW[[#This Row],[HRP2]]/WWWW[[#This Row],[Total PoP ]]</f>
        <v>0.72398190045248867</v>
      </c>
      <c r="DD18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18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3" s="425">
        <f>IF(WWWW[[#This Row],['# of functional latrines in THF supported by WASH partners during the reporting period2]]="",0,WWWW[[#This Row],['# of functional latrines in THF supported by WASH partners during the reporting period2]]*50)</f>
        <v>0</v>
      </c>
      <c r="DH183" s="761">
        <f>ROUND(IF(WWWW[[#This Row],[Location Type 1]]="camp",WWWW[[#This Row],[Total PoP ]]/20,IF(WWWW[[#This Row],[Location Type 1]]="Temporary Location",WWWW[[#This Row],[Total PoP ]]/50,(WWWW[[#This Row],[Total PoP ]]/6))),0)</f>
        <v>11</v>
      </c>
      <c r="DI183" s="761">
        <f>IF(WWWW[[#This Row],[Total required Latrines]]-(WWWW[[#This Row],['#_Constructed latrines_by_WASHAgencies]]+WWWW[[#This Row],['#_Non Cluster partner latrines]])&lt;0,0,WWWW[[#This Row],[Total required Latrines]]-(WWWW[[#This Row],['#_Constructed latrines_by_WASHAgencies]]+WWWW[[#This Row],['#_Non Cluster partner latrines]]))</f>
        <v>3</v>
      </c>
      <c r="DJ183" s="763">
        <f>1-WWWW[[#This Row],[% people access to functioning Latrine]]</f>
        <v>0.27601809954751133</v>
      </c>
      <c r="DK183" s="762">
        <f>IF(OR(WWWW[[#This Row],['#_Non-functional latrines]]="",WWWW[[#This Row],['#_Non-functional latrines]]=0),0,WWWW[[#This Row],['#_Non-functional latrines]]/(WWWW[[#This Row],['#_Constructed latrines_by_WASHAgencies]]+WWWW[[#This Row],['#_Non Cluster partner latrines]]))</f>
        <v>0</v>
      </c>
      <c r="DL183" s="758">
        <f>IF(500*(WWWW[[#This Row],['#_male hygiene promoters]]+WWWW[[#This Row],['#_female hygiene promoters]])&gt;WWWW[[#This Row],[Total PoP ]],WWWW[[#This Row],[Total PoP ]],500*(WWWW[[#This Row],['#_male hygiene promoters]]+WWWW[[#This Row],['#_female hygiene promoters]]))</f>
        <v>221</v>
      </c>
      <c r="DM18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18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183" s="761">
        <f>IF(WWWW[[#This Row],['# People with access to soap]]&gt;WWWW[[#This Row],['# People with access to Sanity Pads]],WWWW[[#This Row],['# People with access to soap]],WWWW[[#This Row],['# People with access to Sanity Pads]])</f>
        <v>221</v>
      </c>
      <c r="DP183" s="761">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183" s="763">
        <f>IF(WWWW[[#This Row],[HRP3]]/WWWW[[#This Row],[Total PoP ]]&gt;1,1,WWWW[[#This Row],[HRP3]]/WWWW[[#This Row],[Total PoP ]])</f>
        <v>1</v>
      </c>
      <c r="DR183" s="762">
        <f>1-WWWW[[#This Row],[Hygiene Coverage%]]</f>
        <v>0</v>
      </c>
      <c r="DS183" s="760">
        <f>WWWW[[#This Row],['# people reached by regular dedicated hygiene promotion_5]]/WWWW[[#This Row],[Total PoP ]]</f>
        <v>1</v>
      </c>
      <c r="DT18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3" s="761">
        <f>WWWW[[#This Row],['#_Constructed/Existing hand washing stations]]-WWWW[[#This Row],['#_Non-Functional_hand_washing_stations]]</f>
        <v>7</v>
      </c>
      <c r="DW183" s="758">
        <f>IF(WWWW[[#This Row],['# Functional hand washing stations during reporting period]]*20&gt;WWWW[[#This Row],[Total HH]],WWWW[[#This Row],[Total HH]],WWWW[[#This Row],['# Functional hand washing stations during reporting period]]*20)</f>
        <v>40</v>
      </c>
      <c r="DX183" s="758">
        <f>IF(WWWW[[#This Row],[Is sufficient soap available for TLS? (Yes/No)]]="yes",WWWW[[#This Row],['#_Constructed/Existing hand washing stations at TLS/CFS/THF]],0)</f>
        <v>0</v>
      </c>
      <c r="DY183" s="429">
        <f>IF(WWWW[[#This Row],['# Functional hand washing stations during reporting period]]*100&gt;WWWW[[#This Row],[Total PoP ]],WWWW[[#This Row],[Total PoP ]],WWWW[[#This Row],['# Functional hand washing stations during reporting period]]*100)</f>
        <v>221</v>
      </c>
      <c r="DZ183" s="429" t="str">
        <f>IF(OR(WWWW[[#This Row],['#_students at TLS_CFS]]="",WWWW[[#This Row],['#_students at TLS_CFS]]=0),"No","Yes")</f>
        <v>No</v>
      </c>
      <c r="EA183" s="634">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18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3" s="754" t="str">
        <f>VLOOKUP(WWWW[[#This Row],[Site Name]],SiteDB6[[Site Name]:[CCCM Management]],6,FALSE)</f>
        <v>Yes</v>
      </c>
      <c r="EF183" s="754" t="str">
        <f>VLOOKUP(WWWW[[#This Row],[Site Name]],SiteDB6[[Site Name]:[CCCM Focal Agency]],7,FALSE)</f>
        <v>Shalom</v>
      </c>
      <c r="EG183" s="754" t="str">
        <f>VLOOKUP(WWWW[[#This Row],[Site Name]],SiteDB6[[Site Name]:[Location Type 1]],9,FALSE)</f>
        <v>Camp</v>
      </c>
      <c r="EH183" s="754" t="str">
        <f>VLOOKUP(WWWW[[#This Row],[Site Name]],SiteDB6[[Site Name]:[Type of Accommodation]],10,FALSE)</f>
        <v>Camp</v>
      </c>
      <c r="EI183" s="754" t="str">
        <f>VLOOKUP(WWWW[[#This Row],[Site Name]],SiteDB6[[Site Name]:[Ethnic or GCA/NGCA]],11,FALSE)</f>
        <v>GCA</v>
      </c>
      <c r="EJ183" s="754">
        <f>VLOOKUP(WWWW[[#This Row],[Site Name]],SiteDB6[[Site Name]:[Lat]],12,FALSE)</f>
        <v>25.345918166666699</v>
      </c>
      <c r="EK183" s="754">
        <f>VLOOKUP(WWWW[[#This Row],[Site Name]],SiteDB6[[Site Name]:[Long]],13,FALSE)</f>
        <v>97.437472666666693</v>
      </c>
      <c r="EL183" s="754" t="str">
        <f>VLOOKUP(WWWW[[#This Row],[Site Name]],SiteDB6[[Site Name]:[Pcode]],3,FALSE)</f>
        <v>MMR001CMP030</v>
      </c>
      <c r="EM183" s="759" t="str">
        <f t="shared" si="2"/>
        <v>Covered</v>
      </c>
      <c r="EN183" s="759"/>
      <c r="EO183" s="754">
        <f>VLOOKUP(WWWW[[#This Row],[Site Name]],SiteDB6[[Site Name]:[Pop
(Kachin/Shan-CCCM as of July 2021)]],16,FALSE)</f>
        <v>40</v>
      </c>
      <c r="EP183" s="754">
        <f>VLOOKUP(WWWW[[#This Row],[Site Name]],SiteDB6[[Site Name]:[Pop
(Kachin/Shan-CCCM as of July 2021)]],17,FALSE)</f>
        <v>221</v>
      </c>
    </row>
    <row r="184" spans="1:146" hidden="1">
      <c r="A184" s="752" t="s">
        <v>2785</v>
      </c>
      <c r="B184" s="752" t="s">
        <v>242</v>
      </c>
      <c r="C184" s="753" t="s">
        <v>242</v>
      </c>
      <c r="D184" s="753" t="s">
        <v>307</v>
      </c>
      <c r="E184" s="753" t="s">
        <v>37</v>
      </c>
      <c r="F184" s="753" t="s">
        <v>142</v>
      </c>
      <c r="G184" s="594" t="str">
        <f>VLOOKUP(WWWW[[#This Row],[Site Name]],SiteDB6[[Site Name]:[Location Type]],8,FALSE)</f>
        <v>Camp</v>
      </c>
      <c r="H184" s="753" t="s">
        <v>274</v>
      </c>
      <c r="I184" s="449">
        <v>46</v>
      </c>
      <c r="J184" s="449">
        <v>192</v>
      </c>
      <c r="K184" s="591">
        <v>44197</v>
      </c>
      <c r="L184" s="592">
        <v>44651</v>
      </c>
      <c r="M184" s="755"/>
      <c r="N184" s="755">
        <v>1</v>
      </c>
      <c r="O184" s="755"/>
      <c r="P184" s="755"/>
      <c r="Q184" s="758" t="s">
        <v>41</v>
      </c>
      <c r="R184" s="755">
        <v>1</v>
      </c>
      <c r="S184" s="755">
        <v>4</v>
      </c>
      <c r="T184" s="449">
        <v>1</v>
      </c>
      <c r="U184" s="755"/>
      <c r="V184" s="755"/>
      <c r="W184" s="755"/>
      <c r="X184" s="755"/>
      <c r="Y184" s="755"/>
      <c r="Z184" s="755"/>
      <c r="AA184" s="755"/>
      <c r="AB184" s="755"/>
      <c r="AC184" s="755"/>
      <c r="AD184" s="755"/>
      <c r="AE184" s="755"/>
      <c r="AF184" s="755"/>
      <c r="AG184" s="755"/>
      <c r="AH184" s="755"/>
      <c r="AI184" s="755"/>
      <c r="AJ184" s="755"/>
      <c r="AK184" s="755"/>
      <c r="AL184" s="755"/>
      <c r="AM184" s="755"/>
      <c r="AN184" s="755"/>
      <c r="AO184" s="755"/>
      <c r="AP184" s="593" t="s">
        <v>2910</v>
      </c>
      <c r="AQ184" s="755">
        <v>6</v>
      </c>
      <c r="AR184" s="755"/>
      <c r="AS184" s="760"/>
      <c r="AT184" s="755"/>
      <c r="AU184" s="755"/>
      <c r="AV184" s="755"/>
      <c r="AW184" s="755"/>
      <c r="AX184" s="755"/>
      <c r="AY184" s="754" t="s">
        <v>41</v>
      </c>
      <c r="AZ184" s="759" t="s">
        <v>137</v>
      </c>
      <c r="BA184" s="755"/>
      <c r="BB184" s="755"/>
      <c r="BC184" s="755"/>
      <c r="BD184" s="449"/>
      <c r="BE184" s="449"/>
      <c r="BF184" s="754"/>
      <c r="BG184" s="755">
        <v>3</v>
      </c>
      <c r="BH184" s="755"/>
      <c r="BI184" s="755"/>
      <c r="BJ184" s="755">
        <v>2</v>
      </c>
      <c r="BK184" s="755"/>
      <c r="BL184" s="755"/>
      <c r="BM184" s="755">
        <v>1</v>
      </c>
      <c r="BN184" s="755">
        <v>88</v>
      </c>
      <c r="BO184" s="755">
        <v>100</v>
      </c>
      <c r="BP184" s="426"/>
      <c r="BQ184" s="761"/>
      <c r="BR184" s="424">
        <v>0.4</v>
      </c>
      <c r="BS184" s="426"/>
      <c r="BT184" s="424">
        <v>0.95</v>
      </c>
      <c r="BU184" s="424">
        <v>0.9</v>
      </c>
      <c r="BV184" s="426">
        <v>3</v>
      </c>
      <c r="BW184" s="424">
        <v>0.99</v>
      </c>
      <c r="BX184" s="449"/>
      <c r="BY184" s="449"/>
      <c r="BZ184" s="449"/>
      <c r="CA184" s="449"/>
      <c r="CB184" s="449"/>
      <c r="CC184" s="807"/>
      <c r="CD184" s="449"/>
      <c r="CE184" s="762" t="str">
        <f>IFERROR(WWWW[[#This Row],['#_Water sources passed]]/WWWW[[#This Row],['#_Water sources tested for fecal coliform ]],"no test")</f>
        <v>no test</v>
      </c>
      <c r="CF184" s="760" t="str">
        <f>IFERROR(WWWW[[#This Row],['#_Household passed]]/WWWW[[#This Row],['#_Household water samples tested for fecal coliform]],"no test")</f>
        <v>no test</v>
      </c>
      <c r="CG184" s="761" t="str">
        <f>IF(AND(WWWW[[#This Row],[% of water sources passed]]="no test",WWWW[[#This Row],[% Household passed]]="no test"),"No Test","Tested")</f>
        <v>No Test</v>
      </c>
      <c r="CH184" s="761">
        <f>WWWW[[#This Row],['#_Constructed/existing protected hand dug well]]-WWWW[[#This Row],['#_Non-functional protected hand dug well]]</f>
        <v>1</v>
      </c>
      <c r="CI184" s="761">
        <f>(WWWW[[#This Row],['#_Constructed/Existing tube wells/boreholes/handpumps_WASH_agency]]+WWWW[[#This Row],['#_Non-Cluster partner water tube-wells/boreholes/handpumps]])-WWWW[[#This Row],['#_Non-functional tube wells/boreholes/handpumps]]</f>
        <v>0</v>
      </c>
      <c r="CJ184" s="761">
        <f>WWWW[[#This Row],['#_Constructed/Existingwater storage tank with gravity fed reticulation system]]-WWWW[[#This Row],['#_Non-functional storage tank gravity fed reticulation system]]</f>
        <v>0</v>
      </c>
      <c r="CK184" s="761">
        <f>(WWWW[[#This Row],['#_Water_Liters_supplied_by_Water boating or water trucking]]/90)/15</f>
        <v>0</v>
      </c>
      <c r="CL184" s="761">
        <f>WWWW[[#This Row],['#_Water_Liters_from_Constructed/Existing water distribution system from river or natural spring]]/90/15</f>
        <v>0</v>
      </c>
      <c r="CM184" s="425">
        <f>IF(WWWW[[#This Row],['#_of water points in TLS/CFS]]*500&gt;WWWW[[#This Row],[Total PoP ]],WWWW[[#This Row],[Total PoP ]],WWWW[[#This Row],['#_of water points in TLS/CFS]]*500)</f>
        <v>0</v>
      </c>
      <c r="CN184" s="425">
        <f>IF(WWWW[[#This Row],['#_of water points in THF]]*500&gt;WWWW[[#This Row],[Total PoP ]],WWWW[[#This Row],[Total PoP ]],WWWW[[#This Row],['#_of water points in THF]]*500)</f>
        <v>0</v>
      </c>
      <c r="CO184"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4"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4" s="760">
        <f>IF(WWWW[[#This Row],[Location Type 1]]="Village",WWWW[[#This Row],[Access to safe drinking water for Village]],WWWW[[#This Row],[Access to safe drinking water for Camp]])</f>
        <v>1</v>
      </c>
      <c r="CR184" s="758">
        <f>WWWW[[#This Row],[%Equitable and continuous access to sufficient quantity of safe drinking water]]*WWWW[[#This Row],[Total PoP ]]</f>
        <v>192</v>
      </c>
      <c r="CS184" s="760">
        <f>IF((WWWW[[#This Row],['#_Constructed/Existing protected/fenced ponds]]*250)/WWWW[[#This Row],[Total PoP ]]&gt;1,1,(WWWW[[#This Row],['#_Constructed/Existing protected/fenced ponds]]*250)/WWWW[[#This Row],[Total PoP ]])</f>
        <v>0</v>
      </c>
      <c r="CT184" s="758">
        <f>WWWW[[#This Row],[% Access to unimproved water points]]*WWWW[[#This Row],[Total PoP ]]</f>
        <v>0</v>
      </c>
      <c r="CU184"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4"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v>
      </c>
      <c r="CW184" s="758">
        <f>WWWW[[#This Row],[HRP1]]/500</f>
        <v>0.38400000000000001</v>
      </c>
      <c r="CX184" s="763">
        <f>1-WWWW[[#This Row],[% Equitable and continuous access to sufficient quantity of domestic water]]</f>
        <v>0</v>
      </c>
      <c r="CY184" s="758">
        <f>WWWW[[#This Row],[%equitable and continuous access to sufficient quantity of safe drinking and domestic water''s GAP]]*WWWW[[#This Row],[Total PoP ]]</f>
        <v>0</v>
      </c>
      <c r="CZ184" s="761">
        <f>IF(WWWW[[#This Row],[Total required water points]]-WWWW[[#This Row],['#Water points coverage]]&lt;0,0,WWWW[[#This Row],[Total required water points]]-WWWW[[#This Row],['#Water points coverage]])</f>
        <v>0.61599999999999999</v>
      </c>
      <c r="DA184" s="761">
        <f>ROUND(IF(WWWW[[#This Row],[Total PoP ]]&lt;500,1,WWWW[[#This Row],[Total PoP ]]/500),0)</f>
        <v>1</v>
      </c>
      <c r="DB184" s="761">
        <f>(WWWW[[#This Row],['#_Constructed latrines_by_WASHAgencies]]+WWWW[[#This Row],['#_Non Cluster partner latrines]])-WWWW[[#This Row],['#_Non-functional latrines]]</f>
        <v>6</v>
      </c>
      <c r="DC184" s="634">
        <f>WWWW[[#This Row],[HRP2]]/WWWW[[#This Row],[Total PoP ]]</f>
        <v>0.625</v>
      </c>
      <c r="DD184"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184"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4"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4" s="425">
        <f>IF(WWWW[[#This Row],['# of functional latrines in THF supported by WASH partners during the reporting period2]]="",0,WWWW[[#This Row],['# of functional latrines in THF supported by WASH partners during the reporting period2]]*50)</f>
        <v>0</v>
      </c>
      <c r="DH184" s="761">
        <f>ROUND(IF(WWWW[[#This Row],[Location Type 1]]="camp",WWWW[[#This Row],[Total PoP ]]/20,IF(WWWW[[#This Row],[Location Type 1]]="Temporary Location",WWWW[[#This Row],[Total PoP ]]/50,(WWWW[[#This Row],[Total PoP ]]/6))),0)</f>
        <v>10</v>
      </c>
      <c r="DI184" s="761">
        <f>IF(WWWW[[#This Row],[Total required Latrines]]-(WWWW[[#This Row],['#_Constructed latrines_by_WASHAgencies]]+WWWW[[#This Row],['#_Non Cluster partner latrines]])&lt;0,0,WWWW[[#This Row],[Total required Latrines]]-(WWWW[[#This Row],['#_Constructed latrines_by_WASHAgencies]]+WWWW[[#This Row],['#_Non Cluster partner latrines]]))</f>
        <v>4</v>
      </c>
      <c r="DJ184" s="763">
        <f>1-WWWW[[#This Row],[% people access to functioning Latrine]]</f>
        <v>0.375</v>
      </c>
      <c r="DK184" s="762">
        <f>IF(OR(WWWW[[#This Row],['#_Non-functional latrines]]="",WWWW[[#This Row],['#_Non-functional latrines]]=0),0,WWWW[[#This Row],['#_Non-functional latrines]]/(WWWW[[#This Row],['#_Constructed latrines_by_WASHAgencies]]+WWWW[[#This Row],['#_Non Cluster partner latrines]]))</f>
        <v>0</v>
      </c>
      <c r="DL184" s="758">
        <f>IF(500*(WWWW[[#This Row],['#_male hygiene promoters]]+WWWW[[#This Row],['#_female hygiene promoters]])&gt;WWWW[[#This Row],[Total PoP ]],WWWW[[#This Row],[Total PoP ]],500*(WWWW[[#This Row],['#_male hygiene promoters]]+WWWW[[#This Row],['#_female hygiene promoters]]))</f>
        <v>192</v>
      </c>
      <c r="DM184"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192</v>
      </c>
      <c r="DN184"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O184" s="761">
        <f>IF(WWWW[[#This Row],['# People with access to soap]]&gt;WWWW[[#This Row],['# People with access to Sanity Pads]],WWWW[[#This Row],['# People with access to soap]],WWWW[[#This Row],['# People with access to Sanity Pads]])</f>
        <v>192</v>
      </c>
      <c r="DP184" s="761">
        <f>IF(WWWW[[#This Row],['# people reached by regular dedicated hygiene promotion_5]]&gt;WWWW[[#This Row],['# People received regular supply of hygiene items_6]],WWWW[[#This Row],['# people reached by regular dedicated hygiene promotion_5]],WWWW[[#This Row],['# People received regular supply of hygiene items_6]])</f>
        <v>192</v>
      </c>
      <c r="DQ184" s="763">
        <f>IF(WWWW[[#This Row],[HRP3]]/WWWW[[#This Row],[Total PoP ]]&gt;1,1,WWWW[[#This Row],[HRP3]]/WWWW[[#This Row],[Total PoP ]])</f>
        <v>1</v>
      </c>
      <c r="DR184" s="762">
        <f>1-WWWW[[#This Row],[Hygiene Coverage%]]</f>
        <v>0</v>
      </c>
      <c r="DS184" s="760">
        <f>WWWW[[#This Row],['# people reached by regular dedicated hygiene promotion_5]]/WWWW[[#This Row],[Total PoP ]]</f>
        <v>1</v>
      </c>
      <c r="DT184"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84"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84" s="761">
        <f>WWWW[[#This Row],['#_Constructed/Existing hand washing stations]]-WWWW[[#This Row],['#_Non-Functional_hand_washing_stations]]</f>
        <v>3</v>
      </c>
      <c r="DW184" s="758">
        <f>IF(WWWW[[#This Row],['# Functional hand washing stations during reporting period]]*20&gt;WWWW[[#This Row],[Total HH]],WWWW[[#This Row],[Total HH]],WWWW[[#This Row],['# Functional hand washing stations during reporting period]]*20)</f>
        <v>46</v>
      </c>
      <c r="DX184" s="758">
        <f>IF(WWWW[[#This Row],[Is sufficient soap available for TLS? (Yes/No)]]="yes",WWWW[[#This Row],['#_Constructed/Existing hand washing stations at TLS/CFS/THF]],0)</f>
        <v>0</v>
      </c>
      <c r="DY184" s="429">
        <f>IF(WWWW[[#This Row],['# Functional hand washing stations during reporting period]]*100&gt;WWWW[[#This Row],[Total PoP ]],WWWW[[#This Row],[Total PoP ]],WWWW[[#This Row],['# Functional hand washing stations during reporting period]]*100)</f>
        <v>192</v>
      </c>
      <c r="DZ184" s="429" t="str">
        <f>IF(OR(WWWW[[#This Row],['#_students at TLS_CFS]]="",WWWW[[#This Row],['#_students at TLS_CFS]]=0),"No","Yes")</f>
        <v>No</v>
      </c>
      <c r="EA184" s="634">
        <f>IF(WWWW[[#This Row],['#_of_affected_people_surveyed_who_report_feeling_informed_about_the_different_WASH_services_available_to_them]]="","",WWWW[[#This Row],['#_of_affected_people_surveyed_who_report_feeling_informed_about_the_different_WASH_services_available_to_them]]/WWWW[[#This Row],[Total PoP ]])</f>
        <v>1.5625E-2</v>
      </c>
      <c r="EB18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4" s="754" t="str">
        <f>VLOOKUP(WWWW[[#This Row],[Site Name]],SiteDB6[[Site Name]:[CCCM Management]],6,FALSE)</f>
        <v>Yes</v>
      </c>
      <c r="EF184" s="754" t="str">
        <f>VLOOKUP(WWWW[[#This Row],[Site Name]],SiteDB6[[Site Name]:[CCCM Focal Agency]],7,FALSE)</f>
        <v>Shalom</v>
      </c>
      <c r="EG184" s="754" t="str">
        <f>VLOOKUP(WWWW[[#This Row],[Site Name]],SiteDB6[[Site Name]:[Location Type 1]],9,FALSE)</f>
        <v>Camp</v>
      </c>
      <c r="EH184" s="754" t="str">
        <f>VLOOKUP(WWWW[[#This Row],[Site Name]],SiteDB6[[Site Name]:[Type of Accommodation]],10,FALSE)</f>
        <v>Camp</v>
      </c>
      <c r="EI184" s="754" t="str">
        <f>VLOOKUP(WWWW[[#This Row],[Site Name]],SiteDB6[[Site Name]:[Ethnic or GCA/NGCA]],11,FALSE)</f>
        <v>GCA</v>
      </c>
      <c r="EJ184" s="754">
        <f>VLOOKUP(WWWW[[#This Row],[Site Name]],SiteDB6[[Site Name]:[Lat]],12,FALSE)</f>
        <v>25.333683333333301</v>
      </c>
      <c r="EK184" s="754">
        <f>VLOOKUP(WWWW[[#This Row],[Site Name]],SiteDB6[[Site Name]:[Long]],13,FALSE)</f>
        <v>97.428251153846105</v>
      </c>
      <c r="EL184" s="754" t="str">
        <f>VLOOKUP(WWWW[[#This Row],[Site Name]],SiteDB6[[Site Name]:[Pcode]],3,FALSE)</f>
        <v>MMR001CMP037</v>
      </c>
      <c r="EM184" s="759" t="str">
        <f t="shared" si="2"/>
        <v>Covered</v>
      </c>
      <c r="EN184" s="759"/>
      <c r="EO184" s="754">
        <f>VLOOKUP(WWWW[[#This Row],[Site Name]],SiteDB6[[Site Name]:[Pop
(Kachin/Shan-CCCM as of July 2021)]],16,FALSE)</f>
        <v>46</v>
      </c>
      <c r="EP184" s="754">
        <f>VLOOKUP(WWWW[[#This Row],[Site Name]],SiteDB6[[Site Name]:[Pop
(Kachin/Shan-CCCM as of July 2021)]],17,FALSE)</f>
        <v>192</v>
      </c>
    </row>
    <row r="185" spans="1:146" hidden="1">
      <c r="A185" s="752" t="s">
        <v>2785</v>
      </c>
      <c r="B185" s="752" t="s">
        <v>242</v>
      </c>
      <c r="C185" s="753" t="s">
        <v>242</v>
      </c>
      <c r="D185" s="753" t="s">
        <v>307</v>
      </c>
      <c r="E185" s="753" t="s">
        <v>37</v>
      </c>
      <c r="F185" s="753" t="s">
        <v>142</v>
      </c>
      <c r="G185" s="594" t="str">
        <f>VLOOKUP(WWWW[[#This Row],[Site Name]],SiteDB6[[Site Name]:[Location Type]],8,FALSE)</f>
        <v>Camp</v>
      </c>
      <c r="H185" s="753" t="s">
        <v>275</v>
      </c>
      <c r="I185" s="449">
        <v>68</v>
      </c>
      <c r="J185" s="449">
        <v>293</v>
      </c>
      <c r="K185" s="591">
        <v>44197</v>
      </c>
      <c r="L185" s="592">
        <v>44651</v>
      </c>
      <c r="M185" s="449"/>
      <c r="N185" s="755">
        <v>1</v>
      </c>
      <c r="O185" s="755"/>
      <c r="P185" s="755"/>
      <c r="Q185" s="758" t="s">
        <v>41</v>
      </c>
      <c r="R185" s="755">
        <v>1</v>
      </c>
      <c r="S185" s="755">
        <v>4</v>
      </c>
      <c r="T185" s="449">
        <v>2</v>
      </c>
      <c r="U185" s="755"/>
      <c r="V185" s="755"/>
      <c r="W185" s="755">
        <v>1</v>
      </c>
      <c r="X185" s="755"/>
      <c r="Y185" s="755"/>
      <c r="Z185" s="755"/>
      <c r="AA185" s="755"/>
      <c r="AB185" s="755"/>
      <c r="AC185" s="755"/>
      <c r="AD185" s="755"/>
      <c r="AE185" s="755"/>
      <c r="AF185" s="755"/>
      <c r="AG185" s="755"/>
      <c r="AH185" s="755"/>
      <c r="AI185" s="755"/>
      <c r="AJ185" s="755"/>
      <c r="AK185" s="755"/>
      <c r="AL185" s="755"/>
      <c r="AM185" s="755">
        <v>1</v>
      </c>
      <c r="AN185" s="755"/>
      <c r="AO185" s="755"/>
      <c r="AP185" s="759" t="s">
        <v>2911</v>
      </c>
      <c r="AQ185" s="755">
        <v>9</v>
      </c>
      <c r="AR185" s="755"/>
      <c r="AS185" s="760"/>
      <c r="AT185" s="755"/>
      <c r="AU185" s="755"/>
      <c r="AV185" s="755">
        <v>5</v>
      </c>
      <c r="AW185" s="755"/>
      <c r="AX185" s="755"/>
      <c r="AY185" s="754" t="s">
        <v>41</v>
      </c>
      <c r="AZ185" s="759" t="s">
        <v>137</v>
      </c>
      <c r="BA185" s="755"/>
      <c r="BB185" s="755"/>
      <c r="BC185" s="755"/>
      <c r="BD185" s="449"/>
      <c r="BE185" s="449"/>
      <c r="BF185" s="754"/>
      <c r="BG185" s="755">
        <v>3</v>
      </c>
      <c r="BH185" s="755"/>
      <c r="BI185" s="755"/>
      <c r="BJ185" s="755">
        <v>2</v>
      </c>
      <c r="BK185" s="755"/>
      <c r="BL185" s="755"/>
      <c r="BM185" s="755">
        <v>1</v>
      </c>
      <c r="BN185" s="755">
        <v>10</v>
      </c>
      <c r="BO185" s="755">
        <v>18</v>
      </c>
      <c r="BP185" s="426" t="s">
        <v>41</v>
      </c>
      <c r="BQ185" s="761"/>
      <c r="BR185" s="424">
        <v>0.5</v>
      </c>
      <c r="BS185" s="426"/>
      <c r="BT185" s="424">
        <v>0.96</v>
      </c>
      <c r="BU185" s="424">
        <v>0.9</v>
      </c>
      <c r="BV185" s="426">
        <v>4</v>
      </c>
      <c r="BW185" s="424">
        <v>0.99</v>
      </c>
      <c r="BX185" s="449">
        <v>4</v>
      </c>
      <c r="BY185" s="449">
        <v>68</v>
      </c>
      <c r="BZ185" s="449"/>
      <c r="CA185" s="449"/>
      <c r="CB185" s="449"/>
      <c r="CC185" s="807"/>
      <c r="CD185" s="449"/>
      <c r="CE185" s="762" t="str">
        <f>IFERROR(WWWW[[#This Row],['#_Water sources passed]]/WWWW[[#This Row],['#_Water sources tested for fecal coliform ]],"no test")</f>
        <v>no test</v>
      </c>
      <c r="CF185" s="760" t="str">
        <f>IFERROR(WWWW[[#This Row],['#_Household passed]]/WWWW[[#This Row],['#_Household water samples tested for fecal coliform]],"no test")</f>
        <v>no test</v>
      </c>
      <c r="CG185" s="761" t="str">
        <f>IF(AND(WWWW[[#This Row],[% of water sources passed]]="no test",WWWW[[#This Row],[% Household passed]]="no test"),"No Test","Tested")</f>
        <v>No Test</v>
      </c>
      <c r="CH185" s="761">
        <f>WWWW[[#This Row],['#_Constructed/existing protected hand dug well]]-WWWW[[#This Row],['#_Non-functional protected hand dug well]]</f>
        <v>2</v>
      </c>
      <c r="CI185" s="761">
        <f>(WWWW[[#This Row],['#_Constructed/Existing tube wells/boreholes/handpumps_WASH_agency]]+WWWW[[#This Row],['#_Non-Cluster partner water tube-wells/boreholes/handpumps]])-WWWW[[#This Row],['#_Non-functional tube wells/boreholes/handpumps]]</f>
        <v>1</v>
      </c>
      <c r="CJ185" s="761">
        <f>WWWW[[#This Row],['#_Constructed/Existingwater storage tank with gravity fed reticulation system]]-WWWW[[#This Row],['#_Non-functional storage tank gravity fed reticulation system]]</f>
        <v>0</v>
      </c>
      <c r="CK185" s="761">
        <f>(WWWW[[#This Row],['#_Water_Liters_supplied_by_Water boating or water trucking]]/90)/15</f>
        <v>0</v>
      </c>
      <c r="CL185" s="761">
        <f>WWWW[[#This Row],['#_Water_Liters_from_Constructed/Existing water distribution system from river or natural spring]]/90/15</f>
        <v>0</v>
      </c>
      <c r="CM185" s="425">
        <f>IF(WWWW[[#This Row],['#_of water points in TLS/CFS]]*500&gt;WWWW[[#This Row],[Total PoP ]],WWWW[[#This Row],[Total PoP ]],WWWW[[#This Row],['#_of water points in TLS/CFS]]*500)</f>
        <v>0</v>
      </c>
      <c r="CN185" s="425">
        <f>IF(WWWW[[#This Row],['#_of water points in THF]]*500&gt;WWWW[[#This Row],[Total PoP ]],WWWW[[#This Row],[Total PoP ]],WWWW[[#This Row],['#_of water points in THF]]*500)</f>
        <v>0</v>
      </c>
      <c r="CO18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5" s="760">
        <f>IF(WWWW[[#This Row],[Location Type 1]]="Village",WWWW[[#This Row],[Access to safe drinking water for Village]],WWWW[[#This Row],[Access to safe drinking water for Camp]])</f>
        <v>1</v>
      </c>
      <c r="CR185" s="758">
        <f>WWWW[[#This Row],[%Equitable and continuous access to sufficient quantity of safe drinking water]]*WWWW[[#This Row],[Total PoP ]]</f>
        <v>293</v>
      </c>
      <c r="CS185" s="760">
        <f>IF((WWWW[[#This Row],['#_Constructed/Existing protected/fenced ponds]]*250)/WWWW[[#This Row],[Total PoP ]]&gt;1,1,(WWWW[[#This Row],['#_Constructed/Existing protected/fenced ponds]]*250)/WWWW[[#This Row],[Total PoP ]])</f>
        <v>0</v>
      </c>
      <c r="CT185" s="758">
        <f>WWWW[[#This Row],[% Access to unimproved water points]]*WWWW[[#This Row],[Total PoP ]]</f>
        <v>0</v>
      </c>
      <c r="CU18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293</v>
      </c>
      <c r="CW185" s="758">
        <f>WWWW[[#This Row],[HRP1]]/500</f>
        <v>0.58599999999999997</v>
      </c>
      <c r="CX185" s="763">
        <f>1-WWWW[[#This Row],[% Equitable and continuous access to sufficient quantity of domestic water]]</f>
        <v>0</v>
      </c>
      <c r="CY185" s="758">
        <f>WWWW[[#This Row],[%equitable and continuous access to sufficient quantity of safe drinking and domestic water''s GAP]]*WWWW[[#This Row],[Total PoP ]]</f>
        <v>0</v>
      </c>
      <c r="CZ185" s="761">
        <f>IF(WWWW[[#This Row],[Total required water points]]-WWWW[[#This Row],['#Water points coverage]]&lt;0,0,WWWW[[#This Row],[Total required water points]]-WWWW[[#This Row],['#Water points coverage]])</f>
        <v>0.41400000000000003</v>
      </c>
      <c r="DA185" s="761">
        <f>ROUND(IF(WWWW[[#This Row],[Total PoP ]]&lt;500,1,WWWW[[#This Row],[Total PoP ]]/500),0)</f>
        <v>1</v>
      </c>
      <c r="DB185" s="761">
        <f>(WWWW[[#This Row],['#_Constructed latrines_by_WASHAgencies]]+WWWW[[#This Row],['#_Non Cluster partner latrines]])-WWWW[[#This Row],['#_Non-functional latrines]]</f>
        <v>9</v>
      </c>
      <c r="DC185" s="634">
        <f>WWWW[[#This Row],[HRP2]]/WWWW[[#This Row],[Total PoP ]]</f>
        <v>0.61433447098976113</v>
      </c>
      <c r="DD18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18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18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5" s="425">
        <f>IF(WWWW[[#This Row],['# of functional latrines in THF supported by WASH partners during the reporting period2]]="",0,WWWW[[#This Row],['# of functional latrines in THF supported by WASH partners during the reporting period2]]*50)</f>
        <v>0</v>
      </c>
      <c r="DH185" s="761">
        <f>ROUND(IF(WWWW[[#This Row],[Location Type 1]]="camp",WWWW[[#This Row],[Total PoP ]]/20,IF(WWWW[[#This Row],[Location Type 1]]="Temporary Location",WWWW[[#This Row],[Total PoP ]]/50,(WWWW[[#This Row],[Total PoP ]]/6))),0)</f>
        <v>15</v>
      </c>
      <c r="DI185" s="761">
        <f>IF(WWWW[[#This Row],[Total required Latrines]]-(WWWW[[#This Row],['#_Constructed latrines_by_WASHAgencies]]+WWWW[[#This Row],['#_Non Cluster partner latrines]])&lt;0,0,WWWW[[#This Row],[Total required Latrines]]-(WWWW[[#This Row],['#_Constructed latrines_by_WASHAgencies]]+WWWW[[#This Row],['#_Non Cluster partner latrines]]))</f>
        <v>6</v>
      </c>
      <c r="DJ185" s="763">
        <f>1-WWWW[[#This Row],[% people access to functioning Latrine]]</f>
        <v>0.38566552901023887</v>
      </c>
      <c r="DK185" s="762">
        <f>IF(OR(WWWW[[#This Row],['#_Non-functional latrines]]="",WWWW[[#This Row],['#_Non-functional latrines]]=0),0,WWWW[[#This Row],['#_Non-functional latrines]]/(WWWW[[#This Row],['#_Constructed latrines_by_WASHAgencies]]+WWWW[[#This Row],['#_Non Cluster partner latrines]]))</f>
        <v>0</v>
      </c>
      <c r="DL185" s="758">
        <f>IF(500*(WWWW[[#This Row],['#_male hygiene promoters]]+WWWW[[#This Row],['#_female hygiene promoters]])&gt;WWWW[[#This Row],[Total PoP ]],WWWW[[#This Row],[Total PoP ]],500*(WWWW[[#This Row],['#_male hygiene promoters]]+WWWW[[#This Row],['#_female hygiene promoters]]))</f>
        <v>293</v>
      </c>
      <c r="DM18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8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85" s="761">
        <f>IF(WWWW[[#This Row],['# People with access to soap]]&gt;WWWW[[#This Row],['# People with access to Sanity Pads]],WWWW[[#This Row],['# People with access to soap]],WWWW[[#This Row],['# People with access to Sanity Pads]])</f>
        <v>50</v>
      </c>
      <c r="DP185" s="761">
        <f>IF(WWWW[[#This Row],['# people reached by regular dedicated hygiene promotion_5]]&gt;WWWW[[#This Row],['# People received regular supply of hygiene items_6]],WWWW[[#This Row],['# people reached by regular dedicated hygiene promotion_5]],WWWW[[#This Row],['# People received regular supply of hygiene items_6]])</f>
        <v>293</v>
      </c>
      <c r="DQ185" s="763">
        <f>IF(WWWW[[#This Row],[HRP3]]/WWWW[[#This Row],[Total PoP ]]&gt;1,1,WWWW[[#This Row],[HRP3]]/WWWW[[#This Row],[Total PoP ]])</f>
        <v>1</v>
      </c>
      <c r="DR185" s="762">
        <f>1-WWWW[[#This Row],[Hygiene Coverage%]]</f>
        <v>0</v>
      </c>
      <c r="DS185" s="760">
        <f>WWWW[[#This Row],['# people reached by regular dedicated hygiene promotion_5]]/WWWW[[#This Row],[Total PoP ]]</f>
        <v>1</v>
      </c>
      <c r="DT18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0.58823529411764708</v>
      </c>
      <c r="DU18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0.26470588235294118</v>
      </c>
      <c r="DV185" s="761">
        <f>WWWW[[#This Row],['#_Constructed/Existing hand washing stations]]-WWWW[[#This Row],['#_Non-Functional_hand_washing_stations]]</f>
        <v>3</v>
      </c>
      <c r="DW185" s="758">
        <f>IF(WWWW[[#This Row],['# Functional hand washing stations during reporting period]]*20&gt;WWWW[[#This Row],[Total HH]],WWWW[[#This Row],[Total HH]],WWWW[[#This Row],['# Functional hand washing stations during reporting period]]*20)</f>
        <v>60</v>
      </c>
      <c r="DX185" s="758">
        <f>IF(WWWW[[#This Row],[Is sufficient soap available for TLS? (Yes/No)]]="yes",WWWW[[#This Row],['#_Constructed/Existing hand washing stations at TLS/CFS/THF]],0)</f>
        <v>1</v>
      </c>
      <c r="DY185" s="429">
        <f>IF(WWWW[[#This Row],['# Functional hand washing stations during reporting period]]*100&gt;WWWW[[#This Row],[Total PoP ]],WWWW[[#This Row],[Total PoP ]],WWWW[[#This Row],['# Functional hand washing stations during reporting period]]*100)</f>
        <v>293</v>
      </c>
      <c r="DZ185" s="429" t="str">
        <f>IF(OR(WWWW[[#This Row],['#_students at TLS_CFS]]="",WWWW[[#This Row],['#_students at TLS_CFS]]=0),"No","Yes")</f>
        <v>No</v>
      </c>
      <c r="EA185" s="634">
        <f>IF(WWWW[[#This Row],['#_of_affected_people_surveyed_who_report_feeling_informed_about_the_different_WASH_services_available_to_them]]="","",WWWW[[#This Row],['#_of_affected_people_surveyed_who_report_feeling_informed_about_the_different_WASH_services_available_to_them]]/WWWW[[#This Row],[Total PoP ]])</f>
        <v>1.3651877133105802E-2</v>
      </c>
      <c r="EB18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72</v>
      </c>
      <c r="EC18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5" s="754" t="str">
        <f>VLOOKUP(WWWW[[#This Row],[Site Name]],SiteDB6[[Site Name]:[CCCM Management]],6,FALSE)</f>
        <v>Yes</v>
      </c>
      <c r="EF185" s="754" t="str">
        <f>VLOOKUP(WWWW[[#This Row],[Site Name]],SiteDB6[[Site Name]:[CCCM Focal Agency]],7,FALSE)</f>
        <v>Shalom</v>
      </c>
      <c r="EG185" s="754" t="str">
        <f>VLOOKUP(WWWW[[#This Row],[Site Name]],SiteDB6[[Site Name]:[Location Type 1]],9,FALSE)</f>
        <v>Camp</v>
      </c>
      <c r="EH185" s="754" t="str">
        <f>VLOOKUP(WWWW[[#This Row],[Site Name]],SiteDB6[[Site Name]:[Type of Accommodation]],10,FALSE)</f>
        <v>Camp</v>
      </c>
      <c r="EI185" s="754" t="str">
        <f>VLOOKUP(WWWW[[#This Row],[Site Name]],SiteDB6[[Site Name]:[Ethnic or GCA/NGCA]],11,FALSE)</f>
        <v>GCA</v>
      </c>
      <c r="EJ185" s="754">
        <f>VLOOKUP(WWWW[[#This Row],[Site Name]],SiteDB6[[Site Name]:[Lat]],12,FALSE)</f>
        <v>25.351250396825399</v>
      </c>
      <c r="EK185" s="754">
        <f>VLOOKUP(WWWW[[#This Row],[Site Name]],SiteDB6[[Site Name]:[Long]],13,FALSE)</f>
        <v>97.444283730158702</v>
      </c>
      <c r="EL185" s="754" t="str">
        <f>VLOOKUP(WWWW[[#This Row],[Site Name]],SiteDB6[[Site Name]:[Pcode]],3,FALSE)</f>
        <v>MMR001CMP038</v>
      </c>
      <c r="EM185" s="759" t="str">
        <f t="shared" si="2"/>
        <v>Covered</v>
      </c>
      <c r="EN185" s="759"/>
      <c r="EO185" s="754">
        <f>VLOOKUP(WWWW[[#This Row],[Site Name]],SiteDB6[[Site Name]:[Pop
(Kachin/Shan-CCCM as of July 2021)]],16,FALSE)</f>
        <v>71</v>
      </c>
      <c r="EP185" s="754">
        <f>VLOOKUP(WWWW[[#This Row],[Site Name]],SiteDB6[[Site Name]:[Pop
(Kachin/Shan-CCCM as of July 2021)]],17,FALSE)</f>
        <v>307</v>
      </c>
    </row>
    <row r="186" spans="1:146" hidden="1">
      <c r="A186" s="941" t="s">
        <v>2785</v>
      </c>
      <c r="B186" s="941" t="s">
        <v>276</v>
      </c>
      <c r="C186" s="942" t="s">
        <v>276</v>
      </c>
      <c r="D186" s="943" t="s">
        <v>292</v>
      </c>
      <c r="E186" s="942" t="s">
        <v>37</v>
      </c>
      <c r="F186" s="942" t="s">
        <v>195</v>
      </c>
      <c r="G186" s="944" t="str">
        <f>VLOOKUP(WWWW[[#This Row],[Site Name]],SiteDB6[[Site Name]:[Location Type]],8,FALSE)</f>
        <v>Camp_not registered</v>
      </c>
      <c r="H186" s="942" t="s">
        <v>814</v>
      </c>
      <c r="I186" s="449">
        <v>8</v>
      </c>
      <c r="J186" s="449">
        <v>54</v>
      </c>
      <c r="K186" s="591">
        <v>44652</v>
      </c>
      <c r="L186" s="592">
        <v>44895</v>
      </c>
      <c r="M186" s="755"/>
      <c r="N186" s="755"/>
      <c r="O186" s="755"/>
      <c r="P186" s="755"/>
      <c r="Q186" s="758" t="s">
        <v>41</v>
      </c>
      <c r="R186" s="755">
        <v>2</v>
      </c>
      <c r="S186" s="755">
        <v>2</v>
      </c>
      <c r="T186" s="449"/>
      <c r="U186" s="755"/>
      <c r="V186" s="755"/>
      <c r="W186" s="755">
        <v>1</v>
      </c>
      <c r="X186" s="755"/>
      <c r="Y186" s="755"/>
      <c r="Z186" s="755"/>
      <c r="AA186" s="755"/>
      <c r="AB186" s="755"/>
      <c r="AC186" s="755"/>
      <c r="AD186" s="755"/>
      <c r="AE186" s="755"/>
      <c r="AF186" s="755"/>
      <c r="AG186" s="755"/>
      <c r="AH186" s="755"/>
      <c r="AI186" s="449">
        <v>1</v>
      </c>
      <c r="AJ186" s="449">
        <v>1</v>
      </c>
      <c r="AK186" s="449">
        <v>3</v>
      </c>
      <c r="AL186" s="449">
        <v>2</v>
      </c>
      <c r="AM186" s="755">
        <v>5</v>
      </c>
      <c r="AN186" s="755"/>
      <c r="AO186" s="755"/>
      <c r="AP186" s="759"/>
      <c r="AQ186" s="755">
        <v>13</v>
      </c>
      <c r="AR186" s="755"/>
      <c r="AS186" s="760"/>
      <c r="AT186" s="755"/>
      <c r="AU186" s="769"/>
      <c r="AV186" s="769"/>
      <c r="AW186" s="769"/>
      <c r="AX186" s="755"/>
      <c r="AY186" s="754" t="s">
        <v>41</v>
      </c>
      <c r="AZ186" s="759" t="s">
        <v>137</v>
      </c>
      <c r="BA186" s="755"/>
      <c r="BB186" s="755"/>
      <c r="BC186" s="755"/>
      <c r="BD186" s="449"/>
      <c r="BE186" s="449">
        <v>1</v>
      </c>
      <c r="BF186" s="754"/>
      <c r="BG186" s="755">
        <v>3</v>
      </c>
      <c r="BH186" s="755"/>
      <c r="BI186" s="755"/>
      <c r="BJ186" s="755">
        <v>2</v>
      </c>
      <c r="BK186" s="755"/>
      <c r="BL186" s="755"/>
      <c r="BM186" s="755"/>
      <c r="BN186" s="769"/>
      <c r="BO186" s="755"/>
      <c r="BP186" s="754"/>
      <c r="BQ186" s="771"/>
      <c r="BR186" s="760"/>
      <c r="BS186" s="754"/>
      <c r="BT186" s="424"/>
      <c r="BU186" s="424"/>
      <c r="BV186" s="426"/>
      <c r="BW186" s="424"/>
      <c r="BX186" s="449"/>
      <c r="BY186" s="449"/>
      <c r="BZ186" s="449"/>
      <c r="CA186" s="449"/>
      <c r="CB186" s="449"/>
      <c r="CC186" s="807"/>
      <c r="CD186" s="449"/>
      <c r="CE186" s="762">
        <f>IFERROR(WWWW[[#This Row],['#_Water sources passed]]/WWWW[[#This Row],['#_Water sources tested for fecal coliform ]],"no test")</f>
        <v>1</v>
      </c>
      <c r="CF186" s="760">
        <f>IFERROR(WWWW[[#This Row],['#_Household passed]]/WWWW[[#This Row],['#_Household water samples tested for fecal coliform]],"no test")</f>
        <v>0.66666666666666663</v>
      </c>
      <c r="CG186" s="761" t="str">
        <f>IF(AND(WWWW[[#This Row],[% of water sources passed]]="no test",WWWW[[#This Row],[% Household passed]]="no test"),"No Test","Tested")</f>
        <v>Tested</v>
      </c>
      <c r="CH186" s="761">
        <f>WWWW[[#This Row],['#_Constructed/existing protected hand dug well]]-WWWW[[#This Row],['#_Non-functional protected hand dug well]]</f>
        <v>0</v>
      </c>
      <c r="CI186" s="761">
        <f>(WWWW[[#This Row],['#_Constructed/Existing tube wells/boreholes/handpumps_WASH_agency]]+WWWW[[#This Row],['#_Non-Cluster partner water tube-wells/boreholes/handpumps]])-WWWW[[#This Row],['#_Non-functional tube wells/boreholes/handpumps]]</f>
        <v>1</v>
      </c>
      <c r="CJ186" s="761">
        <f>WWWW[[#This Row],['#_Constructed/Existingwater storage tank with gravity fed reticulation system]]-WWWW[[#This Row],['#_Non-functional storage tank gravity fed reticulation system]]</f>
        <v>0</v>
      </c>
      <c r="CK186" s="761">
        <f>(WWWW[[#This Row],['#_Water_Liters_supplied_by_Water boating or water trucking]]/90)/15</f>
        <v>0</v>
      </c>
      <c r="CL186" s="761">
        <f>WWWW[[#This Row],['#_Water_Liters_from_Constructed/Existing water distribution system from river or natural spring]]/90/15</f>
        <v>0</v>
      </c>
      <c r="CM186" s="425">
        <f>IF(WWWW[[#This Row],['#_of water points in TLS/CFS]]*500&gt;WWWW[[#This Row],[Total PoP ]],WWWW[[#This Row],[Total PoP ]],WWWW[[#This Row],['#_of water points in TLS/CFS]]*500)</f>
        <v>0</v>
      </c>
      <c r="CN186" s="425">
        <f>IF(WWWW[[#This Row],['#_of water points in THF]]*500&gt;WWWW[[#This Row],[Total PoP ]],WWWW[[#This Row],[Total PoP ]],WWWW[[#This Row],['#_of water points in THF]]*500)</f>
        <v>0</v>
      </c>
      <c r="CO18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6" s="760">
        <f>IF(WWWW[[#This Row],[Location Type 1]]="Village",WWWW[[#This Row],[Access to safe drinking water for Village]],WWWW[[#This Row],[Access to safe drinking water for Camp]])</f>
        <v>1</v>
      </c>
      <c r="CR186" s="758">
        <f>WWWW[[#This Row],[%Equitable and continuous access to sufficient quantity of safe drinking water]]*WWWW[[#This Row],[Total PoP ]]</f>
        <v>54</v>
      </c>
      <c r="CS186" s="760">
        <f>IF((WWWW[[#This Row],['#_Constructed/Existing protected/fenced ponds]]*250)/WWWW[[#This Row],[Total PoP ]]&gt;1,1,(WWWW[[#This Row],['#_Constructed/Existing protected/fenced ponds]]*250)/WWWW[[#This Row],[Total PoP ]])</f>
        <v>0</v>
      </c>
      <c r="CT186" s="758">
        <f>WWWW[[#This Row],[% Access to unimproved water points]]*WWWW[[#This Row],[Total PoP ]]</f>
        <v>0</v>
      </c>
      <c r="CU18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186" s="758">
        <f>WWWW[[#This Row],[HRP1]]/500</f>
        <v>0.108</v>
      </c>
      <c r="CX186" s="763">
        <f>1-WWWW[[#This Row],[% Equitable and continuous access to sufficient quantity of domestic water]]</f>
        <v>0</v>
      </c>
      <c r="CY186" s="758">
        <f>WWWW[[#This Row],[%equitable and continuous access to sufficient quantity of safe drinking and domestic water''s GAP]]*WWWW[[#This Row],[Total PoP ]]</f>
        <v>0</v>
      </c>
      <c r="CZ186" s="761">
        <f>IF(WWWW[[#This Row],[Total required water points]]-WWWW[[#This Row],['#Water points coverage]]&lt;0,0,WWWW[[#This Row],[Total required water points]]-WWWW[[#This Row],['#Water points coverage]])</f>
        <v>0.89200000000000002</v>
      </c>
      <c r="DA186" s="761">
        <f>ROUND(IF(WWWW[[#This Row],[Total PoP ]]&lt;500,1,WWWW[[#This Row],[Total PoP ]]/500),0)</f>
        <v>1</v>
      </c>
      <c r="DB186" s="761">
        <f>(WWWW[[#This Row],['#_Constructed latrines_by_WASHAgencies]]+WWWW[[#This Row],['#_Non Cluster partner latrines]])-WWWW[[#This Row],['#_Non-functional latrines]]</f>
        <v>13</v>
      </c>
      <c r="DC186" s="634">
        <f>WWWW[[#This Row],[HRP2]]/WWWW[[#This Row],[Total PoP ]]</f>
        <v>1</v>
      </c>
      <c r="DD18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v>
      </c>
      <c r="DE18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6" s="425">
        <f>IF(WWWW[[#This Row],['# of functional latrines in THF supported by WASH partners during the reporting period2]]="",0,WWWW[[#This Row],['# of functional latrines in THF supported by WASH partners during the reporting period2]]*50)</f>
        <v>0</v>
      </c>
      <c r="DH186" s="761">
        <f>ROUND(IF(WWWW[[#This Row],[Location Type 1]]="camp",WWWW[[#This Row],[Total PoP ]]/20,IF(WWWW[[#This Row],[Location Type 1]]="Temporary Location",WWWW[[#This Row],[Total PoP ]]/50,(WWWW[[#This Row],[Total PoP ]]/6))),0)</f>
        <v>3</v>
      </c>
      <c r="DI186" s="761">
        <f>IF(WWWW[[#This Row],[Total required Latrines]]-(WWWW[[#This Row],['#_Constructed latrines_by_WASHAgencies]]+WWWW[[#This Row],['#_Non Cluster partner latrines]])&lt;0,0,WWWW[[#This Row],[Total required Latrines]]-(WWWW[[#This Row],['#_Constructed latrines_by_WASHAgencies]]+WWWW[[#This Row],['#_Non Cluster partner latrines]]))</f>
        <v>0</v>
      </c>
      <c r="DJ186" s="763">
        <f>1-WWWW[[#This Row],[% people access to functioning Latrine]]</f>
        <v>0</v>
      </c>
      <c r="DK186" s="762">
        <f>IF(OR(WWWW[[#This Row],['#_Non-functional latrines]]="",WWWW[[#This Row],['#_Non-functional latrines]]=0),0,WWWW[[#This Row],['#_Non-functional latrines]]/(WWWW[[#This Row],['#_Constructed latrines_by_WASHAgencies]]+WWWW[[#This Row],['#_Non Cluster partner latrines]]))</f>
        <v>0</v>
      </c>
      <c r="DL186" s="758">
        <f>IF(500*(WWWW[[#This Row],['#_male hygiene promoters]]+WWWW[[#This Row],['#_female hygiene promoters]])&gt;WWWW[[#This Row],[Total PoP ]],WWWW[[#This Row],[Total PoP ]],500*(WWWW[[#This Row],['#_male hygiene promoters]]+WWWW[[#This Row],['#_female hygiene promoters]]))</f>
        <v>0</v>
      </c>
      <c r="DM18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8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86" s="761">
        <f>IF(WWWW[[#This Row],['# People with access to soap]]&gt;WWWW[[#This Row],['# People with access to Sanity Pads]],WWWW[[#This Row],['# People with access to soap]],WWWW[[#This Row],['# People with access to Sanity Pads]])</f>
        <v>0</v>
      </c>
      <c r="DP186" s="761">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86" s="763">
        <f>IF(WWWW[[#This Row],[HRP3]]/WWWW[[#This Row],[Total PoP ]]&gt;1,1,WWWW[[#This Row],[HRP3]]/WWWW[[#This Row],[Total PoP ]])</f>
        <v>0</v>
      </c>
      <c r="DR186" s="762">
        <f>1-WWWW[[#This Row],[Hygiene Coverage%]]</f>
        <v>1</v>
      </c>
      <c r="DS186" s="760">
        <f>WWWW[[#This Row],['# people reached by regular dedicated hygiene promotion_5]]/WWWW[[#This Row],[Total PoP ]]</f>
        <v>0</v>
      </c>
      <c r="DT18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8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86" s="761">
        <f>WWWW[[#This Row],['#_Constructed/Existing hand washing stations]]-WWWW[[#This Row],['#_Non-Functional_hand_washing_stations]]</f>
        <v>3</v>
      </c>
      <c r="DW186" s="758">
        <f>IF(WWWW[[#This Row],['# Functional hand washing stations during reporting period]]*20&gt;WWWW[[#This Row],[Total HH]],WWWW[[#This Row],[Total HH]],WWWW[[#This Row],['# Functional hand washing stations during reporting period]]*20)</f>
        <v>8</v>
      </c>
      <c r="DX186" s="758">
        <f>IF(WWWW[[#This Row],[Is sufficient soap available for TLS? (Yes/No)]]="yes",WWWW[[#This Row],['#_Constructed/Existing hand washing stations at TLS/CFS/THF]],0)</f>
        <v>0</v>
      </c>
      <c r="DY186" s="429">
        <f>IF(WWWW[[#This Row],['# Functional hand washing stations during reporting period]]*100&gt;WWWW[[#This Row],[Total PoP ]],WWWW[[#This Row],[Total PoP ]],WWWW[[#This Row],['# Functional hand washing stations during reporting period]]*100)</f>
        <v>54</v>
      </c>
      <c r="DZ186" s="429" t="str">
        <f>IF(OR(WWWW[[#This Row],['#_students at TLS_CFS]]="",WWWW[[#This Row],['#_students at TLS_CFS]]=0),"No","Yes")</f>
        <v>No</v>
      </c>
      <c r="EA18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8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6" s="754">
        <f>VLOOKUP(WWWW[[#This Row],[Site Name]],SiteDB6[[Site Name]:[CCCM Management]],6,FALSE)</f>
        <v>0</v>
      </c>
      <c r="EF186" s="754">
        <f>VLOOKUP(WWWW[[#This Row],[Site Name]],SiteDB6[[Site Name]:[CCCM Focal Agency]],7,FALSE)</f>
        <v>0</v>
      </c>
      <c r="EG186" s="754" t="str">
        <f>VLOOKUP(WWWW[[#This Row],[Site Name]],SiteDB6[[Site Name]:[Location Type 1]],9,FALSE)</f>
        <v>Camp</v>
      </c>
      <c r="EH186" s="754" t="str">
        <f>VLOOKUP(WWWW[[#This Row],[Site Name]],SiteDB6[[Site Name]:[Type of Accommodation]],10,FALSE)</f>
        <v>camp</v>
      </c>
      <c r="EI186" s="754" t="str">
        <f>VLOOKUP(WWWW[[#This Row],[Site Name]],SiteDB6[[Site Name]:[Ethnic or GCA/NGCA]],11,FALSE)</f>
        <v>GCA</v>
      </c>
      <c r="EJ186" s="754">
        <f>VLOOKUP(WWWW[[#This Row],[Site Name]],SiteDB6[[Site Name]:[Lat]],12,FALSE)</f>
        <v>0</v>
      </c>
      <c r="EK186" s="754">
        <f>VLOOKUP(WWWW[[#This Row],[Site Name]],SiteDB6[[Site Name]:[Long]],13,FALSE)</f>
        <v>0</v>
      </c>
      <c r="EL186" s="754">
        <f>VLOOKUP(WWWW[[#This Row],[Site Name]],SiteDB6[[Site Name]:[Pcode]],3,FALSE)</f>
        <v>0</v>
      </c>
      <c r="EM186" s="759" t="str">
        <f t="shared" si="2"/>
        <v>Covered</v>
      </c>
      <c r="EN186" s="759"/>
      <c r="EO186" s="754">
        <f>VLOOKUP(WWWW[[#This Row],[Site Name]],SiteDB6[[Site Name]:[Pop
(Kachin/Shan-CCCM as of July 2021)]],16,FALSE)</f>
        <v>0</v>
      </c>
      <c r="EP186" s="754">
        <f>VLOOKUP(WWWW[[#This Row],[Site Name]],SiteDB6[[Site Name]:[Pop
(Kachin/Shan-CCCM as of July 2021)]],17,FALSE)</f>
        <v>0</v>
      </c>
    </row>
    <row r="187" spans="1:146" hidden="1">
      <c r="A187" s="941" t="s">
        <v>2785</v>
      </c>
      <c r="B187" s="941" t="s">
        <v>276</v>
      </c>
      <c r="C187" s="942" t="s">
        <v>276</v>
      </c>
      <c r="D187" s="943" t="s">
        <v>292</v>
      </c>
      <c r="E187" s="942" t="s">
        <v>37</v>
      </c>
      <c r="F187" s="942" t="s">
        <v>195</v>
      </c>
      <c r="G187" s="944" t="str">
        <f>VLOOKUP(WWWW[[#This Row],[Site Name]],SiteDB6[[Site Name]:[Location Type]],8,FALSE)</f>
        <v>Camp</v>
      </c>
      <c r="H187" s="943" t="s">
        <v>277</v>
      </c>
      <c r="I187" s="449">
        <v>245</v>
      </c>
      <c r="J187" s="449">
        <v>1226</v>
      </c>
      <c r="K187" s="591">
        <v>44652</v>
      </c>
      <c r="L187" s="592">
        <v>44895</v>
      </c>
      <c r="M187" s="755"/>
      <c r="N187" s="755"/>
      <c r="O187" s="755"/>
      <c r="P187" s="755"/>
      <c r="Q187" s="758" t="s">
        <v>41</v>
      </c>
      <c r="R187" s="755">
        <v>7</v>
      </c>
      <c r="S187" s="755">
        <v>5</v>
      </c>
      <c r="T187" s="449">
        <v>2</v>
      </c>
      <c r="U187" s="755"/>
      <c r="V187" s="755"/>
      <c r="W187" s="755">
        <v>8</v>
      </c>
      <c r="X187" s="755"/>
      <c r="Y187" s="755"/>
      <c r="Z187" s="755"/>
      <c r="AA187" s="755"/>
      <c r="AB187" s="755"/>
      <c r="AC187" s="755"/>
      <c r="AD187" s="755"/>
      <c r="AE187" s="755"/>
      <c r="AF187" s="755"/>
      <c r="AG187" s="755"/>
      <c r="AH187" s="755"/>
      <c r="AI187" s="449">
        <v>4</v>
      </c>
      <c r="AJ187" s="449">
        <v>4</v>
      </c>
      <c r="AK187" s="449">
        <v>18</v>
      </c>
      <c r="AL187" s="449">
        <v>18</v>
      </c>
      <c r="AM187" s="755">
        <v>9</v>
      </c>
      <c r="AN187" s="755"/>
      <c r="AO187" s="755"/>
      <c r="AP187" s="759"/>
      <c r="AQ187" s="755">
        <v>39</v>
      </c>
      <c r="AR187" s="755"/>
      <c r="AS187" s="760"/>
      <c r="AT187" s="755"/>
      <c r="AU187" s="769"/>
      <c r="AV187" s="769"/>
      <c r="AW187" s="769"/>
      <c r="AX187" s="755"/>
      <c r="AY187" s="754" t="s">
        <v>41</v>
      </c>
      <c r="AZ187" s="759" t="s">
        <v>137</v>
      </c>
      <c r="BA187" s="755"/>
      <c r="BB187" s="755"/>
      <c r="BC187" s="755"/>
      <c r="BD187" s="449"/>
      <c r="BE187" s="449">
        <v>9</v>
      </c>
      <c r="BF187" s="754"/>
      <c r="BG187" s="755">
        <v>6</v>
      </c>
      <c r="BH187" s="755"/>
      <c r="BI187" s="755"/>
      <c r="BJ187" s="755">
        <v>3</v>
      </c>
      <c r="BK187" s="755"/>
      <c r="BL187" s="755"/>
      <c r="BM187" s="755">
        <v>3</v>
      </c>
      <c r="BN187" s="769"/>
      <c r="BO187" s="755"/>
      <c r="BP187" s="754"/>
      <c r="BQ187" s="771"/>
      <c r="BR187" s="760"/>
      <c r="BS187" s="754"/>
      <c r="BT187" s="940">
        <v>1</v>
      </c>
      <c r="BU187" s="940">
        <v>1</v>
      </c>
      <c r="BV187" s="593">
        <v>26</v>
      </c>
      <c r="BW187" s="940">
        <v>1</v>
      </c>
      <c r="BX187" s="449"/>
      <c r="BY187" s="449"/>
      <c r="BZ187" s="449"/>
      <c r="CA187" s="449"/>
      <c r="CB187" s="449"/>
      <c r="CC187" s="807"/>
      <c r="CD187" s="449"/>
      <c r="CE187" s="762">
        <f>IFERROR(WWWW[[#This Row],['#_Water sources passed]]/WWWW[[#This Row],['#_Water sources tested for fecal coliform ]],"no test")</f>
        <v>1</v>
      </c>
      <c r="CF187" s="760">
        <f>IFERROR(WWWW[[#This Row],['#_Household passed]]/WWWW[[#This Row],['#_Household water samples tested for fecal coliform]],"no test")</f>
        <v>1</v>
      </c>
      <c r="CG187" s="761" t="str">
        <f>IF(AND(WWWW[[#This Row],[% of water sources passed]]="no test",WWWW[[#This Row],[% Household passed]]="no test"),"No Test","Tested")</f>
        <v>Tested</v>
      </c>
      <c r="CH187" s="761">
        <f>WWWW[[#This Row],['#_Constructed/existing protected hand dug well]]-WWWW[[#This Row],['#_Non-functional protected hand dug well]]</f>
        <v>2</v>
      </c>
      <c r="CI187" s="761">
        <f>(WWWW[[#This Row],['#_Constructed/Existing tube wells/boreholes/handpumps_WASH_agency]]+WWWW[[#This Row],['#_Non-Cluster partner water tube-wells/boreholes/handpumps]])-WWWW[[#This Row],['#_Non-functional tube wells/boreholes/handpumps]]</f>
        <v>8</v>
      </c>
      <c r="CJ187" s="761">
        <f>WWWW[[#This Row],['#_Constructed/Existingwater storage tank with gravity fed reticulation system]]-WWWW[[#This Row],['#_Non-functional storage tank gravity fed reticulation system]]</f>
        <v>0</v>
      </c>
      <c r="CK187" s="761">
        <f>(WWWW[[#This Row],['#_Water_Liters_supplied_by_Water boating or water trucking]]/90)/15</f>
        <v>0</v>
      </c>
      <c r="CL187" s="761">
        <f>WWWW[[#This Row],['#_Water_Liters_from_Constructed/Existing water distribution system from river or natural spring]]/90/15</f>
        <v>0</v>
      </c>
      <c r="CM187" s="425">
        <f>IF(WWWW[[#This Row],['#_of water points in TLS/CFS]]*500&gt;WWWW[[#This Row],[Total PoP ]],WWWW[[#This Row],[Total PoP ]],WWWW[[#This Row],['#_of water points in TLS/CFS]]*500)</f>
        <v>0</v>
      </c>
      <c r="CN187" s="425">
        <f>IF(WWWW[[#This Row],['#_of water points in THF]]*500&gt;WWWW[[#This Row],[Total PoP ]],WWWW[[#This Row],[Total PoP ]],WWWW[[#This Row],['#_of water points in THF]]*500)</f>
        <v>0</v>
      </c>
      <c r="CO18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7" s="760">
        <f>IF(WWWW[[#This Row],[Location Type 1]]="Village",WWWW[[#This Row],[Access to safe drinking water for Village]],WWWW[[#This Row],[Access to safe drinking water for Camp]])</f>
        <v>1</v>
      </c>
      <c r="CR187" s="758">
        <f>WWWW[[#This Row],[%Equitable and continuous access to sufficient quantity of safe drinking water]]*WWWW[[#This Row],[Total PoP ]]</f>
        <v>1226</v>
      </c>
      <c r="CS187" s="760">
        <f>IF((WWWW[[#This Row],['#_Constructed/Existing protected/fenced ponds]]*250)/WWWW[[#This Row],[Total PoP ]]&gt;1,1,(WWWW[[#This Row],['#_Constructed/Existing protected/fenced ponds]]*250)/WWWW[[#This Row],[Total PoP ]])</f>
        <v>0</v>
      </c>
      <c r="CT187" s="758">
        <f>WWWW[[#This Row],[% Access to unimproved water points]]*WWWW[[#This Row],[Total PoP ]]</f>
        <v>0</v>
      </c>
      <c r="CU18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1226</v>
      </c>
      <c r="CW187" s="758">
        <f>WWWW[[#This Row],[HRP1]]/500</f>
        <v>2.452</v>
      </c>
      <c r="CX187" s="763">
        <f>1-WWWW[[#This Row],[% Equitable and continuous access to sufficient quantity of domestic water]]</f>
        <v>0</v>
      </c>
      <c r="CY187" s="758">
        <f>WWWW[[#This Row],[%equitable and continuous access to sufficient quantity of safe drinking and domestic water''s GAP]]*WWWW[[#This Row],[Total PoP ]]</f>
        <v>0</v>
      </c>
      <c r="CZ187" s="761">
        <f>IF(WWWW[[#This Row],[Total required water points]]-WWWW[[#This Row],['#Water points coverage]]&lt;0,0,WWWW[[#This Row],[Total required water points]]-WWWW[[#This Row],['#Water points coverage]])</f>
        <v>0</v>
      </c>
      <c r="DA187" s="761">
        <f>ROUND(IF(WWWW[[#This Row],[Total PoP ]]&lt;500,1,WWWW[[#This Row],[Total PoP ]]/500),0)</f>
        <v>2</v>
      </c>
      <c r="DB187" s="761">
        <f>(WWWW[[#This Row],['#_Constructed latrines_by_WASHAgencies]]+WWWW[[#This Row],['#_Non Cluster partner latrines]])-WWWW[[#This Row],['#_Non-functional latrines]]</f>
        <v>39</v>
      </c>
      <c r="DC187" s="634">
        <f>WWWW[[#This Row],[HRP2]]/WWWW[[#This Row],[Total PoP ]]</f>
        <v>0.64355628058727565</v>
      </c>
      <c r="DD18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18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7" s="425">
        <f>IF(WWWW[[#This Row],['# of functional latrines in THF supported by WASH partners during the reporting period2]]="",0,WWWW[[#This Row],['# of functional latrines in THF supported by WASH partners during the reporting period2]]*50)</f>
        <v>0</v>
      </c>
      <c r="DH187" s="761">
        <f>ROUND(IF(WWWW[[#This Row],[Location Type 1]]="camp",WWWW[[#This Row],[Total PoP ]]/20,IF(WWWW[[#This Row],[Location Type 1]]="Temporary Location",WWWW[[#This Row],[Total PoP ]]/50,(WWWW[[#This Row],[Total PoP ]]/6))),0)</f>
        <v>61</v>
      </c>
      <c r="DI187" s="761">
        <f>IF(WWWW[[#This Row],[Total required Latrines]]-(WWWW[[#This Row],['#_Constructed latrines_by_WASHAgencies]]+WWWW[[#This Row],['#_Non Cluster partner latrines]])&lt;0,0,WWWW[[#This Row],[Total required Latrines]]-(WWWW[[#This Row],['#_Constructed latrines_by_WASHAgencies]]+WWWW[[#This Row],['#_Non Cluster partner latrines]]))</f>
        <v>22</v>
      </c>
      <c r="DJ187" s="763">
        <f>1-WWWW[[#This Row],[% people access to functioning Latrine]]</f>
        <v>0.35644371941272435</v>
      </c>
      <c r="DK187" s="762">
        <f>IF(OR(WWWW[[#This Row],['#_Non-functional latrines]]="",WWWW[[#This Row],['#_Non-functional latrines]]=0),0,WWWW[[#This Row],['#_Non-functional latrines]]/(WWWW[[#This Row],['#_Constructed latrines_by_WASHAgencies]]+WWWW[[#This Row],['#_Non Cluster partner latrines]]))</f>
        <v>0</v>
      </c>
      <c r="DL187" s="758">
        <f>IF(500*(WWWW[[#This Row],['#_male hygiene promoters]]+WWWW[[#This Row],['#_female hygiene promoters]])&gt;WWWW[[#This Row],[Total PoP ]],WWWW[[#This Row],[Total PoP ]],500*(WWWW[[#This Row],['#_male hygiene promoters]]+WWWW[[#This Row],['#_female hygiene promoters]]))</f>
        <v>1226</v>
      </c>
      <c r="DM18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8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87" s="761">
        <f>IF(WWWW[[#This Row],['# People with access to soap]]&gt;WWWW[[#This Row],['# People with access to Sanity Pads]],WWWW[[#This Row],['# People with access to soap]],WWWW[[#This Row],['# People with access to Sanity Pads]])</f>
        <v>0</v>
      </c>
      <c r="DP187" s="761">
        <f>IF(WWWW[[#This Row],['# people reached by regular dedicated hygiene promotion_5]]&gt;WWWW[[#This Row],['# People received regular supply of hygiene items_6]],WWWW[[#This Row],['# people reached by regular dedicated hygiene promotion_5]],WWWW[[#This Row],['# People received regular supply of hygiene items_6]])</f>
        <v>1226</v>
      </c>
      <c r="DQ187" s="763">
        <f>IF(WWWW[[#This Row],[HRP3]]/WWWW[[#This Row],[Total PoP ]]&gt;1,1,WWWW[[#This Row],[HRP3]]/WWWW[[#This Row],[Total PoP ]])</f>
        <v>1</v>
      </c>
      <c r="DR187" s="762">
        <f>1-WWWW[[#This Row],[Hygiene Coverage%]]</f>
        <v>0</v>
      </c>
      <c r="DS187" s="760">
        <f>WWWW[[#This Row],['# people reached by regular dedicated hygiene promotion_5]]/WWWW[[#This Row],[Total PoP ]]</f>
        <v>1</v>
      </c>
      <c r="DT18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8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87" s="761">
        <f>WWWW[[#This Row],['#_Constructed/Existing hand washing stations]]-WWWW[[#This Row],['#_Non-Functional_hand_washing_stations]]</f>
        <v>6</v>
      </c>
      <c r="DW187" s="758">
        <f>IF(WWWW[[#This Row],['# Functional hand washing stations during reporting period]]*20&gt;WWWW[[#This Row],[Total HH]],WWWW[[#This Row],[Total HH]],WWWW[[#This Row],['# Functional hand washing stations during reporting period]]*20)</f>
        <v>120</v>
      </c>
      <c r="DX187" s="758">
        <f>IF(WWWW[[#This Row],[Is sufficient soap available for TLS? (Yes/No)]]="yes",WWWW[[#This Row],['#_Constructed/Existing hand washing stations at TLS/CFS/THF]],0)</f>
        <v>0</v>
      </c>
      <c r="DY187" s="429">
        <f>IF(WWWW[[#This Row],['# Functional hand washing stations during reporting period]]*100&gt;WWWW[[#This Row],[Total PoP ]],WWWW[[#This Row],[Total PoP ]],WWWW[[#This Row],['# Functional hand washing stations during reporting period]]*100)</f>
        <v>600</v>
      </c>
      <c r="DZ187" s="429" t="str">
        <f>IF(OR(WWWW[[#This Row],['#_students at TLS_CFS]]="",WWWW[[#This Row],['#_students at TLS_CFS]]=0),"No","Yes")</f>
        <v>No</v>
      </c>
      <c r="EA187" s="634">
        <f>IF(WWWW[[#This Row],['#_of_affected_people_surveyed_who_report_feeling_informed_about_the_different_WASH_services_available_to_them]]="","",WWWW[[#This Row],['#_of_affected_people_surveyed_who_report_feeling_informed_about_the_different_WASH_services_available_to_them]]/WWWW[[#This Row],[Total PoP ]])</f>
        <v>2.1207177814029365E-2</v>
      </c>
      <c r="EB18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7" s="754" t="str">
        <f>VLOOKUP(WWWW[[#This Row],[Site Name]],SiteDB6[[Site Name]:[CCCM Management]],6,FALSE)</f>
        <v>Yes</v>
      </c>
      <c r="EF187" s="754" t="str">
        <f>VLOOKUP(WWWW[[#This Row],[Site Name]],SiteDB6[[Site Name]:[CCCM Focal Agency]],7,FALSE)</f>
        <v>KMSS-BMO</v>
      </c>
      <c r="EG187" s="754" t="str">
        <f>VLOOKUP(WWWW[[#This Row],[Site Name]],SiteDB6[[Site Name]:[Location Type 1]],9,FALSE)</f>
        <v>Camp</v>
      </c>
      <c r="EH187" s="754" t="str">
        <f>VLOOKUP(WWWW[[#This Row],[Site Name]],SiteDB6[[Site Name]:[Type of Accommodation]],10,FALSE)</f>
        <v>Camp</v>
      </c>
      <c r="EI187" s="754" t="str">
        <f>VLOOKUP(WWWW[[#This Row],[Site Name]],SiteDB6[[Site Name]:[Ethnic or GCA/NGCA]],11,FALSE)</f>
        <v>GCA</v>
      </c>
      <c r="EJ187" s="754">
        <f>VLOOKUP(WWWW[[#This Row],[Site Name]],SiteDB6[[Site Name]:[Lat]],12,FALSE)</f>
        <v>24.260719999999999</v>
      </c>
      <c r="EK187" s="754">
        <f>VLOOKUP(WWWW[[#This Row],[Site Name]],SiteDB6[[Site Name]:[Long]],13,FALSE)</f>
        <v>97.238829999999993</v>
      </c>
      <c r="EL187" s="754" t="str">
        <f>VLOOKUP(WWWW[[#This Row],[Site Name]],SiteDB6[[Site Name]:[Pcode]],3,FALSE)</f>
        <v>MMR001CMP050</v>
      </c>
      <c r="EM187" s="759" t="str">
        <f t="shared" si="2"/>
        <v>Covered</v>
      </c>
      <c r="EN187" s="759"/>
      <c r="EO187" s="754">
        <f>VLOOKUP(WWWW[[#This Row],[Site Name]],SiteDB6[[Site Name]:[Pop
(Kachin/Shan-CCCM as of July 2021)]],16,FALSE)</f>
        <v>222</v>
      </c>
      <c r="EP187" s="754">
        <f>VLOOKUP(WWWW[[#This Row],[Site Name]],SiteDB6[[Site Name]:[Pop
(Kachin/Shan-CCCM as of July 2021)]],17,FALSE)</f>
        <v>1055</v>
      </c>
    </row>
    <row r="188" spans="1:146" hidden="1">
      <c r="A188" s="941" t="s">
        <v>2785</v>
      </c>
      <c r="B188" s="941" t="s">
        <v>276</v>
      </c>
      <c r="C188" s="942" t="s">
        <v>276</v>
      </c>
      <c r="D188" s="943" t="s">
        <v>292</v>
      </c>
      <c r="E188" s="942" t="s">
        <v>37</v>
      </c>
      <c r="F188" s="942" t="s">
        <v>195</v>
      </c>
      <c r="G188" s="944" t="str">
        <f>VLOOKUP(WWWW[[#This Row],[Site Name]],SiteDB6[[Site Name]:[Location Type]],8,FALSE)</f>
        <v>Camp</v>
      </c>
      <c r="H188" s="942" t="s">
        <v>280</v>
      </c>
      <c r="I188" s="449">
        <v>610</v>
      </c>
      <c r="J188" s="449">
        <v>3860</v>
      </c>
      <c r="K188" s="591">
        <v>44652</v>
      </c>
      <c r="L188" s="592">
        <v>44895</v>
      </c>
      <c r="M188" s="755"/>
      <c r="N188" s="755"/>
      <c r="O188" s="755"/>
      <c r="P188" s="755"/>
      <c r="Q188" s="758" t="s">
        <v>41</v>
      </c>
      <c r="R188" s="755">
        <v>20</v>
      </c>
      <c r="S188" s="755">
        <v>14</v>
      </c>
      <c r="T188" s="449">
        <v>1</v>
      </c>
      <c r="U188" s="755"/>
      <c r="V188" s="755"/>
      <c r="W188" s="755">
        <v>23</v>
      </c>
      <c r="X188" s="755"/>
      <c r="Y188" s="755"/>
      <c r="Z188" s="449">
        <v>9</v>
      </c>
      <c r="AA188" s="755"/>
      <c r="AB188" s="755"/>
      <c r="AC188" s="755"/>
      <c r="AD188" s="755"/>
      <c r="AE188" s="755"/>
      <c r="AF188" s="755"/>
      <c r="AG188" s="755"/>
      <c r="AH188" s="755"/>
      <c r="AI188" s="939">
        <v>15</v>
      </c>
      <c r="AJ188" s="939">
        <v>15</v>
      </c>
      <c r="AK188" s="939">
        <v>27</v>
      </c>
      <c r="AL188" s="939">
        <v>27</v>
      </c>
      <c r="AM188" s="755">
        <v>19</v>
      </c>
      <c r="AN188" s="755"/>
      <c r="AO188" s="755"/>
      <c r="AP188" s="770"/>
      <c r="AQ188" s="755">
        <v>149</v>
      </c>
      <c r="AR188" s="755"/>
      <c r="AS188" s="760"/>
      <c r="AT188" s="755"/>
      <c r="AU188" s="769"/>
      <c r="AV188" s="769"/>
      <c r="AW188" s="769"/>
      <c r="AX188" s="755"/>
      <c r="AY188" s="754" t="s">
        <v>41</v>
      </c>
      <c r="AZ188" s="759" t="s">
        <v>137</v>
      </c>
      <c r="BA188" s="755"/>
      <c r="BB188" s="755"/>
      <c r="BC188" s="755"/>
      <c r="BD188" s="449"/>
      <c r="BE188" s="449">
        <v>23</v>
      </c>
      <c r="BF188" s="754"/>
      <c r="BG188" s="755">
        <v>11</v>
      </c>
      <c r="BH188" s="755"/>
      <c r="BI188" s="755"/>
      <c r="BJ188" s="755">
        <v>15</v>
      </c>
      <c r="BK188" s="755"/>
      <c r="BL188" s="755">
        <v>1</v>
      </c>
      <c r="BM188" s="755">
        <v>5</v>
      </c>
      <c r="BN188" s="769"/>
      <c r="BO188" s="755"/>
      <c r="BP188" s="754"/>
      <c r="BQ188" s="771"/>
      <c r="BR188" s="760"/>
      <c r="BS188" s="754"/>
      <c r="BT188" s="940">
        <v>0.9838709677419355</v>
      </c>
      <c r="BU188" s="940">
        <v>0.967741935483871</v>
      </c>
      <c r="BV188" s="593">
        <v>58</v>
      </c>
      <c r="BW188" s="940">
        <v>0.5</v>
      </c>
      <c r="BX188" s="449"/>
      <c r="BY188" s="449"/>
      <c r="BZ188" s="449"/>
      <c r="CA188" s="449"/>
      <c r="CB188" s="449"/>
      <c r="CC188" s="807"/>
      <c r="CD188" s="449"/>
      <c r="CE188" s="762">
        <f>IFERROR(WWWW[[#This Row],['#_Water sources passed]]/WWWW[[#This Row],['#_Water sources tested for fecal coliform ]],"no test")</f>
        <v>1</v>
      </c>
      <c r="CF188" s="760">
        <f>IFERROR(WWWW[[#This Row],['#_Household passed]]/WWWW[[#This Row],['#_Household water samples tested for fecal coliform]],"no test")</f>
        <v>1</v>
      </c>
      <c r="CG188" s="761" t="str">
        <f>IF(AND(WWWW[[#This Row],[% of water sources passed]]="no test",WWWW[[#This Row],[% Household passed]]="no test"),"No Test","Tested")</f>
        <v>Tested</v>
      </c>
      <c r="CH188" s="761">
        <f>WWWW[[#This Row],['#_Constructed/existing protected hand dug well]]-WWWW[[#This Row],['#_Non-functional protected hand dug well]]</f>
        <v>1</v>
      </c>
      <c r="CI188" s="761">
        <f>(WWWW[[#This Row],['#_Constructed/Existing tube wells/boreholes/handpumps_WASH_agency]]+WWWW[[#This Row],['#_Non-Cluster partner water tube-wells/boreholes/handpumps]])-WWWW[[#This Row],['#_Non-functional tube wells/boreholes/handpumps]]</f>
        <v>23</v>
      </c>
      <c r="CJ188" s="761">
        <f>WWWW[[#This Row],['#_Constructed/Existingwater storage tank with gravity fed reticulation system]]-WWWW[[#This Row],['#_Non-functional storage tank gravity fed reticulation system]]</f>
        <v>0</v>
      </c>
      <c r="CK188" s="761">
        <f>(WWWW[[#This Row],['#_Water_Liters_supplied_by_Water boating or water trucking]]/90)/15</f>
        <v>0</v>
      </c>
      <c r="CL188" s="761">
        <f>WWWW[[#This Row],['#_Water_Liters_from_Constructed/Existing water distribution system from river or natural spring]]/90/15</f>
        <v>0</v>
      </c>
      <c r="CM188" s="425">
        <f>IF(WWWW[[#This Row],['#_of water points in TLS/CFS]]*500&gt;WWWW[[#This Row],[Total PoP ]],WWWW[[#This Row],[Total PoP ]],WWWW[[#This Row],['#_of water points in TLS/CFS]]*500)</f>
        <v>0</v>
      </c>
      <c r="CN188" s="425">
        <f>IF(WWWW[[#This Row],['#_of water points in THF]]*500&gt;WWWW[[#This Row],[Total PoP ]],WWWW[[#This Row],[Total PoP ]],WWWW[[#This Row],['#_of water points in THF]]*500)</f>
        <v>0</v>
      </c>
      <c r="CO18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8" s="760">
        <f>IF(WWWW[[#This Row],[Location Type 1]]="Village",WWWW[[#This Row],[Access to safe drinking water for Village]],WWWW[[#This Row],[Access to safe drinking water for Camp]])</f>
        <v>1</v>
      </c>
      <c r="CR188" s="758">
        <f>WWWW[[#This Row],[%Equitable and continuous access to sufficient quantity of safe drinking water]]*WWWW[[#This Row],[Total PoP ]]</f>
        <v>3860</v>
      </c>
      <c r="CS188" s="760">
        <f>IF((WWWW[[#This Row],['#_Constructed/Existing protected/fenced ponds]]*250)/WWWW[[#This Row],[Total PoP ]]&gt;1,1,(WWWW[[#This Row],['#_Constructed/Existing protected/fenced ponds]]*250)/WWWW[[#This Row],[Total PoP ]])</f>
        <v>0</v>
      </c>
      <c r="CT188" s="758">
        <f>WWWW[[#This Row],[% Access to unimproved water points]]*WWWW[[#This Row],[Total PoP ]]</f>
        <v>0</v>
      </c>
      <c r="CU18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188" s="758">
        <f>WWWW[[#This Row],[HRP1]]/500</f>
        <v>7.72</v>
      </c>
      <c r="CX188" s="763">
        <f>1-WWWW[[#This Row],[% Equitable and continuous access to sufficient quantity of domestic water]]</f>
        <v>0</v>
      </c>
      <c r="CY188" s="758">
        <f>WWWW[[#This Row],[%equitable and continuous access to sufficient quantity of safe drinking and domestic water''s GAP]]*WWWW[[#This Row],[Total PoP ]]</f>
        <v>0</v>
      </c>
      <c r="CZ188" s="761">
        <f>IF(WWWW[[#This Row],[Total required water points]]-WWWW[[#This Row],['#Water points coverage]]&lt;0,0,WWWW[[#This Row],[Total required water points]]-WWWW[[#This Row],['#Water points coverage]])</f>
        <v>0.28000000000000025</v>
      </c>
      <c r="DA188" s="761">
        <f>ROUND(IF(WWWW[[#This Row],[Total PoP ]]&lt;500,1,WWWW[[#This Row],[Total PoP ]]/500),0)</f>
        <v>8</v>
      </c>
      <c r="DB188" s="761">
        <f>(WWWW[[#This Row],['#_Constructed latrines_by_WASHAgencies]]+WWWW[[#This Row],['#_Non Cluster partner latrines]])-WWWW[[#This Row],['#_Non-functional latrines]]</f>
        <v>149</v>
      </c>
      <c r="DC188" s="634">
        <f>WWWW[[#This Row],[HRP2]]/WWWW[[#This Row],[Total PoP ]]</f>
        <v>0.77797927461139893</v>
      </c>
      <c r="DD18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3003</v>
      </c>
      <c r="DE18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8" s="425">
        <f>IF(WWWW[[#This Row],['# of functional latrines in THF supported by WASH partners during the reporting period2]]="",0,WWWW[[#This Row],['# of functional latrines in THF supported by WASH partners during the reporting period2]]*50)</f>
        <v>0</v>
      </c>
      <c r="DH188" s="761">
        <f>ROUND(IF(WWWW[[#This Row],[Location Type 1]]="camp",WWWW[[#This Row],[Total PoP ]]/20,IF(WWWW[[#This Row],[Location Type 1]]="Temporary Location",WWWW[[#This Row],[Total PoP ]]/50,(WWWW[[#This Row],[Total PoP ]]/6))),0)</f>
        <v>193</v>
      </c>
      <c r="DI188" s="761">
        <f>IF(WWWW[[#This Row],[Total required Latrines]]-(WWWW[[#This Row],['#_Constructed latrines_by_WASHAgencies]]+WWWW[[#This Row],['#_Non Cluster partner latrines]])&lt;0,0,WWWW[[#This Row],[Total required Latrines]]-(WWWW[[#This Row],['#_Constructed latrines_by_WASHAgencies]]+WWWW[[#This Row],['#_Non Cluster partner latrines]]))</f>
        <v>44</v>
      </c>
      <c r="DJ188" s="763">
        <f>1-WWWW[[#This Row],[% people access to functioning Latrine]]</f>
        <v>0.22202072538860107</v>
      </c>
      <c r="DK188" s="762">
        <f>IF(OR(WWWW[[#This Row],['#_Non-functional latrines]]="",WWWW[[#This Row],['#_Non-functional latrines]]=0),0,WWWW[[#This Row],['#_Non-functional latrines]]/(WWWW[[#This Row],['#_Constructed latrines_by_WASHAgencies]]+WWWW[[#This Row],['#_Non Cluster partner latrines]]))</f>
        <v>0</v>
      </c>
      <c r="DL188" s="758">
        <f>IF(500*(WWWW[[#This Row],['#_male hygiene promoters]]+WWWW[[#This Row],['#_female hygiene promoters]])&gt;WWWW[[#This Row],[Total PoP ]],WWWW[[#This Row],[Total PoP ]],500*(WWWW[[#This Row],['#_male hygiene promoters]]+WWWW[[#This Row],['#_female hygiene promoters]]))</f>
        <v>3000</v>
      </c>
      <c r="DM18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8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88" s="761">
        <f>IF(WWWW[[#This Row],['# People with access to soap]]&gt;WWWW[[#This Row],['# People with access to Sanity Pads]],WWWW[[#This Row],['# People with access to soap]],WWWW[[#This Row],['# People with access to Sanity Pads]])</f>
        <v>0</v>
      </c>
      <c r="DP188" s="761">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188" s="763">
        <f>IF(WWWW[[#This Row],[HRP3]]/WWWW[[#This Row],[Total PoP ]]&gt;1,1,WWWW[[#This Row],[HRP3]]/WWWW[[#This Row],[Total PoP ]])</f>
        <v>0.77720207253886009</v>
      </c>
      <c r="DR188" s="762">
        <f>1-WWWW[[#This Row],[Hygiene Coverage%]]</f>
        <v>0.22279792746113991</v>
      </c>
      <c r="DS188" s="760">
        <f>WWWW[[#This Row],['# people reached by regular dedicated hygiene promotion_5]]/WWWW[[#This Row],[Total PoP ]]</f>
        <v>0.77720207253886009</v>
      </c>
      <c r="DT18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8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88" s="761">
        <f>WWWW[[#This Row],['#_Constructed/Existing hand washing stations]]-WWWW[[#This Row],['#_Non-Functional_hand_washing_stations]]</f>
        <v>11</v>
      </c>
      <c r="DW188" s="758">
        <f>IF(WWWW[[#This Row],['# Functional hand washing stations during reporting period]]*20&gt;WWWW[[#This Row],[Total HH]],WWWW[[#This Row],[Total HH]],WWWW[[#This Row],['# Functional hand washing stations during reporting period]]*20)</f>
        <v>220</v>
      </c>
      <c r="DX188" s="758">
        <f>IF(WWWW[[#This Row],[Is sufficient soap available for TLS? (Yes/No)]]="yes",WWWW[[#This Row],['#_Constructed/Existing hand washing stations at TLS/CFS/THF]],0)</f>
        <v>0</v>
      </c>
      <c r="DY188" s="429">
        <f>IF(WWWW[[#This Row],['# Functional hand washing stations during reporting period]]*100&gt;WWWW[[#This Row],[Total PoP ]],WWWW[[#This Row],[Total PoP ]],WWWW[[#This Row],['# Functional hand washing stations during reporting period]]*100)</f>
        <v>1100</v>
      </c>
      <c r="DZ188" s="429" t="str">
        <f>IF(OR(WWWW[[#This Row],['#_students at TLS_CFS]]="",WWWW[[#This Row],['#_students at TLS_CFS]]=0),"No","Yes")</f>
        <v>No</v>
      </c>
      <c r="EA188" s="634">
        <f>IF(WWWW[[#This Row],['#_of_affected_people_surveyed_who_report_feeling_informed_about_the_different_WASH_services_available_to_them]]="","",WWWW[[#This Row],['#_of_affected_people_surveyed_who_report_feeling_informed_about_the_different_WASH_services_available_to_them]]/WWWW[[#This Row],[Total PoP ]])</f>
        <v>1.5025906735751295E-2</v>
      </c>
      <c r="EB18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8" s="754" t="str">
        <f>VLOOKUP(WWWW[[#This Row],[Site Name]],SiteDB6[[Site Name]:[CCCM Management]],6,FALSE)</f>
        <v>Yes</v>
      </c>
      <c r="EF188" s="754" t="str">
        <f>VLOOKUP(WWWW[[#This Row],[Site Name]],SiteDB6[[Site Name]:[CCCM Focal Agency]],7,FALSE)</f>
        <v>KBC-BMO</v>
      </c>
      <c r="EG188" s="754" t="str">
        <f>VLOOKUP(WWWW[[#This Row],[Site Name]],SiteDB6[[Site Name]:[Location Type 1]],9,FALSE)</f>
        <v>Camp</v>
      </c>
      <c r="EH188" s="754" t="str">
        <f>VLOOKUP(WWWW[[#This Row],[Site Name]],SiteDB6[[Site Name]:[Type of Accommodation]],10,FALSE)</f>
        <v>Camp</v>
      </c>
      <c r="EI188" s="754" t="str">
        <f>VLOOKUP(WWWW[[#This Row],[Site Name]],SiteDB6[[Site Name]:[Ethnic or GCA/NGCA]],11,FALSE)</f>
        <v>GCA</v>
      </c>
      <c r="EJ188" s="754">
        <f>VLOOKUP(WWWW[[#This Row],[Site Name]],SiteDB6[[Site Name]:[Lat]],12,FALSE)</f>
        <v>24.268292826086999</v>
      </c>
      <c r="EK188" s="754">
        <f>VLOOKUP(WWWW[[#This Row],[Site Name]],SiteDB6[[Site Name]:[Long]],13,FALSE)</f>
        <v>97.229116811594196</v>
      </c>
      <c r="EL188" s="754" t="str">
        <f>VLOOKUP(WWWW[[#This Row],[Site Name]],SiteDB6[[Site Name]:[Pcode]],3,FALSE)</f>
        <v>MMR001CMP047</v>
      </c>
      <c r="EM188" s="759" t="str">
        <f t="shared" si="2"/>
        <v>Covered</v>
      </c>
      <c r="EN188" s="759"/>
      <c r="EO188" s="754">
        <f>VLOOKUP(WWWW[[#This Row],[Site Name]],SiteDB6[[Site Name]:[Pop
(Kachin/Shan-CCCM as of July 2021)]],16,FALSE)</f>
        <v>597</v>
      </c>
      <c r="EP188" s="754">
        <f>VLOOKUP(WWWW[[#This Row],[Site Name]],SiteDB6[[Site Name]:[Pop
(Kachin/Shan-CCCM as of July 2021)]],17,FALSE)</f>
        <v>3765</v>
      </c>
    </row>
    <row r="189" spans="1:146" hidden="1">
      <c r="A189" s="941" t="s">
        <v>2785</v>
      </c>
      <c r="B189" s="941" t="s">
        <v>276</v>
      </c>
      <c r="C189" s="942" t="s">
        <v>276</v>
      </c>
      <c r="D189" s="943" t="s">
        <v>292</v>
      </c>
      <c r="E189" s="942" t="s">
        <v>37</v>
      </c>
      <c r="F189" s="942" t="s">
        <v>205</v>
      </c>
      <c r="G189" s="944" t="str">
        <f>VLOOKUP(WWWW[[#This Row],[Site Name]],SiteDB6[[Site Name]:[Location Type]],8,FALSE)</f>
        <v>Camp_not registered</v>
      </c>
      <c r="H189" s="942" t="s">
        <v>2161</v>
      </c>
      <c r="I189" s="449">
        <v>3</v>
      </c>
      <c r="J189" s="449">
        <v>16</v>
      </c>
      <c r="K189" s="591">
        <v>44652</v>
      </c>
      <c r="L189" s="592">
        <v>44895</v>
      </c>
      <c r="M189" s="755"/>
      <c r="N189" s="755"/>
      <c r="O189" s="755"/>
      <c r="P189" s="755"/>
      <c r="Q189" s="758" t="s">
        <v>41</v>
      </c>
      <c r="R189" s="755">
        <v>3</v>
      </c>
      <c r="S189" s="755">
        <v>8</v>
      </c>
      <c r="T189" s="449"/>
      <c r="U189" s="755"/>
      <c r="V189" s="755"/>
      <c r="W189" s="755">
        <v>1</v>
      </c>
      <c r="X189" s="755"/>
      <c r="Y189" s="755"/>
      <c r="Z189" s="755"/>
      <c r="AA189" s="755">
        <v>1</v>
      </c>
      <c r="AB189" s="755"/>
      <c r="AC189" s="755">
        <v>1</v>
      </c>
      <c r="AD189" s="755"/>
      <c r="AE189" s="755"/>
      <c r="AF189" s="755"/>
      <c r="AG189" s="755"/>
      <c r="AH189" s="755"/>
      <c r="AI189" s="769"/>
      <c r="AJ189" s="769"/>
      <c r="AK189" s="769"/>
      <c r="AL189" s="769"/>
      <c r="AM189" s="755">
        <v>5</v>
      </c>
      <c r="AN189" s="755"/>
      <c r="AO189" s="755"/>
      <c r="AP189" s="759"/>
      <c r="AQ189" s="755">
        <v>12</v>
      </c>
      <c r="AR189" s="755"/>
      <c r="AS189" s="760"/>
      <c r="AT189" s="755"/>
      <c r="AU189" s="769"/>
      <c r="AV189" s="769"/>
      <c r="AW189" s="769"/>
      <c r="AX189" s="755"/>
      <c r="AY189" s="754" t="s">
        <v>41</v>
      </c>
      <c r="AZ189" s="759" t="s">
        <v>137</v>
      </c>
      <c r="BA189" s="755"/>
      <c r="BB189" s="755"/>
      <c r="BC189" s="755"/>
      <c r="BD189" s="449"/>
      <c r="BE189" s="449"/>
      <c r="BF189" s="754"/>
      <c r="BG189" s="755">
        <v>3</v>
      </c>
      <c r="BH189" s="755"/>
      <c r="BI189" s="755"/>
      <c r="BJ189" s="755">
        <v>2</v>
      </c>
      <c r="BK189" s="755"/>
      <c r="BL189" s="755"/>
      <c r="BM189" s="755">
        <v>1</v>
      </c>
      <c r="BN189" s="769"/>
      <c r="BO189" s="755"/>
      <c r="BP189" s="754"/>
      <c r="BQ189" s="771"/>
      <c r="BR189" s="760"/>
      <c r="BS189" s="754"/>
      <c r="BT189" s="940">
        <v>1</v>
      </c>
      <c r="BU189" s="940">
        <v>1</v>
      </c>
      <c r="BV189" s="593">
        <v>5</v>
      </c>
      <c r="BW189" s="940">
        <v>1</v>
      </c>
      <c r="BX189" s="449"/>
      <c r="BY189" s="449"/>
      <c r="BZ189" s="449"/>
      <c r="CA189" s="449"/>
      <c r="CB189" s="449"/>
      <c r="CC189" s="807"/>
      <c r="CD189" s="449"/>
      <c r="CE189" s="762" t="str">
        <f>IFERROR(WWWW[[#This Row],['#_Water sources passed]]/WWWW[[#This Row],['#_Water sources tested for fecal coliform ]],"no test")</f>
        <v>no test</v>
      </c>
      <c r="CF189" s="760" t="str">
        <f>IFERROR(WWWW[[#This Row],['#_Household passed]]/WWWW[[#This Row],['#_Household water samples tested for fecal coliform]],"no test")</f>
        <v>no test</v>
      </c>
      <c r="CG189" s="761" t="str">
        <f>IF(AND(WWWW[[#This Row],[% of water sources passed]]="no test",WWWW[[#This Row],[% Household passed]]="no test"),"No Test","Tested")</f>
        <v>No Test</v>
      </c>
      <c r="CH189" s="761">
        <f>WWWW[[#This Row],['#_Constructed/existing protected hand dug well]]-WWWW[[#This Row],['#_Non-functional protected hand dug well]]</f>
        <v>0</v>
      </c>
      <c r="CI189" s="761">
        <f>(WWWW[[#This Row],['#_Constructed/Existing tube wells/boreholes/handpumps_WASH_agency]]+WWWW[[#This Row],['#_Non-Cluster partner water tube-wells/boreholes/handpumps]])-WWWW[[#This Row],['#_Non-functional tube wells/boreholes/handpumps]]</f>
        <v>1</v>
      </c>
      <c r="CJ189" s="761">
        <f>WWWW[[#This Row],['#_Constructed/Existingwater storage tank with gravity fed reticulation system]]-WWWW[[#This Row],['#_Non-functional storage tank gravity fed reticulation system]]</f>
        <v>1</v>
      </c>
      <c r="CK189" s="761">
        <f>(WWWW[[#This Row],['#_Water_Liters_supplied_by_Water boating or water trucking]]/90)/15</f>
        <v>0</v>
      </c>
      <c r="CL189" s="761">
        <f>WWWW[[#This Row],['#_Water_Liters_from_Constructed/Existing water distribution system from river or natural spring]]/90/15</f>
        <v>0</v>
      </c>
      <c r="CM189" s="425">
        <f>IF(WWWW[[#This Row],['#_of water points in TLS/CFS]]*500&gt;WWWW[[#This Row],[Total PoP ]],WWWW[[#This Row],[Total PoP ]],WWWW[[#This Row],['#_of water points in TLS/CFS]]*500)</f>
        <v>0</v>
      </c>
      <c r="CN189" s="425">
        <f>IF(WWWW[[#This Row],['#_of water points in THF]]*500&gt;WWWW[[#This Row],[Total PoP ]],WWWW[[#This Row],[Total PoP ]],WWWW[[#This Row],['#_of water points in THF]]*500)</f>
        <v>0</v>
      </c>
      <c r="CO18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8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89" s="760">
        <f>IF(WWWW[[#This Row],[Location Type 1]]="Village",WWWW[[#This Row],[Access to safe drinking water for Village]],WWWW[[#This Row],[Access to safe drinking water for Camp]])</f>
        <v>1</v>
      </c>
      <c r="CR189" s="758">
        <f>WWWW[[#This Row],[%Equitable and continuous access to sufficient quantity of safe drinking water]]*WWWW[[#This Row],[Total PoP ]]</f>
        <v>16</v>
      </c>
      <c r="CS189" s="760">
        <f>IF((WWWW[[#This Row],['#_Constructed/Existing protected/fenced ponds]]*250)/WWWW[[#This Row],[Total PoP ]]&gt;1,1,(WWWW[[#This Row],['#_Constructed/Existing protected/fenced ponds]]*250)/WWWW[[#This Row],[Total PoP ]])</f>
        <v>0</v>
      </c>
      <c r="CT189" s="758">
        <f>WWWW[[#This Row],[% Access to unimproved water points]]*WWWW[[#This Row],[Total PoP ]]</f>
        <v>0</v>
      </c>
      <c r="CU18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8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v>
      </c>
      <c r="CW189" s="758">
        <f>WWWW[[#This Row],[HRP1]]/500</f>
        <v>3.2000000000000001E-2</v>
      </c>
      <c r="CX189" s="763">
        <f>1-WWWW[[#This Row],[% Equitable and continuous access to sufficient quantity of domestic water]]</f>
        <v>0</v>
      </c>
      <c r="CY189" s="758">
        <f>WWWW[[#This Row],[%equitable and continuous access to sufficient quantity of safe drinking and domestic water''s GAP]]*WWWW[[#This Row],[Total PoP ]]</f>
        <v>0</v>
      </c>
      <c r="CZ189" s="761">
        <f>IF(WWWW[[#This Row],[Total required water points]]-WWWW[[#This Row],['#Water points coverage]]&lt;0,0,WWWW[[#This Row],[Total required water points]]-WWWW[[#This Row],['#Water points coverage]])</f>
        <v>0.96799999999999997</v>
      </c>
      <c r="DA189" s="761">
        <f>ROUND(IF(WWWW[[#This Row],[Total PoP ]]&lt;500,1,WWWW[[#This Row],[Total PoP ]]/500),0)</f>
        <v>1</v>
      </c>
      <c r="DB189" s="761">
        <f>(WWWW[[#This Row],['#_Constructed latrines_by_WASHAgencies]]+WWWW[[#This Row],['#_Non Cluster partner latrines]])-WWWW[[#This Row],['#_Non-functional latrines]]</f>
        <v>12</v>
      </c>
      <c r="DC189" s="634">
        <f>WWWW[[#This Row],[HRP2]]/WWWW[[#This Row],[Total PoP ]]</f>
        <v>1</v>
      </c>
      <c r="DD18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v>
      </c>
      <c r="DE18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8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89" s="425">
        <f>IF(WWWW[[#This Row],['# of functional latrines in THF supported by WASH partners during the reporting period2]]="",0,WWWW[[#This Row],['# of functional latrines in THF supported by WASH partners during the reporting period2]]*50)</f>
        <v>0</v>
      </c>
      <c r="DH189" s="761">
        <f>ROUND(IF(WWWW[[#This Row],[Location Type 1]]="camp",WWWW[[#This Row],[Total PoP ]]/20,IF(WWWW[[#This Row],[Location Type 1]]="Temporary Location",WWWW[[#This Row],[Total PoP ]]/50,(WWWW[[#This Row],[Total PoP ]]/6))),0)</f>
        <v>1</v>
      </c>
      <c r="DI189" s="761">
        <f>IF(WWWW[[#This Row],[Total required Latrines]]-(WWWW[[#This Row],['#_Constructed latrines_by_WASHAgencies]]+WWWW[[#This Row],['#_Non Cluster partner latrines]])&lt;0,0,WWWW[[#This Row],[Total required Latrines]]-(WWWW[[#This Row],['#_Constructed latrines_by_WASHAgencies]]+WWWW[[#This Row],['#_Non Cluster partner latrines]]))</f>
        <v>0</v>
      </c>
      <c r="DJ189" s="763">
        <f>1-WWWW[[#This Row],[% people access to functioning Latrine]]</f>
        <v>0</v>
      </c>
      <c r="DK189" s="762">
        <f>IF(OR(WWWW[[#This Row],['#_Non-functional latrines]]="",WWWW[[#This Row],['#_Non-functional latrines]]=0),0,WWWW[[#This Row],['#_Non-functional latrines]]/(WWWW[[#This Row],['#_Constructed latrines_by_WASHAgencies]]+WWWW[[#This Row],['#_Non Cluster partner latrines]]))</f>
        <v>0</v>
      </c>
      <c r="DL189" s="758">
        <f>IF(500*(WWWW[[#This Row],['#_male hygiene promoters]]+WWWW[[#This Row],['#_female hygiene promoters]])&gt;WWWW[[#This Row],[Total PoP ]],WWWW[[#This Row],[Total PoP ]],500*(WWWW[[#This Row],['#_male hygiene promoters]]+WWWW[[#This Row],['#_female hygiene promoters]]))</f>
        <v>16</v>
      </c>
      <c r="DM18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8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89" s="761">
        <f>IF(WWWW[[#This Row],['# People with access to soap]]&gt;WWWW[[#This Row],['# People with access to Sanity Pads]],WWWW[[#This Row],['# People with access to soap]],WWWW[[#This Row],['# People with access to Sanity Pads]])</f>
        <v>0</v>
      </c>
      <c r="DP189" s="761">
        <f>IF(WWWW[[#This Row],['# people reached by regular dedicated hygiene promotion_5]]&gt;WWWW[[#This Row],['# People received regular supply of hygiene items_6]],WWWW[[#This Row],['# people reached by regular dedicated hygiene promotion_5]],WWWW[[#This Row],['# People received regular supply of hygiene items_6]])</f>
        <v>16</v>
      </c>
      <c r="DQ189" s="763">
        <f>IF(WWWW[[#This Row],[HRP3]]/WWWW[[#This Row],[Total PoP ]]&gt;1,1,WWWW[[#This Row],[HRP3]]/WWWW[[#This Row],[Total PoP ]])</f>
        <v>1</v>
      </c>
      <c r="DR189" s="762">
        <f>1-WWWW[[#This Row],[Hygiene Coverage%]]</f>
        <v>0</v>
      </c>
      <c r="DS189" s="760">
        <f>WWWW[[#This Row],['# people reached by regular dedicated hygiene promotion_5]]/WWWW[[#This Row],[Total PoP ]]</f>
        <v>1</v>
      </c>
      <c r="DT18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8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89" s="761">
        <f>WWWW[[#This Row],['#_Constructed/Existing hand washing stations]]-WWWW[[#This Row],['#_Non-Functional_hand_washing_stations]]</f>
        <v>3</v>
      </c>
      <c r="DW189" s="758">
        <f>IF(WWWW[[#This Row],['# Functional hand washing stations during reporting period]]*20&gt;WWWW[[#This Row],[Total HH]],WWWW[[#This Row],[Total HH]],WWWW[[#This Row],['# Functional hand washing stations during reporting period]]*20)</f>
        <v>3</v>
      </c>
      <c r="DX189" s="758">
        <f>IF(WWWW[[#This Row],[Is sufficient soap available for TLS? (Yes/No)]]="yes",WWWW[[#This Row],['#_Constructed/Existing hand washing stations at TLS/CFS/THF]],0)</f>
        <v>0</v>
      </c>
      <c r="DY189" s="429">
        <f>IF(WWWW[[#This Row],['# Functional hand washing stations during reporting period]]*100&gt;WWWW[[#This Row],[Total PoP ]],WWWW[[#This Row],[Total PoP ]],WWWW[[#This Row],['# Functional hand washing stations during reporting period]]*100)</f>
        <v>16</v>
      </c>
      <c r="DZ189" s="429" t="str">
        <f>IF(OR(WWWW[[#This Row],['#_students at TLS_CFS]]="",WWWW[[#This Row],['#_students at TLS_CFS]]=0),"No","Yes")</f>
        <v>No</v>
      </c>
      <c r="EA189" s="634">
        <f>IF(WWWW[[#This Row],['#_of_affected_people_surveyed_who_report_feeling_informed_about_the_different_WASH_services_available_to_them]]="","",WWWW[[#This Row],['#_of_affected_people_surveyed_who_report_feeling_informed_about_the_different_WASH_services_available_to_them]]/WWWW[[#This Row],[Total PoP ]])</f>
        <v>0.3125</v>
      </c>
      <c r="EB18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8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8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89" s="754">
        <f>VLOOKUP(WWWW[[#This Row],[Site Name]],SiteDB6[[Site Name]:[CCCM Management]],6,FALSE)</f>
        <v>0</v>
      </c>
      <c r="EF189" s="754">
        <f>VLOOKUP(WWWW[[#This Row],[Site Name]],SiteDB6[[Site Name]:[CCCM Focal Agency]],7,FALSE)</f>
        <v>0</v>
      </c>
      <c r="EG189" s="754" t="str">
        <f>VLOOKUP(WWWW[[#This Row],[Site Name]],SiteDB6[[Site Name]:[Location Type 1]],9,FALSE)</f>
        <v>Camp</v>
      </c>
      <c r="EH189" s="754" t="str">
        <f>VLOOKUP(WWWW[[#This Row],[Site Name]],SiteDB6[[Site Name]:[Type of Accommodation]],10,FALSE)</f>
        <v>Camp</v>
      </c>
      <c r="EI189" s="754" t="str">
        <f>VLOOKUP(WWWW[[#This Row],[Site Name]],SiteDB6[[Site Name]:[Ethnic or GCA/NGCA]],11,FALSE)</f>
        <v>GCA</v>
      </c>
      <c r="EJ189" s="754">
        <f>VLOOKUP(WWWW[[#This Row],[Site Name]],SiteDB6[[Site Name]:[Lat]],12,FALSE)</f>
        <v>0</v>
      </c>
      <c r="EK189" s="754">
        <f>VLOOKUP(WWWW[[#This Row],[Site Name]],SiteDB6[[Site Name]:[Long]],13,FALSE)</f>
        <v>0</v>
      </c>
      <c r="EL189" s="754">
        <f>VLOOKUP(WWWW[[#This Row],[Site Name]],SiteDB6[[Site Name]:[Pcode]],3,FALSE)</f>
        <v>0</v>
      </c>
      <c r="EM189" s="759" t="str">
        <f t="shared" si="2"/>
        <v>Covered</v>
      </c>
      <c r="EN189" s="759"/>
      <c r="EO189" s="754">
        <f>VLOOKUP(WWWW[[#This Row],[Site Name]],SiteDB6[[Site Name]:[Pop
(Kachin/Shan-CCCM as of July 2021)]],16,FALSE)</f>
        <v>0</v>
      </c>
      <c r="EP189" s="754">
        <f>VLOOKUP(WWWW[[#This Row],[Site Name]],SiteDB6[[Site Name]:[Pop
(Kachin/Shan-CCCM as of July 2021)]],17,FALSE)</f>
        <v>0</v>
      </c>
    </row>
    <row r="190" spans="1:146" hidden="1">
      <c r="A190" s="941" t="s">
        <v>2785</v>
      </c>
      <c r="B190" s="941" t="s">
        <v>276</v>
      </c>
      <c r="C190" s="942" t="s">
        <v>276</v>
      </c>
      <c r="D190" s="943" t="s">
        <v>292</v>
      </c>
      <c r="E190" s="942" t="s">
        <v>37</v>
      </c>
      <c r="F190" s="942" t="s">
        <v>205</v>
      </c>
      <c r="G190" s="944" t="str">
        <f>VLOOKUP(WWWW[[#This Row],[Site Name]],SiteDB6[[Site Name]:[Location Type]],8,FALSE)</f>
        <v>Camp</v>
      </c>
      <c r="H190" s="942" t="s">
        <v>281</v>
      </c>
      <c r="I190" s="449">
        <v>39</v>
      </c>
      <c r="J190" s="449">
        <v>239</v>
      </c>
      <c r="K190" s="591">
        <v>44652</v>
      </c>
      <c r="L190" s="592">
        <v>44895</v>
      </c>
      <c r="M190" s="755"/>
      <c r="N190" s="755"/>
      <c r="O190" s="755"/>
      <c r="P190" s="755"/>
      <c r="Q190" s="758" t="s">
        <v>41</v>
      </c>
      <c r="R190" s="755">
        <v>3</v>
      </c>
      <c r="S190" s="755">
        <v>6</v>
      </c>
      <c r="T190" s="449">
        <v>1</v>
      </c>
      <c r="U190" s="755"/>
      <c r="V190" s="755"/>
      <c r="W190" s="755"/>
      <c r="X190" s="755"/>
      <c r="Y190" s="755"/>
      <c r="Z190" s="755"/>
      <c r="AA190" s="755">
        <v>1</v>
      </c>
      <c r="AB190" s="755"/>
      <c r="AC190" s="755"/>
      <c r="AD190" s="755"/>
      <c r="AE190" s="755"/>
      <c r="AF190" s="755"/>
      <c r="AG190" s="755"/>
      <c r="AH190" s="755"/>
      <c r="AI190" s="769"/>
      <c r="AJ190" s="769"/>
      <c r="AK190" s="769"/>
      <c r="AL190" s="769"/>
      <c r="AM190" s="755">
        <v>5</v>
      </c>
      <c r="AN190" s="755"/>
      <c r="AO190" s="755"/>
      <c r="AP190" s="759"/>
      <c r="AQ190" s="755">
        <v>9</v>
      </c>
      <c r="AR190" s="755"/>
      <c r="AS190" s="760"/>
      <c r="AT190" s="755"/>
      <c r="AU190" s="769"/>
      <c r="AV190" s="769"/>
      <c r="AW190" s="769"/>
      <c r="AX190" s="755"/>
      <c r="AY190" s="754" t="s">
        <v>41</v>
      </c>
      <c r="AZ190" s="759" t="s">
        <v>137</v>
      </c>
      <c r="BA190" s="755"/>
      <c r="BB190" s="755"/>
      <c r="BC190" s="755"/>
      <c r="BD190" s="449"/>
      <c r="BE190" s="449">
        <v>2</v>
      </c>
      <c r="BF190" s="754"/>
      <c r="BG190" s="755">
        <v>4</v>
      </c>
      <c r="BH190" s="755"/>
      <c r="BI190" s="755"/>
      <c r="BJ190" s="755">
        <v>1</v>
      </c>
      <c r="BK190" s="755"/>
      <c r="BL190" s="755"/>
      <c r="BM190" s="755">
        <v>1</v>
      </c>
      <c r="BN190" s="769"/>
      <c r="BO190" s="755"/>
      <c r="BP190" s="754"/>
      <c r="BQ190" s="771"/>
      <c r="BR190" s="760"/>
      <c r="BS190" s="754"/>
      <c r="BT190" s="424">
        <v>1</v>
      </c>
      <c r="BU190" s="424">
        <v>1</v>
      </c>
      <c r="BV190" s="426">
        <v>7</v>
      </c>
      <c r="BW190" s="424">
        <v>0.5</v>
      </c>
      <c r="BX190" s="449"/>
      <c r="BY190" s="449"/>
      <c r="BZ190" s="449"/>
      <c r="CA190" s="449"/>
      <c r="CB190" s="449"/>
      <c r="CC190" s="807"/>
      <c r="CD190" s="449"/>
      <c r="CE190" s="762" t="str">
        <f>IFERROR(WWWW[[#This Row],['#_Water sources passed]]/WWWW[[#This Row],['#_Water sources tested for fecal coliform ]],"no test")</f>
        <v>no test</v>
      </c>
      <c r="CF190" s="760" t="str">
        <f>IFERROR(WWWW[[#This Row],['#_Household passed]]/WWWW[[#This Row],['#_Household water samples tested for fecal coliform]],"no test")</f>
        <v>no test</v>
      </c>
      <c r="CG190" s="761" t="str">
        <f>IF(AND(WWWW[[#This Row],[% of water sources passed]]="no test",WWWW[[#This Row],[% Household passed]]="no test"),"No Test","Tested")</f>
        <v>No Test</v>
      </c>
      <c r="CH190" s="761">
        <f>WWWW[[#This Row],['#_Constructed/existing protected hand dug well]]-WWWW[[#This Row],['#_Non-functional protected hand dug well]]</f>
        <v>1</v>
      </c>
      <c r="CI190" s="761">
        <f>(WWWW[[#This Row],['#_Constructed/Existing tube wells/boreholes/handpumps_WASH_agency]]+WWWW[[#This Row],['#_Non-Cluster partner water tube-wells/boreholes/handpumps]])-WWWW[[#This Row],['#_Non-functional tube wells/boreholes/handpumps]]</f>
        <v>0</v>
      </c>
      <c r="CJ190" s="761">
        <f>WWWW[[#This Row],['#_Constructed/Existingwater storage tank with gravity fed reticulation system]]-WWWW[[#This Row],['#_Non-functional storage tank gravity fed reticulation system]]</f>
        <v>1</v>
      </c>
      <c r="CK190" s="761">
        <f>(WWWW[[#This Row],['#_Water_Liters_supplied_by_Water boating or water trucking]]/90)/15</f>
        <v>0</v>
      </c>
      <c r="CL190" s="761">
        <f>WWWW[[#This Row],['#_Water_Liters_from_Constructed/Existing water distribution system from river or natural spring]]/90/15</f>
        <v>0</v>
      </c>
      <c r="CM190" s="425">
        <f>IF(WWWW[[#This Row],['#_of water points in TLS/CFS]]*500&gt;WWWW[[#This Row],[Total PoP ]],WWWW[[#This Row],[Total PoP ]],WWWW[[#This Row],['#_of water points in TLS/CFS]]*500)</f>
        <v>0</v>
      </c>
      <c r="CN190" s="425">
        <f>IF(WWWW[[#This Row],['#_of water points in THF]]*500&gt;WWWW[[#This Row],[Total PoP ]],WWWW[[#This Row],[Total PoP ]],WWWW[[#This Row],['#_of water points in THF]]*500)</f>
        <v>0</v>
      </c>
      <c r="CO19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0" s="760">
        <f>IF(WWWW[[#This Row],[Location Type 1]]="Village",WWWW[[#This Row],[Access to safe drinking water for Village]],WWWW[[#This Row],[Access to safe drinking water for Camp]])</f>
        <v>1</v>
      </c>
      <c r="CR190" s="758">
        <f>WWWW[[#This Row],[%Equitable and continuous access to sufficient quantity of safe drinking water]]*WWWW[[#This Row],[Total PoP ]]</f>
        <v>239</v>
      </c>
      <c r="CS190" s="760">
        <f>IF((WWWW[[#This Row],['#_Constructed/Existing protected/fenced ponds]]*250)/WWWW[[#This Row],[Total PoP ]]&gt;1,1,(WWWW[[#This Row],['#_Constructed/Existing protected/fenced ponds]]*250)/WWWW[[#This Row],[Total PoP ]])</f>
        <v>0</v>
      </c>
      <c r="CT190" s="758">
        <f>WWWW[[#This Row],[% Access to unimproved water points]]*WWWW[[#This Row],[Total PoP ]]</f>
        <v>0</v>
      </c>
      <c r="CU19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190" s="758">
        <f>WWWW[[#This Row],[HRP1]]/500</f>
        <v>0.47799999999999998</v>
      </c>
      <c r="CX190" s="763">
        <f>1-WWWW[[#This Row],[% Equitable and continuous access to sufficient quantity of domestic water]]</f>
        <v>0</v>
      </c>
      <c r="CY190" s="758">
        <f>WWWW[[#This Row],[%equitable and continuous access to sufficient quantity of safe drinking and domestic water''s GAP]]*WWWW[[#This Row],[Total PoP ]]</f>
        <v>0</v>
      </c>
      <c r="CZ190" s="761">
        <f>IF(WWWW[[#This Row],[Total required water points]]-WWWW[[#This Row],['#Water points coverage]]&lt;0,0,WWWW[[#This Row],[Total required water points]]-WWWW[[#This Row],['#Water points coverage]])</f>
        <v>0.52200000000000002</v>
      </c>
      <c r="DA190" s="761">
        <f>ROUND(IF(WWWW[[#This Row],[Total PoP ]]&lt;500,1,WWWW[[#This Row],[Total PoP ]]/500),0)</f>
        <v>1</v>
      </c>
      <c r="DB190" s="761">
        <f>(WWWW[[#This Row],['#_Constructed latrines_by_WASHAgencies]]+WWWW[[#This Row],['#_Non Cluster partner latrines]])-WWWW[[#This Row],['#_Non-functional latrines]]</f>
        <v>9</v>
      </c>
      <c r="DC190" s="634">
        <f>WWWW[[#This Row],[HRP2]]/WWWW[[#This Row],[Total PoP ]]</f>
        <v>0.7615062761506276</v>
      </c>
      <c r="DD19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19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0" s="425">
        <f>IF(WWWW[[#This Row],['# of functional latrines in THF supported by WASH partners during the reporting period2]]="",0,WWWW[[#This Row],['# of functional latrines in THF supported by WASH partners during the reporting period2]]*50)</f>
        <v>0</v>
      </c>
      <c r="DH190" s="761">
        <f>ROUND(IF(WWWW[[#This Row],[Location Type 1]]="camp",WWWW[[#This Row],[Total PoP ]]/20,IF(WWWW[[#This Row],[Location Type 1]]="Temporary Location",WWWW[[#This Row],[Total PoP ]]/50,(WWWW[[#This Row],[Total PoP ]]/6))),0)</f>
        <v>12</v>
      </c>
      <c r="DI190" s="761">
        <f>IF(WWWW[[#This Row],[Total required Latrines]]-(WWWW[[#This Row],['#_Constructed latrines_by_WASHAgencies]]+WWWW[[#This Row],['#_Non Cluster partner latrines]])&lt;0,0,WWWW[[#This Row],[Total required Latrines]]-(WWWW[[#This Row],['#_Constructed latrines_by_WASHAgencies]]+WWWW[[#This Row],['#_Non Cluster partner latrines]]))</f>
        <v>3</v>
      </c>
      <c r="DJ190" s="763">
        <f>1-WWWW[[#This Row],[% people access to functioning Latrine]]</f>
        <v>0.2384937238493724</v>
      </c>
      <c r="DK190" s="762">
        <f>IF(OR(WWWW[[#This Row],['#_Non-functional latrines]]="",WWWW[[#This Row],['#_Non-functional latrines]]=0),0,WWWW[[#This Row],['#_Non-functional latrines]]/(WWWW[[#This Row],['#_Constructed latrines_by_WASHAgencies]]+WWWW[[#This Row],['#_Non Cluster partner latrines]]))</f>
        <v>0</v>
      </c>
      <c r="DL190" s="758">
        <f>IF(500*(WWWW[[#This Row],['#_male hygiene promoters]]+WWWW[[#This Row],['#_female hygiene promoters]])&gt;WWWW[[#This Row],[Total PoP ]],WWWW[[#This Row],[Total PoP ]],500*(WWWW[[#This Row],['#_male hygiene promoters]]+WWWW[[#This Row],['#_female hygiene promoters]]))</f>
        <v>239</v>
      </c>
      <c r="DM19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0" s="761">
        <f>IF(WWWW[[#This Row],['# People with access to soap]]&gt;WWWW[[#This Row],['# People with access to Sanity Pads]],WWWW[[#This Row],['# People with access to soap]],WWWW[[#This Row],['# People with access to Sanity Pads]])</f>
        <v>0</v>
      </c>
      <c r="DP190" s="761">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190" s="763">
        <f>IF(WWWW[[#This Row],[HRP3]]/WWWW[[#This Row],[Total PoP ]]&gt;1,1,WWWW[[#This Row],[HRP3]]/WWWW[[#This Row],[Total PoP ]])</f>
        <v>1</v>
      </c>
      <c r="DR190" s="762">
        <f>1-WWWW[[#This Row],[Hygiene Coverage%]]</f>
        <v>0</v>
      </c>
      <c r="DS190" s="760">
        <f>WWWW[[#This Row],['# people reached by regular dedicated hygiene promotion_5]]/WWWW[[#This Row],[Total PoP ]]</f>
        <v>1</v>
      </c>
      <c r="DT19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0" s="761">
        <f>WWWW[[#This Row],['#_Constructed/Existing hand washing stations]]-WWWW[[#This Row],['#_Non-Functional_hand_washing_stations]]</f>
        <v>4</v>
      </c>
      <c r="DW190" s="758">
        <f>IF(WWWW[[#This Row],['# Functional hand washing stations during reporting period]]*20&gt;WWWW[[#This Row],[Total HH]],WWWW[[#This Row],[Total HH]],WWWW[[#This Row],['# Functional hand washing stations during reporting period]]*20)</f>
        <v>39</v>
      </c>
      <c r="DX190" s="758">
        <f>IF(WWWW[[#This Row],[Is sufficient soap available for TLS? (Yes/No)]]="yes",WWWW[[#This Row],['#_Constructed/Existing hand washing stations at TLS/CFS/THF]],0)</f>
        <v>0</v>
      </c>
      <c r="DY190" s="429">
        <f>IF(WWWW[[#This Row],['# Functional hand washing stations during reporting period]]*100&gt;WWWW[[#This Row],[Total PoP ]],WWWW[[#This Row],[Total PoP ]],WWWW[[#This Row],['# Functional hand washing stations during reporting period]]*100)</f>
        <v>239</v>
      </c>
      <c r="DZ190" s="429" t="str">
        <f>IF(OR(WWWW[[#This Row],['#_students at TLS_CFS]]="",WWWW[[#This Row],['#_students at TLS_CFS]]=0),"No","Yes")</f>
        <v>No</v>
      </c>
      <c r="EA190" s="634">
        <f>IF(WWWW[[#This Row],['#_of_affected_people_surveyed_who_report_feeling_informed_about_the_different_WASH_services_available_to_them]]="","",WWWW[[#This Row],['#_of_affected_people_surveyed_who_report_feeling_informed_about_the_different_WASH_services_available_to_them]]/WWWW[[#This Row],[Total PoP ]])</f>
        <v>2.9288702928870293E-2</v>
      </c>
      <c r="EB19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0" s="754" t="str">
        <f>VLOOKUP(WWWW[[#This Row],[Site Name]],SiteDB6[[Site Name]:[CCCM Management]],6,FALSE)</f>
        <v>Yes</v>
      </c>
      <c r="EF190" s="754" t="str">
        <f>VLOOKUP(WWWW[[#This Row],[Site Name]],SiteDB6[[Site Name]:[CCCM Focal Agency]],7,FALSE)</f>
        <v>KBC-BMO</v>
      </c>
      <c r="EG190" s="754" t="str">
        <f>VLOOKUP(WWWW[[#This Row],[Site Name]],SiteDB6[[Site Name]:[Location Type 1]],9,FALSE)</f>
        <v>Camp</v>
      </c>
      <c r="EH190" s="754" t="str">
        <f>VLOOKUP(WWWW[[#This Row],[Site Name]],SiteDB6[[Site Name]:[Type of Accommodation]],10,FALSE)</f>
        <v>Camp</v>
      </c>
      <c r="EI190" s="754" t="str">
        <f>VLOOKUP(WWWW[[#This Row],[Site Name]],SiteDB6[[Site Name]:[Ethnic or GCA/NGCA]],11,FALSE)</f>
        <v>GCA</v>
      </c>
      <c r="EJ190" s="754">
        <f>VLOOKUP(WWWW[[#This Row],[Site Name]],SiteDB6[[Site Name]:[Lat]],12,FALSE)</f>
        <v>24.200972</v>
      </c>
      <c r="EK190" s="754">
        <f>VLOOKUP(WWWW[[#This Row],[Site Name]],SiteDB6[[Site Name]:[Long]],13,FALSE)</f>
        <v>97.718582999999995</v>
      </c>
      <c r="EL190" s="754" t="str">
        <f>VLOOKUP(WWWW[[#This Row],[Site Name]],SiteDB6[[Site Name]:[Pcode]],3,FALSE)</f>
        <v>MMR001CMP071</v>
      </c>
      <c r="EM190" s="759" t="str">
        <f t="shared" si="2"/>
        <v>Covered</v>
      </c>
      <c r="EN190" s="759"/>
      <c r="EO190" s="754">
        <f>VLOOKUP(WWWW[[#This Row],[Site Name]],SiteDB6[[Site Name]:[Pop
(Kachin/Shan-CCCM as of July 2021)]],16,FALSE)</f>
        <v>40</v>
      </c>
      <c r="EP190" s="754">
        <f>VLOOKUP(WWWW[[#This Row],[Site Name]],SiteDB6[[Site Name]:[Pop
(Kachin/Shan-CCCM as of July 2021)]],17,FALSE)</f>
        <v>247</v>
      </c>
    </row>
    <row r="191" spans="1:146" hidden="1">
      <c r="A191" s="941" t="s">
        <v>2785</v>
      </c>
      <c r="B191" s="941" t="s">
        <v>276</v>
      </c>
      <c r="C191" s="942" t="s">
        <v>276</v>
      </c>
      <c r="D191" s="943" t="s">
        <v>292</v>
      </c>
      <c r="E191" s="942" t="s">
        <v>37</v>
      </c>
      <c r="F191" s="942" t="s">
        <v>205</v>
      </c>
      <c r="G191" s="944" t="str">
        <f>VLOOKUP(WWWW[[#This Row],[Site Name]],SiteDB6[[Site Name]:[Location Type]],8,FALSE)</f>
        <v>Camp</v>
      </c>
      <c r="H191" s="942" t="s">
        <v>282</v>
      </c>
      <c r="I191" s="449">
        <v>68</v>
      </c>
      <c r="J191" s="449">
        <v>426</v>
      </c>
      <c r="K191" s="591">
        <v>44652</v>
      </c>
      <c r="L191" s="592">
        <v>44895</v>
      </c>
      <c r="M191" s="755"/>
      <c r="N191" s="755"/>
      <c r="O191" s="755"/>
      <c r="P191" s="755"/>
      <c r="Q191" s="758" t="s">
        <v>41</v>
      </c>
      <c r="R191" s="755">
        <v>5</v>
      </c>
      <c r="S191" s="755">
        <v>6</v>
      </c>
      <c r="T191" s="449"/>
      <c r="U191" s="755"/>
      <c r="V191" s="755"/>
      <c r="W191" s="755">
        <v>1</v>
      </c>
      <c r="X191" s="755"/>
      <c r="Y191" s="755"/>
      <c r="Z191" s="755"/>
      <c r="AA191" s="755">
        <v>1</v>
      </c>
      <c r="AB191" s="755"/>
      <c r="AC191" s="755"/>
      <c r="AD191" s="755"/>
      <c r="AE191" s="755"/>
      <c r="AF191" s="755"/>
      <c r="AG191" s="755"/>
      <c r="AH191" s="755"/>
      <c r="AI191" s="769"/>
      <c r="AJ191" s="769"/>
      <c r="AK191" s="769"/>
      <c r="AL191" s="769"/>
      <c r="AM191" s="755"/>
      <c r="AN191" s="755"/>
      <c r="AO191" s="755"/>
      <c r="AP191" s="759"/>
      <c r="AQ191" s="755">
        <v>6</v>
      </c>
      <c r="AR191" s="755"/>
      <c r="AS191" s="760"/>
      <c r="AT191" s="755"/>
      <c r="AU191" s="769"/>
      <c r="AV191" s="769"/>
      <c r="AW191" s="769"/>
      <c r="AX191" s="755"/>
      <c r="AY191" s="754" t="s">
        <v>41</v>
      </c>
      <c r="AZ191" s="759" t="s">
        <v>137</v>
      </c>
      <c r="BA191" s="755"/>
      <c r="BB191" s="755"/>
      <c r="BC191" s="755"/>
      <c r="BD191" s="449"/>
      <c r="BE191" s="449">
        <v>6</v>
      </c>
      <c r="BF191" s="754"/>
      <c r="BG191" s="755"/>
      <c r="BH191" s="755"/>
      <c r="BI191" s="755"/>
      <c r="BJ191" s="755">
        <v>1</v>
      </c>
      <c r="BK191" s="755"/>
      <c r="BL191" s="755"/>
      <c r="BM191" s="755">
        <v>1</v>
      </c>
      <c r="BN191" s="769"/>
      <c r="BO191" s="755"/>
      <c r="BP191" s="754"/>
      <c r="BQ191" s="771"/>
      <c r="BR191" s="760"/>
      <c r="BS191" s="754"/>
      <c r="BT191" s="940">
        <v>1</v>
      </c>
      <c r="BU191" s="940">
        <v>1</v>
      </c>
      <c r="BV191" s="593">
        <v>10</v>
      </c>
      <c r="BW191" s="940"/>
      <c r="BX191" s="449"/>
      <c r="BY191" s="449"/>
      <c r="BZ191" s="449"/>
      <c r="CA191" s="449"/>
      <c r="CB191" s="449"/>
      <c r="CC191" s="807"/>
      <c r="CD191" s="449"/>
      <c r="CE191" s="762" t="str">
        <f>IFERROR(WWWW[[#This Row],['#_Water sources passed]]/WWWW[[#This Row],['#_Water sources tested for fecal coliform ]],"no test")</f>
        <v>no test</v>
      </c>
      <c r="CF191" s="760" t="str">
        <f>IFERROR(WWWW[[#This Row],['#_Household passed]]/WWWW[[#This Row],['#_Household water samples tested for fecal coliform]],"no test")</f>
        <v>no test</v>
      </c>
      <c r="CG191" s="761" t="str">
        <f>IF(AND(WWWW[[#This Row],[% of water sources passed]]="no test",WWWW[[#This Row],[% Household passed]]="no test"),"No Test","Tested")</f>
        <v>No Test</v>
      </c>
      <c r="CH191" s="761">
        <f>WWWW[[#This Row],['#_Constructed/existing protected hand dug well]]-WWWW[[#This Row],['#_Non-functional protected hand dug well]]</f>
        <v>0</v>
      </c>
      <c r="CI191" s="761">
        <f>(WWWW[[#This Row],['#_Constructed/Existing tube wells/boreholes/handpumps_WASH_agency]]+WWWW[[#This Row],['#_Non-Cluster partner water tube-wells/boreholes/handpumps]])-WWWW[[#This Row],['#_Non-functional tube wells/boreholes/handpumps]]</f>
        <v>1</v>
      </c>
      <c r="CJ191" s="761">
        <f>WWWW[[#This Row],['#_Constructed/Existingwater storage tank with gravity fed reticulation system]]-WWWW[[#This Row],['#_Non-functional storage tank gravity fed reticulation system]]</f>
        <v>1</v>
      </c>
      <c r="CK191" s="761">
        <f>(WWWW[[#This Row],['#_Water_Liters_supplied_by_Water boating or water trucking]]/90)/15</f>
        <v>0</v>
      </c>
      <c r="CL191" s="761">
        <f>WWWW[[#This Row],['#_Water_Liters_from_Constructed/Existing water distribution system from river or natural spring]]/90/15</f>
        <v>0</v>
      </c>
      <c r="CM191" s="425">
        <f>IF(WWWW[[#This Row],['#_of water points in TLS/CFS]]*500&gt;WWWW[[#This Row],[Total PoP ]],WWWW[[#This Row],[Total PoP ]],WWWW[[#This Row],['#_of water points in TLS/CFS]]*500)</f>
        <v>0</v>
      </c>
      <c r="CN191" s="425">
        <f>IF(WWWW[[#This Row],['#_of water points in THF]]*500&gt;WWWW[[#This Row],[Total PoP ]],WWWW[[#This Row],[Total PoP ]],WWWW[[#This Row],['#_of water points in THF]]*500)</f>
        <v>0</v>
      </c>
      <c r="CO19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Q191" s="760">
        <f>IF(WWWW[[#This Row],[Location Type 1]]="Village",WWWW[[#This Row],[Access to safe drinking water for Village]],WWWW[[#This Row],[Access to safe drinking water for Camp]])</f>
        <v>1</v>
      </c>
      <c r="CR191" s="758">
        <f>WWWW[[#This Row],[%Equitable and continuous access to sufficient quantity of safe drinking water]]*WWWW[[#This Row],[Total PoP ]]</f>
        <v>426</v>
      </c>
      <c r="CS191" s="760">
        <f>IF((WWWW[[#This Row],['#_Constructed/Existing protected/fenced ponds]]*250)/WWWW[[#This Row],[Total PoP ]]&gt;1,1,(WWWW[[#This Row],['#_Constructed/Existing protected/fenced ponds]]*250)/WWWW[[#This Row],[Total PoP ]])</f>
        <v>0</v>
      </c>
      <c r="CT191" s="758">
        <f>WWWW[[#This Row],[% Access to unimproved water points]]*WWWW[[#This Row],[Total PoP ]]</f>
        <v>0</v>
      </c>
      <c r="CU19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191" s="758">
        <f>WWWW[[#This Row],[HRP1]]/500</f>
        <v>0.85199999999999998</v>
      </c>
      <c r="CX191" s="763">
        <f>1-WWWW[[#This Row],[% Equitable and continuous access to sufficient quantity of domestic water]]</f>
        <v>0</v>
      </c>
      <c r="CY191" s="758">
        <f>WWWW[[#This Row],[%equitable and continuous access to sufficient quantity of safe drinking and domestic water''s GAP]]*WWWW[[#This Row],[Total PoP ]]</f>
        <v>0</v>
      </c>
      <c r="CZ191" s="761">
        <f>IF(WWWW[[#This Row],[Total required water points]]-WWWW[[#This Row],['#Water points coverage]]&lt;0,0,WWWW[[#This Row],[Total required water points]]-WWWW[[#This Row],['#Water points coverage]])</f>
        <v>0.14800000000000002</v>
      </c>
      <c r="DA191" s="761">
        <f>ROUND(IF(WWWW[[#This Row],[Total PoP ]]&lt;500,1,WWWW[[#This Row],[Total PoP ]]/500),0)</f>
        <v>1</v>
      </c>
      <c r="DB191" s="761">
        <f>(WWWW[[#This Row],['#_Constructed latrines_by_WASHAgencies]]+WWWW[[#This Row],['#_Non Cluster partner latrines]])-WWWW[[#This Row],['#_Non-functional latrines]]</f>
        <v>6</v>
      </c>
      <c r="DC191" s="634">
        <f>WWWW[[#This Row],[HRP2]]/WWWW[[#This Row],[Total PoP ]]</f>
        <v>0.29577464788732394</v>
      </c>
      <c r="DD19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19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1" s="425">
        <f>IF(WWWW[[#This Row],['# of functional latrines in THF supported by WASH partners during the reporting period2]]="",0,WWWW[[#This Row],['# of functional latrines in THF supported by WASH partners during the reporting period2]]*50)</f>
        <v>0</v>
      </c>
      <c r="DH191" s="761">
        <f>ROUND(IF(WWWW[[#This Row],[Location Type 1]]="camp",WWWW[[#This Row],[Total PoP ]]/20,IF(WWWW[[#This Row],[Location Type 1]]="Temporary Location",WWWW[[#This Row],[Total PoP ]]/50,(WWWW[[#This Row],[Total PoP ]]/6))),0)</f>
        <v>21</v>
      </c>
      <c r="DI191" s="761">
        <f>IF(WWWW[[#This Row],[Total required Latrines]]-(WWWW[[#This Row],['#_Constructed latrines_by_WASHAgencies]]+WWWW[[#This Row],['#_Non Cluster partner latrines]])&lt;0,0,WWWW[[#This Row],[Total required Latrines]]-(WWWW[[#This Row],['#_Constructed latrines_by_WASHAgencies]]+WWWW[[#This Row],['#_Non Cluster partner latrines]]))</f>
        <v>15</v>
      </c>
      <c r="DJ191" s="763">
        <f>1-WWWW[[#This Row],[% people access to functioning Latrine]]</f>
        <v>0.70422535211267601</v>
      </c>
      <c r="DK191" s="762">
        <f>IF(OR(WWWW[[#This Row],['#_Non-functional latrines]]="",WWWW[[#This Row],['#_Non-functional latrines]]=0),0,WWWW[[#This Row],['#_Non-functional latrines]]/(WWWW[[#This Row],['#_Constructed latrines_by_WASHAgencies]]+WWWW[[#This Row],['#_Non Cluster partner latrines]]))</f>
        <v>0</v>
      </c>
      <c r="DL191" s="758">
        <f>IF(500*(WWWW[[#This Row],['#_male hygiene promoters]]+WWWW[[#This Row],['#_female hygiene promoters]])&gt;WWWW[[#This Row],[Total PoP ]],WWWW[[#This Row],[Total PoP ]],500*(WWWW[[#This Row],['#_male hygiene promoters]]+WWWW[[#This Row],['#_female hygiene promoters]]))</f>
        <v>426</v>
      </c>
      <c r="DM19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1" s="761">
        <f>IF(WWWW[[#This Row],['# People with access to soap]]&gt;WWWW[[#This Row],['# People with access to Sanity Pads]],WWWW[[#This Row],['# People with access to soap]],WWWW[[#This Row],['# People with access to Sanity Pads]])</f>
        <v>0</v>
      </c>
      <c r="DP191" s="761">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191" s="763">
        <f>IF(WWWW[[#This Row],[HRP3]]/WWWW[[#This Row],[Total PoP ]]&gt;1,1,WWWW[[#This Row],[HRP3]]/WWWW[[#This Row],[Total PoP ]])</f>
        <v>1</v>
      </c>
      <c r="DR191" s="762">
        <f>1-WWWW[[#This Row],[Hygiene Coverage%]]</f>
        <v>0</v>
      </c>
      <c r="DS191" s="760">
        <f>WWWW[[#This Row],['# people reached by regular dedicated hygiene promotion_5]]/WWWW[[#This Row],[Total PoP ]]</f>
        <v>1</v>
      </c>
      <c r="DT19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1" s="761">
        <f>WWWW[[#This Row],['#_Constructed/Existing hand washing stations]]-WWWW[[#This Row],['#_Non-Functional_hand_washing_stations]]</f>
        <v>0</v>
      </c>
      <c r="DW191" s="758">
        <f>IF(WWWW[[#This Row],['# Functional hand washing stations during reporting period]]*20&gt;WWWW[[#This Row],[Total HH]],WWWW[[#This Row],[Total HH]],WWWW[[#This Row],['# Functional hand washing stations during reporting period]]*20)</f>
        <v>0</v>
      </c>
      <c r="DX191" s="758">
        <f>IF(WWWW[[#This Row],[Is sufficient soap available for TLS? (Yes/No)]]="yes",WWWW[[#This Row],['#_Constructed/Existing hand washing stations at TLS/CFS/THF]],0)</f>
        <v>0</v>
      </c>
      <c r="DY191" s="429">
        <f>IF(WWWW[[#This Row],['# Functional hand washing stations during reporting period]]*100&gt;WWWW[[#This Row],[Total PoP ]],WWWW[[#This Row],[Total PoP ]],WWWW[[#This Row],['# Functional hand washing stations during reporting period]]*100)</f>
        <v>0</v>
      </c>
      <c r="DZ191" s="429" t="str">
        <f>IF(OR(WWWW[[#This Row],['#_students at TLS_CFS]]="",WWWW[[#This Row],['#_students at TLS_CFS]]=0),"No","Yes")</f>
        <v>No</v>
      </c>
      <c r="EA191" s="634">
        <f>IF(WWWW[[#This Row],['#_of_affected_people_surveyed_who_report_feeling_informed_about_the_different_WASH_services_available_to_them]]="","",WWWW[[#This Row],['#_of_affected_people_surveyed_who_report_feeling_informed_about_the_different_WASH_services_available_to_them]]/WWWW[[#This Row],[Total PoP ]])</f>
        <v>2.3474178403755867E-2</v>
      </c>
      <c r="EB19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1" s="754" t="str">
        <f>VLOOKUP(WWWW[[#This Row],[Site Name]],SiteDB6[[Site Name]:[CCCM Management]],6,FALSE)</f>
        <v>Yes</v>
      </c>
      <c r="EF191" s="754" t="str">
        <f>VLOOKUP(WWWW[[#This Row],[Site Name]],SiteDB6[[Site Name]:[CCCM Focal Agency]],7,FALSE)</f>
        <v>KMSS-BMO</v>
      </c>
      <c r="EG191" s="754" t="str">
        <f>VLOOKUP(WWWW[[#This Row],[Site Name]],SiteDB6[[Site Name]:[Location Type 1]],9,FALSE)</f>
        <v>Camp</v>
      </c>
      <c r="EH191" s="754" t="str">
        <f>VLOOKUP(WWWW[[#This Row],[Site Name]],SiteDB6[[Site Name]:[Type of Accommodation]],10,FALSE)</f>
        <v>Camp</v>
      </c>
      <c r="EI191" s="754" t="str">
        <f>VLOOKUP(WWWW[[#This Row],[Site Name]],SiteDB6[[Site Name]:[Ethnic or GCA/NGCA]],11,FALSE)</f>
        <v>GCA</v>
      </c>
      <c r="EJ191" s="754">
        <f>VLOOKUP(WWWW[[#This Row],[Site Name]],SiteDB6[[Site Name]:[Lat]],12,FALSE)</f>
        <v>24.205417000000001</v>
      </c>
      <c r="EK191" s="754">
        <f>VLOOKUP(WWWW[[#This Row],[Site Name]],SiteDB6[[Site Name]:[Long]],13,FALSE)</f>
        <v>97.724566999999993</v>
      </c>
      <c r="EL191" s="754" t="str">
        <f>VLOOKUP(WWWW[[#This Row],[Site Name]],SiteDB6[[Site Name]:[Pcode]],3,FALSE)</f>
        <v>MMR001CMP069</v>
      </c>
      <c r="EM191" s="759" t="str">
        <f t="shared" si="2"/>
        <v>Covered</v>
      </c>
      <c r="EN191" s="759"/>
      <c r="EO191" s="754">
        <f>VLOOKUP(WWWW[[#This Row],[Site Name]],SiteDB6[[Site Name]:[Pop
(Kachin/Shan-CCCM as of July 2021)]],16,FALSE)</f>
        <v>79</v>
      </c>
      <c r="EP191" s="754">
        <f>VLOOKUP(WWWW[[#This Row],[Site Name]],SiteDB6[[Site Name]:[Pop
(Kachin/Shan-CCCM as of July 2021)]],17,FALSE)</f>
        <v>448</v>
      </c>
    </row>
    <row r="192" spans="1:146" hidden="1">
      <c r="A192" s="941" t="s">
        <v>2785</v>
      </c>
      <c r="B192" s="941" t="s">
        <v>276</v>
      </c>
      <c r="C192" s="942" t="s">
        <v>276</v>
      </c>
      <c r="D192" s="943" t="s">
        <v>292</v>
      </c>
      <c r="E192" s="942" t="s">
        <v>37</v>
      </c>
      <c r="F192" s="942" t="s">
        <v>205</v>
      </c>
      <c r="G192" s="944" t="str">
        <f>VLOOKUP(WWWW[[#This Row],[Site Name]],SiteDB6[[Site Name]:[Location Type]],8,FALSE)</f>
        <v>Camp</v>
      </c>
      <c r="H192" s="942" t="s">
        <v>283</v>
      </c>
      <c r="I192" s="939">
        <v>232</v>
      </c>
      <c r="J192" s="939">
        <v>1322</v>
      </c>
      <c r="K192" s="591">
        <v>44652</v>
      </c>
      <c r="L192" s="592">
        <v>44895</v>
      </c>
      <c r="M192" s="755"/>
      <c r="N192" s="755"/>
      <c r="O192" s="755"/>
      <c r="P192" s="755"/>
      <c r="Q192" s="758" t="s">
        <v>41</v>
      </c>
      <c r="R192" s="755">
        <v>11</v>
      </c>
      <c r="S192" s="755">
        <v>13</v>
      </c>
      <c r="T192" s="449">
        <v>5</v>
      </c>
      <c r="U192" s="755"/>
      <c r="V192" s="755"/>
      <c r="W192" s="755">
        <v>5</v>
      </c>
      <c r="X192" s="755"/>
      <c r="Y192" s="755"/>
      <c r="Z192" s="755"/>
      <c r="AA192" s="755">
        <v>4</v>
      </c>
      <c r="AB192" s="755"/>
      <c r="AC192" s="755"/>
      <c r="AD192" s="755"/>
      <c r="AE192" s="755"/>
      <c r="AF192" s="755"/>
      <c r="AG192" s="755"/>
      <c r="AH192" s="755"/>
      <c r="AI192" s="769"/>
      <c r="AJ192" s="769"/>
      <c r="AK192" s="769"/>
      <c r="AL192" s="769"/>
      <c r="AM192" s="755">
        <v>15</v>
      </c>
      <c r="AN192" s="755"/>
      <c r="AO192" s="755"/>
      <c r="AP192" s="759"/>
      <c r="AQ192" s="755">
        <v>47</v>
      </c>
      <c r="AR192" s="755"/>
      <c r="AS192" s="760"/>
      <c r="AT192" s="755"/>
      <c r="AU192" s="769"/>
      <c r="AV192" s="769"/>
      <c r="AW192" s="769"/>
      <c r="AX192" s="755"/>
      <c r="AY192" s="754" t="s">
        <v>41</v>
      </c>
      <c r="AZ192" s="759" t="s">
        <v>137</v>
      </c>
      <c r="BA192" s="755"/>
      <c r="BB192" s="755"/>
      <c r="BC192" s="755"/>
      <c r="BD192" s="449"/>
      <c r="BE192" s="449">
        <v>3</v>
      </c>
      <c r="BF192" s="754"/>
      <c r="BG192" s="755">
        <v>15</v>
      </c>
      <c r="BH192" s="755"/>
      <c r="BI192" s="755"/>
      <c r="BJ192" s="755">
        <v>6</v>
      </c>
      <c r="BK192" s="755"/>
      <c r="BL192" s="755"/>
      <c r="BM192" s="755">
        <v>4</v>
      </c>
      <c r="BN192" s="769"/>
      <c r="BO192" s="755"/>
      <c r="BP192" s="754"/>
      <c r="BQ192" s="771"/>
      <c r="BR192" s="760"/>
      <c r="BS192" s="754"/>
      <c r="BT192" s="940">
        <v>1</v>
      </c>
      <c r="BU192" s="940">
        <v>1</v>
      </c>
      <c r="BV192" s="593">
        <v>41</v>
      </c>
      <c r="BW192" s="940">
        <v>1</v>
      </c>
      <c r="BX192" s="449"/>
      <c r="BY192" s="449"/>
      <c r="BZ192" s="449"/>
      <c r="CA192" s="449"/>
      <c r="CB192" s="449"/>
      <c r="CC192" s="807"/>
      <c r="CD192" s="449"/>
      <c r="CE192" s="762" t="str">
        <f>IFERROR(WWWW[[#This Row],['#_Water sources passed]]/WWWW[[#This Row],['#_Water sources tested for fecal coliform ]],"no test")</f>
        <v>no test</v>
      </c>
      <c r="CF192" s="760" t="str">
        <f>IFERROR(WWWW[[#This Row],['#_Household passed]]/WWWW[[#This Row],['#_Household water samples tested for fecal coliform]],"no test")</f>
        <v>no test</v>
      </c>
      <c r="CG192" s="761" t="str">
        <f>IF(AND(WWWW[[#This Row],[% of water sources passed]]="no test",WWWW[[#This Row],[% Household passed]]="no test"),"No Test","Tested")</f>
        <v>No Test</v>
      </c>
      <c r="CH192" s="761">
        <f>WWWW[[#This Row],['#_Constructed/existing protected hand dug well]]-WWWW[[#This Row],['#_Non-functional protected hand dug well]]</f>
        <v>5</v>
      </c>
      <c r="CI192" s="761">
        <f>(WWWW[[#This Row],['#_Constructed/Existing tube wells/boreholes/handpumps_WASH_agency]]+WWWW[[#This Row],['#_Non-Cluster partner water tube-wells/boreholes/handpumps]])-WWWW[[#This Row],['#_Non-functional tube wells/boreholes/handpumps]]</f>
        <v>5</v>
      </c>
      <c r="CJ192" s="761">
        <f>WWWW[[#This Row],['#_Constructed/Existingwater storage tank with gravity fed reticulation system]]-WWWW[[#This Row],['#_Non-functional storage tank gravity fed reticulation system]]</f>
        <v>4</v>
      </c>
      <c r="CK192" s="761">
        <f>(WWWW[[#This Row],['#_Water_Liters_supplied_by_Water boating or water trucking]]/90)/15</f>
        <v>0</v>
      </c>
      <c r="CL192" s="761">
        <f>WWWW[[#This Row],['#_Water_Liters_from_Constructed/Existing water distribution system from river or natural spring]]/90/15</f>
        <v>0</v>
      </c>
      <c r="CM192" s="425">
        <f>IF(WWWW[[#This Row],['#_of water points in TLS/CFS]]*500&gt;WWWW[[#This Row],[Total PoP ]],WWWW[[#This Row],[Total PoP ]],WWWW[[#This Row],['#_of water points in TLS/CFS]]*500)</f>
        <v>0</v>
      </c>
      <c r="CN192" s="425">
        <f>IF(WWWW[[#This Row],['#_of water points in THF]]*500&gt;WWWW[[#This Row],[Total PoP ]],WWWW[[#This Row],[Total PoP ]],WWWW[[#This Row],['#_of water points in THF]]*500)</f>
        <v>0</v>
      </c>
      <c r="CO19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2" s="760">
        <f>IF(WWWW[[#This Row],[Location Type 1]]="Village",WWWW[[#This Row],[Access to safe drinking water for Village]],WWWW[[#This Row],[Access to safe drinking water for Camp]])</f>
        <v>1</v>
      </c>
      <c r="CR192" s="758">
        <f>WWWW[[#This Row],[%Equitable and continuous access to sufficient quantity of safe drinking water]]*WWWW[[#This Row],[Total PoP ]]</f>
        <v>1322</v>
      </c>
      <c r="CS192" s="760">
        <f>IF((WWWW[[#This Row],['#_Constructed/Existing protected/fenced ponds]]*250)/WWWW[[#This Row],[Total PoP ]]&gt;1,1,(WWWW[[#This Row],['#_Constructed/Existing protected/fenced ponds]]*250)/WWWW[[#This Row],[Total PoP ]])</f>
        <v>0</v>
      </c>
      <c r="CT192" s="758">
        <f>WWWW[[#This Row],[% Access to unimproved water points]]*WWWW[[#This Row],[Total PoP ]]</f>
        <v>0</v>
      </c>
      <c r="CU19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192" s="758">
        <f>WWWW[[#This Row],[HRP1]]/500</f>
        <v>2.6440000000000001</v>
      </c>
      <c r="CX192" s="763">
        <f>1-WWWW[[#This Row],[% Equitable and continuous access to sufficient quantity of domestic water]]</f>
        <v>0</v>
      </c>
      <c r="CY192" s="758">
        <f>WWWW[[#This Row],[%equitable and continuous access to sufficient quantity of safe drinking and domestic water''s GAP]]*WWWW[[#This Row],[Total PoP ]]</f>
        <v>0</v>
      </c>
      <c r="CZ192" s="761">
        <f>IF(WWWW[[#This Row],[Total required water points]]-WWWW[[#This Row],['#Water points coverage]]&lt;0,0,WWWW[[#This Row],[Total required water points]]-WWWW[[#This Row],['#Water points coverage]])</f>
        <v>0.35599999999999987</v>
      </c>
      <c r="DA192" s="761">
        <f>ROUND(IF(WWWW[[#This Row],[Total PoP ]]&lt;500,1,WWWW[[#This Row],[Total PoP ]]/500),0)</f>
        <v>3</v>
      </c>
      <c r="DB192" s="761">
        <f>(WWWW[[#This Row],['#_Constructed latrines_by_WASHAgencies]]+WWWW[[#This Row],['#_Non Cluster partner latrines]])-WWWW[[#This Row],['#_Non-functional latrines]]</f>
        <v>47</v>
      </c>
      <c r="DC192" s="634">
        <f>WWWW[[#This Row],[HRP2]]/WWWW[[#This Row],[Total PoP ]]</f>
        <v>0.71331316187594551</v>
      </c>
      <c r="DD19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943</v>
      </c>
      <c r="DE19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2" s="425">
        <f>IF(WWWW[[#This Row],['# of functional latrines in THF supported by WASH partners during the reporting period2]]="",0,WWWW[[#This Row],['# of functional latrines in THF supported by WASH partners during the reporting period2]]*50)</f>
        <v>0</v>
      </c>
      <c r="DH192" s="761">
        <f>ROUND(IF(WWWW[[#This Row],[Location Type 1]]="camp",WWWW[[#This Row],[Total PoP ]]/20,IF(WWWW[[#This Row],[Location Type 1]]="Temporary Location",WWWW[[#This Row],[Total PoP ]]/50,(WWWW[[#This Row],[Total PoP ]]/6))),0)</f>
        <v>66</v>
      </c>
      <c r="DI192" s="761">
        <f>IF(WWWW[[#This Row],[Total required Latrines]]-(WWWW[[#This Row],['#_Constructed latrines_by_WASHAgencies]]+WWWW[[#This Row],['#_Non Cluster partner latrines]])&lt;0,0,WWWW[[#This Row],[Total required Latrines]]-(WWWW[[#This Row],['#_Constructed latrines_by_WASHAgencies]]+WWWW[[#This Row],['#_Non Cluster partner latrines]]))</f>
        <v>19</v>
      </c>
      <c r="DJ192" s="763">
        <f>1-WWWW[[#This Row],[% people access to functioning Latrine]]</f>
        <v>0.28668683812405449</v>
      </c>
      <c r="DK192" s="762">
        <f>IF(OR(WWWW[[#This Row],['#_Non-functional latrines]]="",WWWW[[#This Row],['#_Non-functional latrines]]=0),0,WWWW[[#This Row],['#_Non-functional latrines]]/(WWWW[[#This Row],['#_Constructed latrines_by_WASHAgencies]]+WWWW[[#This Row],['#_Non Cluster partner latrines]]))</f>
        <v>0</v>
      </c>
      <c r="DL192" s="758">
        <f>IF(500*(WWWW[[#This Row],['#_male hygiene promoters]]+WWWW[[#This Row],['#_female hygiene promoters]])&gt;WWWW[[#This Row],[Total PoP ]],WWWW[[#This Row],[Total PoP ]],500*(WWWW[[#This Row],['#_male hygiene promoters]]+WWWW[[#This Row],['#_female hygiene promoters]]))</f>
        <v>1322</v>
      </c>
      <c r="DM19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2" s="761">
        <f>IF(WWWW[[#This Row],['# People with access to soap]]&gt;WWWW[[#This Row],['# People with access to Sanity Pads]],WWWW[[#This Row],['# People with access to soap]],WWWW[[#This Row],['# People with access to Sanity Pads]])</f>
        <v>0</v>
      </c>
      <c r="DP192" s="761">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192" s="763">
        <f>IF(WWWW[[#This Row],[HRP3]]/WWWW[[#This Row],[Total PoP ]]&gt;1,1,WWWW[[#This Row],[HRP3]]/WWWW[[#This Row],[Total PoP ]])</f>
        <v>1</v>
      </c>
      <c r="DR192" s="762">
        <f>1-WWWW[[#This Row],[Hygiene Coverage%]]</f>
        <v>0</v>
      </c>
      <c r="DS192" s="760">
        <f>WWWW[[#This Row],['# people reached by regular dedicated hygiene promotion_5]]/WWWW[[#This Row],[Total PoP ]]</f>
        <v>1</v>
      </c>
      <c r="DT19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2" s="761">
        <f>WWWW[[#This Row],['#_Constructed/Existing hand washing stations]]-WWWW[[#This Row],['#_Non-Functional_hand_washing_stations]]</f>
        <v>15</v>
      </c>
      <c r="DW192" s="758">
        <f>IF(WWWW[[#This Row],['# Functional hand washing stations during reporting period]]*20&gt;WWWW[[#This Row],[Total HH]],WWWW[[#This Row],[Total HH]],WWWW[[#This Row],['# Functional hand washing stations during reporting period]]*20)</f>
        <v>232</v>
      </c>
      <c r="DX192" s="758">
        <f>IF(WWWW[[#This Row],[Is sufficient soap available for TLS? (Yes/No)]]="yes",WWWW[[#This Row],['#_Constructed/Existing hand washing stations at TLS/CFS/THF]],0)</f>
        <v>0</v>
      </c>
      <c r="DY192" s="429">
        <f>IF(WWWW[[#This Row],['# Functional hand washing stations during reporting period]]*100&gt;WWWW[[#This Row],[Total PoP ]],WWWW[[#This Row],[Total PoP ]],WWWW[[#This Row],['# Functional hand washing stations during reporting period]]*100)</f>
        <v>1322</v>
      </c>
      <c r="DZ192" s="429" t="str">
        <f>IF(OR(WWWW[[#This Row],['#_students at TLS_CFS]]="",WWWW[[#This Row],['#_students at TLS_CFS]]=0),"No","Yes")</f>
        <v>No</v>
      </c>
      <c r="EA192" s="634">
        <f>IF(WWWW[[#This Row],['#_of_affected_people_surveyed_who_report_feeling_informed_about_the_different_WASH_services_available_to_them]]="","",WWWW[[#This Row],['#_of_affected_people_surveyed_who_report_feeling_informed_about_the_different_WASH_services_available_to_them]]/WWWW[[#This Row],[Total PoP ]])</f>
        <v>3.1013615733736764E-2</v>
      </c>
      <c r="EB19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2" s="754" t="str">
        <f>VLOOKUP(WWWW[[#This Row],[Site Name]],SiteDB6[[Site Name]:[CCCM Management]],6,FALSE)</f>
        <v>Yes</v>
      </c>
      <c r="EF192" s="754" t="str">
        <f>VLOOKUP(WWWW[[#This Row],[Site Name]],SiteDB6[[Site Name]:[CCCM Focal Agency]],7,FALSE)</f>
        <v>KBC-BMO</v>
      </c>
      <c r="EG192" s="754" t="str">
        <f>VLOOKUP(WWWW[[#This Row],[Site Name]],SiteDB6[[Site Name]:[Location Type 1]],9,FALSE)</f>
        <v>Camp</v>
      </c>
      <c r="EH192" s="754" t="str">
        <f>VLOOKUP(WWWW[[#This Row],[Site Name]],SiteDB6[[Site Name]:[Type of Accommodation]],10,FALSE)</f>
        <v>Camp</v>
      </c>
      <c r="EI192" s="754" t="str">
        <f>VLOOKUP(WWWW[[#This Row],[Site Name]],SiteDB6[[Site Name]:[Ethnic or GCA/NGCA]],11,FALSE)</f>
        <v>GCA</v>
      </c>
      <c r="EJ192" s="754">
        <f>VLOOKUP(WWWW[[#This Row],[Site Name]],SiteDB6[[Site Name]:[Lat]],12,FALSE)</f>
        <v>24.200433</v>
      </c>
      <c r="EK192" s="754">
        <f>VLOOKUP(WWWW[[#This Row],[Site Name]],SiteDB6[[Site Name]:[Long]],13,FALSE)</f>
        <v>97.717133000000004</v>
      </c>
      <c r="EL192" s="754" t="str">
        <f>VLOOKUP(WWWW[[#This Row],[Site Name]],SiteDB6[[Site Name]:[Pcode]],3,FALSE)</f>
        <v>MMR001CMP070</v>
      </c>
      <c r="EM192" s="759" t="str">
        <f t="shared" si="2"/>
        <v>Covered</v>
      </c>
      <c r="EN192" s="759"/>
      <c r="EO192" s="754">
        <f>VLOOKUP(WWWW[[#This Row],[Site Name]],SiteDB6[[Site Name]:[Pop
(Kachin/Shan-CCCM as of July 2021)]],16,FALSE)</f>
        <v>240</v>
      </c>
      <c r="EP192" s="754">
        <f>VLOOKUP(WWWW[[#This Row],[Site Name]],SiteDB6[[Site Name]:[Pop
(Kachin/Shan-CCCM as of July 2021)]],17,FALSE)</f>
        <v>1395</v>
      </c>
    </row>
    <row r="193" spans="1:146" hidden="1">
      <c r="A193" s="941" t="s">
        <v>2785</v>
      </c>
      <c r="B193" s="941" t="s">
        <v>276</v>
      </c>
      <c r="C193" s="942" t="s">
        <v>276</v>
      </c>
      <c r="D193" s="943" t="s">
        <v>292</v>
      </c>
      <c r="E193" s="942" t="s">
        <v>37</v>
      </c>
      <c r="F193" s="942" t="s">
        <v>205</v>
      </c>
      <c r="G193" s="944" t="str">
        <f>VLOOKUP(WWWW[[#This Row],[Site Name]],SiteDB6[[Site Name]:[Location Type]],8,FALSE)</f>
        <v>Camp_not registered</v>
      </c>
      <c r="H193" s="942" t="s">
        <v>287</v>
      </c>
      <c r="I193" s="939">
        <v>114</v>
      </c>
      <c r="J193" s="939">
        <v>590</v>
      </c>
      <c r="K193" s="591">
        <v>44652</v>
      </c>
      <c r="L193" s="592">
        <v>44895</v>
      </c>
      <c r="M193" s="755"/>
      <c r="N193" s="755"/>
      <c r="O193" s="755"/>
      <c r="P193" s="755"/>
      <c r="Q193" s="758" t="s">
        <v>41</v>
      </c>
      <c r="R193" s="755">
        <v>6</v>
      </c>
      <c r="S193" s="755">
        <v>10</v>
      </c>
      <c r="T193" s="449">
        <v>1</v>
      </c>
      <c r="U193" s="755"/>
      <c r="V193" s="755"/>
      <c r="W193" s="755">
        <v>1</v>
      </c>
      <c r="X193" s="755"/>
      <c r="Y193" s="755"/>
      <c r="Z193" s="755"/>
      <c r="AA193" s="755"/>
      <c r="AB193" s="755"/>
      <c r="AC193" s="755"/>
      <c r="AD193" s="755"/>
      <c r="AE193" s="755"/>
      <c r="AF193" s="755"/>
      <c r="AG193" s="755"/>
      <c r="AH193" s="755"/>
      <c r="AI193" s="769"/>
      <c r="AJ193" s="769"/>
      <c r="AK193" s="769"/>
      <c r="AL193" s="769"/>
      <c r="AM193" s="755">
        <v>12</v>
      </c>
      <c r="AN193" s="755"/>
      <c r="AO193" s="755"/>
      <c r="AP193" s="759" t="s">
        <v>2441</v>
      </c>
      <c r="AQ193" s="755">
        <v>28</v>
      </c>
      <c r="AR193" s="755"/>
      <c r="AS193" s="760"/>
      <c r="AT193" s="755"/>
      <c r="AU193" s="769"/>
      <c r="AV193" s="769"/>
      <c r="AW193" s="769"/>
      <c r="AX193" s="755"/>
      <c r="AY193" s="754" t="s">
        <v>41</v>
      </c>
      <c r="AZ193" s="759" t="s">
        <v>137</v>
      </c>
      <c r="BA193" s="755"/>
      <c r="BB193" s="755"/>
      <c r="BC193" s="755"/>
      <c r="BD193" s="449"/>
      <c r="BE193" s="449">
        <v>3</v>
      </c>
      <c r="BF193" s="754"/>
      <c r="BG193" s="755">
        <v>12</v>
      </c>
      <c r="BH193" s="755"/>
      <c r="BI193" s="755"/>
      <c r="BJ193" s="755">
        <v>4</v>
      </c>
      <c r="BK193" s="755"/>
      <c r="BL193" s="755"/>
      <c r="BM193" s="755">
        <v>2</v>
      </c>
      <c r="BN193" s="769"/>
      <c r="BO193" s="755"/>
      <c r="BP193" s="754"/>
      <c r="BQ193" s="771"/>
      <c r="BR193" s="760"/>
      <c r="BS193" s="754"/>
      <c r="BT193" s="940">
        <v>1</v>
      </c>
      <c r="BU193" s="940">
        <v>1</v>
      </c>
      <c r="BV193" s="593">
        <v>12</v>
      </c>
      <c r="BW193" s="940"/>
      <c r="BX193" s="449"/>
      <c r="BY193" s="449"/>
      <c r="BZ193" s="449"/>
      <c r="CA193" s="449"/>
      <c r="CB193" s="449"/>
      <c r="CC193" s="807"/>
      <c r="CD193" s="449"/>
      <c r="CE193" s="762" t="str">
        <f>IFERROR(WWWW[[#This Row],['#_Water sources passed]]/WWWW[[#This Row],['#_Water sources tested for fecal coliform ]],"no test")</f>
        <v>no test</v>
      </c>
      <c r="CF193" s="760" t="str">
        <f>IFERROR(WWWW[[#This Row],['#_Household passed]]/WWWW[[#This Row],['#_Household water samples tested for fecal coliform]],"no test")</f>
        <v>no test</v>
      </c>
      <c r="CG193" s="761" t="str">
        <f>IF(AND(WWWW[[#This Row],[% of water sources passed]]="no test",WWWW[[#This Row],[% Household passed]]="no test"),"No Test","Tested")</f>
        <v>No Test</v>
      </c>
      <c r="CH193" s="761">
        <f>WWWW[[#This Row],['#_Constructed/existing protected hand dug well]]-WWWW[[#This Row],['#_Non-functional protected hand dug well]]</f>
        <v>1</v>
      </c>
      <c r="CI193" s="761">
        <f>(WWWW[[#This Row],['#_Constructed/Existing tube wells/boreholes/handpumps_WASH_agency]]+WWWW[[#This Row],['#_Non-Cluster partner water tube-wells/boreholes/handpumps]])-WWWW[[#This Row],['#_Non-functional tube wells/boreholes/handpumps]]</f>
        <v>1</v>
      </c>
      <c r="CJ193" s="761">
        <f>WWWW[[#This Row],['#_Constructed/Existingwater storage tank with gravity fed reticulation system]]-WWWW[[#This Row],['#_Non-functional storage tank gravity fed reticulation system]]</f>
        <v>0</v>
      </c>
      <c r="CK193" s="761">
        <f>(WWWW[[#This Row],['#_Water_Liters_supplied_by_Water boating or water trucking]]/90)/15</f>
        <v>0</v>
      </c>
      <c r="CL193" s="761">
        <f>WWWW[[#This Row],['#_Water_Liters_from_Constructed/Existing water distribution system from river or natural spring]]/90/15</f>
        <v>0</v>
      </c>
      <c r="CM193" s="425">
        <f>IF(WWWW[[#This Row],['#_of water points in TLS/CFS]]*500&gt;WWWW[[#This Row],[Total PoP ]],WWWW[[#This Row],[Total PoP ]],WWWW[[#This Row],['#_of water points in TLS/CFS]]*500)</f>
        <v>0</v>
      </c>
      <c r="CN193" s="425">
        <f>IF(WWWW[[#This Row],['#_of water points in THF]]*500&gt;WWWW[[#This Row],[Total PoP ]],WWWW[[#This Row],[Total PoP ]],WWWW[[#This Row],['#_of water points in THF]]*500)</f>
        <v>0</v>
      </c>
      <c r="CO193"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3"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0.84745762711864403</v>
      </c>
      <c r="CQ193" s="760">
        <f>IF(WWWW[[#This Row],[Location Type 1]]="Village",WWWW[[#This Row],[Access to safe drinking water for Village]],WWWW[[#This Row],[Access to safe drinking water for Camp]])</f>
        <v>1</v>
      </c>
      <c r="CR193" s="758">
        <f>WWWW[[#This Row],[%Equitable and continuous access to sufficient quantity of safe drinking water]]*WWWW[[#This Row],[Total PoP ]]</f>
        <v>590</v>
      </c>
      <c r="CS193" s="760">
        <f>IF((WWWW[[#This Row],['#_Constructed/Existing protected/fenced ponds]]*250)/WWWW[[#This Row],[Total PoP ]]&gt;1,1,(WWWW[[#This Row],['#_Constructed/Existing protected/fenced ponds]]*250)/WWWW[[#This Row],[Total PoP ]])</f>
        <v>0</v>
      </c>
      <c r="CT193" s="758">
        <f>WWWW[[#This Row],[% Access to unimproved water points]]*WWWW[[#This Row],[Total PoP ]]</f>
        <v>0</v>
      </c>
      <c r="CU193"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3"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CW193" s="758">
        <f>WWWW[[#This Row],[HRP1]]/500</f>
        <v>1.18</v>
      </c>
      <c r="CX193" s="763">
        <f>1-WWWW[[#This Row],[% Equitable and continuous access to sufficient quantity of domestic water]]</f>
        <v>0</v>
      </c>
      <c r="CY193" s="758">
        <f>WWWW[[#This Row],[%equitable and continuous access to sufficient quantity of safe drinking and domestic water''s GAP]]*WWWW[[#This Row],[Total PoP ]]</f>
        <v>0</v>
      </c>
      <c r="CZ193" s="761">
        <f>IF(WWWW[[#This Row],[Total required water points]]-WWWW[[#This Row],['#Water points coverage]]&lt;0,0,WWWW[[#This Row],[Total required water points]]-WWWW[[#This Row],['#Water points coverage]])</f>
        <v>0</v>
      </c>
      <c r="DA193" s="761">
        <f>ROUND(IF(WWWW[[#This Row],[Total PoP ]]&lt;500,1,WWWW[[#This Row],[Total PoP ]]/500),0)</f>
        <v>1</v>
      </c>
      <c r="DB193" s="761">
        <f>(WWWW[[#This Row],['#_Constructed latrines_by_WASHAgencies]]+WWWW[[#This Row],['#_Non Cluster partner latrines]])-WWWW[[#This Row],['#_Non-functional latrines]]</f>
        <v>28</v>
      </c>
      <c r="DC193" s="634">
        <f>WWWW[[#This Row],[HRP2]]/WWWW[[#This Row],[Total PoP ]]</f>
        <v>0.95423728813559328</v>
      </c>
      <c r="DD193"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193"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3"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3" s="425">
        <f>IF(WWWW[[#This Row],['# of functional latrines in THF supported by WASH partners during the reporting period2]]="",0,WWWW[[#This Row],['# of functional latrines in THF supported by WASH partners during the reporting period2]]*50)</f>
        <v>0</v>
      </c>
      <c r="DH193" s="761">
        <f>ROUND(IF(WWWW[[#This Row],[Location Type 1]]="camp",WWWW[[#This Row],[Total PoP ]]/20,IF(WWWW[[#This Row],[Location Type 1]]="Temporary Location",WWWW[[#This Row],[Total PoP ]]/50,(WWWW[[#This Row],[Total PoP ]]/6))),0)</f>
        <v>30</v>
      </c>
      <c r="DI193" s="761">
        <f>IF(WWWW[[#This Row],[Total required Latrines]]-(WWWW[[#This Row],['#_Constructed latrines_by_WASHAgencies]]+WWWW[[#This Row],['#_Non Cluster partner latrines]])&lt;0,0,WWWW[[#This Row],[Total required Latrines]]-(WWWW[[#This Row],['#_Constructed latrines_by_WASHAgencies]]+WWWW[[#This Row],['#_Non Cluster partner latrines]]))</f>
        <v>2</v>
      </c>
      <c r="DJ193" s="763">
        <f>1-WWWW[[#This Row],[% people access to functioning Latrine]]</f>
        <v>4.5762711864406724E-2</v>
      </c>
      <c r="DK193" s="762">
        <f>IF(OR(WWWW[[#This Row],['#_Non-functional latrines]]="",WWWW[[#This Row],['#_Non-functional latrines]]=0),0,WWWW[[#This Row],['#_Non-functional latrines]]/(WWWW[[#This Row],['#_Constructed latrines_by_WASHAgencies]]+WWWW[[#This Row],['#_Non Cluster partner latrines]]))</f>
        <v>0</v>
      </c>
      <c r="DL193" s="758">
        <f>IF(500*(WWWW[[#This Row],['#_male hygiene promoters]]+WWWW[[#This Row],['#_female hygiene promoters]])&gt;WWWW[[#This Row],[Total PoP ]],WWWW[[#This Row],[Total PoP ]],500*(WWWW[[#This Row],['#_male hygiene promoters]]+WWWW[[#This Row],['#_female hygiene promoters]]))</f>
        <v>590</v>
      </c>
      <c r="DM193"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3"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3" s="761">
        <f>IF(WWWW[[#This Row],['# People with access to soap]]&gt;WWWW[[#This Row],['# People with access to Sanity Pads]],WWWW[[#This Row],['# People with access to soap]],WWWW[[#This Row],['# People with access to Sanity Pads]])</f>
        <v>0</v>
      </c>
      <c r="DP193" s="761">
        <f>IF(WWWW[[#This Row],['# people reached by regular dedicated hygiene promotion_5]]&gt;WWWW[[#This Row],['# People received regular supply of hygiene items_6]],WWWW[[#This Row],['# people reached by regular dedicated hygiene promotion_5]],WWWW[[#This Row],['# People received regular supply of hygiene items_6]])</f>
        <v>590</v>
      </c>
      <c r="DQ193" s="763">
        <f>IF(WWWW[[#This Row],[HRP3]]/WWWW[[#This Row],[Total PoP ]]&gt;1,1,WWWW[[#This Row],[HRP3]]/WWWW[[#This Row],[Total PoP ]])</f>
        <v>1</v>
      </c>
      <c r="DR193" s="762">
        <f>1-WWWW[[#This Row],[Hygiene Coverage%]]</f>
        <v>0</v>
      </c>
      <c r="DS193" s="760">
        <f>WWWW[[#This Row],['# people reached by regular dedicated hygiene promotion_5]]/WWWW[[#This Row],[Total PoP ]]</f>
        <v>1</v>
      </c>
      <c r="DT193"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3"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3" s="761">
        <f>WWWW[[#This Row],['#_Constructed/Existing hand washing stations]]-WWWW[[#This Row],['#_Non-Functional_hand_washing_stations]]</f>
        <v>12</v>
      </c>
      <c r="DW193" s="758">
        <f>IF(WWWW[[#This Row],['# Functional hand washing stations during reporting period]]*20&gt;WWWW[[#This Row],[Total HH]],WWWW[[#This Row],[Total HH]],WWWW[[#This Row],['# Functional hand washing stations during reporting period]]*20)</f>
        <v>114</v>
      </c>
      <c r="DX193" s="758">
        <f>IF(WWWW[[#This Row],[Is sufficient soap available for TLS? (Yes/No)]]="yes",WWWW[[#This Row],['#_Constructed/Existing hand washing stations at TLS/CFS/THF]],0)</f>
        <v>0</v>
      </c>
      <c r="DY193" s="429">
        <f>IF(WWWW[[#This Row],['# Functional hand washing stations during reporting period]]*100&gt;WWWW[[#This Row],[Total PoP ]],WWWW[[#This Row],[Total PoP ]],WWWW[[#This Row],['# Functional hand washing stations during reporting period]]*100)</f>
        <v>590</v>
      </c>
      <c r="DZ193" s="429" t="str">
        <f>IF(OR(WWWW[[#This Row],['#_students at TLS_CFS]]="",WWWW[[#This Row],['#_students at TLS_CFS]]=0),"No","Yes")</f>
        <v>No</v>
      </c>
      <c r="EA193" s="634">
        <f>IF(WWWW[[#This Row],['#_of_affected_people_surveyed_who_report_feeling_informed_about_the_different_WASH_services_available_to_them]]="","",WWWW[[#This Row],['#_of_affected_people_surveyed_who_report_feeling_informed_about_the_different_WASH_services_available_to_them]]/WWWW[[#This Row],[Total PoP ]])</f>
        <v>2.0338983050847456E-2</v>
      </c>
      <c r="EB19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3" s="754">
        <f>VLOOKUP(WWWW[[#This Row],[Site Name]],SiteDB6[[Site Name]:[CCCM Management]],6,FALSE)</f>
        <v>0</v>
      </c>
      <c r="EF193" s="754">
        <f>VLOOKUP(WWWW[[#This Row],[Site Name]],SiteDB6[[Site Name]:[CCCM Focal Agency]],7,FALSE)</f>
        <v>0</v>
      </c>
      <c r="EG193" s="754" t="str">
        <f>VLOOKUP(WWWW[[#This Row],[Site Name]],SiteDB6[[Site Name]:[Location Type 1]],9,FALSE)</f>
        <v>Camp</v>
      </c>
      <c r="EH193" s="754" t="str">
        <f>VLOOKUP(WWWW[[#This Row],[Site Name]],SiteDB6[[Site Name]:[Type of Accommodation]],10,FALSE)</f>
        <v>Camp</v>
      </c>
      <c r="EI193" s="754" t="str">
        <f>VLOOKUP(WWWW[[#This Row],[Site Name]],SiteDB6[[Site Name]:[Ethnic or GCA/NGCA]],11,FALSE)</f>
        <v>GCA</v>
      </c>
      <c r="EJ193" s="754">
        <f>VLOOKUP(WWWW[[#This Row],[Site Name]],SiteDB6[[Site Name]:[Lat]],12,FALSE)</f>
        <v>0</v>
      </c>
      <c r="EK193" s="754">
        <f>VLOOKUP(WWWW[[#This Row],[Site Name]],SiteDB6[[Site Name]:[Long]],13,FALSE)</f>
        <v>0</v>
      </c>
      <c r="EL193" s="754">
        <f>VLOOKUP(WWWW[[#This Row],[Site Name]],SiteDB6[[Site Name]:[Pcode]],3,FALSE)</f>
        <v>0</v>
      </c>
      <c r="EM193" s="759" t="str">
        <f t="shared" si="2"/>
        <v>Covered</v>
      </c>
      <c r="EN193" s="759"/>
      <c r="EO193" s="754">
        <f>VLOOKUP(WWWW[[#This Row],[Site Name]],SiteDB6[[Site Name]:[Pop
(Kachin/Shan-CCCM as of July 2021)]],16,FALSE)</f>
        <v>0</v>
      </c>
      <c r="EP193" s="754">
        <f>VLOOKUP(WWWW[[#This Row],[Site Name]],SiteDB6[[Site Name]:[Pop
(Kachin/Shan-CCCM as of July 2021)]],17,FALSE)</f>
        <v>0</v>
      </c>
    </row>
    <row r="194" spans="1:146" hidden="1">
      <c r="A194" s="945" t="s">
        <v>2785</v>
      </c>
      <c r="B194" s="945" t="s">
        <v>276</v>
      </c>
      <c r="C194" s="943" t="s">
        <v>276</v>
      </c>
      <c r="D194" s="943" t="s">
        <v>292</v>
      </c>
      <c r="E194" s="943" t="s">
        <v>37</v>
      </c>
      <c r="F194" s="943" t="s">
        <v>205</v>
      </c>
      <c r="G194" s="944" t="s">
        <v>1099</v>
      </c>
      <c r="H194" s="943" t="s">
        <v>3032</v>
      </c>
      <c r="I194" s="449">
        <v>40</v>
      </c>
      <c r="J194" s="449">
        <v>189</v>
      </c>
      <c r="K194" s="830">
        <v>44652</v>
      </c>
      <c r="L194" s="56">
        <v>44895</v>
      </c>
      <c r="M194" s="449"/>
      <c r="N194" s="449"/>
      <c r="O194" s="449"/>
      <c r="P194" s="449"/>
      <c r="Q194" s="429" t="s">
        <v>41</v>
      </c>
      <c r="R194" s="449">
        <v>2</v>
      </c>
      <c r="S194" s="449">
        <v>5</v>
      </c>
      <c r="T194" s="449">
        <v>2</v>
      </c>
      <c r="U194" s="449"/>
      <c r="V194" s="449"/>
      <c r="W194" s="449">
        <v>2</v>
      </c>
      <c r="X194" s="449"/>
      <c r="Y194" s="449"/>
      <c r="Z194" s="449">
        <v>1</v>
      </c>
      <c r="AA194" s="449"/>
      <c r="AB194" s="449"/>
      <c r="AC194" s="449"/>
      <c r="AD194" s="449"/>
      <c r="AE194" s="449"/>
      <c r="AF194" s="449"/>
      <c r="AG194" s="449"/>
      <c r="AH194" s="449"/>
      <c r="AI194" s="449"/>
      <c r="AJ194" s="449"/>
      <c r="AK194" s="449"/>
      <c r="AL194" s="449"/>
      <c r="AM194" s="449">
        <v>4</v>
      </c>
      <c r="AN194" s="449"/>
      <c r="AO194" s="449"/>
      <c r="AP194" s="891"/>
      <c r="AQ194" s="449">
        <v>8</v>
      </c>
      <c r="AR194" s="449"/>
      <c r="AS194" s="424"/>
      <c r="AT194" s="449"/>
      <c r="AU194" s="449"/>
      <c r="AV194" s="449"/>
      <c r="AW194" s="449"/>
      <c r="AX194" s="449"/>
      <c r="AY194" s="754" t="s">
        <v>41</v>
      </c>
      <c r="AZ194" s="759" t="s">
        <v>137</v>
      </c>
      <c r="BA194" s="449"/>
      <c r="BB194" s="449"/>
      <c r="BC194" s="449"/>
      <c r="BD194" s="449"/>
      <c r="BE194" s="449">
        <v>4</v>
      </c>
      <c r="BF194" s="426"/>
      <c r="BG194" s="449"/>
      <c r="BH194" s="449"/>
      <c r="BI194" s="449"/>
      <c r="BJ194" s="449">
        <v>2</v>
      </c>
      <c r="BK194" s="449"/>
      <c r="BL194" s="449"/>
      <c r="BM194" s="449"/>
      <c r="BN194" s="449"/>
      <c r="BO194" s="449"/>
      <c r="BP194" s="426"/>
      <c r="BQ194" s="425"/>
      <c r="BR194" s="424"/>
      <c r="BS194" s="426"/>
      <c r="BT194" s="424"/>
      <c r="BU194" s="424"/>
      <c r="BV194" s="426"/>
      <c r="BW194" s="940"/>
      <c r="BX194" s="449"/>
      <c r="BY194" s="449"/>
      <c r="BZ194" s="449"/>
      <c r="CA194" s="449"/>
      <c r="CB194" s="449"/>
      <c r="CC194" s="807"/>
      <c r="CD194" s="449"/>
      <c r="CE194" s="634" t="str">
        <f>IFERROR(WWWW[[#This Row],['#_Water sources passed]]/WWWW[[#This Row],['#_Water sources tested for fecal coliform ]],"no test")</f>
        <v>no test</v>
      </c>
      <c r="CF194" s="424" t="str">
        <f>IFERROR(WWWW[[#This Row],['#_Household passed]]/WWWW[[#This Row],['#_Household water samples tested for fecal coliform]],"no test")</f>
        <v>no test</v>
      </c>
      <c r="CG194" s="425" t="str">
        <f>IF(AND(WWWW[[#This Row],[% of water sources passed]]="no test",WWWW[[#This Row],[% Household passed]]="no test"),"No Test","Tested")</f>
        <v>No Test</v>
      </c>
      <c r="CH194" s="425">
        <f>WWWW[[#This Row],['#_Constructed/existing protected hand dug well]]-WWWW[[#This Row],['#_Non-functional protected hand dug well]]</f>
        <v>2</v>
      </c>
      <c r="CI194" s="425">
        <f>(WWWW[[#This Row],['#_Constructed/Existing tube wells/boreholes/handpumps_WASH_agency]]+WWWW[[#This Row],['#_Non-Cluster partner water tube-wells/boreholes/handpumps]])-WWWW[[#This Row],['#_Non-functional tube wells/boreholes/handpumps]]</f>
        <v>2</v>
      </c>
      <c r="CJ194" s="425">
        <f>WWWW[[#This Row],['#_Constructed/Existingwater storage tank with gravity fed reticulation system]]-WWWW[[#This Row],['#_Non-functional storage tank gravity fed reticulation system]]</f>
        <v>0</v>
      </c>
      <c r="CK194" s="425">
        <f>(WWWW[[#This Row],['#_Water_Liters_supplied_by_Water boating or water trucking]]/90)/15</f>
        <v>0</v>
      </c>
      <c r="CL194" s="425">
        <f>WWWW[[#This Row],['#_Water_Liters_from_Constructed/Existing water distribution system from river or natural spring]]/90/15</f>
        <v>0</v>
      </c>
      <c r="CM194" s="425">
        <f>IF(WWWW[[#This Row],['#_of water points in TLS/CFS]]*500&gt;WWWW[[#This Row],[Total PoP ]],WWWW[[#This Row],[Total PoP ]],WWWW[[#This Row],['#_of water points in TLS/CFS]]*500)</f>
        <v>0</v>
      </c>
      <c r="CN194" s="425">
        <f>IF(WWWW[[#This Row],['#_of water points in THF]]*500&gt;WWWW[[#This Row],[Total PoP ]],WWWW[[#This Row],[Total PoP ]],WWWW[[#This Row],['#_of water points in THF]]*500)</f>
        <v>0</v>
      </c>
      <c r="CO194" s="6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4" s="6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4" s="424">
        <f>IF(WWWW[[#This Row],[Location Type 1]]="Village",WWWW[[#This Row],[Access to safe drinking water for Village]],WWWW[[#This Row],[Access to safe drinking water for Camp]])</f>
        <v>1</v>
      </c>
      <c r="CR194" s="429">
        <f>WWWW[[#This Row],[%Equitable and continuous access to sufficient quantity of safe drinking water]]*WWWW[[#This Row],[Total PoP ]]</f>
        <v>189</v>
      </c>
      <c r="CS194" s="424">
        <f>IF((WWWW[[#This Row],['#_Constructed/Existing protected/fenced ponds]]*250)/WWWW[[#This Row],[Total PoP ]]&gt;1,1,(WWWW[[#This Row],['#_Constructed/Existing protected/fenced ponds]]*250)/WWWW[[#This Row],[Total PoP ]])</f>
        <v>0</v>
      </c>
      <c r="CT194" s="429">
        <f>WWWW[[#This Row],[% Access to unimproved water points]]*WWWW[[#This Row],[Total PoP ]]</f>
        <v>0</v>
      </c>
      <c r="CU194" s="42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4" s="42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189</v>
      </c>
      <c r="CW194" s="429">
        <f>WWWW[[#This Row],[HRP1]]/500</f>
        <v>0.378</v>
      </c>
      <c r="CX194" s="935">
        <f>1-WWWW[[#This Row],[% Equitable and continuous access to sufficient quantity of domestic water]]</f>
        <v>0</v>
      </c>
      <c r="CY194" s="429">
        <f>WWWW[[#This Row],[%equitable and continuous access to sufficient quantity of safe drinking and domestic water''s GAP]]*WWWW[[#This Row],[Total PoP ]]</f>
        <v>0</v>
      </c>
      <c r="CZ194" s="425">
        <f>IF(WWWW[[#This Row],[Total required water points]]-WWWW[[#This Row],['#Water points coverage]]&lt;0,0,WWWW[[#This Row],[Total required water points]]-WWWW[[#This Row],['#Water points coverage]])</f>
        <v>0.622</v>
      </c>
      <c r="DA194" s="425">
        <f>ROUND(IF(WWWW[[#This Row],[Total PoP ]]&lt;500,1,WWWW[[#This Row],[Total PoP ]]/500),0)</f>
        <v>1</v>
      </c>
      <c r="DB194" s="425">
        <f>(WWWW[[#This Row],['#_Constructed latrines_by_WASHAgencies]]+WWWW[[#This Row],['#_Non Cluster partner latrines]])-WWWW[[#This Row],['#_Non-functional latrines]]</f>
        <v>8</v>
      </c>
      <c r="DC194" s="634">
        <f>WWWW[[#This Row],[HRP2]]/WWWW[[#This Row],[Total PoP ]]</f>
        <v>0.86772486772486768</v>
      </c>
      <c r="DD194" s="42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164</v>
      </c>
      <c r="DE194" s="9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4" s="42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4" s="425">
        <f>IF(WWWW[[#This Row],['# of functional latrines in THF supported by WASH partners during the reporting period2]]="",0,WWWW[[#This Row],['# of functional latrines in THF supported by WASH partners during the reporting period2]]*50)</f>
        <v>0</v>
      </c>
      <c r="DH194" s="425">
        <f>ROUND(IF(WWWW[[#This Row],[Location Type 1]]="camp",WWWW[[#This Row],[Total PoP ]]/20,IF(WWWW[[#This Row],[Location Type 1]]="Temporary Location",WWWW[[#This Row],[Total PoP ]]/50,(WWWW[[#This Row],[Total PoP ]]/6))),0)</f>
        <v>9</v>
      </c>
      <c r="DI194" s="425">
        <f>IF(WWWW[[#This Row],[Total required Latrines]]-(WWWW[[#This Row],['#_Constructed latrines_by_WASHAgencies]]+WWWW[[#This Row],['#_Non Cluster partner latrines]])&lt;0,0,WWWW[[#This Row],[Total required Latrines]]-(WWWW[[#This Row],['#_Constructed latrines_by_WASHAgencies]]+WWWW[[#This Row],['#_Non Cluster partner latrines]]))</f>
        <v>1</v>
      </c>
      <c r="DJ194" s="935">
        <f>1-WWWW[[#This Row],[% people access to functioning Latrine]]</f>
        <v>0.13227513227513232</v>
      </c>
      <c r="DK194" s="634">
        <f>IF(OR(WWWW[[#This Row],['#_Non-functional latrines]]="",WWWW[[#This Row],['#_Non-functional latrines]]=0),0,WWWW[[#This Row],['#_Non-functional latrines]]/(WWWW[[#This Row],['#_Constructed latrines_by_WASHAgencies]]+WWWW[[#This Row],['#_Non Cluster partner latrines]]))</f>
        <v>0</v>
      </c>
      <c r="DL194" s="429">
        <f>IF(500*(WWWW[[#This Row],['#_male hygiene promoters]]+WWWW[[#This Row],['#_female hygiene promoters]])&gt;WWWW[[#This Row],[Total PoP ]],WWWW[[#This Row],[Total PoP ]],500*(WWWW[[#This Row],['#_male hygiene promoters]]+WWWW[[#This Row],['#_female hygiene promoters]]))</f>
        <v>0</v>
      </c>
      <c r="DM194" s="42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4" s="42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4" s="425">
        <f>IF(WWWW[[#This Row],['# People with access to soap]]&gt;WWWW[[#This Row],['# People with access to Sanity Pads]],WWWW[[#This Row],['# People with access to soap]],WWWW[[#This Row],['# People with access to Sanity Pads]])</f>
        <v>0</v>
      </c>
      <c r="DP194" s="42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194" s="935">
        <f>IF(WWWW[[#This Row],[HRP3]]/WWWW[[#This Row],[Total PoP ]]&gt;1,1,WWWW[[#This Row],[HRP3]]/WWWW[[#This Row],[Total PoP ]])</f>
        <v>0</v>
      </c>
      <c r="DR194" s="634">
        <f>1-WWWW[[#This Row],[Hygiene Coverage%]]</f>
        <v>1</v>
      </c>
      <c r="DS194" s="424">
        <f>WWWW[[#This Row],['# people reached by regular dedicated hygiene promotion_5]]/WWWW[[#This Row],[Total PoP ]]</f>
        <v>0</v>
      </c>
      <c r="DT194" s="6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4" s="42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4" s="425">
        <f>WWWW[[#This Row],['#_Constructed/Existing hand washing stations]]-WWWW[[#This Row],['#_Non-Functional_hand_washing_stations]]</f>
        <v>0</v>
      </c>
      <c r="DW194" s="429">
        <f>IF(WWWW[[#This Row],['# Functional hand washing stations during reporting period]]*20&gt;WWWW[[#This Row],[Total HH]],WWWW[[#This Row],[Total HH]],WWWW[[#This Row],['# Functional hand washing stations during reporting period]]*20)</f>
        <v>0</v>
      </c>
      <c r="DX194" s="429">
        <f>IF(WWWW[[#This Row],[Is sufficient soap available for TLS? (Yes/No)]]="yes",WWWW[[#This Row],['#_Constructed/Existing hand washing stations at TLS/CFS/THF]],0)</f>
        <v>0</v>
      </c>
      <c r="DY194" s="429">
        <f>IF(WWWW[[#This Row],['# Functional hand washing stations during reporting period]]*100&gt;WWWW[[#This Row],[Total PoP ]],WWWW[[#This Row],[Total PoP ]],WWWW[[#This Row],['# Functional hand washing stations during reporting period]]*100)</f>
        <v>0</v>
      </c>
      <c r="DZ194" s="429" t="str">
        <f>IF(OR(WWWW[[#This Row],['#_students at TLS_CFS]]="",WWWW[[#This Row],['#_students at TLS_CFS]]=0),"No","Yes")</f>
        <v>No</v>
      </c>
      <c r="EA19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4" s="426" t="e">
        <f>VLOOKUP(WWWW[[#This Row],[Site Name]],SiteDB6[[Site Name]:[CCCM Management]],6,FALSE)</f>
        <v>#N/A</v>
      </c>
      <c r="EF194" s="426" t="e">
        <f>VLOOKUP(WWWW[[#This Row],[Site Name]],SiteDB6[[Site Name]:[CCCM Focal Agency]],7,FALSE)</f>
        <v>#N/A</v>
      </c>
      <c r="EG194" s="426" t="s">
        <v>43</v>
      </c>
      <c r="EH194" s="426" t="s">
        <v>43</v>
      </c>
      <c r="EI194" s="426" t="s">
        <v>44</v>
      </c>
      <c r="EJ194" s="426" t="e">
        <f>VLOOKUP(WWWW[[#This Row],[Site Name]],SiteDB6[[Site Name]:[Lat]],12,FALSE)</f>
        <v>#N/A</v>
      </c>
      <c r="EK194" s="426" t="e">
        <f>VLOOKUP(WWWW[[#This Row],[Site Name]],SiteDB6[[Site Name]:[Long]],13,FALSE)</f>
        <v>#N/A</v>
      </c>
      <c r="EL194" s="426" t="e">
        <f>VLOOKUP(WWWW[[#This Row],[Site Name]],SiteDB6[[Site Name]:[Pcode]],3,FALSE)</f>
        <v>#N/A</v>
      </c>
      <c r="EM194" s="891" t="str">
        <f t="shared" si="2"/>
        <v>Covered</v>
      </c>
      <c r="EN194" s="891"/>
      <c r="EO194" s="426" t="e">
        <f>VLOOKUP(WWWW[[#This Row],[Site Name]],SiteDB6[[Site Name]:[Pop
(Kachin/Shan-CCCM as of July 2021)]],16,FALSE)</f>
        <v>#N/A</v>
      </c>
      <c r="EP194" s="426" t="e">
        <f>VLOOKUP(WWWW[[#This Row],[Site Name]],SiteDB6[[Site Name]:[Pop
(Kachin/Shan-CCCM as of July 2021)]],17,FALSE)</f>
        <v>#N/A</v>
      </c>
    </row>
    <row r="195" spans="1:146" hidden="1">
      <c r="A195" s="941" t="s">
        <v>2785</v>
      </c>
      <c r="B195" s="941" t="s">
        <v>276</v>
      </c>
      <c r="C195" s="942" t="s">
        <v>276</v>
      </c>
      <c r="D195" s="943" t="s">
        <v>292</v>
      </c>
      <c r="E195" s="942" t="s">
        <v>37</v>
      </c>
      <c r="F195" s="942" t="s">
        <v>205</v>
      </c>
      <c r="G195" s="944" t="str">
        <f>VLOOKUP(WWWW[[#This Row],[Site Name]],SiteDB6[[Site Name]:[Location Type]],8,FALSE)</f>
        <v>Camp</v>
      </c>
      <c r="H195" s="942" t="s">
        <v>284</v>
      </c>
      <c r="I195" s="449">
        <v>47</v>
      </c>
      <c r="J195" s="449">
        <v>299</v>
      </c>
      <c r="K195" s="591">
        <v>44652</v>
      </c>
      <c r="L195" s="592">
        <v>44895</v>
      </c>
      <c r="M195" s="755"/>
      <c r="N195" s="755"/>
      <c r="O195" s="755"/>
      <c r="P195" s="755"/>
      <c r="Q195" s="758" t="s">
        <v>41</v>
      </c>
      <c r="R195" s="755">
        <v>3</v>
      </c>
      <c r="S195" s="755">
        <v>9</v>
      </c>
      <c r="T195" s="449">
        <v>3</v>
      </c>
      <c r="U195" s="755"/>
      <c r="V195" s="755"/>
      <c r="W195" s="755">
        <v>3</v>
      </c>
      <c r="X195" s="755"/>
      <c r="Y195" s="755"/>
      <c r="Z195" s="755"/>
      <c r="AA195" s="755"/>
      <c r="AB195" s="755"/>
      <c r="AC195" s="755"/>
      <c r="AD195" s="755"/>
      <c r="AE195" s="755"/>
      <c r="AF195" s="755"/>
      <c r="AG195" s="755"/>
      <c r="AH195" s="755"/>
      <c r="AI195" s="769"/>
      <c r="AJ195" s="769"/>
      <c r="AK195" s="769"/>
      <c r="AL195" s="769"/>
      <c r="AM195" s="755">
        <v>7</v>
      </c>
      <c r="AN195" s="755"/>
      <c r="AO195" s="755"/>
      <c r="AP195" s="759"/>
      <c r="AQ195" s="755">
        <v>13</v>
      </c>
      <c r="AR195" s="755"/>
      <c r="AS195" s="760"/>
      <c r="AT195" s="755"/>
      <c r="AU195" s="769"/>
      <c r="AV195" s="769"/>
      <c r="AW195" s="769"/>
      <c r="AX195" s="755"/>
      <c r="AY195" s="754" t="s">
        <v>41</v>
      </c>
      <c r="AZ195" s="759" t="s">
        <v>137</v>
      </c>
      <c r="BA195" s="755"/>
      <c r="BB195" s="755"/>
      <c r="BC195" s="755"/>
      <c r="BD195" s="449"/>
      <c r="BE195" s="449">
        <v>3</v>
      </c>
      <c r="BF195" s="754"/>
      <c r="BG195" s="755">
        <v>6</v>
      </c>
      <c r="BH195" s="755"/>
      <c r="BI195" s="755"/>
      <c r="BJ195" s="755">
        <v>3</v>
      </c>
      <c r="BK195" s="755"/>
      <c r="BL195" s="755"/>
      <c r="BM195" s="755">
        <v>1</v>
      </c>
      <c r="BN195" s="769"/>
      <c r="BO195" s="755"/>
      <c r="BP195" s="754"/>
      <c r="BQ195" s="771"/>
      <c r="BR195" s="760"/>
      <c r="BS195" s="754"/>
      <c r="BT195" s="424">
        <v>1</v>
      </c>
      <c r="BU195" s="424">
        <v>1</v>
      </c>
      <c r="BV195" s="426">
        <v>9</v>
      </c>
      <c r="BW195" s="424"/>
      <c r="BX195" s="449"/>
      <c r="BY195" s="449"/>
      <c r="BZ195" s="449"/>
      <c r="CA195" s="449"/>
      <c r="CB195" s="449"/>
      <c r="CC195" s="807"/>
      <c r="CD195" s="449"/>
      <c r="CE195" s="762" t="str">
        <f>IFERROR(WWWW[[#This Row],['#_Water sources passed]]/WWWW[[#This Row],['#_Water sources tested for fecal coliform ]],"no test")</f>
        <v>no test</v>
      </c>
      <c r="CF195" s="760" t="str">
        <f>IFERROR(WWWW[[#This Row],['#_Household passed]]/WWWW[[#This Row],['#_Household water samples tested for fecal coliform]],"no test")</f>
        <v>no test</v>
      </c>
      <c r="CG195" s="761" t="str">
        <f>IF(AND(WWWW[[#This Row],[% of water sources passed]]="no test",WWWW[[#This Row],[% Household passed]]="no test"),"No Test","Tested")</f>
        <v>No Test</v>
      </c>
      <c r="CH195" s="761">
        <f>WWWW[[#This Row],['#_Constructed/existing protected hand dug well]]-WWWW[[#This Row],['#_Non-functional protected hand dug well]]</f>
        <v>3</v>
      </c>
      <c r="CI195" s="761">
        <f>(WWWW[[#This Row],['#_Constructed/Existing tube wells/boreholes/handpumps_WASH_agency]]+WWWW[[#This Row],['#_Non-Cluster partner water tube-wells/boreholes/handpumps]])-WWWW[[#This Row],['#_Non-functional tube wells/boreholes/handpumps]]</f>
        <v>3</v>
      </c>
      <c r="CJ195" s="761">
        <f>WWWW[[#This Row],['#_Constructed/Existingwater storage tank with gravity fed reticulation system]]-WWWW[[#This Row],['#_Non-functional storage tank gravity fed reticulation system]]</f>
        <v>0</v>
      </c>
      <c r="CK195" s="761">
        <f>(WWWW[[#This Row],['#_Water_Liters_supplied_by_Water boating or water trucking]]/90)/15</f>
        <v>0</v>
      </c>
      <c r="CL195" s="761">
        <f>WWWW[[#This Row],['#_Water_Liters_from_Constructed/Existing water distribution system from river or natural spring]]/90/15</f>
        <v>0</v>
      </c>
      <c r="CM195" s="425">
        <f>IF(WWWW[[#This Row],['#_of water points in TLS/CFS]]*500&gt;WWWW[[#This Row],[Total PoP ]],WWWW[[#This Row],[Total PoP ]],WWWW[[#This Row],['#_of water points in TLS/CFS]]*500)</f>
        <v>0</v>
      </c>
      <c r="CN195" s="425">
        <f>IF(WWWW[[#This Row],['#_of water points in THF]]*500&gt;WWWW[[#This Row],[Total PoP ]],WWWW[[#This Row],[Total PoP ]],WWWW[[#This Row],['#_of water points in THF]]*500)</f>
        <v>0</v>
      </c>
      <c r="CO195"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5"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5" s="760">
        <f>IF(WWWW[[#This Row],[Location Type 1]]="Village",WWWW[[#This Row],[Access to safe drinking water for Village]],WWWW[[#This Row],[Access to safe drinking water for Camp]])</f>
        <v>1</v>
      </c>
      <c r="CR195" s="758">
        <f>WWWW[[#This Row],[%Equitable and continuous access to sufficient quantity of safe drinking water]]*WWWW[[#This Row],[Total PoP ]]</f>
        <v>299</v>
      </c>
      <c r="CS195" s="760">
        <f>IF((WWWW[[#This Row],['#_Constructed/Existing protected/fenced ponds]]*250)/WWWW[[#This Row],[Total PoP ]]&gt;1,1,(WWWW[[#This Row],['#_Constructed/Existing protected/fenced ponds]]*250)/WWWW[[#This Row],[Total PoP ]])</f>
        <v>0</v>
      </c>
      <c r="CT195" s="758">
        <f>WWWW[[#This Row],[% Access to unimproved water points]]*WWWW[[#This Row],[Total PoP ]]</f>
        <v>0</v>
      </c>
      <c r="CU195"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5"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195" s="758">
        <f>WWWW[[#This Row],[HRP1]]/500</f>
        <v>0.59799999999999998</v>
      </c>
      <c r="CX195" s="763">
        <f>1-WWWW[[#This Row],[% Equitable and continuous access to sufficient quantity of domestic water]]</f>
        <v>0</v>
      </c>
      <c r="CY195" s="758">
        <f>WWWW[[#This Row],[%equitable and continuous access to sufficient quantity of safe drinking and domestic water''s GAP]]*WWWW[[#This Row],[Total PoP ]]</f>
        <v>0</v>
      </c>
      <c r="CZ195" s="761">
        <f>IF(WWWW[[#This Row],[Total required water points]]-WWWW[[#This Row],['#Water points coverage]]&lt;0,0,WWWW[[#This Row],[Total required water points]]-WWWW[[#This Row],['#Water points coverage]])</f>
        <v>0.40200000000000002</v>
      </c>
      <c r="DA195" s="761">
        <f>ROUND(IF(WWWW[[#This Row],[Total PoP ]]&lt;500,1,WWWW[[#This Row],[Total PoP ]]/500),0)</f>
        <v>1</v>
      </c>
      <c r="DB195" s="761">
        <f>(WWWW[[#This Row],['#_Constructed latrines_by_WASHAgencies]]+WWWW[[#This Row],['#_Non Cluster partner latrines]])-WWWW[[#This Row],['#_Non-functional latrines]]</f>
        <v>13</v>
      </c>
      <c r="DC195" s="634">
        <f>WWWW[[#This Row],[HRP2]]/WWWW[[#This Row],[Total PoP ]]</f>
        <v>0.87959866220735783</v>
      </c>
      <c r="DD195"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195"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5"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5" s="425">
        <f>IF(WWWW[[#This Row],['# of functional latrines in THF supported by WASH partners during the reporting period2]]="",0,WWWW[[#This Row],['# of functional latrines in THF supported by WASH partners during the reporting period2]]*50)</f>
        <v>0</v>
      </c>
      <c r="DH195" s="761">
        <f>ROUND(IF(WWWW[[#This Row],[Location Type 1]]="camp",WWWW[[#This Row],[Total PoP ]]/20,IF(WWWW[[#This Row],[Location Type 1]]="Temporary Location",WWWW[[#This Row],[Total PoP ]]/50,(WWWW[[#This Row],[Total PoP ]]/6))),0)</f>
        <v>15</v>
      </c>
      <c r="DI195" s="761">
        <f>IF(WWWW[[#This Row],[Total required Latrines]]-(WWWW[[#This Row],['#_Constructed latrines_by_WASHAgencies]]+WWWW[[#This Row],['#_Non Cluster partner latrines]])&lt;0,0,WWWW[[#This Row],[Total required Latrines]]-(WWWW[[#This Row],['#_Constructed latrines_by_WASHAgencies]]+WWWW[[#This Row],['#_Non Cluster partner latrines]]))</f>
        <v>2</v>
      </c>
      <c r="DJ195" s="763">
        <f>1-WWWW[[#This Row],[% people access to functioning Latrine]]</f>
        <v>0.12040133779264217</v>
      </c>
      <c r="DK195" s="762">
        <f>IF(OR(WWWW[[#This Row],['#_Non-functional latrines]]="",WWWW[[#This Row],['#_Non-functional latrines]]=0),0,WWWW[[#This Row],['#_Non-functional latrines]]/(WWWW[[#This Row],['#_Constructed latrines_by_WASHAgencies]]+WWWW[[#This Row],['#_Non Cluster partner latrines]]))</f>
        <v>0</v>
      </c>
      <c r="DL195" s="758">
        <f>IF(500*(WWWW[[#This Row],['#_male hygiene promoters]]+WWWW[[#This Row],['#_female hygiene promoters]])&gt;WWWW[[#This Row],[Total PoP ]],WWWW[[#This Row],[Total PoP ]],500*(WWWW[[#This Row],['#_male hygiene promoters]]+WWWW[[#This Row],['#_female hygiene promoters]]))</f>
        <v>299</v>
      </c>
      <c r="DM195"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5"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5" s="761">
        <f>IF(WWWW[[#This Row],['# People with access to soap]]&gt;WWWW[[#This Row],['# People with access to Sanity Pads]],WWWW[[#This Row],['# People with access to soap]],WWWW[[#This Row],['# People with access to Sanity Pads]])</f>
        <v>0</v>
      </c>
      <c r="DP195" s="761">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195" s="763">
        <f>IF(WWWW[[#This Row],[HRP3]]/WWWW[[#This Row],[Total PoP ]]&gt;1,1,WWWW[[#This Row],[HRP3]]/WWWW[[#This Row],[Total PoP ]])</f>
        <v>1</v>
      </c>
      <c r="DR195" s="762">
        <f>1-WWWW[[#This Row],[Hygiene Coverage%]]</f>
        <v>0</v>
      </c>
      <c r="DS195" s="760">
        <f>WWWW[[#This Row],['# people reached by regular dedicated hygiene promotion_5]]/WWWW[[#This Row],[Total PoP ]]</f>
        <v>1</v>
      </c>
      <c r="DT195"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5"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5" s="761">
        <f>WWWW[[#This Row],['#_Constructed/Existing hand washing stations]]-WWWW[[#This Row],['#_Non-Functional_hand_washing_stations]]</f>
        <v>6</v>
      </c>
      <c r="DW195" s="758">
        <f>IF(WWWW[[#This Row],['# Functional hand washing stations during reporting period]]*20&gt;WWWW[[#This Row],[Total HH]],WWWW[[#This Row],[Total HH]],WWWW[[#This Row],['# Functional hand washing stations during reporting period]]*20)</f>
        <v>47</v>
      </c>
      <c r="DX195" s="758">
        <f>IF(WWWW[[#This Row],[Is sufficient soap available for TLS? (Yes/No)]]="yes",WWWW[[#This Row],['#_Constructed/Existing hand washing stations at TLS/CFS/THF]],0)</f>
        <v>0</v>
      </c>
      <c r="DY195" s="429">
        <f>IF(WWWW[[#This Row],['# Functional hand washing stations during reporting period]]*100&gt;WWWW[[#This Row],[Total PoP ]],WWWW[[#This Row],[Total PoP ]],WWWW[[#This Row],['# Functional hand washing stations during reporting period]]*100)</f>
        <v>299</v>
      </c>
      <c r="DZ195" s="429" t="str">
        <f>IF(OR(WWWW[[#This Row],['#_students at TLS_CFS]]="",WWWW[[#This Row],['#_students at TLS_CFS]]=0),"No","Yes")</f>
        <v>No</v>
      </c>
      <c r="EA195" s="634">
        <f>IF(WWWW[[#This Row],['#_of_affected_people_surveyed_who_report_feeling_informed_about_the_different_WASH_services_available_to_them]]="","",WWWW[[#This Row],['#_of_affected_people_surveyed_who_report_feeling_informed_about_the_different_WASH_services_available_to_them]]/WWWW[[#This Row],[Total PoP ]])</f>
        <v>3.0100334448160536E-2</v>
      </c>
      <c r="EB19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5" s="754" t="str">
        <f>VLOOKUP(WWWW[[#This Row],[Site Name]],SiteDB6[[Site Name]:[CCCM Management]],6,FALSE)</f>
        <v>Yes</v>
      </c>
      <c r="EF195" s="754" t="str">
        <f>VLOOKUP(WWWW[[#This Row],[Site Name]],SiteDB6[[Site Name]:[CCCM Focal Agency]],7,FALSE)</f>
        <v>KBC-BMO</v>
      </c>
      <c r="EG195" s="754" t="str">
        <f>VLOOKUP(WWWW[[#This Row],[Site Name]],SiteDB6[[Site Name]:[Location Type 1]],9,FALSE)</f>
        <v>Camp</v>
      </c>
      <c r="EH195" s="754" t="str">
        <f>VLOOKUP(WWWW[[#This Row],[Site Name]],SiteDB6[[Site Name]:[Type of Accommodation]],10,FALSE)</f>
        <v>Camp</v>
      </c>
      <c r="EI195" s="754" t="str">
        <f>VLOOKUP(WWWW[[#This Row],[Site Name]],SiteDB6[[Site Name]:[Ethnic or GCA/NGCA]],11,FALSE)</f>
        <v>GCA</v>
      </c>
      <c r="EJ195" s="754">
        <f>VLOOKUP(WWWW[[#This Row],[Site Name]],SiteDB6[[Site Name]:[Lat]],12,FALSE)</f>
        <v>24.205417000000001</v>
      </c>
      <c r="EK195" s="754">
        <f>VLOOKUP(WWWW[[#This Row],[Site Name]],SiteDB6[[Site Name]:[Long]],13,FALSE)</f>
        <v>97.724483000000006</v>
      </c>
      <c r="EL195" s="754" t="str">
        <f>VLOOKUP(WWWW[[#This Row],[Site Name]],SiteDB6[[Site Name]:[Pcode]],3,FALSE)</f>
        <v>MMR001CMP072</v>
      </c>
      <c r="EM195" s="759" t="str">
        <f t="shared" si="2"/>
        <v>Covered</v>
      </c>
      <c r="EN195" s="759"/>
      <c r="EO195" s="754">
        <f>VLOOKUP(WWWW[[#This Row],[Site Name]],SiteDB6[[Site Name]:[Pop
(Kachin/Shan-CCCM as of July 2021)]],16,FALSE)</f>
        <v>47</v>
      </c>
      <c r="EP195" s="754">
        <f>VLOOKUP(WWWW[[#This Row],[Site Name]],SiteDB6[[Site Name]:[Pop
(Kachin/Shan-CCCM as of July 2021)]],17,FALSE)</f>
        <v>291</v>
      </c>
    </row>
    <row r="196" spans="1:146" hidden="1">
      <c r="A196" s="941" t="s">
        <v>2785</v>
      </c>
      <c r="B196" s="941" t="s">
        <v>276</v>
      </c>
      <c r="C196" s="942" t="s">
        <v>276</v>
      </c>
      <c r="D196" s="943" t="s">
        <v>292</v>
      </c>
      <c r="E196" s="942" t="s">
        <v>37</v>
      </c>
      <c r="F196" s="942" t="s">
        <v>205</v>
      </c>
      <c r="G196" s="944" t="str">
        <f>VLOOKUP(WWWW[[#This Row],[Site Name]],SiteDB6[[Site Name]:[Location Type]],8,FALSE)</f>
        <v>Camp</v>
      </c>
      <c r="H196" s="942" t="s">
        <v>286</v>
      </c>
      <c r="I196" s="449">
        <v>40</v>
      </c>
      <c r="J196" s="449">
        <v>255</v>
      </c>
      <c r="K196" s="591">
        <v>44652</v>
      </c>
      <c r="L196" s="592">
        <v>44895</v>
      </c>
      <c r="M196" s="755"/>
      <c r="N196" s="755"/>
      <c r="O196" s="755"/>
      <c r="P196" s="755"/>
      <c r="Q196" s="758" t="s">
        <v>41</v>
      </c>
      <c r="R196" s="755">
        <v>3</v>
      </c>
      <c r="S196" s="755">
        <v>10</v>
      </c>
      <c r="T196" s="449">
        <v>2</v>
      </c>
      <c r="U196" s="755"/>
      <c r="V196" s="755"/>
      <c r="W196" s="755">
        <v>2</v>
      </c>
      <c r="X196" s="755"/>
      <c r="Y196" s="755"/>
      <c r="Z196" s="755"/>
      <c r="AA196" s="755">
        <v>1</v>
      </c>
      <c r="AB196" s="755"/>
      <c r="AC196" s="755"/>
      <c r="AD196" s="755"/>
      <c r="AE196" s="755"/>
      <c r="AF196" s="755"/>
      <c r="AG196" s="755"/>
      <c r="AH196" s="755"/>
      <c r="AI196" s="769"/>
      <c r="AJ196" s="769"/>
      <c r="AK196" s="769"/>
      <c r="AL196" s="769"/>
      <c r="AM196" s="755">
        <v>10</v>
      </c>
      <c r="AN196" s="755"/>
      <c r="AO196" s="755"/>
      <c r="AP196" s="759"/>
      <c r="AQ196" s="755">
        <v>16</v>
      </c>
      <c r="AR196" s="755"/>
      <c r="AS196" s="760"/>
      <c r="AT196" s="755"/>
      <c r="AU196" s="769"/>
      <c r="AV196" s="769"/>
      <c r="AW196" s="769"/>
      <c r="AX196" s="755"/>
      <c r="AY196" s="754" t="s">
        <v>41</v>
      </c>
      <c r="AZ196" s="759" t="s">
        <v>137</v>
      </c>
      <c r="BA196" s="755"/>
      <c r="BB196" s="755"/>
      <c r="BC196" s="755"/>
      <c r="BD196" s="449"/>
      <c r="BE196" s="449"/>
      <c r="BF196" s="754"/>
      <c r="BG196" s="755">
        <v>8</v>
      </c>
      <c r="BH196" s="755"/>
      <c r="BI196" s="755"/>
      <c r="BJ196" s="755">
        <v>1</v>
      </c>
      <c r="BK196" s="755"/>
      <c r="BL196" s="755">
        <v>1</v>
      </c>
      <c r="BM196" s="755">
        <v>1</v>
      </c>
      <c r="BN196" s="769"/>
      <c r="BO196" s="755"/>
      <c r="BP196" s="754"/>
      <c r="BQ196" s="771"/>
      <c r="BR196" s="760"/>
      <c r="BS196" s="754"/>
      <c r="BT196" s="940">
        <v>0.77777777777777779</v>
      </c>
      <c r="BU196" s="940">
        <v>1</v>
      </c>
      <c r="BV196" s="593">
        <v>9</v>
      </c>
      <c r="BW196" s="940"/>
      <c r="BX196" s="449"/>
      <c r="BY196" s="449"/>
      <c r="BZ196" s="449"/>
      <c r="CA196" s="449"/>
      <c r="CB196" s="449"/>
      <c r="CC196" s="807"/>
      <c r="CD196" s="449"/>
      <c r="CE196" s="762" t="str">
        <f>IFERROR(WWWW[[#This Row],['#_Water sources passed]]/WWWW[[#This Row],['#_Water sources tested for fecal coliform ]],"no test")</f>
        <v>no test</v>
      </c>
      <c r="CF196" s="760" t="str">
        <f>IFERROR(WWWW[[#This Row],['#_Household passed]]/WWWW[[#This Row],['#_Household water samples tested for fecal coliform]],"no test")</f>
        <v>no test</v>
      </c>
      <c r="CG196" s="761" t="str">
        <f>IF(AND(WWWW[[#This Row],[% of water sources passed]]="no test",WWWW[[#This Row],[% Household passed]]="no test"),"No Test","Tested")</f>
        <v>No Test</v>
      </c>
      <c r="CH196" s="761">
        <f>WWWW[[#This Row],['#_Constructed/existing protected hand dug well]]-WWWW[[#This Row],['#_Non-functional protected hand dug well]]</f>
        <v>2</v>
      </c>
      <c r="CI196" s="761">
        <f>(WWWW[[#This Row],['#_Constructed/Existing tube wells/boreholes/handpumps_WASH_agency]]+WWWW[[#This Row],['#_Non-Cluster partner water tube-wells/boreholes/handpumps]])-WWWW[[#This Row],['#_Non-functional tube wells/boreholes/handpumps]]</f>
        <v>2</v>
      </c>
      <c r="CJ196" s="761">
        <f>WWWW[[#This Row],['#_Constructed/Existingwater storage tank with gravity fed reticulation system]]-WWWW[[#This Row],['#_Non-functional storage tank gravity fed reticulation system]]</f>
        <v>1</v>
      </c>
      <c r="CK196" s="761">
        <f>(WWWW[[#This Row],['#_Water_Liters_supplied_by_Water boating or water trucking]]/90)/15</f>
        <v>0</v>
      </c>
      <c r="CL196" s="761">
        <f>WWWW[[#This Row],['#_Water_Liters_from_Constructed/Existing water distribution system from river or natural spring]]/90/15</f>
        <v>0</v>
      </c>
      <c r="CM196" s="425">
        <f>IF(WWWW[[#This Row],['#_of water points in TLS/CFS]]*500&gt;WWWW[[#This Row],[Total PoP ]],WWWW[[#This Row],[Total PoP ]],WWWW[[#This Row],['#_of water points in TLS/CFS]]*500)</f>
        <v>0</v>
      </c>
      <c r="CN196" s="425">
        <f>IF(WWWW[[#This Row],['#_of water points in THF]]*500&gt;WWWW[[#This Row],[Total PoP ]],WWWW[[#This Row],[Total PoP ]],WWWW[[#This Row],['#_of water points in THF]]*500)</f>
        <v>0</v>
      </c>
      <c r="CO196"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6"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196" s="760">
        <f>IF(WWWW[[#This Row],[Location Type 1]]="Village",WWWW[[#This Row],[Access to safe drinking water for Village]],WWWW[[#This Row],[Access to safe drinking water for Camp]])</f>
        <v>1</v>
      </c>
      <c r="CR196" s="758">
        <f>WWWW[[#This Row],[%Equitable and continuous access to sufficient quantity of safe drinking water]]*WWWW[[#This Row],[Total PoP ]]</f>
        <v>255</v>
      </c>
      <c r="CS196" s="760">
        <f>IF((WWWW[[#This Row],['#_Constructed/Existing protected/fenced ponds]]*250)/WWWW[[#This Row],[Total PoP ]]&gt;1,1,(WWWW[[#This Row],['#_Constructed/Existing protected/fenced ponds]]*250)/WWWW[[#This Row],[Total PoP ]])</f>
        <v>0</v>
      </c>
      <c r="CT196" s="758">
        <f>WWWW[[#This Row],[% Access to unimproved water points]]*WWWW[[#This Row],[Total PoP ]]</f>
        <v>0</v>
      </c>
      <c r="CU196"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6"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196" s="758">
        <f>WWWW[[#This Row],[HRP1]]/500</f>
        <v>0.51</v>
      </c>
      <c r="CX196" s="763">
        <f>1-WWWW[[#This Row],[% Equitable and continuous access to sufficient quantity of domestic water]]</f>
        <v>0</v>
      </c>
      <c r="CY196" s="758">
        <f>WWWW[[#This Row],[%equitable and continuous access to sufficient quantity of safe drinking and domestic water''s GAP]]*WWWW[[#This Row],[Total PoP ]]</f>
        <v>0</v>
      </c>
      <c r="CZ196" s="761">
        <f>IF(WWWW[[#This Row],[Total required water points]]-WWWW[[#This Row],['#Water points coverage]]&lt;0,0,WWWW[[#This Row],[Total required water points]]-WWWW[[#This Row],['#Water points coverage]])</f>
        <v>0.49</v>
      </c>
      <c r="DA196" s="761">
        <f>ROUND(IF(WWWW[[#This Row],[Total PoP ]]&lt;500,1,WWWW[[#This Row],[Total PoP ]]/500),0)</f>
        <v>1</v>
      </c>
      <c r="DB196" s="761">
        <f>(WWWW[[#This Row],['#_Constructed latrines_by_WASHAgencies]]+WWWW[[#This Row],['#_Non Cluster partner latrines]])-WWWW[[#This Row],['#_Non-functional latrines]]</f>
        <v>16</v>
      </c>
      <c r="DC196" s="634">
        <f>WWWW[[#This Row],[HRP2]]/WWWW[[#This Row],[Total PoP ]]</f>
        <v>1</v>
      </c>
      <c r="DD196"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196"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6"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6" s="425">
        <f>IF(WWWW[[#This Row],['# of functional latrines in THF supported by WASH partners during the reporting period2]]="",0,WWWW[[#This Row],['# of functional latrines in THF supported by WASH partners during the reporting period2]]*50)</f>
        <v>0</v>
      </c>
      <c r="DH196" s="761">
        <f>ROUND(IF(WWWW[[#This Row],[Location Type 1]]="camp",WWWW[[#This Row],[Total PoP ]]/20,IF(WWWW[[#This Row],[Location Type 1]]="Temporary Location",WWWW[[#This Row],[Total PoP ]]/50,(WWWW[[#This Row],[Total PoP ]]/6))),0)</f>
        <v>13</v>
      </c>
      <c r="DI196" s="761">
        <f>IF(WWWW[[#This Row],[Total required Latrines]]-(WWWW[[#This Row],['#_Constructed latrines_by_WASHAgencies]]+WWWW[[#This Row],['#_Non Cluster partner latrines]])&lt;0,0,WWWW[[#This Row],[Total required Latrines]]-(WWWW[[#This Row],['#_Constructed latrines_by_WASHAgencies]]+WWWW[[#This Row],['#_Non Cluster partner latrines]]))</f>
        <v>0</v>
      </c>
      <c r="DJ196" s="763">
        <f>1-WWWW[[#This Row],[% people access to functioning Latrine]]</f>
        <v>0</v>
      </c>
      <c r="DK196" s="762">
        <f>IF(OR(WWWW[[#This Row],['#_Non-functional latrines]]="",WWWW[[#This Row],['#_Non-functional latrines]]=0),0,WWWW[[#This Row],['#_Non-functional latrines]]/(WWWW[[#This Row],['#_Constructed latrines_by_WASHAgencies]]+WWWW[[#This Row],['#_Non Cluster partner latrines]]))</f>
        <v>0</v>
      </c>
      <c r="DL196" s="758">
        <f>IF(500*(WWWW[[#This Row],['#_male hygiene promoters]]+WWWW[[#This Row],['#_female hygiene promoters]])&gt;WWWW[[#This Row],[Total PoP ]],WWWW[[#This Row],[Total PoP ]],500*(WWWW[[#This Row],['#_male hygiene promoters]]+WWWW[[#This Row],['#_female hygiene promoters]]))</f>
        <v>255</v>
      </c>
      <c r="DM196"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196"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196" s="761">
        <f>IF(WWWW[[#This Row],['# People with access to soap]]&gt;WWWW[[#This Row],['# People with access to Sanity Pads]],WWWW[[#This Row],['# People with access to soap]],WWWW[[#This Row],['# People with access to Sanity Pads]])</f>
        <v>0</v>
      </c>
      <c r="DP196" s="761">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196" s="763">
        <f>IF(WWWW[[#This Row],[HRP3]]/WWWW[[#This Row],[Total PoP ]]&gt;1,1,WWWW[[#This Row],[HRP3]]/WWWW[[#This Row],[Total PoP ]])</f>
        <v>1</v>
      </c>
      <c r="DR196" s="762">
        <f>1-WWWW[[#This Row],[Hygiene Coverage%]]</f>
        <v>0</v>
      </c>
      <c r="DS196" s="760">
        <f>WWWW[[#This Row],['# people reached by regular dedicated hygiene promotion_5]]/WWWW[[#This Row],[Total PoP ]]</f>
        <v>1</v>
      </c>
      <c r="DT196"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196"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196" s="761">
        <f>WWWW[[#This Row],['#_Constructed/Existing hand washing stations]]-WWWW[[#This Row],['#_Non-Functional_hand_washing_stations]]</f>
        <v>8</v>
      </c>
      <c r="DW196" s="758">
        <f>IF(WWWW[[#This Row],['# Functional hand washing stations during reporting period]]*20&gt;WWWW[[#This Row],[Total HH]],WWWW[[#This Row],[Total HH]],WWWW[[#This Row],['# Functional hand washing stations during reporting period]]*20)</f>
        <v>40</v>
      </c>
      <c r="DX196" s="758">
        <f>IF(WWWW[[#This Row],[Is sufficient soap available for TLS? (Yes/No)]]="yes",WWWW[[#This Row],['#_Constructed/Existing hand washing stations at TLS/CFS/THF]],0)</f>
        <v>0</v>
      </c>
      <c r="DY196" s="429">
        <f>IF(WWWW[[#This Row],['# Functional hand washing stations during reporting period]]*100&gt;WWWW[[#This Row],[Total PoP ]],WWWW[[#This Row],[Total PoP ]],WWWW[[#This Row],['# Functional hand washing stations during reporting period]]*100)</f>
        <v>255</v>
      </c>
      <c r="DZ196" s="429" t="str">
        <f>IF(OR(WWWW[[#This Row],['#_students at TLS_CFS]]="",WWWW[[#This Row],['#_students at TLS_CFS]]=0),"No","Yes")</f>
        <v>No</v>
      </c>
      <c r="EA196" s="634">
        <f>IF(WWWW[[#This Row],['#_of_affected_people_surveyed_who_report_feeling_informed_about_the_different_WASH_services_available_to_them]]="","",WWWW[[#This Row],['#_of_affected_people_surveyed_who_report_feeling_informed_about_the_different_WASH_services_available_to_them]]/WWWW[[#This Row],[Total PoP ]])</f>
        <v>3.5294117647058823E-2</v>
      </c>
      <c r="EB19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6" s="754" t="str">
        <f>VLOOKUP(WWWW[[#This Row],[Site Name]],SiteDB6[[Site Name]:[CCCM Management]],6,FALSE)</f>
        <v>Yes</v>
      </c>
      <c r="EF196" s="754" t="str">
        <f>VLOOKUP(WWWW[[#This Row],[Site Name]],SiteDB6[[Site Name]:[CCCM Focal Agency]],7,FALSE)</f>
        <v>KBC-BMO</v>
      </c>
      <c r="EG196" s="754" t="str">
        <f>VLOOKUP(WWWW[[#This Row],[Site Name]],SiteDB6[[Site Name]:[Location Type 1]],9,FALSE)</f>
        <v>Camp</v>
      </c>
      <c r="EH196" s="754" t="str">
        <f>VLOOKUP(WWWW[[#This Row],[Site Name]],SiteDB6[[Site Name]:[Type of Accommodation]],10,FALSE)</f>
        <v>Camp</v>
      </c>
      <c r="EI196" s="754" t="str">
        <f>VLOOKUP(WWWW[[#This Row],[Site Name]],SiteDB6[[Site Name]:[Ethnic or GCA/NGCA]],11,FALSE)</f>
        <v>GCA</v>
      </c>
      <c r="EJ196" s="754">
        <f>VLOOKUP(WWWW[[#This Row],[Site Name]],SiteDB6[[Site Name]:[Lat]],12,FALSE)</f>
        <v>24.207332999999998</v>
      </c>
      <c r="EK196" s="754">
        <f>VLOOKUP(WWWW[[#This Row],[Site Name]],SiteDB6[[Site Name]:[Long]],13,FALSE)</f>
        <v>97.710864000000001</v>
      </c>
      <c r="EL196" s="754" t="str">
        <f>VLOOKUP(WWWW[[#This Row],[Site Name]],SiteDB6[[Site Name]:[Pcode]],3,FALSE)</f>
        <v>MMR001CMP073</v>
      </c>
      <c r="EM196" s="759" t="str">
        <f t="shared" si="2"/>
        <v>Covered</v>
      </c>
      <c r="EN196" s="759"/>
      <c r="EO196" s="754">
        <f>VLOOKUP(WWWW[[#This Row],[Site Name]],SiteDB6[[Site Name]:[Pop
(Kachin/Shan-CCCM as of July 2021)]],16,FALSE)</f>
        <v>47</v>
      </c>
      <c r="EP196" s="754">
        <f>VLOOKUP(WWWW[[#This Row],[Site Name]],SiteDB6[[Site Name]:[Pop
(Kachin/Shan-CCCM as of July 2021)]],17,FALSE)</f>
        <v>279</v>
      </c>
    </row>
    <row r="197" spans="1:146" ht="110.4" hidden="1">
      <c r="A197" s="752" t="s">
        <v>2785</v>
      </c>
      <c r="B197" s="752" t="s">
        <v>2697</v>
      </c>
      <c r="C197" s="752" t="s">
        <v>2697</v>
      </c>
      <c r="D197" s="753" t="s">
        <v>2741</v>
      </c>
      <c r="E197" s="753" t="s">
        <v>37</v>
      </c>
      <c r="F197" s="753" t="s">
        <v>587</v>
      </c>
      <c r="G197" s="594" t="str">
        <f>VLOOKUP(WWWW[[#This Row],[Site Name]],SiteDB6[[Site Name]:[Location Type]],8,FALSE)</f>
        <v>Camp</v>
      </c>
      <c r="H197" s="753" t="s">
        <v>2715</v>
      </c>
      <c r="I197" s="755">
        <v>131</v>
      </c>
      <c r="J197" s="755">
        <v>586</v>
      </c>
      <c r="K197" s="767" t="s">
        <v>2742</v>
      </c>
      <c r="L197" s="768" t="s">
        <v>2743</v>
      </c>
      <c r="M197" s="755"/>
      <c r="N197" s="755"/>
      <c r="O197" s="755"/>
      <c r="P197" s="755"/>
      <c r="Q197" s="758"/>
      <c r="R197" s="755"/>
      <c r="S197" s="755"/>
      <c r="T197" s="449"/>
      <c r="U197" s="755"/>
      <c r="V197" s="755"/>
      <c r="W197" s="755"/>
      <c r="X197" s="755"/>
      <c r="Y197" s="755"/>
      <c r="Z197" s="755"/>
      <c r="AA197" s="755"/>
      <c r="AB197" s="755"/>
      <c r="AC197" s="755"/>
      <c r="AD197" s="755"/>
      <c r="AE197" s="755"/>
      <c r="AF197" s="755"/>
      <c r="AG197" s="755"/>
      <c r="AH197" s="755"/>
      <c r="AI197" s="755"/>
      <c r="AJ197" s="755"/>
      <c r="AK197" s="755"/>
      <c r="AL197" s="755"/>
      <c r="AM197" s="755">
        <v>12</v>
      </c>
      <c r="AN197" s="755"/>
      <c r="AO197" s="755"/>
      <c r="AP197" s="765" t="s">
        <v>2744</v>
      </c>
      <c r="AQ197" s="755">
        <v>12</v>
      </c>
      <c r="AR197" s="755"/>
      <c r="AS197" s="760"/>
      <c r="AT197" s="755"/>
      <c r="AU197" s="755">
        <v>10</v>
      </c>
      <c r="AV197" s="755"/>
      <c r="AW197" s="755"/>
      <c r="AX197" s="755"/>
      <c r="AY197" s="426" t="s">
        <v>140</v>
      </c>
      <c r="AZ197" s="891" t="s">
        <v>140</v>
      </c>
      <c r="BA197" s="755"/>
      <c r="BB197" s="755"/>
      <c r="BC197" s="755"/>
      <c r="BD197" s="449"/>
      <c r="BE197" s="449">
        <v>25</v>
      </c>
      <c r="BF197" s="766" t="s">
        <v>2745</v>
      </c>
      <c r="BG197" s="755">
        <v>3</v>
      </c>
      <c r="BH197" s="755"/>
      <c r="BI197" s="755"/>
      <c r="BJ197" s="755">
        <v>2</v>
      </c>
      <c r="BK197" s="755">
        <v>4</v>
      </c>
      <c r="BL197" s="755">
        <v>2</v>
      </c>
      <c r="BM197" s="755"/>
      <c r="BN197" s="755">
        <v>10</v>
      </c>
      <c r="BO197" s="755">
        <v>18</v>
      </c>
      <c r="BP197" s="754"/>
      <c r="BQ197" s="761"/>
      <c r="BR197" s="760"/>
      <c r="BS197" s="766" t="s">
        <v>2746</v>
      </c>
      <c r="BT197" s="424"/>
      <c r="BU197" s="424"/>
      <c r="BV197" s="426"/>
      <c r="BW197" s="424"/>
      <c r="BX197" s="449"/>
      <c r="BY197" s="449"/>
      <c r="BZ197" s="449"/>
      <c r="CA197" s="449"/>
      <c r="CB197" s="449"/>
      <c r="CC197" s="807"/>
      <c r="CD197" s="449"/>
      <c r="CE197" s="762" t="str">
        <f>IFERROR(WWWW[[#This Row],['#_Water sources passed]]/WWWW[[#This Row],['#_Water sources tested for fecal coliform ]],"no test")</f>
        <v>no test</v>
      </c>
      <c r="CF197" s="760" t="str">
        <f>IFERROR(WWWW[[#This Row],['#_Household passed]]/WWWW[[#This Row],['#_Household water samples tested for fecal coliform]],"no test")</f>
        <v>no test</v>
      </c>
      <c r="CG197" s="761" t="str">
        <f>IF(AND(WWWW[[#This Row],[% of water sources passed]]="no test",WWWW[[#This Row],[% Household passed]]="no test"),"No Test","Tested")</f>
        <v>No Test</v>
      </c>
      <c r="CH197" s="761">
        <f>WWWW[[#This Row],['#_Constructed/existing protected hand dug well]]-WWWW[[#This Row],['#_Non-functional protected hand dug well]]</f>
        <v>0</v>
      </c>
      <c r="CI197" s="761">
        <f>(WWWW[[#This Row],['#_Constructed/Existing tube wells/boreholes/handpumps_WASH_agency]]+WWWW[[#This Row],['#_Non-Cluster partner water tube-wells/boreholes/handpumps]])-WWWW[[#This Row],['#_Non-functional tube wells/boreholes/handpumps]]</f>
        <v>0</v>
      </c>
      <c r="CJ197" s="761">
        <f>WWWW[[#This Row],['#_Constructed/Existingwater storage tank with gravity fed reticulation system]]-WWWW[[#This Row],['#_Non-functional storage tank gravity fed reticulation system]]</f>
        <v>0</v>
      </c>
      <c r="CK197" s="761">
        <f>(WWWW[[#This Row],['#_Water_Liters_supplied_by_Water boating or water trucking]]/90)/15</f>
        <v>0</v>
      </c>
      <c r="CL197" s="761">
        <f>WWWW[[#This Row],['#_Water_Liters_from_Constructed/Existing water distribution system from river or natural spring]]/90/15</f>
        <v>0</v>
      </c>
      <c r="CM197" s="425">
        <f>IF(WWWW[[#This Row],['#_of water points in TLS/CFS]]*500&gt;WWWW[[#This Row],[Total PoP ]],WWWW[[#This Row],[Total PoP ]],WWWW[[#This Row],['#_of water points in TLS/CFS]]*500)</f>
        <v>0</v>
      </c>
      <c r="CN197" s="425">
        <f>IF(WWWW[[#This Row],['#_of water points in THF]]*500&gt;WWWW[[#This Row],[Total PoP ]],WWWW[[#This Row],[Total PoP ]],WWWW[[#This Row],['#_of water points in THF]]*500)</f>
        <v>0</v>
      </c>
      <c r="CO197"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197"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197" s="760">
        <f>IF(WWWW[[#This Row],[Location Type 1]]="Village",WWWW[[#This Row],[Access to safe drinking water for Village]],WWWW[[#This Row],[Access to safe drinking water for Camp]])</f>
        <v>0</v>
      </c>
      <c r="CR197" s="758">
        <f>WWWW[[#This Row],[%Equitable and continuous access to sufficient quantity of safe drinking water]]*WWWW[[#This Row],[Total PoP ]]</f>
        <v>0</v>
      </c>
      <c r="CS197" s="760">
        <f>IF((WWWW[[#This Row],['#_Constructed/Existing protected/fenced ponds]]*250)/WWWW[[#This Row],[Total PoP ]]&gt;1,1,(WWWW[[#This Row],['#_Constructed/Existing protected/fenced ponds]]*250)/WWWW[[#This Row],[Total PoP ]])</f>
        <v>0</v>
      </c>
      <c r="CT197" s="758">
        <f>WWWW[[#This Row],[% Access to unimproved water points]]*WWWW[[#This Row],[Total PoP ]]</f>
        <v>0</v>
      </c>
      <c r="CU197"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197"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197" s="758">
        <f>WWWW[[#This Row],[HRP1]]/500</f>
        <v>0</v>
      </c>
      <c r="CX197" s="763">
        <f>1-WWWW[[#This Row],[% Equitable and continuous access to sufficient quantity of domestic water]]</f>
        <v>1</v>
      </c>
      <c r="CY197" s="758">
        <f>WWWW[[#This Row],[%equitable and continuous access to sufficient quantity of safe drinking and domestic water''s GAP]]*WWWW[[#This Row],[Total PoP ]]</f>
        <v>586</v>
      </c>
      <c r="CZ197" s="761">
        <f>IF(WWWW[[#This Row],[Total required water points]]-WWWW[[#This Row],['#Water points coverage]]&lt;0,0,WWWW[[#This Row],[Total required water points]]-WWWW[[#This Row],['#Water points coverage]])</f>
        <v>1</v>
      </c>
      <c r="DA197" s="761">
        <f>ROUND(IF(WWWW[[#This Row],[Total PoP ]]&lt;500,1,WWWW[[#This Row],[Total PoP ]]/500),0)</f>
        <v>1</v>
      </c>
      <c r="DB197" s="761">
        <f>(WWWW[[#This Row],['#_Constructed latrines_by_WASHAgencies]]+WWWW[[#This Row],['#_Non Cluster partner latrines]])-WWWW[[#This Row],['#_Non-functional latrines]]</f>
        <v>12</v>
      </c>
      <c r="DC197" s="634">
        <f>WWWW[[#This Row],[HRP2]]/WWWW[[#This Row],[Total PoP ]]</f>
        <v>0.4522184300341297</v>
      </c>
      <c r="DD197"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265</v>
      </c>
      <c r="DE197"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7"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7" s="425">
        <f>IF(WWWW[[#This Row],['# of functional latrines in THF supported by WASH partners during the reporting period2]]="",0,WWWW[[#This Row],['# of functional latrines in THF supported by WASH partners during the reporting period2]]*50)</f>
        <v>0</v>
      </c>
      <c r="DH197" s="761">
        <f>ROUND(IF(WWWW[[#This Row],[Location Type 1]]="camp",WWWW[[#This Row],[Total PoP ]]/20,IF(WWWW[[#This Row],[Location Type 1]]="Temporary Location",WWWW[[#This Row],[Total PoP ]]/50,(WWWW[[#This Row],[Total PoP ]]/6))),0)</f>
        <v>29</v>
      </c>
      <c r="DI197" s="761">
        <f>IF(WWWW[[#This Row],[Total required Latrines]]-(WWWW[[#This Row],['#_Constructed latrines_by_WASHAgencies]]+WWWW[[#This Row],['#_Non Cluster partner latrines]])&lt;0,0,WWWW[[#This Row],[Total required Latrines]]-(WWWW[[#This Row],['#_Constructed latrines_by_WASHAgencies]]+WWWW[[#This Row],['#_Non Cluster partner latrines]]))</f>
        <v>17</v>
      </c>
      <c r="DJ197" s="763">
        <f>1-WWWW[[#This Row],[% people access to functioning Latrine]]</f>
        <v>0.54778156996587035</v>
      </c>
      <c r="DK197" s="762">
        <f>IF(OR(WWWW[[#This Row],['#_Non-functional latrines]]="",WWWW[[#This Row],['#_Non-functional latrines]]=0),0,WWWW[[#This Row],['#_Non-functional latrines]]/(WWWW[[#This Row],['#_Constructed latrines_by_WASHAgencies]]+WWWW[[#This Row],['#_Non Cluster partner latrines]]))</f>
        <v>0</v>
      </c>
      <c r="DL197" s="758">
        <f>IF(500*(WWWW[[#This Row],['#_male hygiene promoters]]+WWWW[[#This Row],['#_female hygiene promoters]])&gt;WWWW[[#This Row],[Total PoP ]],WWWW[[#This Row],[Total PoP ]],500*(WWWW[[#This Row],['#_male hygiene promoters]]+WWWW[[#This Row],['#_female hygiene promoters]]))</f>
        <v>586</v>
      </c>
      <c r="DM197"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v>
      </c>
      <c r="DN197"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O197" s="761">
        <f>IF(WWWW[[#This Row],['# People with access to soap]]&gt;WWWW[[#This Row],['# People with access to Sanity Pads]],WWWW[[#This Row],['# People with access to soap]],WWWW[[#This Row],['# People with access to Sanity Pads]])</f>
        <v>50</v>
      </c>
      <c r="DP197" s="761">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197" s="763">
        <f>IF(WWWW[[#This Row],[HRP3]]/WWWW[[#This Row],[Total PoP ]]&gt;1,1,WWWW[[#This Row],[HRP3]]/WWWW[[#This Row],[Total PoP ]])</f>
        <v>1</v>
      </c>
      <c r="DR197" s="762">
        <f>1-WWWW[[#This Row],[Hygiene Coverage%]]</f>
        <v>0</v>
      </c>
      <c r="DS197" s="760">
        <f>WWWW[[#This Row],['# people reached by regular dedicated hygiene promotion_5]]/WWWW[[#This Row],[Total PoP ]]</f>
        <v>1</v>
      </c>
      <c r="DT197"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7.6335877862595422E-2</v>
      </c>
      <c r="DU197"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0.13740458015267176</v>
      </c>
      <c r="DV197" s="761">
        <f>WWWW[[#This Row],['#_Constructed/Existing hand washing stations]]-WWWW[[#This Row],['#_Non-Functional_hand_washing_stations]]</f>
        <v>3</v>
      </c>
      <c r="DW197" s="758">
        <f>IF(WWWW[[#This Row],['# Functional hand washing stations during reporting period]]*20&gt;WWWW[[#This Row],[Total HH]],WWWW[[#This Row],[Total HH]],WWWW[[#This Row],['# Functional hand washing stations during reporting period]]*20)</f>
        <v>60</v>
      </c>
      <c r="DX197" s="758">
        <f>IF(WWWW[[#This Row],[Is sufficient soap available for TLS? (Yes/No)]]="yes",WWWW[[#This Row],['#_Constructed/Existing hand washing stations at TLS/CFS/THF]],0)</f>
        <v>0</v>
      </c>
      <c r="DY197" s="429">
        <f>IF(WWWW[[#This Row],['# Functional hand washing stations during reporting period]]*100&gt;WWWW[[#This Row],[Total PoP ]],WWWW[[#This Row],[Total PoP ]],WWWW[[#This Row],['# Functional hand washing stations during reporting period]]*100)</f>
        <v>300</v>
      </c>
      <c r="DZ197" s="429" t="str">
        <f>IF(OR(WWWW[[#This Row],['#_students at TLS_CFS]]="",WWWW[[#This Row],['#_students at TLS_CFS]]=0),"No","Yes")</f>
        <v>No</v>
      </c>
      <c r="EA19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7" s="754" t="str">
        <f>VLOOKUP(WWWW[[#This Row],[Site Name]],SiteDB6[[Site Name]:[CCCM Management]],6,FALSE)</f>
        <v>Yes</v>
      </c>
      <c r="EF197" s="754" t="str">
        <f>VLOOKUP(WWWW[[#This Row],[Site Name]],SiteDB6[[Site Name]:[CCCM Focal Agency]],7,FALSE)</f>
        <v>STW/KMSS-MYT</v>
      </c>
      <c r="EG197" s="754" t="str">
        <f>VLOOKUP(WWWW[[#This Row],[Site Name]],SiteDB6[[Site Name]:[Location Type 1]],9,FALSE)</f>
        <v>Camp</v>
      </c>
      <c r="EH197" s="754" t="str">
        <f>VLOOKUP(WWWW[[#This Row],[Site Name]],SiteDB6[[Site Name]:[Type of Accommodation]],10,FALSE)</f>
        <v>Camp</v>
      </c>
      <c r="EI197" s="754" t="str">
        <f>VLOOKUP(WWWW[[#This Row],[Site Name]],SiteDB6[[Site Name]:[Ethnic or GCA/NGCA]],11,FALSE)</f>
        <v>NGCA</v>
      </c>
      <c r="EJ197" s="754">
        <f>VLOOKUP(WWWW[[#This Row],[Site Name]],SiteDB6[[Site Name]:[Lat]],12,FALSE)</f>
        <v>26.007408000000002</v>
      </c>
      <c r="EK197" s="754">
        <f>VLOOKUP(WWWW[[#This Row],[Site Name]],SiteDB6[[Site Name]:[Long]],13,FALSE)</f>
        <v>97.823777000000007</v>
      </c>
      <c r="EL197" s="754" t="str">
        <f>VLOOKUP(WWWW[[#This Row],[Site Name]],SiteDB6[[Site Name]:[Pcode]],3,FALSE)</f>
        <v>MMR001CMP280</v>
      </c>
      <c r="EM197" s="759" t="str">
        <f t="shared" si="2"/>
        <v>Covered</v>
      </c>
      <c r="EN197" s="759"/>
      <c r="EO197" s="754">
        <f>VLOOKUP(WWWW[[#This Row],[Site Name]],SiteDB6[[Site Name]:[Pop
(Kachin/Shan-CCCM as of July 2021)]],16,FALSE)</f>
        <v>140</v>
      </c>
      <c r="EP197" s="754">
        <f>VLOOKUP(WWWW[[#This Row],[Site Name]],SiteDB6[[Site Name]:[Pop
(Kachin/Shan-CCCM as of July 2021)]],17,FALSE)</f>
        <v>659</v>
      </c>
    </row>
    <row r="198" spans="1:146" ht="96.6" hidden="1">
      <c r="A198" s="752" t="s">
        <v>2785</v>
      </c>
      <c r="B198" s="752" t="s">
        <v>2697</v>
      </c>
      <c r="C198" s="753" t="s">
        <v>2697</v>
      </c>
      <c r="D198" s="753" t="s">
        <v>2708</v>
      </c>
      <c r="E198" s="753" t="s">
        <v>37</v>
      </c>
      <c r="F198" s="753" t="s">
        <v>142</v>
      </c>
      <c r="G198" s="594" t="str">
        <f>VLOOKUP(WWWW[[#This Row],[Site Name]],SiteDB6[[Site Name]:[Location Type]],8,FALSE)</f>
        <v>Camp</v>
      </c>
      <c r="H198" s="753" t="s">
        <v>771</v>
      </c>
      <c r="I198" s="755">
        <v>62</v>
      </c>
      <c r="J198" s="755">
        <v>410</v>
      </c>
      <c r="K198" s="756">
        <v>44197</v>
      </c>
      <c r="L198" s="757">
        <v>44561</v>
      </c>
      <c r="M198" s="755"/>
      <c r="N198" s="755"/>
      <c r="O198" s="755"/>
      <c r="P198" s="755"/>
      <c r="Q198" s="758" t="s">
        <v>41</v>
      </c>
      <c r="R198" s="755">
        <v>3</v>
      </c>
      <c r="S198" s="755">
        <v>2</v>
      </c>
      <c r="T198" s="449"/>
      <c r="U198" s="755"/>
      <c r="V198" s="755"/>
      <c r="W198" s="755">
        <v>2</v>
      </c>
      <c r="X198" s="755"/>
      <c r="Y198" s="755">
        <v>1</v>
      </c>
      <c r="Z198" s="755"/>
      <c r="AA198" s="755"/>
      <c r="AB198" s="755"/>
      <c r="AC198" s="755"/>
      <c r="AD198" s="755"/>
      <c r="AE198" s="755"/>
      <c r="AF198" s="755"/>
      <c r="AG198" s="755"/>
      <c r="AH198" s="755">
        <v>1</v>
      </c>
      <c r="AI198" s="755"/>
      <c r="AJ198" s="755"/>
      <c r="AK198" s="755"/>
      <c r="AL198" s="755"/>
      <c r="AM198" s="755"/>
      <c r="AN198" s="755"/>
      <c r="AO198" s="755"/>
      <c r="AP198" s="765" t="s">
        <v>2740</v>
      </c>
      <c r="AQ198" s="755">
        <v>59</v>
      </c>
      <c r="AR198" s="755"/>
      <c r="AS198" s="760"/>
      <c r="AT198" s="755">
        <v>6</v>
      </c>
      <c r="AU198" s="755"/>
      <c r="AV198" s="755"/>
      <c r="AW198" s="755"/>
      <c r="AX198" s="755">
        <v>3</v>
      </c>
      <c r="AY198" s="754" t="s">
        <v>41</v>
      </c>
      <c r="AZ198" s="759" t="s">
        <v>904</v>
      </c>
      <c r="BA198" s="755"/>
      <c r="BB198" s="755"/>
      <c r="BC198" s="755"/>
      <c r="BD198" s="449"/>
      <c r="BE198" s="449"/>
      <c r="BF198" s="766" t="s">
        <v>2709</v>
      </c>
      <c r="BG198" s="755">
        <v>1</v>
      </c>
      <c r="BH198" s="755"/>
      <c r="BI198" s="755"/>
      <c r="BJ198" s="755">
        <v>3</v>
      </c>
      <c r="BK198" s="755">
        <v>2</v>
      </c>
      <c r="BL198" s="755"/>
      <c r="BM198" s="755"/>
      <c r="BN198" s="755">
        <v>41</v>
      </c>
      <c r="BO198" s="755">
        <v>85</v>
      </c>
      <c r="BP198" s="754"/>
      <c r="BQ198" s="761"/>
      <c r="BR198" s="760"/>
      <c r="BS198" s="754"/>
      <c r="BT198" s="424"/>
      <c r="BU198" s="424"/>
      <c r="BV198" s="426"/>
      <c r="BW198" s="424"/>
      <c r="BX198" s="449"/>
      <c r="BY198" s="449"/>
      <c r="BZ198" s="449"/>
      <c r="CA198" s="449"/>
      <c r="CB198" s="449"/>
      <c r="CC198" s="807"/>
      <c r="CD198" s="449"/>
      <c r="CE198" s="762" t="str">
        <f>IFERROR(WWWW[[#This Row],['#_Water sources passed]]/WWWW[[#This Row],['#_Water sources tested for fecal coliform ]],"no test")</f>
        <v>no test</v>
      </c>
      <c r="CF198" s="760" t="str">
        <f>IFERROR(WWWW[[#This Row],['#_Household passed]]/WWWW[[#This Row],['#_Household water samples tested for fecal coliform]],"no test")</f>
        <v>no test</v>
      </c>
      <c r="CG198" s="761" t="str">
        <f>IF(AND(WWWW[[#This Row],[% of water sources passed]]="no test",WWWW[[#This Row],[% Household passed]]="no test"),"No Test","Tested")</f>
        <v>No Test</v>
      </c>
      <c r="CH198" s="761">
        <f>WWWW[[#This Row],['#_Constructed/existing protected hand dug well]]-WWWW[[#This Row],['#_Non-functional protected hand dug well]]</f>
        <v>0</v>
      </c>
      <c r="CI198" s="761">
        <f>(WWWW[[#This Row],['#_Constructed/Existing tube wells/boreholes/handpumps_WASH_agency]]+WWWW[[#This Row],['#_Non-Cluster partner water tube-wells/boreholes/handpumps]])-WWWW[[#This Row],['#_Non-functional tube wells/boreholes/handpumps]]</f>
        <v>1</v>
      </c>
      <c r="CJ198" s="761">
        <f>WWWW[[#This Row],['#_Constructed/Existingwater storage tank with gravity fed reticulation system]]-WWWW[[#This Row],['#_Non-functional storage tank gravity fed reticulation system]]</f>
        <v>0</v>
      </c>
      <c r="CK198" s="761">
        <f>(WWWW[[#This Row],['#_Water_Liters_supplied_by_Water boating or water trucking]]/90)/15</f>
        <v>0</v>
      </c>
      <c r="CL198" s="761">
        <f>WWWW[[#This Row],['#_Water_Liters_from_Constructed/Existing water distribution system from river or natural spring]]/90/15</f>
        <v>0</v>
      </c>
      <c r="CM198" s="425">
        <f>IF(WWWW[[#This Row],['#_of water points in TLS/CFS]]*500&gt;WWWW[[#This Row],[Total PoP ]],WWWW[[#This Row],[Total PoP ]],WWWW[[#This Row],['#_of water points in TLS/CFS]]*500)</f>
        <v>0</v>
      </c>
      <c r="CN198" s="425">
        <f>IF(WWWW[[#This Row],['#_of water points in THF]]*500&gt;WWWW[[#This Row],[Total PoP ]],WWWW[[#This Row],[Total PoP ]],WWWW[[#This Row],['#_of water points in THF]]*500)</f>
        <v>0</v>
      </c>
      <c r="CO198"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198"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0.6097560975609756</v>
      </c>
      <c r="CQ198" s="760">
        <f>IF(WWWW[[#This Row],[Location Type 1]]="Village",WWWW[[#This Row],[Access to safe drinking water for Village]],WWWW[[#This Row],[Access to safe drinking water for Camp]])</f>
        <v>1</v>
      </c>
      <c r="CR198" s="758">
        <f>WWWW[[#This Row],[%Equitable and continuous access to sufficient quantity of safe drinking water]]*WWWW[[#This Row],[Total PoP ]]</f>
        <v>410</v>
      </c>
      <c r="CS198" s="760">
        <f>IF((WWWW[[#This Row],['#_Constructed/Existing protected/fenced ponds]]*250)/WWWW[[#This Row],[Total PoP ]]&gt;1,1,(WWWW[[#This Row],['#_Constructed/Existing protected/fenced ponds]]*250)/WWWW[[#This Row],[Total PoP ]])</f>
        <v>0</v>
      </c>
      <c r="CT198" s="758">
        <f>WWWW[[#This Row],[% Access to unimproved water points]]*WWWW[[#This Row],[Total PoP ]]</f>
        <v>0</v>
      </c>
      <c r="CU198"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8"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410</v>
      </c>
      <c r="CW198" s="758">
        <f>WWWW[[#This Row],[HRP1]]/500</f>
        <v>0.82</v>
      </c>
      <c r="CX198" s="763">
        <f>1-WWWW[[#This Row],[% Equitable and continuous access to sufficient quantity of domestic water]]</f>
        <v>0</v>
      </c>
      <c r="CY198" s="758">
        <f>WWWW[[#This Row],[%equitable and continuous access to sufficient quantity of safe drinking and domestic water''s GAP]]*WWWW[[#This Row],[Total PoP ]]</f>
        <v>0</v>
      </c>
      <c r="CZ198" s="761">
        <f>IF(WWWW[[#This Row],[Total required water points]]-WWWW[[#This Row],['#Water points coverage]]&lt;0,0,WWWW[[#This Row],[Total required water points]]-WWWW[[#This Row],['#Water points coverage]])</f>
        <v>0.18000000000000005</v>
      </c>
      <c r="DA198" s="761">
        <f>ROUND(IF(WWWW[[#This Row],[Total PoP ]]&lt;500,1,WWWW[[#This Row],[Total PoP ]]/500),0)</f>
        <v>1</v>
      </c>
      <c r="DB198" s="761">
        <f>(WWWW[[#This Row],['#_Constructed latrines_by_WASHAgencies]]+WWWW[[#This Row],['#_Non Cluster partner latrines]])-WWWW[[#This Row],['#_Non-functional latrines]]</f>
        <v>53</v>
      </c>
      <c r="DC198" s="634">
        <f>WWWW[[#This Row],[HRP2]]/WWWW[[#This Row],[Total PoP ]]</f>
        <v>1</v>
      </c>
      <c r="DD198"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410</v>
      </c>
      <c r="DE198"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8"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8" s="425">
        <f>IF(WWWW[[#This Row],['# of functional latrines in THF supported by WASH partners during the reporting period2]]="",0,WWWW[[#This Row],['# of functional latrines in THF supported by WASH partners during the reporting period2]]*50)</f>
        <v>0</v>
      </c>
      <c r="DH198" s="761">
        <f>ROUND(IF(WWWW[[#This Row],[Location Type 1]]="camp",WWWW[[#This Row],[Total PoP ]]/20,IF(WWWW[[#This Row],[Location Type 1]]="Temporary Location",WWWW[[#This Row],[Total PoP ]]/50,(WWWW[[#This Row],[Total PoP ]]/6))),0)</f>
        <v>21</v>
      </c>
      <c r="DI198" s="761">
        <f>IF(WWWW[[#This Row],[Total required Latrines]]-(WWWW[[#This Row],['#_Constructed latrines_by_WASHAgencies]]+WWWW[[#This Row],['#_Non Cluster partner latrines]])&lt;0,0,WWWW[[#This Row],[Total required Latrines]]-(WWWW[[#This Row],['#_Constructed latrines_by_WASHAgencies]]+WWWW[[#This Row],['#_Non Cluster partner latrines]]))</f>
        <v>0</v>
      </c>
      <c r="DJ198" s="763">
        <f>1-WWWW[[#This Row],[% people access to functioning Latrine]]</f>
        <v>0</v>
      </c>
      <c r="DK198" s="762">
        <f>IF(OR(WWWW[[#This Row],['#_Non-functional latrines]]="",WWWW[[#This Row],['#_Non-functional latrines]]=0),0,WWWW[[#This Row],['#_Non-functional latrines]]/(WWWW[[#This Row],['#_Constructed latrines_by_WASHAgencies]]+WWWW[[#This Row],['#_Non Cluster partner latrines]]))</f>
        <v>0.10169491525423729</v>
      </c>
      <c r="DL198" s="758">
        <f>IF(500*(WWWW[[#This Row],['#_male hygiene promoters]]+WWWW[[#This Row],['#_female hygiene promoters]])&gt;WWWW[[#This Row],[Total PoP ]],WWWW[[#This Row],[Total PoP ]],500*(WWWW[[#This Row],['#_male hygiene promoters]]+WWWW[[#This Row],['#_female hygiene promoters]]))</f>
        <v>0</v>
      </c>
      <c r="DM198"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198"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85</v>
      </c>
      <c r="DO198" s="761">
        <f>IF(WWWW[[#This Row],['# People with access to soap]]&gt;WWWW[[#This Row],['# People with access to Sanity Pads]],WWWW[[#This Row],['# People with access to soap]],WWWW[[#This Row],['# People with access to Sanity Pads]])</f>
        <v>205</v>
      </c>
      <c r="DP198" s="761">
        <f>IF(WWWW[[#This Row],['# people reached by regular dedicated hygiene promotion_5]]&gt;WWWW[[#This Row],['# People received regular supply of hygiene items_6]],WWWW[[#This Row],['# people reached by regular dedicated hygiene promotion_5]],WWWW[[#This Row],['# People received regular supply of hygiene items_6]])</f>
        <v>205</v>
      </c>
      <c r="DQ198" s="763">
        <f>IF(WWWW[[#This Row],[HRP3]]/WWWW[[#This Row],[Total PoP ]]&gt;1,1,WWWW[[#This Row],[HRP3]]/WWWW[[#This Row],[Total PoP ]])</f>
        <v>0.5</v>
      </c>
      <c r="DR198" s="762">
        <f>1-WWWW[[#This Row],[Hygiene Coverage%]]</f>
        <v>0.5</v>
      </c>
      <c r="DS198" s="760">
        <f>WWWW[[#This Row],['# people reached by regular dedicated hygiene promotion_5]]/WWWW[[#This Row],[Total PoP ]]</f>
        <v>0</v>
      </c>
      <c r="DT198"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198"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198" s="761">
        <f>WWWW[[#This Row],['#_Constructed/Existing hand washing stations]]-WWWW[[#This Row],['#_Non-Functional_hand_washing_stations]]</f>
        <v>1</v>
      </c>
      <c r="DW198" s="758">
        <f>IF(WWWW[[#This Row],['# Functional hand washing stations during reporting period]]*20&gt;WWWW[[#This Row],[Total HH]],WWWW[[#This Row],[Total HH]],WWWW[[#This Row],['# Functional hand washing stations during reporting period]]*20)</f>
        <v>20</v>
      </c>
      <c r="DX198" s="758">
        <f>IF(WWWW[[#This Row],[Is sufficient soap available for TLS? (Yes/No)]]="yes",WWWW[[#This Row],['#_Constructed/Existing hand washing stations at TLS/CFS/THF]],0)</f>
        <v>0</v>
      </c>
      <c r="DY198" s="429">
        <f>IF(WWWW[[#This Row],['# Functional hand washing stations during reporting period]]*100&gt;WWWW[[#This Row],[Total PoP ]],WWWW[[#This Row],[Total PoP ]],WWWW[[#This Row],['# Functional hand washing stations during reporting period]]*100)</f>
        <v>100</v>
      </c>
      <c r="DZ198" s="429" t="str">
        <f>IF(OR(WWWW[[#This Row],['#_students at TLS_CFS]]="",WWWW[[#This Row],['#_students at TLS_CFS]]=0),"No","Yes")</f>
        <v>No</v>
      </c>
      <c r="EA19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19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198" s="754">
        <f>VLOOKUP(WWWW[[#This Row],[Site Name]],SiteDB6[[Site Name]:[CCCM Management]],6,FALSE)</f>
        <v>0</v>
      </c>
      <c r="EF198" s="754" t="str">
        <f>VLOOKUP(WWWW[[#This Row],[Site Name]],SiteDB6[[Site Name]:[CCCM Focal Agency]],7,FALSE)</f>
        <v>uncovered</v>
      </c>
      <c r="EG198" s="754" t="str">
        <f>VLOOKUP(WWWW[[#This Row],[Site Name]],SiteDB6[[Site Name]:[Location Type 1]],9,FALSE)</f>
        <v>Camp</v>
      </c>
      <c r="EH198" s="754" t="str">
        <f>VLOOKUP(WWWW[[#This Row],[Site Name]],SiteDB6[[Site Name]:[Type of Accommodation]],10,FALSE)</f>
        <v>Camp like setting</v>
      </c>
      <c r="EI198" s="754" t="str">
        <f>VLOOKUP(WWWW[[#This Row],[Site Name]],SiteDB6[[Site Name]:[Ethnic or GCA/NGCA]],11,FALSE)</f>
        <v>GCA</v>
      </c>
      <c r="EJ198" s="754">
        <f>VLOOKUP(WWWW[[#This Row],[Site Name]],SiteDB6[[Site Name]:[Lat]],12,FALSE)</f>
        <v>25.305008999999998</v>
      </c>
      <c r="EK198" s="754">
        <f>VLOOKUP(WWWW[[#This Row],[Site Name]],SiteDB6[[Site Name]:[Long]],13,FALSE)</f>
        <v>97.430321000000006</v>
      </c>
      <c r="EL198" s="754" t="str">
        <f>VLOOKUP(WWWW[[#This Row],[Site Name]],SiteDB6[[Site Name]:[Pcode]],3,FALSE)</f>
        <v>MMR001CMP248</v>
      </c>
      <c r="EM198" s="759" t="str">
        <f t="shared" ref="EM198:EM260" si="3">IF(C198="none","Notcovered","Covered")</f>
        <v>Covered</v>
      </c>
      <c r="EN198" s="759"/>
      <c r="EO198" s="754">
        <f>VLOOKUP(WWWW[[#This Row],[Site Name]],SiteDB6[[Site Name]:[Pop
(Kachin/Shan-CCCM as of July 2021)]],16,FALSE)</f>
        <v>60</v>
      </c>
      <c r="EP198" s="754">
        <f>VLOOKUP(WWWW[[#This Row],[Site Name]],SiteDB6[[Site Name]:[Pop
(Kachin/Shan-CCCM as of July 2021)]],17,FALSE)</f>
        <v>371</v>
      </c>
    </row>
    <row r="199" spans="1:146" hidden="1">
      <c r="A199" s="752" t="s">
        <v>2785</v>
      </c>
      <c r="B199" s="752" t="s">
        <v>291</v>
      </c>
      <c r="C199" s="753" t="s">
        <v>291</v>
      </c>
      <c r="D199" s="753" t="s">
        <v>2648</v>
      </c>
      <c r="E199" s="753" t="s">
        <v>37</v>
      </c>
      <c r="F199" s="753" t="s">
        <v>38</v>
      </c>
      <c r="G199" s="594" t="str">
        <f>VLOOKUP(WWWW[[#This Row],[Site Name]],SiteDB6[[Site Name]:[Location Type]],8,FALSE)</f>
        <v>Camp</v>
      </c>
      <c r="H199" s="753" t="s">
        <v>1490</v>
      </c>
      <c r="I199" s="755">
        <v>361</v>
      </c>
      <c r="J199" s="755">
        <v>1887</v>
      </c>
      <c r="K199" s="756">
        <v>43952</v>
      </c>
      <c r="L199" s="757">
        <v>43889</v>
      </c>
      <c r="M199" s="755"/>
      <c r="N199" s="755"/>
      <c r="O199" s="755"/>
      <c r="P199" s="755"/>
      <c r="Q199" s="758" t="s">
        <v>41</v>
      </c>
      <c r="R199" s="755"/>
      <c r="S199" s="755"/>
      <c r="T199" s="449">
        <v>4</v>
      </c>
      <c r="U199" s="755"/>
      <c r="V199" s="755"/>
      <c r="W199" s="755"/>
      <c r="X199" s="755"/>
      <c r="Y199" s="755"/>
      <c r="Z199" s="755"/>
      <c r="AA199" s="755"/>
      <c r="AB199" s="755"/>
      <c r="AC199" s="755"/>
      <c r="AD199" s="755"/>
      <c r="AE199" s="755">
        <v>5</v>
      </c>
      <c r="AF199" s="755"/>
      <c r="AG199" s="755"/>
      <c r="AH199" s="755">
        <v>5</v>
      </c>
      <c r="AI199" s="755"/>
      <c r="AJ199" s="755"/>
      <c r="AK199" s="755"/>
      <c r="AL199" s="755"/>
      <c r="AM199" s="755">
        <v>0</v>
      </c>
      <c r="AN199" s="755">
        <v>5</v>
      </c>
      <c r="AO199" s="755"/>
      <c r="AP199" s="759"/>
      <c r="AQ199" s="755">
        <v>185</v>
      </c>
      <c r="AR199" s="755"/>
      <c r="AS199" s="760"/>
      <c r="AT199" s="755"/>
      <c r="AU199" s="755"/>
      <c r="AV199" s="755"/>
      <c r="AW199" s="755"/>
      <c r="AX199" s="755">
        <v>73</v>
      </c>
      <c r="AY199" s="754" t="s">
        <v>136</v>
      </c>
      <c r="AZ199" s="759" t="s">
        <v>137</v>
      </c>
      <c r="BA199" s="755">
        <v>4</v>
      </c>
      <c r="BB199" s="755">
        <v>60</v>
      </c>
      <c r="BC199" s="755">
        <v>15</v>
      </c>
      <c r="BD199" s="449">
        <v>2</v>
      </c>
      <c r="BE199" s="449"/>
      <c r="BF199" s="754"/>
      <c r="BG199" s="755">
        <v>1</v>
      </c>
      <c r="BH199" s="755"/>
      <c r="BI199" s="755">
        <v>60</v>
      </c>
      <c r="BJ199" s="755">
        <v>1</v>
      </c>
      <c r="BK199" s="755"/>
      <c r="BL199" s="755">
        <v>2</v>
      </c>
      <c r="BM199" s="755">
        <v>6</v>
      </c>
      <c r="BN199" s="755">
        <v>6</v>
      </c>
      <c r="BO199" s="755">
        <v>5</v>
      </c>
      <c r="BP199" s="754"/>
      <c r="BQ199" s="761"/>
      <c r="BR199" s="760"/>
      <c r="BS199" s="754"/>
      <c r="BT199" s="424"/>
      <c r="BU199" s="424"/>
      <c r="BV199" s="426"/>
      <c r="BW199" s="424"/>
      <c r="BX199" s="449"/>
      <c r="BY199" s="449"/>
      <c r="BZ199" s="449"/>
      <c r="CA199" s="449"/>
      <c r="CB199" s="449"/>
      <c r="CC199" s="807"/>
      <c r="CD199" s="449"/>
      <c r="CE199" s="762" t="str">
        <f>IFERROR(WWWW[[#This Row],['#_Water sources passed]]/WWWW[[#This Row],['#_Water sources tested for fecal coliform ]],"no test")</f>
        <v>no test</v>
      </c>
      <c r="CF199" s="760" t="str">
        <f>IFERROR(WWWW[[#This Row],['#_Household passed]]/WWWW[[#This Row],['#_Household water samples tested for fecal coliform]],"no test")</f>
        <v>no test</v>
      </c>
      <c r="CG199" s="761" t="str">
        <f>IF(AND(WWWW[[#This Row],[% of water sources passed]]="no test",WWWW[[#This Row],[% Household passed]]="no test"),"No Test","Tested")</f>
        <v>No Test</v>
      </c>
      <c r="CH199" s="761">
        <f>WWWW[[#This Row],['#_Constructed/existing protected hand dug well]]-WWWW[[#This Row],['#_Non-functional protected hand dug well]]</f>
        <v>4</v>
      </c>
      <c r="CI199" s="761">
        <f>(WWWW[[#This Row],['#_Constructed/Existing tube wells/boreholes/handpumps_WASH_agency]]+WWWW[[#This Row],['#_Non-Cluster partner water tube-wells/boreholes/handpumps]])-WWWW[[#This Row],['#_Non-functional tube wells/boreholes/handpumps]]</f>
        <v>0</v>
      </c>
      <c r="CJ199" s="761">
        <f>WWWW[[#This Row],['#_Constructed/Existingwater storage tank with gravity fed reticulation system]]-WWWW[[#This Row],['#_Non-functional storage tank gravity fed reticulation system]]</f>
        <v>0</v>
      </c>
      <c r="CK199" s="761">
        <f>(WWWW[[#This Row],['#_Water_Liters_supplied_by_Water boating or water trucking]]/90)/15</f>
        <v>0</v>
      </c>
      <c r="CL199" s="761">
        <f>WWWW[[#This Row],['#_Water_Liters_from_Constructed/Existing water distribution system from river or natural spring]]/90/15</f>
        <v>0</v>
      </c>
      <c r="CM199" s="425">
        <f>IF(WWWW[[#This Row],['#_of water points in TLS/CFS]]*500&gt;WWWW[[#This Row],[Total PoP ]],WWWW[[#This Row],[Total PoP ]],WWWW[[#This Row],['#_of water points in TLS/CFS]]*500)</f>
        <v>1887</v>
      </c>
      <c r="CN199" s="425">
        <f>IF(WWWW[[#This Row],['#_of water points in THF]]*500&gt;WWWW[[#This Row],[Total PoP ]],WWWW[[#This Row],[Total PoP ]],WWWW[[#This Row],['#_of water points in THF]]*500)</f>
        <v>0</v>
      </c>
      <c r="CO199"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0.84790673025967145</v>
      </c>
      <c r="CP199"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0.52994170641229466</v>
      </c>
      <c r="CQ199" s="760">
        <f>IF(WWWW[[#This Row],[Location Type 1]]="Village",WWWW[[#This Row],[Access to safe drinking water for Village]],WWWW[[#This Row],[Access to safe drinking water for Camp]])</f>
        <v>0.84790673025967145</v>
      </c>
      <c r="CR199" s="758">
        <f>WWWW[[#This Row],[%Equitable and continuous access to sufficient quantity of safe drinking water]]*WWWW[[#This Row],[Total PoP ]]</f>
        <v>1600</v>
      </c>
      <c r="CS199" s="760">
        <f>IF((WWWW[[#This Row],['#_Constructed/Existing protected/fenced ponds]]*250)/WWWW[[#This Row],[Total PoP ]]&gt;1,1,(WWWW[[#This Row],['#_Constructed/Existing protected/fenced ponds]]*250)/WWWW[[#This Row],[Total PoP ]])</f>
        <v>0.66242713301536826</v>
      </c>
      <c r="CT199" s="758">
        <f>WWWW[[#This Row],[% Access to unimproved water points]]*WWWW[[#This Row],[Total PoP ]]</f>
        <v>1250</v>
      </c>
      <c r="CU199"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199"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1887</v>
      </c>
      <c r="CW199" s="758">
        <f>WWWW[[#This Row],[HRP1]]/500</f>
        <v>3.774</v>
      </c>
      <c r="CX199" s="763">
        <f>1-WWWW[[#This Row],[% Equitable and continuous access to sufficient quantity of domestic water]]</f>
        <v>0</v>
      </c>
      <c r="CY199" s="758">
        <f>WWWW[[#This Row],[%equitable and continuous access to sufficient quantity of safe drinking and domestic water''s GAP]]*WWWW[[#This Row],[Total PoP ]]</f>
        <v>0</v>
      </c>
      <c r="CZ199" s="761">
        <f>IF(WWWW[[#This Row],[Total required water points]]-WWWW[[#This Row],['#Water points coverage]]&lt;0,0,WWWW[[#This Row],[Total required water points]]-WWWW[[#This Row],['#Water points coverage]])</f>
        <v>0.22599999999999998</v>
      </c>
      <c r="DA199" s="761">
        <f>ROUND(IF(WWWW[[#This Row],[Total PoP ]]&lt;500,1,WWWW[[#This Row],[Total PoP ]]/500),0)</f>
        <v>4</v>
      </c>
      <c r="DB199" s="761">
        <f>(WWWW[[#This Row],['#_Constructed latrines_by_WASHAgencies]]+WWWW[[#This Row],['#_Non Cluster partner latrines]])-WWWW[[#This Row],['#_Non-functional latrines]]</f>
        <v>185</v>
      </c>
      <c r="DC199" s="634">
        <f>WWWW[[#This Row],[HRP2]]/WWWW[[#This Row],[Total PoP ]]</f>
        <v>1</v>
      </c>
      <c r="DD199"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1887</v>
      </c>
      <c r="DE199"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199"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199" s="425">
        <f>IF(WWWW[[#This Row],['# of functional latrines in THF supported by WASH partners during the reporting period2]]="",0,WWWW[[#This Row],['# of functional latrines in THF supported by WASH partners during the reporting period2]]*50)</f>
        <v>100</v>
      </c>
      <c r="DH199" s="761">
        <f>ROUND(IF(WWWW[[#This Row],[Location Type 1]]="camp",WWWW[[#This Row],[Total PoP ]]/20,IF(WWWW[[#This Row],[Location Type 1]]="Temporary Location",WWWW[[#This Row],[Total PoP ]]/50,(WWWW[[#This Row],[Total PoP ]]/6))),0)</f>
        <v>94</v>
      </c>
      <c r="DI199" s="761">
        <f>IF(WWWW[[#This Row],[Total required Latrines]]-(WWWW[[#This Row],['#_Constructed latrines_by_WASHAgencies]]+WWWW[[#This Row],['#_Non Cluster partner latrines]])&lt;0,0,WWWW[[#This Row],[Total required Latrines]]-(WWWW[[#This Row],['#_Constructed latrines_by_WASHAgencies]]+WWWW[[#This Row],['#_Non Cluster partner latrines]]))</f>
        <v>0</v>
      </c>
      <c r="DJ199" s="763">
        <f>1-WWWW[[#This Row],[% people access to functioning Latrine]]</f>
        <v>0</v>
      </c>
      <c r="DK199" s="762">
        <f>IF(OR(WWWW[[#This Row],['#_Non-functional latrines]]="",WWWW[[#This Row],['#_Non-functional latrines]]=0),0,WWWW[[#This Row],['#_Non-functional latrines]]/(WWWW[[#This Row],['#_Constructed latrines_by_WASHAgencies]]+WWWW[[#This Row],['#_Non Cluster partner latrines]]))</f>
        <v>0</v>
      </c>
      <c r="DL199" s="758">
        <f>IF(500*(WWWW[[#This Row],['#_male hygiene promoters]]+WWWW[[#This Row],['#_female hygiene promoters]])&gt;WWWW[[#This Row],[Total PoP ]],WWWW[[#This Row],[Total PoP ]],500*(WWWW[[#This Row],['#_male hygiene promoters]]+WWWW[[#This Row],['#_female hygiene promoters]]))</f>
        <v>1887</v>
      </c>
      <c r="DM199"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v>
      </c>
      <c r="DN199"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v>
      </c>
      <c r="DO199" s="761">
        <f>IF(WWWW[[#This Row],['# People with access to soap]]&gt;WWWW[[#This Row],['# People with access to Sanity Pads]],WWWW[[#This Row],['# People with access to soap]],WWWW[[#This Row],['# People with access to Sanity Pads]])</f>
        <v>30</v>
      </c>
      <c r="DP199" s="761">
        <f>IF(WWWW[[#This Row],['# people reached by regular dedicated hygiene promotion_5]]&gt;WWWW[[#This Row],['# People received regular supply of hygiene items_6]],WWWW[[#This Row],['# people reached by regular dedicated hygiene promotion_5]],WWWW[[#This Row],['# People received regular supply of hygiene items_6]])</f>
        <v>1887</v>
      </c>
      <c r="DQ199" s="763">
        <f>IF(WWWW[[#This Row],[HRP3]]/WWWW[[#This Row],[Total PoP ]]&gt;1,1,WWWW[[#This Row],[HRP3]]/WWWW[[#This Row],[Total PoP ]])</f>
        <v>1</v>
      </c>
      <c r="DR199" s="762">
        <f>1-WWWW[[#This Row],[Hygiene Coverage%]]</f>
        <v>0</v>
      </c>
      <c r="DS199" s="760">
        <f>WWWW[[#This Row],['# people reached by regular dedicated hygiene promotion_5]]/WWWW[[#This Row],[Total PoP ]]</f>
        <v>1</v>
      </c>
      <c r="DT199"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1.662049861495845E-2</v>
      </c>
      <c r="DU199"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1.3850415512465374E-2</v>
      </c>
      <c r="DV199" s="761">
        <f>WWWW[[#This Row],['#_Constructed/Existing hand washing stations]]-WWWW[[#This Row],['#_Non-Functional_hand_washing_stations]]</f>
        <v>1</v>
      </c>
      <c r="DW199" s="758">
        <f>IF(WWWW[[#This Row],['# Functional hand washing stations during reporting period]]*20&gt;WWWW[[#This Row],[Total HH]],WWWW[[#This Row],[Total HH]],WWWW[[#This Row],['# Functional hand washing stations during reporting period]]*20)</f>
        <v>20</v>
      </c>
      <c r="DX199" s="758">
        <f>IF(WWWW[[#This Row],[Is sufficient soap available for TLS? (Yes/No)]]="yes",WWWW[[#This Row],['#_Constructed/Existing hand washing stations at TLS/CFS/THF]],0)</f>
        <v>0</v>
      </c>
      <c r="DY199" s="429">
        <f>IF(WWWW[[#This Row],['# Functional hand washing stations during reporting period]]*100&gt;WWWW[[#This Row],[Total PoP ]],WWWW[[#This Row],[Total PoP ]],WWWW[[#This Row],['# Functional hand washing stations during reporting period]]*100)</f>
        <v>100</v>
      </c>
      <c r="DZ199" s="429" t="str">
        <f>IF(OR(WWWW[[#This Row],['#_students at TLS_CFS]]="",WWWW[[#This Row],['#_students at TLS_CFS]]=0),"No","Yes")</f>
        <v>No</v>
      </c>
      <c r="EA19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19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19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1887</v>
      </c>
      <c r="ED19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199" s="754" t="str">
        <f>VLOOKUP(WWWW[[#This Row],[Site Name]],SiteDB6[[Site Name]:[CCCM Management]],6,FALSE)</f>
        <v>Yes</v>
      </c>
      <c r="EF199" s="754" t="str">
        <f>VLOOKUP(WWWW[[#This Row],[Site Name]],SiteDB6[[Site Name]:[CCCM Focal Agency]],7,FALSE)</f>
        <v>KMSS-BMO</v>
      </c>
      <c r="EG199" s="754" t="str">
        <f>VLOOKUP(WWWW[[#This Row],[Site Name]],SiteDB6[[Site Name]:[Location Type 1]],9,FALSE)</f>
        <v>Camp</v>
      </c>
      <c r="EH199" s="754" t="str">
        <f>VLOOKUP(WWWW[[#This Row],[Site Name]],SiteDB6[[Site Name]:[Type of Accommodation]],10,FALSE)</f>
        <v>Camp</v>
      </c>
      <c r="EI199" s="754" t="str">
        <f>VLOOKUP(WWWW[[#This Row],[Site Name]],SiteDB6[[Site Name]:[Ethnic or GCA/NGCA]],11,FALSE)</f>
        <v>NGCA</v>
      </c>
      <c r="EJ199" s="754">
        <f>VLOOKUP(WWWW[[#This Row],[Site Name]],SiteDB6[[Site Name]:[Lat]],12,FALSE)</f>
        <v>24.002433</v>
      </c>
      <c r="EK199" s="754">
        <f>VLOOKUP(WWWW[[#This Row],[Site Name]],SiteDB6[[Site Name]:[Long]],13,FALSE)</f>
        <v>97.609832999999995</v>
      </c>
      <c r="EL199" s="754" t="str">
        <f>VLOOKUP(WWWW[[#This Row],[Site Name]],SiteDB6[[Site Name]:[Pcode]],3,FALSE)</f>
        <v>MMR001CMP129</v>
      </c>
      <c r="EM199" s="759" t="str">
        <f t="shared" si="3"/>
        <v>Covered</v>
      </c>
      <c r="EN199" s="759"/>
      <c r="EO199" s="754">
        <f>VLOOKUP(WWWW[[#This Row],[Site Name]],SiteDB6[[Site Name]:[Pop
(Kachin/Shan-CCCM as of July 2021)]],16,FALSE)</f>
        <v>388</v>
      </c>
      <c r="EP199" s="754">
        <f>VLOOKUP(WWWW[[#This Row],[Site Name]],SiteDB6[[Site Name]:[Pop
(Kachin/Shan-CCCM as of July 2021)]],17,FALSE)</f>
        <v>1900</v>
      </c>
    </row>
    <row r="200" spans="1:146" hidden="1">
      <c r="A200" s="752" t="s">
        <v>2785</v>
      </c>
      <c r="B200" s="752" t="s">
        <v>291</v>
      </c>
      <c r="C200" s="753" t="s">
        <v>291</v>
      </c>
      <c r="D200" s="753" t="s">
        <v>2600</v>
      </c>
      <c r="E200" s="753" t="s">
        <v>37</v>
      </c>
      <c r="F200" s="753" t="s">
        <v>205</v>
      </c>
      <c r="G200" s="594" t="str">
        <f>VLOOKUP(WWWW[[#This Row],[Site Name]],SiteDB6[[Site Name]:[Location Type]],8,FALSE)</f>
        <v>Camp</v>
      </c>
      <c r="H200" s="753" t="s">
        <v>295</v>
      </c>
      <c r="I200" s="755">
        <v>332</v>
      </c>
      <c r="J200" s="755">
        <v>1675</v>
      </c>
      <c r="K200" s="756">
        <v>43874</v>
      </c>
      <c r="L200" s="757">
        <v>44239</v>
      </c>
      <c r="M200" s="755"/>
      <c r="N200" s="755"/>
      <c r="O200" s="755"/>
      <c r="P200" s="755"/>
      <c r="Q200" s="758" t="s">
        <v>41</v>
      </c>
      <c r="R200" s="755"/>
      <c r="S200" s="755"/>
      <c r="T200" s="449"/>
      <c r="U200" s="755"/>
      <c r="V200" s="755"/>
      <c r="W200" s="755"/>
      <c r="X200" s="755"/>
      <c r="Y200" s="755"/>
      <c r="Z200" s="755"/>
      <c r="AA200" s="755"/>
      <c r="AB200" s="755"/>
      <c r="AC200" s="755"/>
      <c r="AD200" s="755"/>
      <c r="AE200" s="755">
        <v>6</v>
      </c>
      <c r="AF200" s="755"/>
      <c r="AG200" s="755"/>
      <c r="AH200" s="755">
        <v>6</v>
      </c>
      <c r="AI200" s="755"/>
      <c r="AJ200" s="755"/>
      <c r="AK200" s="755"/>
      <c r="AL200" s="755"/>
      <c r="AM200" s="755">
        <v>4</v>
      </c>
      <c r="AN200" s="755">
        <v>2</v>
      </c>
      <c r="AO200" s="755"/>
      <c r="AP200" s="759"/>
      <c r="AQ200" s="755">
        <v>181</v>
      </c>
      <c r="AR200" s="755"/>
      <c r="AS200" s="760"/>
      <c r="AT200" s="755"/>
      <c r="AU200" s="755"/>
      <c r="AV200" s="755"/>
      <c r="AW200" s="755"/>
      <c r="AX200" s="755">
        <v>71</v>
      </c>
      <c r="AY200" s="754" t="s">
        <v>136</v>
      </c>
      <c r="AZ200" s="759" t="s">
        <v>137</v>
      </c>
      <c r="BA200" s="755">
        <v>2</v>
      </c>
      <c r="BB200" s="755"/>
      <c r="BC200" s="755">
        <v>16</v>
      </c>
      <c r="BD200" s="449">
        <v>2</v>
      </c>
      <c r="BE200" s="449"/>
      <c r="BF200" s="754"/>
      <c r="BG200" s="755">
        <v>8</v>
      </c>
      <c r="BH200" s="755"/>
      <c r="BI200" s="755">
        <v>30</v>
      </c>
      <c r="BJ200" s="755">
        <v>3</v>
      </c>
      <c r="BK200" s="755"/>
      <c r="BL200" s="755"/>
      <c r="BM200" s="755">
        <v>6</v>
      </c>
      <c r="BN200" s="755">
        <v>91</v>
      </c>
      <c r="BO200" s="755">
        <v>124</v>
      </c>
      <c r="BP200" s="754"/>
      <c r="BQ200" s="761"/>
      <c r="BR200" s="760"/>
      <c r="BS200" s="754"/>
      <c r="BT200" s="424"/>
      <c r="BU200" s="424"/>
      <c r="BV200" s="426"/>
      <c r="BW200" s="424"/>
      <c r="BX200" s="449"/>
      <c r="BY200" s="449"/>
      <c r="BZ200" s="449"/>
      <c r="CA200" s="449"/>
      <c r="CB200" s="449"/>
      <c r="CC200" s="807"/>
      <c r="CD200" s="449"/>
      <c r="CE200" s="762" t="str">
        <f>IFERROR(WWWW[[#This Row],['#_Water sources passed]]/WWWW[[#This Row],['#_Water sources tested for fecal coliform ]],"no test")</f>
        <v>no test</v>
      </c>
      <c r="CF200" s="760" t="str">
        <f>IFERROR(WWWW[[#This Row],['#_Household passed]]/WWWW[[#This Row],['#_Household water samples tested for fecal coliform]],"no test")</f>
        <v>no test</v>
      </c>
      <c r="CG200" s="761" t="str">
        <f>IF(AND(WWWW[[#This Row],[% of water sources passed]]="no test",WWWW[[#This Row],[% Household passed]]="no test"),"No Test","Tested")</f>
        <v>No Test</v>
      </c>
      <c r="CH200" s="761">
        <f>WWWW[[#This Row],['#_Constructed/existing protected hand dug well]]-WWWW[[#This Row],['#_Non-functional protected hand dug well]]</f>
        <v>0</v>
      </c>
      <c r="CI200" s="761">
        <f>(WWWW[[#This Row],['#_Constructed/Existing tube wells/boreholes/handpumps_WASH_agency]]+WWWW[[#This Row],['#_Non-Cluster partner water tube-wells/boreholes/handpumps]])-WWWW[[#This Row],['#_Non-functional tube wells/boreholes/handpumps]]</f>
        <v>0</v>
      </c>
      <c r="CJ200" s="761">
        <f>WWWW[[#This Row],['#_Constructed/Existingwater storage tank with gravity fed reticulation system]]-WWWW[[#This Row],['#_Non-functional storage tank gravity fed reticulation system]]</f>
        <v>0</v>
      </c>
      <c r="CK200" s="761">
        <f>(WWWW[[#This Row],['#_Water_Liters_supplied_by_Water boating or water trucking]]/90)/15</f>
        <v>0</v>
      </c>
      <c r="CL200" s="761">
        <f>WWWW[[#This Row],['#_Water_Liters_from_Constructed/Existing water distribution system from river or natural spring]]/90/15</f>
        <v>0</v>
      </c>
      <c r="CM200" s="425">
        <f>IF(WWWW[[#This Row],['#_of water points in TLS/CFS]]*500&gt;WWWW[[#This Row],[Total PoP ]],WWWW[[#This Row],[Total PoP ]],WWWW[[#This Row],['#_of water points in TLS/CFS]]*500)</f>
        <v>1000</v>
      </c>
      <c r="CN200" s="425">
        <f>IF(WWWW[[#This Row],['#_of water points in THF]]*500&gt;WWWW[[#This Row],[Total PoP ]],WWWW[[#This Row],[Total PoP ]],WWWW[[#This Row],['#_of water points in THF]]*500)</f>
        <v>0</v>
      </c>
      <c r="CO200"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0"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0" s="760">
        <f>IF(WWWW[[#This Row],[Location Type 1]]="Village",WWWW[[#This Row],[Access to safe drinking water for Village]],WWWW[[#This Row],[Access to safe drinking water for Camp]])</f>
        <v>0</v>
      </c>
      <c r="CR200" s="758">
        <f>WWWW[[#This Row],[%Equitable and continuous access to sufficient quantity of safe drinking water]]*WWWW[[#This Row],[Total PoP ]]</f>
        <v>0</v>
      </c>
      <c r="CS200" s="760">
        <f>IF((WWWW[[#This Row],['#_Constructed/Existing protected/fenced ponds]]*250)/WWWW[[#This Row],[Total PoP ]]&gt;1,1,(WWWW[[#This Row],['#_Constructed/Existing protected/fenced ponds]]*250)/WWWW[[#This Row],[Total PoP ]])</f>
        <v>0.89552238805970152</v>
      </c>
      <c r="CT200" s="758">
        <f>WWWW[[#This Row],[% Access to unimproved water points]]*WWWW[[#This Row],[Total PoP ]]</f>
        <v>1500</v>
      </c>
      <c r="CU200"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V200"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200" s="758">
        <f>WWWW[[#This Row],[HRP1]]/500</f>
        <v>3</v>
      </c>
      <c r="CX200" s="763">
        <f>1-WWWW[[#This Row],[% Equitable and continuous access to sufficient quantity of domestic water]]</f>
        <v>0.10447761194029848</v>
      </c>
      <c r="CY200" s="758">
        <f>WWWW[[#This Row],[%equitable and continuous access to sufficient quantity of safe drinking and domestic water''s GAP]]*WWWW[[#This Row],[Total PoP ]]</f>
        <v>174.99999999999994</v>
      </c>
      <c r="CZ200" s="761">
        <f>IF(WWWW[[#This Row],[Total required water points]]-WWWW[[#This Row],['#Water points coverage]]&lt;0,0,WWWW[[#This Row],[Total required water points]]-WWWW[[#This Row],['#Water points coverage]])</f>
        <v>0</v>
      </c>
      <c r="DA200" s="761">
        <f>ROUND(IF(WWWW[[#This Row],[Total PoP ]]&lt;500,1,WWWW[[#This Row],[Total PoP ]]/500),0)</f>
        <v>3</v>
      </c>
      <c r="DB200" s="761">
        <f>(WWWW[[#This Row],['#_Constructed latrines_by_WASHAgencies]]+WWWW[[#This Row],['#_Non Cluster partner latrines]])-WWWW[[#This Row],['#_Non-functional latrines]]</f>
        <v>181</v>
      </c>
      <c r="DC200" s="634">
        <f>WWWW[[#This Row],[HRP2]]/WWWW[[#This Row],[Total PoP ]]</f>
        <v>1</v>
      </c>
      <c r="DD200"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1675</v>
      </c>
      <c r="DE200"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0"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0" s="425">
        <f>IF(WWWW[[#This Row],['# of functional latrines in THF supported by WASH partners during the reporting period2]]="",0,WWWW[[#This Row],['# of functional latrines in THF supported by WASH partners during the reporting period2]]*50)</f>
        <v>100</v>
      </c>
      <c r="DH200" s="761">
        <f>ROUND(IF(WWWW[[#This Row],[Location Type 1]]="camp",WWWW[[#This Row],[Total PoP ]]/20,IF(WWWW[[#This Row],[Location Type 1]]="Temporary Location",WWWW[[#This Row],[Total PoP ]]/50,(WWWW[[#This Row],[Total PoP ]]/6))),0)</f>
        <v>84</v>
      </c>
      <c r="DI200" s="761">
        <f>IF(WWWW[[#This Row],[Total required Latrines]]-(WWWW[[#This Row],['#_Constructed latrines_by_WASHAgencies]]+WWWW[[#This Row],['#_Non Cluster partner latrines]])&lt;0,0,WWWW[[#This Row],[Total required Latrines]]-(WWWW[[#This Row],['#_Constructed latrines_by_WASHAgencies]]+WWWW[[#This Row],['#_Non Cluster partner latrines]]))</f>
        <v>0</v>
      </c>
      <c r="DJ200" s="763">
        <f>1-WWWW[[#This Row],[% people access to functioning Latrine]]</f>
        <v>0</v>
      </c>
      <c r="DK200" s="762">
        <f>IF(OR(WWWW[[#This Row],['#_Non-functional latrines]]="",WWWW[[#This Row],['#_Non-functional latrines]]=0),0,WWWW[[#This Row],['#_Non-functional latrines]]/(WWWW[[#This Row],['#_Constructed latrines_by_WASHAgencies]]+WWWW[[#This Row],['#_Non Cluster partner latrines]]))</f>
        <v>0</v>
      </c>
      <c r="DL200" s="758">
        <f>IF(500*(WWWW[[#This Row],['#_male hygiene promoters]]+WWWW[[#This Row],['#_female hygiene promoters]])&gt;WWWW[[#This Row],[Total PoP ]],WWWW[[#This Row],[Total PoP ]],500*(WWWW[[#This Row],['#_male hygiene promoters]]+WWWW[[#This Row],['#_female hygiene promoters]]))</f>
        <v>1675</v>
      </c>
      <c r="DM200"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455</v>
      </c>
      <c r="DN200"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124</v>
      </c>
      <c r="DO200" s="761">
        <f>IF(WWWW[[#This Row],['# People with access to soap]]&gt;WWWW[[#This Row],['# People with access to Sanity Pads]],WWWW[[#This Row],['# People with access to soap]],WWWW[[#This Row],['# People with access to Sanity Pads]])</f>
        <v>455</v>
      </c>
      <c r="DP200" s="761">
        <f>IF(WWWW[[#This Row],['# people reached by regular dedicated hygiene promotion_5]]&gt;WWWW[[#This Row],['# People received regular supply of hygiene items_6]],WWWW[[#This Row],['# people reached by regular dedicated hygiene promotion_5]],WWWW[[#This Row],['# People received regular supply of hygiene items_6]])</f>
        <v>1675</v>
      </c>
      <c r="DQ200" s="763">
        <f>IF(WWWW[[#This Row],[HRP3]]/WWWW[[#This Row],[Total PoP ]]&gt;1,1,WWWW[[#This Row],[HRP3]]/WWWW[[#This Row],[Total PoP ]])</f>
        <v>1</v>
      </c>
      <c r="DR200" s="762">
        <f>1-WWWW[[#This Row],[Hygiene Coverage%]]</f>
        <v>0</v>
      </c>
      <c r="DS200" s="760">
        <f>WWWW[[#This Row],['# people reached by regular dedicated hygiene promotion_5]]/WWWW[[#This Row],[Total PoP ]]</f>
        <v>1</v>
      </c>
      <c r="DT200"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0.2740963855421687</v>
      </c>
      <c r="DU200"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0.37349397590361444</v>
      </c>
      <c r="DV200" s="761">
        <f>WWWW[[#This Row],['#_Constructed/Existing hand washing stations]]-WWWW[[#This Row],['#_Non-Functional_hand_washing_stations]]</f>
        <v>8</v>
      </c>
      <c r="DW200" s="758">
        <f>IF(WWWW[[#This Row],['# Functional hand washing stations during reporting period]]*20&gt;WWWW[[#This Row],[Total HH]],WWWW[[#This Row],[Total HH]],WWWW[[#This Row],['# Functional hand washing stations during reporting period]]*20)</f>
        <v>160</v>
      </c>
      <c r="DX200" s="758">
        <f>IF(WWWW[[#This Row],[Is sufficient soap available for TLS? (Yes/No)]]="yes",WWWW[[#This Row],['#_Constructed/Existing hand washing stations at TLS/CFS/THF]],0)</f>
        <v>0</v>
      </c>
      <c r="DY200" s="429">
        <f>IF(WWWW[[#This Row],['# Functional hand washing stations during reporting period]]*100&gt;WWWW[[#This Row],[Total PoP ]],WWWW[[#This Row],[Total PoP ]],WWWW[[#This Row],['# Functional hand washing stations during reporting period]]*100)</f>
        <v>800</v>
      </c>
      <c r="DZ200" s="429" t="str">
        <f>IF(OR(WWWW[[#This Row],['#_students at TLS_CFS]]="",WWWW[[#This Row],['#_students at TLS_CFS]]=0),"No","Yes")</f>
        <v>No</v>
      </c>
      <c r="EA20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0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0" s="754" t="str">
        <f>VLOOKUP(WWWW[[#This Row],[Site Name]],SiteDB6[[Site Name]:[CCCM Management]],6,FALSE)</f>
        <v>Yes</v>
      </c>
      <c r="EF200" s="754" t="str">
        <f>VLOOKUP(WWWW[[#This Row],[Site Name]],SiteDB6[[Site Name]:[CCCM Focal Agency]],7,FALSE)</f>
        <v>KMSS-BMO</v>
      </c>
      <c r="EG200" s="754" t="str">
        <f>VLOOKUP(WWWW[[#This Row],[Site Name]],SiteDB6[[Site Name]:[Location Type 1]],9,FALSE)</f>
        <v>Camp</v>
      </c>
      <c r="EH200" s="754" t="str">
        <f>VLOOKUP(WWWW[[#This Row],[Site Name]],SiteDB6[[Site Name]:[Type of Accommodation]],10,FALSE)</f>
        <v>Camp</v>
      </c>
      <c r="EI200" s="754" t="str">
        <f>VLOOKUP(WWWW[[#This Row],[Site Name]],SiteDB6[[Site Name]:[Ethnic or GCA/NGCA]],11,FALSE)</f>
        <v>NGCA</v>
      </c>
      <c r="EJ200" s="754">
        <f>VLOOKUP(WWWW[[#This Row],[Site Name]],SiteDB6[[Site Name]:[Lat]],12,FALSE)</f>
        <v>24.378167000000001</v>
      </c>
      <c r="EK200" s="754">
        <f>VLOOKUP(WWWW[[#This Row],[Site Name]],SiteDB6[[Site Name]:[Long]],13,FALSE)</f>
        <v>97.669366999999994</v>
      </c>
      <c r="EL200" s="754" t="str">
        <f>VLOOKUP(WWWW[[#This Row],[Site Name]],SiteDB6[[Site Name]:[Pcode]],3,FALSE)</f>
        <v>MMR001CMP131</v>
      </c>
      <c r="EM200" s="759" t="str">
        <f t="shared" si="3"/>
        <v>Covered</v>
      </c>
      <c r="EN200" s="759"/>
      <c r="EO200" s="754">
        <f>VLOOKUP(WWWW[[#This Row],[Site Name]],SiteDB6[[Site Name]:[Pop
(Kachin/Shan-CCCM as of July 2021)]],16,FALSE)</f>
        <v>349</v>
      </c>
      <c r="EP200" s="754">
        <f>VLOOKUP(WWWW[[#This Row],[Site Name]],SiteDB6[[Site Name]:[Pop
(Kachin/Shan-CCCM as of July 2021)]],17,FALSE)</f>
        <v>1570</v>
      </c>
    </row>
    <row r="201" spans="1:146" hidden="1">
      <c r="A201" s="752" t="s">
        <v>2785</v>
      </c>
      <c r="B201" s="752" t="s">
        <v>291</v>
      </c>
      <c r="C201" s="753" t="s">
        <v>291</v>
      </c>
      <c r="D201" s="753" t="s">
        <v>2600</v>
      </c>
      <c r="E201" s="753" t="s">
        <v>37</v>
      </c>
      <c r="F201" s="753" t="s">
        <v>205</v>
      </c>
      <c r="G201" s="594" t="str">
        <f>VLOOKUP(WWWW[[#This Row],[Site Name]],SiteDB6[[Site Name]:[Location Type]],8,FALSE)</f>
        <v>Camp</v>
      </c>
      <c r="H201" s="753" t="s">
        <v>296</v>
      </c>
      <c r="I201" s="755">
        <v>593</v>
      </c>
      <c r="J201" s="755">
        <v>2975</v>
      </c>
      <c r="K201" s="756">
        <v>43874</v>
      </c>
      <c r="L201" s="757">
        <v>44239</v>
      </c>
      <c r="M201" s="755"/>
      <c r="N201" s="755"/>
      <c r="O201" s="755"/>
      <c r="P201" s="755"/>
      <c r="Q201" s="758" t="s">
        <v>41</v>
      </c>
      <c r="R201" s="755"/>
      <c r="S201" s="755"/>
      <c r="T201" s="449"/>
      <c r="U201" s="755"/>
      <c r="V201" s="755"/>
      <c r="W201" s="755"/>
      <c r="X201" s="755"/>
      <c r="Y201" s="755"/>
      <c r="Z201" s="755"/>
      <c r="AA201" s="755"/>
      <c r="AB201" s="755"/>
      <c r="AC201" s="755"/>
      <c r="AD201" s="755"/>
      <c r="AE201" s="755">
        <v>1</v>
      </c>
      <c r="AF201" s="755"/>
      <c r="AG201" s="755"/>
      <c r="AH201" s="755">
        <v>1</v>
      </c>
      <c r="AI201" s="755"/>
      <c r="AJ201" s="755"/>
      <c r="AK201" s="755"/>
      <c r="AL201" s="755"/>
      <c r="AM201" s="755">
        <v>21</v>
      </c>
      <c r="AN201" s="755">
        <v>6</v>
      </c>
      <c r="AO201" s="755"/>
      <c r="AP201" s="759"/>
      <c r="AQ201" s="755">
        <v>152</v>
      </c>
      <c r="AR201" s="755"/>
      <c r="AS201" s="760"/>
      <c r="AT201" s="755"/>
      <c r="AU201" s="755"/>
      <c r="AV201" s="755"/>
      <c r="AW201" s="755"/>
      <c r="AX201" s="755"/>
      <c r="AY201" s="754" t="s">
        <v>136</v>
      </c>
      <c r="AZ201" s="759" t="s">
        <v>137</v>
      </c>
      <c r="BA201" s="755">
        <v>4</v>
      </c>
      <c r="BB201" s="755"/>
      <c r="BC201" s="755">
        <v>16</v>
      </c>
      <c r="BD201" s="449">
        <v>2</v>
      </c>
      <c r="BE201" s="449"/>
      <c r="BF201" s="754"/>
      <c r="BG201" s="755">
        <v>7</v>
      </c>
      <c r="BH201" s="755"/>
      <c r="BI201" s="755"/>
      <c r="BJ201" s="755">
        <v>7</v>
      </c>
      <c r="BK201" s="755"/>
      <c r="BL201" s="755"/>
      <c r="BM201" s="755">
        <v>6</v>
      </c>
      <c r="BN201" s="755">
        <v>104</v>
      </c>
      <c r="BO201" s="755">
        <v>148</v>
      </c>
      <c r="BP201" s="754"/>
      <c r="BQ201" s="761"/>
      <c r="BR201" s="760"/>
      <c r="BS201" s="754"/>
      <c r="BT201" s="424"/>
      <c r="BU201" s="424"/>
      <c r="BV201" s="426"/>
      <c r="BW201" s="424"/>
      <c r="BX201" s="449"/>
      <c r="BY201" s="449"/>
      <c r="BZ201" s="449"/>
      <c r="CA201" s="449"/>
      <c r="CB201" s="449"/>
      <c r="CC201" s="807"/>
      <c r="CD201" s="449"/>
      <c r="CE201" s="762" t="str">
        <f>IFERROR(WWWW[[#This Row],['#_Water sources passed]]/WWWW[[#This Row],['#_Water sources tested for fecal coliform ]],"no test")</f>
        <v>no test</v>
      </c>
      <c r="CF201" s="760" t="str">
        <f>IFERROR(WWWW[[#This Row],['#_Household passed]]/WWWW[[#This Row],['#_Household water samples tested for fecal coliform]],"no test")</f>
        <v>no test</v>
      </c>
      <c r="CG201" s="761" t="str">
        <f>IF(AND(WWWW[[#This Row],[% of water sources passed]]="no test",WWWW[[#This Row],[% Household passed]]="no test"),"No Test","Tested")</f>
        <v>No Test</v>
      </c>
      <c r="CH201" s="761">
        <f>WWWW[[#This Row],['#_Constructed/existing protected hand dug well]]-WWWW[[#This Row],['#_Non-functional protected hand dug well]]</f>
        <v>0</v>
      </c>
      <c r="CI201" s="761">
        <f>(WWWW[[#This Row],['#_Constructed/Existing tube wells/boreholes/handpumps_WASH_agency]]+WWWW[[#This Row],['#_Non-Cluster partner water tube-wells/boreholes/handpumps]])-WWWW[[#This Row],['#_Non-functional tube wells/boreholes/handpumps]]</f>
        <v>0</v>
      </c>
      <c r="CJ201" s="761">
        <f>WWWW[[#This Row],['#_Constructed/Existingwater storage tank with gravity fed reticulation system]]-WWWW[[#This Row],['#_Non-functional storage tank gravity fed reticulation system]]</f>
        <v>0</v>
      </c>
      <c r="CK201" s="761">
        <f>(WWWW[[#This Row],['#_Water_Liters_supplied_by_Water boating or water trucking]]/90)/15</f>
        <v>0</v>
      </c>
      <c r="CL201" s="761">
        <f>WWWW[[#This Row],['#_Water_Liters_from_Constructed/Existing water distribution system from river or natural spring]]/90/15</f>
        <v>0</v>
      </c>
      <c r="CM201" s="425">
        <f>IF(WWWW[[#This Row],['#_of water points in TLS/CFS]]*500&gt;WWWW[[#This Row],[Total PoP ]],WWWW[[#This Row],[Total PoP ]],WWWW[[#This Row],['#_of water points in TLS/CFS]]*500)</f>
        <v>2975</v>
      </c>
      <c r="CN201" s="425">
        <f>IF(WWWW[[#This Row],['#_of water points in THF]]*500&gt;WWWW[[#This Row],[Total PoP ]],WWWW[[#This Row],[Total PoP ]],WWWW[[#This Row],['#_of water points in THF]]*500)</f>
        <v>0</v>
      </c>
      <c r="CO201"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1"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1" s="760">
        <f>IF(WWWW[[#This Row],[Location Type 1]]="Village",WWWW[[#This Row],[Access to safe drinking water for Village]],WWWW[[#This Row],[Access to safe drinking water for Camp]])</f>
        <v>0</v>
      </c>
      <c r="CR201" s="758">
        <f>WWWW[[#This Row],[%Equitable and continuous access to sufficient quantity of safe drinking water]]*WWWW[[#This Row],[Total PoP ]]</f>
        <v>0</v>
      </c>
      <c r="CS201" s="760">
        <f>IF((WWWW[[#This Row],['#_Constructed/Existing protected/fenced ponds]]*250)/WWWW[[#This Row],[Total PoP ]]&gt;1,1,(WWWW[[#This Row],['#_Constructed/Existing protected/fenced ponds]]*250)/WWWW[[#This Row],[Total PoP ]])</f>
        <v>8.4033613445378158E-2</v>
      </c>
      <c r="CT201" s="758">
        <f>WWWW[[#This Row],[% Access to unimproved water points]]*WWWW[[#This Row],[Total PoP ]]</f>
        <v>250.00000000000003</v>
      </c>
      <c r="CU201"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8.4033613445378158E-2</v>
      </c>
      <c r="CV201"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250.00000000000003</v>
      </c>
      <c r="CW201" s="758">
        <f>WWWW[[#This Row],[HRP1]]/500</f>
        <v>0.50000000000000011</v>
      </c>
      <c r="CX201" s="763">
        <f>1-WWWW[[#This Row],[% Equitable and continuous access to sufficient quantity of domestic water]]</f>
        <v>0.91596638655462181</v>
      </c>
      <c r="CY201" s="758">
        <f>WWWW[[#This Row],[%equitable and continuous access to sufficient quantity of safe drinking and domestic water''s GAP]]*WWWW[[#This Row],[Total PoP ]]</f>
        <v>2725</v>
      </c>
      <c r="CZ201" s="761">
        <f>IF(WWWW[[#This Row],[Total required water points]]-WWWW[[#This Row],['#Water points coverage]]&lt;0,0,WWWW[[#This Row],[Total required water points]]-WWWW[[#This Row],['#Water points coverage]])</f>
        <v>5.5</v>
      </c>
      <c r="DA201" s="761">
        <f>ROUND(IF(WWWW[[#This Row],[Total PoP ]]&lt;500,1,WWWW[[#This Row],[Total PoP ]]/500),0)</f>
        <v>6</v>
      </c>
      <c r="DB201" s="761">
        <f>(WWWW[[#This Row],['#_Constructed latrines_by_WASHAgencies]]+WWWW[[#This Row],['#_Non Cluster partner latrines]])-WWWW[[#This Row],['#_Non-functional latrines]]</f>
        <v>152</v>
      </c>
      <c r="DC201" s="634">
        <f>WWWW[[#This Row],[HRP2]]/WWWW[[#This Row],[Total PoP ]]</f>
        <v>1</v>
      </c>
      <c r="DD201"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2975</v>
      </c>
      <c r="DE201"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1"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1" s="425">
        <f>IF(WWWW[[#This Row],['# of functional latrines in THF supported by WASH partners during the reporting period2]]="",0,WWWW[[#This Row],['# of functional latrines in THF supported by WASH partners during the reporting period2]]*50)</f>
        <v>100</v>
      </c>
      <c r="DH201" s="761">
        <f>ROUND(IF(WWWW[[#This Row],[Location Type 1]]="camp",WWWW[[#This Row],[Total PoP ]]/20,IF(WWWW[[#This Row],[Location Type 1]]="Temporary Location",WWWW[[#This Row],[Total PoP ]]/50,(WWWW[[#This Row],[Total PoP ]]/6))),0)</f>
        <v>149</v>
      </c>
      <c r="DI201" s="761">
        <f>IF(WWWW[[#This Row],[Total required Latrines]]-(WWWW[[#This Row],['#_Constructed latrines_by_WASHAgencies]]+WWWW[[#This Row],['#_Non Cluster partner latrines]])&lt;0,0,WWWW[[#This Row],[Total required Latrines]]-(WWWW[[#This Row],['#_Constructed latrines_by_WASHAgencies]]+WWWW[[#This Row],['#_Non Cluster partner latrines]]))</f>
        <v>0</v>
      </c>
      <c r="DJ201" s="763">
        <f>1-WWWW[[#This Row],[% people access to functioning Latrine]]</f>
        <v>0</v>
      </c>
      <c r="DK201" s="762">
        <f>IF(OR(WWWW[[#This Row],['#_Non-functional latrines]]="",WWWW[[#This Row],['#_Non-functional latrines]]=0),0,WWWW[[#This Row],['#_Non-functional latrines]]/(WWWW[[#This Row],['#_Constructed latrines_by_WASHAgencies]]+WWWW[[#This Row],['#_Non Cluster partner latrines]]))</f>
        <v>0</v>
      </c>
      <c r="DL201" s="758">
        <f>IF(500*(WWWW[[#This Row],['#_male hygiene promoters]]+WWWW[[#This Row],['#_female hygiene promoters]])&gt;WWWW[[#This Row],[Total PoP ]],WWWW[[#This Row],[Total PoP ]],500*(WWWW[[#This Row],['#_male hygiene promoters]]+WWWW[[#This Row],['#_female hygiene promoters]]))</f>
        <v>2975</v>
      </c>
      <c r="DM201"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520</v>
      </c>
      <c r="DN201"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201" s="761">
        <f>IF(WWWW[[#This Row],['# People with access to soap]]&gt;WWWW[[#This Row],['# People with access to Sanity Pads]],WWWW[[#This Row],['# People with access to soap]],WWWW[[#This Row],['# People with access to Sanity Pads]])</f>
        <v>520</v>
      </c>
      <c r="DP201" s="761">
        <f>IF(WWWW[[#This Row],['# people reached by regular dedicated hygiene promotion_5]]&gt;WWWW[[#This Row],['# People received regular supply of hygiene items_6]],WWWW[[#This Row],['# people reached by regular dedicated hygiene promotion_5]],WWWW[[#This Row],['# People received regular supply of hygiene items_6]])</f>
        <v>2975</v>
      </c>
      <c r="DQ201" s="763">
        <f>IF(WWWW[[#This Row],[HRP3]]/WWWW[[#This Row],[Total PoP ]]&gt;1,1,WWWW[[#This Row],[HRP3]]/WWWW[[#This Row],[Total PoP ]])</f>
        <v>1</v>
      </c>
      <c r="DR201" s="762">
        <f>1-WWWW[[#This Row],[Hygiene Coverage%]]</f>
        <v>0</v>
      </c>
      <c r="DS201" s="760">
        <f>WWWW[[#This Row],['# people reached by regular dedicated hygiene promotion_5]]/WWWW[[#This Row],[Total PoP ]]</f>
        <v>1</v>
      </c>
      <c r="DT201"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0.17537942664418213</v>
      </c>
      <c r="DU201"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0.24957841483979765</v>
      </c>
      <c r="DV201" s="761">
        <f>WWWW[[#This Row],['#_Constructed/Existing hand washing stations]]-WWWW[[#This Row],['#_Non-Functional_hand_washing_stations]]</f>
        <v>7</v>
      </c>
      <c r="DW201" s="758">
        <f>IF(WWWW[[#This Row],['# Functional hand washing stations during reporting period]]*20&gt;WWWW[[#This Row],[Total HH]],WWWW[[#This Row],[Total HH]],WWWW[[#This Row],['# Functional hand washing stations during reporting period]]*20)</f>
        <v>140</v>
      </c>
      <c r="DX201" s="758">
        <f>IF(WWWW[[#This Row],[Is sufficient soap available for TLS? (Yes/No)]]="yes",WWWW[[#This Row],['#_Constructed/Existing hand washing stations at TLS/CFS/THF]],0)</f>
        <v>0</v>
      </c>
      <c r="DY201" s="429">
        <f>IF(WWWW[[#This Row],['# Functional hand washing stations during reporting period]]*100&gt;WWWW[[#This Row],[Total PoP ]],WWWW[[#This Row],[Total PoP ]],WWWW[[#This Row],['# Functional hand washing stations during reporting period]]*100)</f>
        <v>700</v>
      </c>
      <c r="DZ201" s="429" t="str">
        <f>IF(OR(WWWW[[#This Row],['#_students at TLS_CFS]]="",WWWW[[#This Row],['#_students at TLS_CFS]]=0),"No","Yes")</f>
        <v>No</v>
      </c>
      <c r="EA20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2975</v>
      </c>
      <c r="ED20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1" s="754" t="str">
        <f>VLOOKUP(WWWW[[#This Row],[Site Name]],SiteDB6[[Site Name]:[CCCM Management]],6,FALSE)</f>
        <v>Yes</v>
      </c>
      <c r="EF201" s="754" t="str">
        <f>VLOOKUP(WWWW[[#This Row],[Site Name]],SiteDB6[[Site Name]:[CCCM Focal Agency]],7,FALSE)</f>
        <v>KMSS-BMO</v>
      </c>
      <c r="EG201" s="754" t="str">
        <f>VLOOKUP(WWWW[[#This Row],[Site Name]],SiteDB6[[Site Name]:[Location Type 1]],9,FALSE)</f>
        <v>Camp</v>
      </c>
      <c r="EH201" s="754" t="str">
        <f>VLOOKUP(WWWW[[#This Row],[Site Name]],SiteDB6[[Site Name]:[Type of Accommodation]],10,FALSE)</f>
        <v>Camp</v>
      </c>
      <c r="EI201" s="754" t="str">
        <f>VLOOKUP(WWWW[[#This Row],[Site Name]],SiteDB6[[Site Name]:[Ethnic or GCA/NGCA]],11,FALSE)</f>
        <v>NGCA</v>
      </c>
      <c r="EJ201" s="754">
        <f>VLOOKUP(WWWW[[#This Row],[Site Name]],SiteDB6[[Site Name]:[Lat]],12,FALSE)</f>
        <v>24.2744</v>
      </c>
      <c r="EK201" s="754">
        <f>VLOOKUP(WWWW[[#This Row],[Site Name]],SiteDB6[[Site Name]:[Long]],13,FALSE)</f>
        <v>97.752667000000002</v>
      </c>
      <c r="EL201" s="754" t="str">
        <f>VLOOKUP(WWWW[[#This Row],[Site Name]],SiteDB6[[Site Name]:[Pcode]],3,FALSE)</f>
        <v>MMR001CMP126</v>
      </c>
      <c r="EM201" s="759" t="str">
        <f t="shared" si="3"/>
        <v>Covered</v>
      </c>
      <c r="EN201" s="759"/>
      <c r="EO201" s="754">
        <f>VLOOKUP(WWWW[[#This Row],[Site Name]],SiteDB6[[Site Name]:[Pop
(Kachin/Shan-CCCM as of July 2021)]],16,FALSE)</f>
        <v>616</v>
      </c>
      <c r="EP201" s="754">
        <f>VLOOKUP(WWWW[[#This Row],[Site Name]],SiteDB6[[Site Name]:[Pop
(Kachin/Shan-CCCM as of July 2021)]],17,FALSE)</f>
        <v>3682</v>
      </c>
    </row>
    <row r="202" spans="1:146" hidden="1">
      <c r="A202" s="752" t="s">
        <v>2785</v>
      </c>
      <c r="B202" s="752" t="s">
        <v>2438</v>
      </c>
      <c r="C202" s="753" t="s">
        <v>2438</v>
      </c>
      <c r="D202" s="753" t="s">
        <v>2650</v>
      </c>
      <c r="E202" s="753" t="s">
        <v>37</v>
      </c>
      <c r="F202" s="753" t="s">
        <v>38</v>
      </c>
      <c r="G202" s="594" t="str">
        <f>VLOOKUP(WWWW[[#This Row],[Site Name]],SiteDB6[[Site Name]:[Location Type]],8,FALSE)</f>
        <v>Camp</v>
      </c>
      <c r="H202" s="753" t="s">
        <v>294</v>
      </c>
      <c r="I202" s="755">
        <v>481</v>
      </c>
      <c r="J202" s="755">
        <v>2691</v>
      </c>
      <c r="K202" s="756" t="s">
        <v>2607</v>
      </c>
      <c r="L202" s="757" t="s">
        <v>2608</v>
      </c>
      <c r="M202" s="755"/>
      <c r="N202" s="755"/>
      <c r="O202" s="755"/>
      <c r="P202" s="755"/>
      <c r="Q202" s="758" t="s">
        <v>41</v>
      </c>
      <c r="R202" s="755"/>
      <c r="S202" s="755"/>
      <c r="T202" s="449">
        <v>4</v>
      </c>
      <c r="U202" s="755"/>
      <c r="V202" s="755"/>
      <c r="W202" s="755"/>
      <c r="X202" s="755"/>
      <c r="Y202" s="755"/>
      <c r="Z202" s="755"/>
      <c r="AA202" s="755"/>
      <c r="AB202" s="755"/>
      <c r="AC202" s="755"/>
      <c r="AD202" s="755"/>
      <c r="AE202" s="755">
        <v>1</v>
      </c>
      <c r="AF202" s="755"/>
      <c r="AG202" s="755"/>
      <c r="AH202" s="755">
        <v>1</v>
      </c>
      <c r="AI202" s="755"/>
      <c r="AJ202" s="755"/>
      <c r="AK202" s="755"/>
      <c r="AL202" s="755"/>
      <c r="AM202" s="755">
        <v>5</v>
      </c>
      <c r="AN202" s="755">
        <v>2</v>
      </c>
      <c r="AO202" s="755"/>
      <c r="AP202" s="759"/>
      <c r="AQ202" s="755">
        <v>438</v>
      </c>
      <c r="AR202" s="755"/>
      <c r="AS202" s="760"/>
      <c r="AT202" s="755"/>
      <c r="AU202" s="755"/>
      <c r="AV202" s="755"/>
      <c r="AW202" s="755"/>
      <c r="AX202" s="755">
        <v>266</v>
      </c>
      <c r="AY202" s="754" t="s">
        <v>136</v>
      </c>
      <c r="AZ202" s="759" t="s">
        <v>137</v>
      </c>
      <c r="BA202" s="755">
        <v>6</v>
      </c>
      <c r="BB202" s="755">
        <v>274</v>
      </c>
      <c r="BC202" s="755">
        <v>62</v>
      </c>
      <c r="BD202" s="449">
        <v>2</v>
      </c>
      <c r="BE202" s="449"/>
      <c r="BF202" s="754"/>
      <c r="BG202" s="755">
        <v>7</v>
      </c>
      <c r="BH202" s="755"/>
      <c r="BI202" s="755">
        <v>266</v>
      </c>
      <c r="BJ202" s="755">
        <v>4</v>
      </c>
      <c r="BK202" s="755"/>
      <c r="BL202" s="755"/>
      <c r="BM202" s="755">
        <v>7</v>
      </c>
      <c r="BN202" s="755">
        <v>124</v>
      </c>
      <c r="BO202" s="755">
        <v>198</v>
      </c>
      <c r="BP202" s="754"/>
      <c r="BQ202" s="761"/>
      <c r="BR202" s="760"/>
      <c r="BS202" s="754"/>
      <c r="BT202" s="424"/>
      <c r="BU202" s="424"/>
      <c r="BV202" s="426"/>
      <c r="BW202" s="424"/>
      <c r="BX202" s="449"/>
      <c r="BY202" s="449"/>
      <c r="BZ202" s="449"/>
      <c r="CA202" s="449"/>
      <c r="CB202" s="449"/>
      <c r="CC202" s="807"/>
      <c r="CD202" s="449"/>
      <c r="CE202" s="762" t="str">
        <f>IFERROR(WWWW[[#This Row],['#_Water sources passed]]/WWWW[[#This Row],['#_Water sources tested for fecal coliform ]],"no test")</f>
        <v>no test</v>
      </c>
      <c r="CF202" s="760" t="str">
        <f>IFERROR(WWWW[[#This Row],['#_Household passed]]/WWWW[[#This Row],['#_Household water samples tested for fecal coliform]],"no test")</f>
        <v>no test</v>
      </c>
      <c r="CG202" s="761" t="str">
        <f>IF(AND(WWWW[[#This Row],[% of water sources passed]]="no test",WWWW[[#This Row],[% Household passed]]="no test"),"No Test","Tested")</f>
        <v>No Test</v>
      </c>
      <c r="CH202" s="761">
        <f>WWWW[[#This Row],['#_Constructed/existing protected hand dug well]]-WWWW[[#This Row],['#_Non-functional protected hand dug well]]</f>
        <v>4</v>
      </c>
      <c r="CI202" s="761">
        <f>(WWWW[[#This Row],['#_Constructed/Existing tube wells/boreholes/handpumps_WASH_agency]]+WWWW[[#This Row],['#_Non-Cluster partner water tube-wells/boreholes/handpumps]])-WWWW[[#This Row],['#_Non-functional tube wells/boreholes/handpumps]]</f>
        <v>0</v>
      </c>
      <c r="CJ202" s="761">
        <f>WWWW[[#This Row],['#_Constructed/Existingwater storage tank with gravity fed reticulation system]]-WWWW[[#This Row],['#_Non-functional storage tank gravity fed reticulation system]]</f>
        <v>0</v>
      </c>
      <c r="CK202" s="761">
        <f>(WWWW[[#This Row],['#_Water_Liters_supplied_by_Water boating or water trucking]]/90)/15</f>
        <v>0</v>
      </c>
      <c r="CL202" s="761">
        <f>WWWW[[#This Row],['#_Water_Liters_from_Constructed/Existing water distribution system from river or natural spring]]/90/15</f>
        <v>0</v>
      </c>
      <c r="CM202" s="425">
        <f>IF(WWWW[[#This Row],['#_of water points in TLS/CFS]]*500&gt;WWWW[[#This Row],[Total PoP ]],WWWW[[#This Row],[Total PoP ]],WWWW[[#This Row],['#_of water points in TLS/CFS]]*500)</f>
        <v>1000</v>
      </c>
      <c r="CN202" s="425">
        <f>IF(WWWW[[#This Row],['#_of water points in THF]]*500&gt;WWWW[[#This Row],[Total PoP ]],WWWW[[#This Row],[Total PoP ]],WWWW[[#This Row],['#_of water points in THF]]*500)</f>
        <v>0</v>
      </c>
      <c r="CO202" s="76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0.59457450761798591</v>
      </c>
      <c r="CP202" s="76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0.37160906726124115</v>
      </c>
      <c r="CQ202" s="760">
        <f>IF(WWWW[[#This Row],[Location Type 1]]="Village",WWWW[[#This Row],[Access to safe drinking water for Village]],WWWW[[#This Row],[Access to safe drinking water for Camp]])</f>
        <v>0.59457450761798591</v>
      </c>
      <c r="CR202" s="758">
        <f>WWWW[[#This Row],[%Equitable and continuous access to sufficient quantity of safe drinking water]]*WWWW[[#This Row],[Total PoP ]]</f>
        <v>1600</v>
      </c>
      <c r="CS202" s="760">
        <f>IF((WWWW[[#This Row],['#_Constructed/Existing protected/fenced ponds]]*250)/WWWW[[#This Row],[Total PoP ]]&gt;1,1,(WWWW[[#This Row],['#_Constructed/Existing protected/fenced ponds]]*250)/WWWW[[#This Row],[Total PoP ]])</f>
        <v>9.2902266815310289E-2</v>
      </c>
      <c r="CT202" s="758">
        <f>WWWW[[#This Row],[% Access to unimproved water points]]*WWWW[[#This Row],[Total PoP ]]</f>
        <v>250</v>
      </c>
      <c r="CU202" s="76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0.68747677443329624</v>
      </c>
      <c r="CV202" s="75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202" s="758">
        <f>WWWW[[#This Row],[HRP1]]/500</f>
        <v>3.7</v>
      </c>
      <c r="CX202" s="763">
        <f>1-WWWW[[#This Row],[% Equitable and continuous access to sufficient quantity of domestic water]]</f>
        <v>0.31252322556670376</v>
      </c>
      <c r="CY202" s="758">
        <f>WWWW[[#This Row],[%equitable and continuous access to sufficient quantity of safe drinking and domestic water''s GAP]]*WWWW[[#This Row],[Total PoP ]]</f>
        <v>840.99999999999977</v>
      </c>
      <c r="CZ202" s="761">
        <f>IF(WWWW[[#This Row],[Total required water points]]-WWWW[[#This Row],['#Water points coverage]]&lt;0,0,WWWW[[#This Row],[Total required water points]]-WWWW[[#This Row],['#Water points coverage]])</f>
        <v>1.2999999999999998</v>
      </c>
      <c r="DA202" s="761">
        <f>ROUND(IF(WWWW[[#This Row],[Total PoP ]]&lt;500,1,WWWW[[#This Row],[Total PoP ]]/500),0)</f>
        <v>5</v>
      </c>
      <c r="DB202" s="761">
        <f>(WWWW[[#This Row],['#_Constructed latrines_by_WASHAgencies]]+WWWW[[#This Row],['#_Non Cluster partner latrines]])-WWWW[[#This Row],['#_Non-functional latrines]]</f>
        <v>438</v>
      </c>
      <c r="DC202" s="634">
        <f>WWWW[[#This Row],[HRP2]]/WWWW[[#This Row],[Total PoP ]]</f>
        <v>1</v>
      </c>
      <c r="DD202" s="75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2691</v>
      </c>
      <c r="DE202" s="76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2" s="76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2" s="425">
        <f>IF(WWWW[[#This Row],['# of functional latrines in THF supported by WASH partners during the reporting period2]]="",0,WWWW[[#This Row],['# of functional latrines in THF supported by WASH partners during the reporting period2]]*50)</f>
        <v>100</v>
      </c>
      <c r="DH202" s="761">
        <f>ROUND(IF(WWWW[[#This Row],[Location Type 1]]="camp",WWWW[[#This Row],[Total PoP ]]/20,IF(WWWW[[#This Row],[Location Type 1]]="Temporary Location",WWWW[[#This Row],[Total PoP ]]/50,(WWWW[[#This Row],[Total PoP ]]/6))),0)</f>
        <v>135</v>
      </c>
      <c r="DI202" s="761">
        <f>IF(WWWW[[#This Row],[Total required Latrines]]-(WWWW[[#This Row],['#_Constructed latrines_by_WASHAgencies]]+WWWW[[#This Row],['#_Non Cluster partner latrines]])&lt;0,0,WWWW[[#This Row],[Total required Latrines]]-(WWWW[[#This Row],['#_Constructed latrines_by_WASHAgencies]]+WWWW[[#This Row],['#_Non Cluster partner latrines]]))</f>
        <v>0</v>
      </c>
      <c r="DJ202" s="763">
        <f>1-WWWW[[#This Row],[% people access to functioning Latrine]]</f>
        <v>0</v>
      </c>
      <c r="DK202" s="762">
        <f>IF(OR(WWWW[[#This Row],['#_Non-functional latrines]]="",WWWW[[#This Row],['#_Non-functional latrines]]=0),0,WWWW[[#This Row],['#_Non-functional latrines]]/(WWWW[[#This Row],['#_Constructed latrines_by_WASHAgencies]]+WWWW[[#This Row],['#_Non Cluster partner latrines]]))</f>
        <v>0</v>
      </c>
      <c r="DL202" s="758">
        <f>IF(500*(WWWW[[#This Row],['#_male hygiene promoters]]+WWWW[[#This Row],['#_female hygiene promoters]])&gt;WWWW[[#This Row],[Total PoP ]],WWWW[[#This Row],[Total PoP ]],500*(WWWW[[#This Row],['#_male hygiene promoters]]+WWWW[[#This Row],['#_female hygiene promoters]]))</f>
        <v>2691</v>
      </c>
      <c r="DM202" s="76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620</v>
      </c>
      <c r="DN202" s="76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v>
      </c>
      <c r="DO202" s="761">
        <f>IF(WWWW[[#This Row],['# People with access to soap]]&gt;WWWW[[#This Row],['# People with access to Sanity Pads]],WWWW[[#This Row],['# People with access to soap]],WWWW[[#This Row],['# People with access to Sanity Pads]])</f>
        <v>620</v>
      </c>
      <c r="DP202" s="761">
        <f>IF(WWWW[[#This Row],['# people reached by regular dedicated hygiene promotion_5]]&gt;WWWW[[#This Row],['# People received regular supply of hygiene items_6]],WWWW[[#This Row],['# people reached by regular dedicated hygiene promotion_5]],WWWW[[#This Row],['# People received regular supply of hygiene items_6]])</f>
        <v>2691</v>
      </c>
      <c r="DQ202" s="763">
        <f>IF(WWWW[[#This Row],[HRP3]]/WWWW[[#This Row],[Total PoP ]]&gt;1,1,WWWW[[#This Row],[HRP3]]/WWWW[[#This Row],[Total PoP ]])</f>
        <v>1</v>
      </c>
      <c r="DR202" s="762">
        <f>1-WWWW[[#This Row],[Hygiene Coverage%]]</f>
        <v>0</v>
      </c>
      <c r="DS202" s="760">
        <f>WWWW[[#This Row],['# people reached by regular dedicated hygiene promotion_5]]/WWWW[[#This Row],[Total PoP ]]</f>
        <v>1</v>
      </c>
      <c r="DT202" s="76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0.25779625779625781</v>
      </c>
      <c r="DU202" s="76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0.41164241164241167</v>
      </c>
      <c r="DV202" s="761">
        <f>WWWW[[#This Row],['#_Constructed/Existing hand washing stations]]-WWWW[[#This Row],['#_Non-Functional_hand_washing_stations]]</f>
        <v>7</v>
      </c>
      <c r="DW202" s="758">
        <f>IF(WWWW[[#This Row],['# Functional hand washing stations during reporting period]]*20&gt;WWWW[[#This Row],[Total HH]],WWWW[[#This Row],[Total HH]],WWWW[[#This Row],['# Functional hand washing stations during reporting period]]*20)</f>
        <v>140</v>
      </c>
      <c r="DX202" s="758">
        <f>IF(WWWW[[#This Row],[Is sufficient soap available for TLS? (Yes/No)]]="yes",WWWW[[#This Row],['#_Constructed/Existing hand washing stations at TLS/CFS/THF]],0)</f>
        <v>0</v>
      </c>
      <c r="DY202" s="429">
        <f>IF(WWWW[[#This Row],['# Functional hand washing stations during reporting period]]*100&gt;WWWW[[#This Row],[Total PoP ]],WWWW[[#This Row],[Total PoP ]],WWWW[[#This Row],['# Functional hand washing stations during reporting period]]*100)</f>
        <v>700</v>
      </c>
      <c r="DZ202" s="429" t="str">
        <f>IF(OR(WWWW[[#This Row],['#_students at TLS_CFS]]="",WWWW[[#This Row],['#_students at TLS_CFS]]=0),"No","Yes")</f>
        <v>No</v>
      </c>
      <c r="EA20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0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202" s="754" t="str">
        <f>VLOOKUP(WWWW[[#This Row],[Site Name]],SiteDB6[[Site Name]:[CCCM Management]],6,FALSE)</f>
        <v>Yes</v>
      </c>
      <c r="EF202" s="754" t="str">
        <f>VLOOKUP(WWWW[[#This Row],[Site Name]],SiteDB6[[Site Name]:[CCCM Focal Agency]],7,FALSE)</f>
        <v>KMSS-BMO</v>
      </c>
      <c r="EG202" s="754" t="str">
        <f>VLOOKUP(WWWW[[#This Row],[Site Name]],SiteDB6[[Site Name]:[Location Type 1]],9,FALSE)</f>
        <v>Camp</v>
      </c>
      <c r="EH202" s="754" t="str">
        <f>VLOOKUP(WWWW[[#This Row],[Site Name]],SiteDB6[[Site Name]:[Type of Accommodation]],10,FALSE)</f>
        <v>Camp</v>
      </c>
      <c r="EI202" s="754" t="str">
        <f>VLOOKUP(WWWW[[#This Row],[Site Name]],SiteDB6[[Site Name]:[Ethnic or GCA/NGCA]],11,FALSE)</f>
        <v>NGCA</v>
      </c>
      <c r="EJ202" s="754">
        <f>VLOOKUP(WWWW[[#This Row],[Site Name]],SiteDB6[[Site Name]:[Lat]],12,FALSE)</f>
        <v>24.056132999999999</v>
      </c>
      <c r="EK202" s="754">
        <f>VLOOKUP(WWWW[[#This Row],[Site Name]],SiteDB6[[Site Name]:[Long]],13,FALSE)</f>
        <v>97.625617000000005</v>
      </c>
      <c r="EL202" s="754" t="str">
        <f>VLOOKUP(WWWW[[#This Row],[Site Name]],SiteDB6[[Site Name]:[Pcode]],3,FALSE)</f>
        <v>MMR001CMP128</v>
      </c>
      <c r="EM202" s="759" t="str">
        <f t="shared" si="3"/>
        <v>Covered</v>
      </c>
      <c r="EN202" s="759"/>
      <c r="EO202" s="754">
        <f>VLOOKUP(WWWW[[#This Row],[Site Name]],SiteDB6[[Site Name]:[Pop
(Kachin/Shan-CCCM as of July 2021)]],16,FALSE)</f>
        <v>542</v>
      </c>
      <c r="EP202" s="754">
        <f>VLOOKUP(WWWW[[#This Row],[Site Name]],SiteDB6[[Site Name]:[Pop
(Kachin/Shan-CCCM as of July 2021)]],17,FALSE)</f>
        <v>2503</v>
      </c>
    </row>
    <row r="203" spans="1:146" hidden="1">
      <c r="A203" s="921" t="s">
        <v>2786</v>
      </c>
      <c r="B203" s="921" t="s">
        <v>2162</v>
      </c>
      <c r="C203" s="922" t="s">
        <v>2162</v>
      </c>
      <c r="D203" s="922" t="s">
        <v>241</v>
      </c>
      <c r="E203" s="922" t="s">
        <v>515</v>
      </c>
      <c r="F203" s="922" t="s">
        <v>963</v>
      </c>
      <c r="G203" s="594" t="str">
        <f>VLOOKUP(WWWW[[#This Row],[Site Name]],SiteDB6[[Site Name]:[Location Type]],8,FALSE)</f>
        <v>Camp</v>
      </c>
      <c r="H203" s="922" t="s">
        <v>2624</v>
      </c>
      <c r="I203" s="924">
        <v>340</v>
      </c>
      <c r="J203" s="924">
        <v>1674</v>
      </c>
      <c r="K203" s="925">
        <v>44488</v>
      </c>
      <c r="L203" s="926">
        <v>44852</v>
      </c>
      <c r="M203" s="924"/>
      <c r="N203" s="924"/>
      <c r="O203" s="924"/>
      <c r="P203" s="924"/>
      <c r="Q203" s="927" t="s">
        <v>41</v>
      </c>
      <c r="R203" s="924">
        <v>2</v>
      </c>
      <c r="S203" s="924">
        <v>2</v>
      </c>
      <c r="T203" s="449"/>
      <c r="U203" s="924"/>
      <c r="V203" s="924"/>
      <c r="W203" s="924"/>
      <c r="X203" s="924"/>
      <c r="Y203" s="924"/>
      <c r="Z203" s="924"/>
      <c r="AA203" s="924">
        <v>24</v>
      </c>
      <c r="AB203" s="924"/>
      <c r="AC203" s="924">
        <v>14</v>
      </c>
      <c r="AD203" s="924"/>
      <c r="AE203" s="924"/>
      <c r="AF203" s="924"/>
      <c r="AG203" s="924"/>
      <c r="AH203" s="924">
        <v>1</v>
      </c>
      <c r="AI203" s="924"/>
      <c r="AJ203" s="924"/>
      <c r="AK203" s="924"/>
      <c r="AL203" s="924"/>
      <c r="AM203" s="924"/>
      <c r="AN203" s="924">
        <v>1</v>
      </c>
      <c r="AO203" s="449"/>
      <c r="AP203" s="928"/>
      <c r="AQ203" s="924">
        <v>30</v>
      </c>
      <c r="AR203" s="924"/>
      <c r="AS203" s="929"/>
      <c r="AT203" s="924">
        <v>16</v>
      </c>
      <c r="AU203" s="924"/>
      <c r="AV203" s="924"/>
      <c r="AW203" s="924"/>
      <c r="AX203" s="924"/>
      <c r="AY203" s="923" t="s">
        <v>136</v>
      </c>
      <c r="AZ203" s="928" t="s">
        <v>136</v>
      </c>
      <c r="BA203" s="924"/>
      <c r="BB203" s="924"/>
      <c r="BC203" s="924"/>
      <c r="BD203" s="449"/>
      <c r="BE203" s="449"/>
      <c r="BF203" s="923"/>
      <c r="BG203" s="924">
        <v>3</v>
      </c>
      <c r="BH203" s="924">
        <v>2</v>
      </c>
      <c r="BI203" s="924"/>
      <c r="BJ203" s="924"/>
      <c r="BK203" s="924"/>
      <c r="BL203" s="924"/>
      <c r="BM203" s="924"/>
      <c r="BN203" s="924"/>
      <c r="BO203" s="924"/>
      <c r="BP203" s="923"/>
      <c r="BQ203" s="930"/>
      <c r="BR203" s="929"/>
      <c r="BS203" s="923"/>
      <c r="BT203" s="424"/>
      <c r="BU203" s="424"/>
      <c r="BV203" s="426"/>
      <c r="BW203" s="424"/>
      <c r="BX203" s="449"/>
      <c r="BY203" s="449"/>
      <c r="BZ203" s="449"/>
      <c r="CA203" s="449"/>
      <c r="CB203" s="449"/>
      <c r="CC203" s="807"/>
      <c r="CD203" s="449"/>
      <c r="CE203" s="931" t="str">
        <f>IFERROR(WWWW[[#This Row],['#_Water sources passed]]/WWWW[[#This Row],['#_Water sources tested for fecal coliform ]],"no test")</f>
        <v>no test</v>
      </c>
      <c r="CF203" s="929" t="str">
        <f>IFERROR(WWWW[[#This Row],['#_Household passed]]/WWWW[[#This Row],['#_Household water samples tested for fecal coliform]],"no test")</f>
        <v>no test</v>
      </c>
      <c r="CG203" s="930" t="str">
        <f>IF(AND(WWWW[[#This Row],[% of water sources passed]]="no test",WWWW[[#This Row],[% Household passed]]="no test"),"No Test","Tested")</f>
        <v>No Test</v>
      </c>
      <c r="CH203" s="930">
        <f>WWWW[[#This Row],['#_Constructed/existing protected hand dug well]]-WWWW[[#This Row],['#_Non-functional protected hand dug well]]</f>
        <v>0</v>
      </c>
      <c r="CI203" s="930">
        <f>(WWWW[[#This Row],['#_Constructed/Existing tube wells/boreholes/handpumps_WASH_agency]]+WWWW[[#This Row],['#_Non-Cluster partner water tube-wells/boreholes/handpumps]])-WWWW[[#This Row],['#_Non-functional tube wells/boreholes/handpumps]]</f>
        <v>0</v>
      </c>
      <c r="CJ203" s="930">
        <f>WWWW[[#This Row],['#_Constructed/Existingwater storage tank with gravity fed reticulation system]]-WWWW[[#This Row],['#_Non-functional storage tank gravity fed reticulation system]]</f>
        <v>24</v>
      </c>
      <c r="CK203" s="930">
        <f>(WWWW[[#This Row],['#_Water_Liters_supplied_by_Water boating or water trucking]]/90)/15</f>
        <v>0</v>
      </c>
      <c r="CL203" s="930">
        <f>WWWW[[#This Row],['#_Water_Liters_from_Constructed/Existing water distribution system from river or natural spring]]/90/15</f>
        <v>0</v>
      </c>
      <c r="CM203" s="425">
        <f>IF(WWWW[[#This Row],['#_of water points in TLS/CFS]]*500&gt;WWWW[[#This Row],[Total PoP ]],WWWW[[#This Row],[Total PoP ]],WWWW[[#This Row],['#_of water points in TLS/CFS]]*500)</f>
        <v>500</v>
      </c>
      <c r="CN203" s="425">
        <f>IF(WWWW[[#This Row],['#_of water points in THF]]*500&gt;WWWW[[#This Row],[Total PoP ]],WWWW[[#This Row],[Total PoP ]],WWWW[[#This Row],['#_of water points in THF]]*500)</f>
        <v>0</v>
      </c>
      <c r="CO20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P20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Q203" s="929">
        <f>IF(WWWW[[#This Row],[Location Type 1]]="Village",WWWW[[#This Row],[Access to safe drinking water for Village]],WWWW[[#This Row],[Access to safe drinking water for Camp]])</f>
        <v>0.95579450418160095</v>
      </c>
      <c r="CR203" s="927">
        <f>WWWW[[#This Row],[%Equitable and continuous access to sufficient quantity of safe drinking water]]*WWWW[[#This Row],[Total PoP ]]</f>
        <v>1600</v>
      </c>
      <c r="CS203" s="929">
        <f>IF((WWWW[[#This Row],['#_Constructed/Existing protected/fenced ponds]]*250)/WWWW[[#This Row],[Total PoP ]]&gt;1,1,(WWWW[[#This Row],['#_Constructed/Existing protected/fenced ponds]]*250)/WWWW[[#This Row],[Total PoP ]])</f>
        <v>0</v>
      </c>
      <c r="CT203" s="927">
        <f>WWWW[[#This Row],[% Access to unimproved water points]]*WWWW[[#This Row],[Total PoP ]]</f>
        <v>0</v>
      </c>
      <c r="CU20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V20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W203" s="927">
        <f>WWWW[[#This Row],[HRP1]]/500</f>
        <v>3.2</v>
      </c>
      <c r="CX203" s="932">
        <f>1-WWWW[[#This Row],[% Equitable and continuous access to sufficient quantity of domestic water]]</f>
        <v>4.4205495818399054E-2</v>
      </c>
      <c r="CY203" s="927">
        <f>WWWW[[#This Row],[%equitable and continuous access to sufficient quantity of safe drinking and domestic water''s GAP]]*WWWW[[#This Row],[Total PoP ]]</f>
        <v>74.000000000000014</v>
      </c>
      <c r="CZ203" s="930">
        <f>IF(WWWW[[#This Row],[Total required water points]]-WWWW[[#This Row],['#Water points coverage]]&lt;0,0,WWWW[[#This Row],[Total required water points]]-WWWW[[#This Row],['#Water points coverage]])</f>
        <v>0</v>
      </c>
      <c r="DA203" s="930">
        <f>ROUND(IF(WWWW[[#This Row],[Total PoP ]]&lt;500,1,WWWW[[#This Row],[Total PoP ]]/500),0)</f>
        <v>3</v>
      </c>
      <c r="DB203" s="930">
        <f>(WWWW[[#This Row],['#_Constructed latrines_by_WASHAgencies]]+WWWW[[#This Row],['#_Non Cluster partner latrines]])-WWWW[[#This Row],['#_Non-functional latrines]]</f>
        <v>14</v>
      </c>
      <c r="DC203" s="634">
        <f>WWWW[[#This Row],[HRP2]]/WWWW[[#This Row],[Total PoP ]]</f>
        <v>0.16726403823178015</v>
      </c>
      <c r="DD20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20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3" s="425">
        <f>IF(WWWW[[#This Row],['# of functional latrines in THF supported by WASH partners during the reporting period2]]="",0,WWWW[[#This Row],['# of functional latrines in THF supported by WASH partners during the reporting period2]]*50)</f>
        <v>0</v>
      </c>
      <c r="DH203" s="930">
        <f>ROUND(IF(WWWW[[#This Row],[Location Type 1]]="camp",WWWW[[#This Row],[Total PoP ]]/20,IF(WWWW[[#This Row],[Location Type 1]]="Temporary Location",WWWW[[#This Row],[Total PoP ]]/50,(WWWW[[#This Row],[Total PoP ]]/6))),0)</f>
        <v>84</v>
      </c>
      <c r="DI203" s="930">
        <f>IF(WWWW[[#This Row],[Total required Latrines]]-(WWWW[[#This Row],['#_Constructed latrines_by_WASHAgencies]]+WWWW[[#This Row],['#_Non Cluster partner latrines]])&lt;0,0,WWWW[[#This Row],[Total required Latrines]]-(WWWW[[#This Row],['#_Constructed latrines_by_WASHAgencies]]+WWWW[[#This Row],['#_Non Cluster partner latrines]]))</f>
        <v>54</v>
      </c>
      <c r="DJ203" s="932">
        <f>1-WWWW[[#This Row],[% people access to functioning Latrine]]</f>
        <v>0.83273596176821985</v>
      </c>
      <c r="DK203" s="931">
        <f>IF(OR(WWWW[[#This Row],['#_Non-functional latrines]]="",WWWW[[#This Row],['#_Non-functional latrines]]=0),0,WWWW[[#This Row],['#_Non-functional latrines]]/(WWWW[[#This Row],['#_Constructed latrines_by_WASHAgencies]]+WWWW[[#This Row],['#_Non Cluster partner latrines]]))</f>
        <v>0.53333333333333333</v>
      </c>
      <c r="DL203" s="927">
        <f>IF(500*(WWWW[[#This Row],['#_male hygiene promoters]]+WWWW[[#This Row],['#_female hygiene promoters]])&gt;WWWW[[#This Row],[Total PoP ]],WWWW[[#This Row],[Total PoP ]],500*(WWWW[[#This Row],['#_male hygiene promoters]]+WWWW[[#This Row],['#_female hygiene promoters]]))</f>
        <v>0</v>
      </c>
      <c r="DM20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3" s="930">
        <f>IF(WWWW[[#This Row],['# People with access to soap]]&gt;WWWW[[#This Row],['# People with access to Sanity Pads]],WWWW[[#This Row],['# People with access to soap]],WWWW[[#This Row],['# People with access to Sanity Pads]])</f>
        <v>0</v>
      </c>
      <c r="DP20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3" s="932">
        <f>IF(WWWW[[#This Row],[HRP3]]/WWWW[[#This Row],[Total PoP ]]&gt;1,1,WWWW[[#This Row],[HRP3]]/WWWW[[#This Row],[Total PoP ]])</f>
        <v>0</v>
      </c>
      <c r="DR203" s="931">
        <f>1-WWWW[[#This Row],[Hygiene Coverage%]]</f>
        <v>1</v>
      </c>
      <c r="DS203" s="929">
        <f>WWWW[[#This Row],['# people reached by regular dedicated hygiene promotion_5]]/WWWW[[#This Row],[Total PoP ]]</f>
        <v>0</v>
      </c>
      <c r="DT20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3" s="930">
        <f>WWWW[[#This Row],['#_Constructed/Existing hand washing stations]]-WWWW[[#This Row],['#_Non-Functional_hand_washing_stations]]</f>
        <v>1</v>
      </c>
      <c r="DW203" s="927">
        <f>IF(WWWW[[#This Row],['# Functional hand washing stations during reporting period]]*20&gt;WWWW[[#This Row],[Total HH]],WWWW[[#This Row],[Total HH]],WWWW[[#This Row],['# Functional hand washing stations during reporting period]]*20)</f>
        <v>20</v>
      </c>
      <c r="DX203" s="927">
        <f>IF(WWWW[[#This Row],[Is sufficient soap available for TLS? (Yes/No)]]="yes",WWWW[[#This Row],['#_Constructed/Existing hand washing stations at TLS/CFS/THF]],0)</f>
        <v>0</v>
      </c>
      <c r="DY203" s="429">
        <f>IF(WWWW[[#This Row],['# Functional hand washing stations during reporting period]]*100&gt;WWWW[[#This Row],[Total PoP ]],WWWW[[#This Row],[Total PoP ]],WWWW[[#This Row],['# Functional hand washing stations during reporting period]]*100)</f>
        <v>100</v>
      </c>
      <c r="DZ203" s="429" t="str">
        <f>IF(OR(WWWW[[#This Row],['#_students at TLS_CFS]]="",WWWW[[#This Row],['#_students at TLS_CFS]]=0),"No","Yes")</f>
        <v>No</v>
      </c>
      <c r="EA20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D20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3" s="923">
        <f>VLOOKUP(WWWW[[#This Row],[Site Name]],SiteDB6[[Site Name]:[CCCM Management]],6,FALSE)</f>
        <v>0</v>
      </c>
      <c r="EF203" s="923">
        <f>VLOOKUP(WWWW[[#This Row],[Site Name]],SiteDB6[[Site Name]:[CCCM Focal Agency]],7,FALSE)</f>
        <v>0</v>
      </c>
      <c r="EG203" s="923" t="str">
        <f>VLOOKUP(WWWW[[#This Row],[Site Name]],SiteDB6[[Site Name]:[Location Type 1]],9,FALSE)</f>
        <v>Camp</v>
      </c>
      <c r="EH203" s="923" t="str">
        <f>VLOOKUP(WWWW[[#This Row],[Site Name]],SiteDB6[[Site Name]:[Type of Accommodation]],10,FALSE)</f>
        <v>Camp Like setting</v>
      </c>
      <c r="EI203" s="923" t="str">
        <f>VLOOKUP(WWWW[[#This Row],[Site Name]],SiteDB6[[Site Name]:[Ethnic or GCA/NGCA]],11,FALSE)</f>
        <v>GCA</v>
      </c>
      <c r="EJ203" s="923">
        <f>VLOOKUP(WWWW[[#This Row],[Site Name]],SiteDB6[[Site Name]:[Lat]],12,FALSE)</f>
        <v>23.420603</v>
      </c>
      <c r="EK203" s="923">
        <f>VLOOKUP(WWWW[[#This Row],[Site Name]],SiteDB6[[Site Name]:[Long]],13,FALSE)</f>
        <v>98.451791999999998</v>
      </c>
      <c r="EL203" s="923" t="str">
        <f>VLOOKUP(WWWW[[#This Row],[Site Name]],SiteDB6[[Site Name]:[Pcode]],3,FALSE)</f>
        <v>MMR015CMP069</v>
      </c>
      <c r="EM203" s="928" t="str">
        <f t="shared" si="3"/>
        <v>Covered</v>
      </c>
      <c r="EN203" s="928"/>
      <c r="EO203" s="923">
        <f>VLOOKUP(WWWW[[#This Row],[Site Name]],SiteDB6[[Site Name]:[Pop
(Kachin/Shan-CCCM as of July 2021)]],16,FALSE)</f>
        <v>166</v>
      </c>
      <c r="EP203" s="923">
        <f>VLOOKUP(WWWW[[#This Row],[Site Name]],SiteDB6[[Site Name]:[Pop
(Kachin/Shan-CCCM as of July 2021)]],17,FALSE)</f>
        <v>830</v>
      </c>
    </row>
    <row r="204" spans="1:146">
      <c r="A204" s="921" t="s">
        <v>2786</v>
      </c>
      <c r="B204" s="921" t="s">
        <v>141</v>
      </c>
      <c r="C204" s="922" t="s">
        <v>141</v>
      </c>
      <c r="D204" s="922" t="s">
        <v>299</v>
      </c>
      <c r="E204" s="922" t="s">
        <v>37</v>
      </c>
      <c r="F204" s="922" t="s">
        <v>195</v>
      </c>
      <c r="G204" s="594" t="str">
        <f>VLOOKUP(WWWW[[#This Row],[Site Name]],SiteDB6[[Site Name]:[Location Type]],8,FALSE)</f>
        <v>Camp_not registered</v>
      </c>
      <c r="H204" s="922" t="s">
        <v>2242</v>
      </c>
      <c r="I204" s="946">
        <v>49</v>
      </c>
      <c r="J204" s="946">
        <v>203</v>
      </c>
      <c r="K204" s="947">
        <v>44652</v>
      </c>
      <c r="L204" s="948">
        <v>44865</v>
      </c>
      <c r="M204" s="946">
        <v>53</v>
      </c>
      <c r="N204" s="924"/>
      <c r="O204" s="924"/>
      <c r="P204" s="924"/>
      <c r="Q204" s="927" t="s">
        <v>41</v>
      </c>
      <c r="R204" s="924">
        <v>1</v>
      </c>
      <c r="S204" s="924">
        <v>1</v>
      </c>
      <c r="T204" s="449">
        <v>4</v>
      </c>
      <c r="U204" s="924"/>
      <c r="V204" s="924"/>
      <c r="W204" s="924"/>
      <c r="X204" s="924"/>
      <c r="Y204" s="924"/>
      <c r="Z204" s="924"/>
      <c r="AA204" s="924"/>
      <c r="AB204" s="924"/>
      <c r="AC204" s="924"/>
      <c r="AD204" s="924"/>
      <c r="AE204" s="924"/>
      <c r="AF204" s="924"/>
      <c r="AG204" s="924"/>
      <c r="AH204" s="924"/>
      <c r="AI204" s="946">
        <v>1</v>
      </c>
      <c r="AJ204" s="946">
        <v>1</v>
      </c>
      <c r="AK204" s="946">
        <v>3</v>
      </c>
      <c r="AL204" s="946">
        <v>3</v>
      </c>
      <c r="AM204" s="946">
        <v>1</v>
      </c>
      <c r="AN204" s="924"/>
      <c r="AO204" s="449"/>
      <c r="AP204" s="593" t="s">
        <v>3033</v>
      </c>
      <c r="AQ204" s="924">
        <v>7</v>
      </c>
      <c r="AR204" s="924"/>
      <c r="AS204" s="929"/>
      <c r="AT204" s="924"/>
      <c r="AU204" s="924"/>
      <c r="AV204" s="946">
        <v>4</v>
      </c>
      <c r="AW204" s="946">
        <v>2</v>
      </c>
      <c r="AX204" s="924"/>
      <c r="AY204" s="923" t="s">
        <v>41</v>
      </c>
      <c r="AZ204" s="928" t="s">
        <v>137</v>
      </c>
      <c r="BA204" s="924"/>
      <c r="BB204" s="924"/>
      <c r="BC204" s="924"/>
      <c r="BD204" s="449"/>
      <c r="BE204" s="449">
        <v>4</v>
      </c>
      <c r="BF204" s="426" t="s">
        <v>3034</v>
      </c>
      <c r="BG204" s="924">
        <v>2</v>
      </c>
      <c r="BH204" s="924"/>
      <c r="BI204" s="924"/>
      <c r="BJ204" s="924">
        <v>2</v>
      </c>
      <c r="BK204" s="924"/>
      <c r="BL204" s="946">
        <v>1</v>
      </c>
      <c r="BM204" s="924"/>
      <c r="BN204" s="946"/>
      <c r="BO204" s="946"/>
      <c r="BP204" s="426" t="s">
        <v>41</v>
      </c>
      <c r="BQ204" s="949">
        <v>1</v>
      </c>
      <c r="BR204" s="950">
        <v>0.5</v>
      </c>
      <c r="BS204" s="426" t="s">
        <v>3035</v>
      </c>
      <c r="BT204" s="424"/>
      <c r="BU204" s="424">
        <v>0.8</v>
      </c>
      <c r="BV204" s="426">
        <v>10</v>
      </c>
      <c r="BW204" s="424">
        <v>0.75</v>
      </c>
      <c r="BX204" s="449"/>
      <c r="BY204" s="449"/>
      <c r="BZ204" s="449"/>
      <c r="CA204" s="449"/>
      <c r="CB204" s="449"/>
      <c r="CC204" s="807"/>
      <c r="CD204" s="449"/>
      <c r="CE204" s="931">
        <f>IFERROR(WWWW[[#This Row],['#_Water sources passed]]/WWWW[[#This Row],['#_Water sources tested for fecal coliform ]],"no test")</f>
        <v>1</v>
      </c>
      <c r="CF204" s="929">
        <f>IFERROR(WWWW[[#This Row],['#_Household passed]]/WWWW[[#This Row],['#_Household water samples tested for fecal coliform]],"no test")</f>
        <v>1</v>
      </c>
      <c r="CG204" s="930" t="str">
        <f>IF(AND(WWWW[[#This Row],[% of water sources passed]]="no test",WWWW[[#This Row],[% Household passed]]="no test"),"No Test","Tested")</f>
        <v>Tested</v>
      </c>
      <c r="CH204" s="930">
        <f>WWWW[[#This Row],['#_Constructed/existing protected hand dug well]]-WWWW[[#This Row],['#_Non-functional protected hand dug well]]</f>
        <v>4</v>
      </c>
      <c r="CI204" s="930">
        <f>(WWWW[[#This Row],['#_Constructed/Existing tube wells/boreholes/handpumps_WASH_agency]]+WWWW[[#This Row],['#_Non-Cluster partner water tube-wells/boreholes/handpumps]])-WWWW[[#This Row],['#_Non-functional tube wells/boreholes/handpumps]]</f>
        <v>0</v>
      </c>
      <c r="CJ204" s="930">
        <f>WWWW[[#This Row],['#_Constructed/Existingwater storage tank with gravity fed reticulation system]]-WWWW[[#This Row],['#_Non-functional storage tank gravity fed reticulation system]]</f>
        <v>0</v>
      </c>
      <c r="CK204" s="930">
        <f>(WWWW[[#This Row],['#_Water_Liters_supplied_by_Water boating or water trucking]]/90)/15</f>
        <v>0</v>
      </c>
      <c r="CL204" s="930">
        <f>WWWW[[#This Row],['#_Water_Liters_from_Constructed/Existing water distribution system from river or natural spring]]/90/15</f>
        <v>0</v>
      </c>
      <c r="CM204" s="425">
        <f>IF(WWWW[[#This Row],['#_of water points in TLS/CFS]]*500&gt;WWWW[[#This Row],[Total PoP ]],WWWW[[#This Row],[Total PoP ]],WWWW[[#This Row],['#_of water points in TLS/CFS]]*500)</f>
        <v>0</v>
      </c>
      <c r="CN204" s="425">
        <f>IF(WWWW[[#This Row],['#_of water points in THF]]*500&gt;WWWW[[#This Row],[Total PoP ]],WWWW[[#This Row],[Total PoP ]],WWWW[[#This Row],['#_of water points in THF]]*500)</f>
        <v>0</v>
      </c>
      <c r="CO20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4" s="929">
        <f>IF(WWWW[[#This Row],[Location Type 1]]="Village",WWWW[[#This Row],[Access to safe drinking water for Village]],WWWW[[#This Row],[Access to safe drinking water for Camp]])</f>
        <v>1</v>
      </c>
      <c r="CR204" s="927">
        <f>WWWW[[#This Row],[%Equitable and continuous access to sufficient quantity of safe drinking water]]*WWWW[[#This Row],[Total PoP ]]</f>
        <v>203</v>
      </c>
      <c r="CS204" s="929">
        <f>IF((WWWW[[#This Row],['#_Constructed/Existing protected/fenced ponds]]*250)/WWWW[[#This Row],[Total PoP ]]&gt;1,1,(WWWW[[#This Row],['#_Constructed/Existing protected/fenced ponds]]*250)/WWWW[[#This Row],[Total PoP ]])</f>
        <v>0</v>
      </c>
      <c r="CT204" s="927">
        <f>WWWW[[#This Row],[% Access to unimproved water points]]*WWWW[[#This Row],[Total PoP ]]</f>
        <v>0</v>
      </c>
      <c r="CU20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W204" s="927">
        <f>WWWW[[#This Row],[HRP1]]/500</f>
        <v>0.40600000000000003</v>
      </c>
      <c r="CX204" s="932">
        <f>1-WWWW[[#This Row],[% Equitable and continuous access to sufficient quantity of domestic water]]</f>
        <v>0</v>
      </c>
      <c r="CY204" s="927">
        <f>WWWW[[#This Row],[%equitable and continuous access to sufficient quantity of safe drinking and domestic water''s GAP]]*WWWW[[#This Row],[Total PoP ]]</f>
        <v>0</v>
      </c>
      <c r="CZ204" s="930">
        <f>IF(WWWW[[#This Row],[Total required water points]]-WWWW[[#This Row],['#Water points coverage]]&lt;0,0,WWWW[[#This Row],[Total required water points]]-WWWW[[#This Row],['#Water points coverage]])</f>
        <v>0.59399999999999997</v>
      </c>
      <c r="DA204" s="930">
        <f>ROUND(IF(WWWW[[#This Row],[Total PoP ]]&lt;500,1,WWWW[[#This Row],[Total PoP ]]/500),0)</f>
        <v>1</v>
      </c>
      <c r="DB204" s="930">
        <f>(WWWW[[#This Row],['#_Constructed latrines_by_WASHAgencies]]+WWWW[[#This Row],['#_Non Cluster partner latrines]])-WWWW[[#This Row],['#_Non-functional latrines]]</f>
        <v>7</v>
      </c>
      <c r="DC204" s="634">
        <f>WWWW[[#This Row],[HRP2]]/WWWW[[#This Row],[Total PoP ]]</f>
        <v>0.70935960591133007</v>
      </c>
      <c r="DD20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144</v>
      </c>
      <c r="DE20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20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4" s="425">
        <f>IF(WWWW[[#This Row],['# of functional latrines in THF supported by WASH partners during the reporting period2]]="",0,WWWW[[#This Row],['# of functional latrines in THF supported by WASH partners during the reporting period2]]*50)</f>
        <v>0</v>
      </c>
      <c r="DH204" s="930">
        <f>ROUND(IF(WWWW[[#This Row],[Location Type 1]]="camp",WWWW[[#This Row],[Total PoP ]]/20,IF(WWWW[[#This Row],[Location Type 1]]="Temporary Location",WWWW[[#This Row],[Total PoP ]]/50,(WWWW[[#This Row],[Total PoP ]]/6))),0)</f>
        <v>10</v>
      </c>
      <c r="DI204" s="930">
        <f>IF(WWWW[[#This Row],[Total required Latrines]]-(WWWW[[#This Row],['#_Constructed latrines_by_WASHAgencies]]+WWWW[[#This Row],['#_Non Cluster partner latrines]])&lt;0,0,WWWW[[#This Row],[Total required Latrines]]-(WWWW[[#This Row],['#_Constructed latrines_by_WASHAgencies]]+WWWW[[#This Row],['#_Non Cluster partner latrines]]))</f>
        <v>3</v>
      </c>
      <c r="DJ204" s="932">
        <f>1-WWWW[[#This Row],[% people access to functioning Latrine]]</f>
        <v>0.29064039408866993</v>
      </c>
      <c r="DK204" s="931">
        <f>IF(OR(WWWW[[#This Row],['#_Non-functional latrines]]="",WWWW[[#This Row],['#_Non-functional latrines]]=0),0,WWWW[[#This Row],['#_Non-functional latrines]]/(WWWW[[#This Row],['#_Constructed latrines_by_WASHAgencies]]+WWWW[[#This Row],['#_Non Cluster partner latrines]]))</f>
        <v>0</v>
      </c>
      <c r="DL204" s="927">
        <f>IF(500*(WWWW[[#This Row],['#_male hygiene promoters]]+WWWW[[#This Row],['#_female hygiene promoters]])&gt;WWWW[[#This Row],[Total PoP ]],WWWW[[#This Row],[Total PoP ]],500*(WWWW[[#This Row],['#_male hygiene promoters]]+WWWW[[#This Row],['#_female hygiene promoters]]))</f>
        <v>203</v>
      </c>
      <c r="DM20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4" s="930">
        <f>IF(WWWW[[#This Row],['# People with access to soap]]&gt;WWWW[[#This Row],['# People with access to Sanity Pads]],WWWW[[#This Row],['# People with access to soap]],WWWW[[#This Row],['# People with access to Sanity Pads]])</f>
        <v>0</v>
      </c>
      <c r="DP204" s="930">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Q204" s="932">
        <f>IF(WWWW[[#This Row],[HRP3]]/WWWW[[#This Row],[Total PoP ]]&gt;1,1,WWWW[[#This Row],[HRP3]]/WWWW[[#This Row],[Total PoP ]])</f>
        <v>1</v>
      </c>
      <c r="DR204" s="931">
        <f>1-WWWW[[#This Row],[Hygiene Coverage%]]</f>
        <v>0</v>
      </c>
      <c r="DS204" s="929">
        <f>WWWW[[#This Row],['# people reached by regular dedicated hygiene promotion_5]]/WWWW[[#This Row],[Total PoP ]]</f>
        <v>1</v>
      </c>
      <c r="DT20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4" s="930">
        <f>WWWW[[#This Row],['#_Constructed/Existing hand washing stations]]-WWWW[[#This Row],['#_Non-Functional_hand_washing_stations]]</f>
        <v>2</v>
      </c>
      <c r="DW204" s="927">
        <f>IF(WWWW[[#This Row],['# Functional hand washing stations during reporting period]]*20&gt;WWWW[[#This Row],[Total HH]],WWWW[[#This Row],[Total HH]],WWWW[[#This Row],['# Functional hand washing stations during reporting period]]*20)</f>
        <v>40</v>
      </c>
      <c r="DX204" s="927">
        <f>IF(WWWW[[#This Row],[Is sufficient soap available for TLS? (Yes/No)]]="yes",WWWW[[#This Row],['#_Constructed/Existing hand washing stations at TLS/CFS/THF]],0)</f>
        <v>1</v>
      </c>
      <c r="DY204" s="429">
        <f>IF(WWWW[[#This Row],['# Functional hand washing stations during reporting period]]*100&gt;WWWW[[#This Row],[Total PoP ]],WWWW[[#This Row],[Total PoP ]],WWWW[[#This Row],['# Functional hand washing stations during reporting period]]*100)</f>
        <v>200</v>
      </c>
      <c r="DZ204" s="429" t="str">
        <f>IF(OR(WWWW[[#This Row],['#_students at TLS_CFS]]="",WWWW[[#This Row],['#_students at TLS_CFS]]=0),"No","Yes")</f>
        <v>Yes</v>
      </c>
      <c r="EA204" s="634">
        <f>IF(WWWW[[#This Row],['#_of_affected_people_surveyed_who_report_feeling_informed_about_the_different_WASH_services_available_to_them]]="","",WWWW[[#This Row],['#_of_affected_people_surveyed_who_report_feeling_informed_about_the_different_WASH_services_available_to_them]]/WWWW[[#This Row],[Total PoP ]])</f>
        <v>4.9261083743842367E-2</v>
      </c>
      <c r="EB20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4" s="923">
        <f>VLOOKUP(WWWW[[#This Row],[Site Name]],SiteDB6[[Site Name]:[CCCM Management]],6,FALSE)</f>
        <v>0</v>
      </c>
      <c r="EF204" s="923">
        <f>VLOOKUP(WWWW[[#This Row],[Site Name]],SiteDB6[[Site Name]:[CCCM Focal Agency]],7,FALSE)</f>
        <v>0</v>
      </c>
      <c r="EG204" s="923" t="str">
        <f>VLOOKUP(WWWW[[#This Row],[Site Name]],SiteDB6[[Site Name]:[Location Type 1]],9,FALSE)</f>
        <v>Camp</v>
      </c>
      <c r="EH204" s="923" t="str">
        <f>VLOOKUP(WWWW[[#This Row],[Site Name]],SiteDB6[[Site Name]:[Type of Accommodation]],10,FALSE)</f>
        <v>Camp like setting</v>
      </c>
      <c r="EI204" s="923" t="str">
        <f>VLOOKUP(WWWW[[#This Row],[Site Name]],SiteDB6[[Site Name]:[Ethnic or GCA/NGCA]],11,FALSE)</f>
        <v>GCA</v>
      </c>
      <c r="EJ204" s="923">
        <f>VLOOKUP(WWWW[[#This Row],[Site Name]],SiteDB6[[Site Name]:[Lat]],12,FALSE)</f>
        <v>0</v>
      </c>
      <c r="EK204" s="923">
        <f>VLOOKUP(WWWW[[#This Row],[Site Name]],SiteDB6[[Site Name]:[Long]],13,FALSE)</f>
        <v>0</v>
      </c>
      <c r="EL204" s="923">
        <f>VLOOKUP(WWWW[[#This Row],[Site Name]],SiteDB6[[Site Name]:[Pcode]],3,FALSE)</f>
        <v>0</v>
      </c>
      <c r="EM204" s="928" t="str">
        <f t="shared" si="3"/>
        <v>Covered</v>
      </c>
      <c r="EN204" s="928"/>
      <c r="EO204" s="923">
        <f>VLOOKUP(WWWW[[#This Row],[Site Name]],SiteDB6[[Site Name]:[Pop
(Kachin/Shan-CCCM as of July 2021)]],16,FALSE)</f>
        <v>0</v>
      </c>
      <c r="EP204" s="923">
        <f>VLOOKUP(WWWW[[#This Row],[Site Name]],SiteDB6[[Site Name]:[Pop
(Kachin/Shan-CCCM as of July 2021)]],17,FALSE)</f>
        <v>0</v>
      </c>
    </row>
    <row r="205" spans="1:146">
      <c r="A205" s="921" t="s">
        <v>2786</v>
      </c>
      <c r="B205" s="921" t="s">
        <v>2082</v>
      </c>
      <c r="C205" s="922" t="s">
        <v>141</v>
      </c>
      <c r="D205" s="922" t="s">
        <v>299</v>
      </c>
      <c r="E205" s="922" t="s">
        <v>37</v>
      </c>
      <c r="F205" s="922" t="s">
        <v>146</v>
      </c>
      <c r="G205" s="594" t="str">
        <f>VLOOKUP(WWWW[[#This Row],[Site Name]],SiteDB6[[Site Name]:[Location Type]],8,FALSE)</f>
        <v>Camp</v>
      </c>
      <c r="H205" s="922" t="s">
        <v>147</v>
      </c>
      <c r="I205" s="924">
        <v>167</v>
      </c>
      <c r="J205" s="924">
        <v>936</v>
      </c>
      <c r="K205" s="925">
        <v>44682</v>
      </c>
      <c r="L205" s="926">
        <v>44865</v>
      </c>
      <c r="M205" s="924"/>
      <c r="N205" s="924">
        <v>1</v>
      </c>
      <c r="O205" s="924"/>
      <c r="P205" s="924"/>
      <c r="Q205" s="927" t="s">
        <v>41</v>
      </c>
      <c r="R205" s="449">
        <v>3</v>
      </c>
      <c r="S205" s="449">
        <v>1</v>
      </c>
      <c r="T205" s="449"/>
      <c r="U205" s="924"/>
      <c r="V205" s="924"/>
      <c r="W205" s="924"/>
      <c r="X205" s="924"/>
      <c r="Y205" s="924"/>
      <c r="Z205" s="924"/>
      <c r="AA205" s="924"/>
      <c r="AB205" s="924"/>
      <c r="AC205" s="924"/>
      <c r="AD205" s="924"/>
      <c r="AE205" s="924"/>
      <c r="AF205" s="924"/>
      <c r="AG205" s="924"/>
      <c r="AH205" s="924"/>
      <c r="AI205" s="924"/>
      <c r="AJ205" s="924"/>
      <c r="AK205" s="924"/>
      <c r="AL205" s="924"/>
      <c r="AM205" s="924"/>
      <c r="AN205" s="924"/>
      <c r="AO205" s="449"/>
      <c r="AP205" s="928"/>
      <c r="AQ205" s="924">
        <v>32</v>
      </c>
      <c r="AR205" s="924"/>
      <c r="AS205" s="929"/>
      <c r="AT205" s="924"/>
      <c r="AU205" s="924"/>
      <c r="AV205" s="924"/>
      <c r="AW205" s="924"/>
      <c r="AX205" s="924">
        <v>32</v>
      </c>
      <c r="AY205" s="923" t="s">
        <v>41</v>
      </c>
      <c r="AZ205" s="928" t="s">
        <v>137</v>
      </c>
      <c r="BA205" s="924"/>
      <c r="BB205" s="924"/>
      <c r="BC205" s="924">
        <v>5</v>
      </c>
      <c r="BD205" s="449"/>
      <c r="BE205" s="449"/>
      <c r="BF205" s="923"/>
      <c r="BG205" s="924">
        <v>8</v>
      </c>
      <c r="BH205" s="924"/>
      <c r="BI205" s="924"/>
      <c r="BJ205" s="924">
        <v>3</v>
      </c>
      <c r="BK205" s="924"/>
      <c r="BL205" s="924">
        <v>2</v>
      </c>
      <c r="BM205" s="924"/>
      <c r="BN205" s="924"/>
      <c r="BO205" s="924"/>
      <c r="BP205" s="923"/>
      <c r="BQ205" s="930"/>
      <c r="BR205" s="929"/>
      <c r="BS205" s="923"/>
      <c r="BT205" s="424"/>
      <c r="BU205" s="424"/>
      <c r="BV205" s="426"/>
      <c r="BW205" s="424"/>
      <c r="BX205" s="449"/>
      <c r="BY205" s="449"/>
      <c r="BZ205" s="449"/>
      <c r="CA205" s="449"/>
      <c r="CB205" s="449"/>
      <c r="CC205" s="807"/>
      <c r="CD205" s="449"/>
      <c r="CE205" s="931" t="str">
        <f>IFERROR(WWWW[[#This Row],['#_Water sources passed]]/WWWW[[#This Row],['#_Water sources tested for fecal coliform ]],"no test")</f>
        <v>no test</v>
      </c>
      <c r="CF205" s="929" t="str">
        <f>IFERROR(WWWW[[#This Row],['#_Household passed]]/WWWW[[#This Row],['#_Household water samples tested for fecal coliform]],"no test")</f>
        <v>no test</v>
      </c>
      <c r="CG205" s="930" t="str">
        <f>IF(AND(WWWW[[#This Row],[% of water sources passed]]="no test",WWWW[[#This Row],[% Household passed]]="no test"),"No Test","Tested")</f>
        <v>No Test</v>
      </c>
      <c r="CH205" s="930">
        <f>WWWW[[#This Row],['#_Constructed/existing protected hand dug well]]-WWWW[[#This Row],['#_Non-functional protected hand dug well]]</f>
        <v>0</v>
      </c>
      <c r="CI205" s="930">
        <f>(WWWW[[#This Row],['#_Constructed/Existing tube wells/boreholes/handpumps_WASH_agency]]+WWWW[[#This Row],['#_Non-Cluster partner water tube-wells/boreholes/handpumps]])-WWWW[[#This Row],['#_Non-functional tube wells/boreholes/handpumps]]</f>
        <v>0</v>
      </c>
      <c r="CJ205" s="930">
        <f>WWWW[[#This Row],['#_Constructed/Existingwater storage tank with gravity fed reticulation system]]-WWWW[[#This Row],['#_Non-functional storage tank gravity fed reticulation system]]</f>
        <v>0</v>
      </c>
      <c r="CK205" s="930">
        <f>(WWWW[[#This Row],['#_Water_Liters_supplied_by_Water boating or water trucking]]/90)/15</f>
        <v>0</v>
      </c>
      <c r="CL205" s="930">
        <f>WWWW[[#This Row],['#_Water_Liters_from_Constructed/Existing water distribution system from river or natural spring]]/90/15</f>
        <v>0</v>
      </c>
      <c r="CM205" s="425">
        <f>IF(WWWW[[#This Row],['#_of water points in TLS/CFS]]*500&gt;WWWW[[#This Row],[Total PoP ]],WWWW[[#This Row],[Total PoP ]],WWWW[[#This Row],['#_of water points in TLS/CFS]]*500)</f>
        <v>0</v>
      </c>
      <c r="CN205" s="425">
        <f>IF(WWWW[[#This Row],['#_of water points in THF]]*500&gt;WWWW[[#This Row],[Total PoP ]],WWWW[[#This Row],[Total PoP ]],WWWW[[#This Row],['#_of water points in THF]]*500)</f>
        <v>0</v>
      </c>
      <c r="CO20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0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05" s="929">
        <f>IF(WWWW[[#This Row],[Location Type 1]]="Village",WWWW[[#This Row],[Access to safe drinking water for Village]],WWWW[[#This Row],[Access to safe drinking water for Camp]])</f>
        <v>0</v>
      </c>
      <c r="CR205" s="927">
        <f>WWWW[[#This Row],[%Equitable and continuous access to sufficient quantity of safe drinking water]]*WWWW[[#This Row],[Total PoP ]]</f>
        <v>0</v>
      </c>
      <c r="CS205" s="929">
        <f>IF((WWWW[[#This Row],['#_Constructed/Existing protected/fenced ponds]]*250)/WWWW[[#This Row],[Total PoP ]]&gt;1,1,(WWWW[[#This Row],['#_Constructed/Existing protected/fenced ponds]]*250)/WWWW[[#This Row],[Total PoP ]])</f>
        <v>0</v>
      </c>
      <c r="CT205" s="927">
        <f>WWWW[[#This Row],[% Access to unimproved water points]]*WWWW[[#This Row],[Total PoP ]]</f>
        <v>0</v>
      </c>
      <c r="CU20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0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05" s="927">
        <f>WWWW[[#This Row],[HRP1]]/500</f>
        <v>0</v>
      </c>
      <c r="CX205" s="932">
        <f>1-WWWW[[#This Row],[% Equitable and continuous access to sufficient quantity of domestic water]]</f>
        <v>1</v>
      </c>
      <c r="CY205" s="927">
        <f>WWWW[[#This Row],[%equitable and continuous access to sufficient quantity of safe drinking and domestic water''s GAP]]*WWWW[[#This Row],[Total PoP ]]</f>
        <v>936</v>
      </c>
      <c r="CZ205" s="930">
        <f>IF(WWWW[[#This Row],[Total required water points]]-WWWW[[#This Row],['#Water points coverage]]&lt;0,0,WWWW[[#This Row],[Total required water points]]-WWWW[[#This Row],['#Water points coverage]])</f>
        <v>2</v>
      </c>
      <c r="DA205" s="930">
        <f>ROUND(IF(WWWW[[#This Row],[Total PoP ]]&lt;500,1,WWWW[[#This Row],[Total PoP ]]/500),0)</f>
        <v>2</v>
      </c>
      <c r="DB205" s="930">
        <f>(WWWW[[#This Row],['#_Constructed latrines_by_WASHAgencies]]+WWWW[[#This Row],['#_Non Cluster partner latrines]])-WWWW[[#This Row],['#_Non-functional latrines]]</f>
        <v>32</v>
      </c>
      <c r="DC205" s="634">
        <f>WWWW[[#This Row],[HRP2]]/WWWW[[#This Row],[Total PoP ]]</f>
        <v>0.68376068376068377</v>
      </c>
      <c r="DD20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0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5" s="425">
        <f>IF(WWWW[[#This Row],['# of functional latrines in THF supported by WASH partners during the reporting period2]]="",0,WWWW[[#This Row],['# of functional latrines in THF supported by WASH partners during the reporting period2]]*50)</f>
        <v>0</v>
      </c>
      <c r="DH205" s="930">
        <f>ROUND(IF(WWWW[[#This Row],[Location Type 1]]="camp",WWWW[[#This Row],[Total PoP ]]/20,IF(WWWW[[#This Row],[Location Type 1]]="Temporary Location",WWWW[[#This Row],[Total PoP ]]/50,(WWWW[[#This Row],[Total PoP ]]/6))),0)</f>
        <v>47</v>
      </c>
      <c r="DI205" s="930">
        <f>IF(WWWW[[#This Row],[Total required Latrines]]-(WWWW[[#This Row],['#_Constructed latrines_by_WASHAgencies]]+WWWW[[#This Row],['#_Non Cluster partner latrines]])&lt;0,0,WWWW[[#This Row],[Total required Latrines]]-(WWWW[[#This Row],['#_Constructed latrines_by_WASHAgencies]]+WWWW[[#This Row],['#_Non Cluster partner latrines]]))</f>
        <v>15</v>
      </c>
      <c r="DJ205" s="932">
        <f>1-WWWW[[#This Row],[% people access to functioning Latrine]]</f>
        <v>0.31623931623931623</v>
      </c>
      <c r="DK205" s="931">
        <f>IF(OR(WWWW[[#This Row],['#_Non-functional latrines]]="",WWWW[[#This Row],['#_Non-functional latrines]]=0),0,WWWW[[#This Row],['#_Non-functional latrines]]/(WWWW[[#This Row],['#_Constructed latrines_by_WASHAgencies]]+WWWW[[#This Row],['#_Non Cluster partner latrines]]))</f>
        <v>0</v>
      </c>
      <c r="DL205" s="927">
        <f>IF(500*(WWWW[[#This Row],['#_male hygiene promoters]]+WWWW[[#This Row],['#_female hygiene promoters]])&gt;WWWW[[#This Row],[Total PoP ]],WWWW[[#This Row],[Total PoP ]],500*(WWWW[[#This Row],['#_male hygiene promoters]]+WWWW[[#This Row],['#_female hygiene promoters]]))</f>
        <v>936</v>
      </c>
      <c r="DM20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5" s="930">
        <f>IF(WWWW[[#This Row],['# People with access to soap]]&gt;WWWW[[#This Row],['# People with access to Sanity Pads]],WWWW[[#This Row],['# People with access to soap]],WWWW[[#This Row],['# People with access to Sanity Pads]])</f>
        <v>0</v>
      </c>
      <c r="DP205" s="930">
        <f>IF(WWWW[[#This Row],['# people reached by regular dedicated hygiene promotion_5]]&gt;WWWW[[#This Row],['# People received regular supply of hygiene items_6]],WWWW[[#This Row],['# people reached by regular dedicated hygiene promotion_5]],WWWW[[#This Row],['# People received regular supply of hygiene items_6]])</f>
        <v>936</v>
      </c>
      <c r="DQ205" s="932">
        <f>IF(WWWW[[#This Row],[HRP3]]/WWWW[[#This Row],[Total PoP ]]&gt;1,1,WWWW[[#This Row],[HRP3]]/WWWW[[#This Row],[Total PoP ]])</f>
        <v>1</v>
      </c>
      <c r="DR205" s="931">
        <f>1-WWWW[[#This Row],[Hygiene Coverage%]]</f>
        <v>0</v>
      </c>
      <c r="DS205" s="929">
        <f>WWWW[[#This Row],['# people reached by regular dedicated hygiene promotion_5]]/WWWW[[#This Row],[Total PoP ]]</f>
        <v>1</v>
      </c>
      <c r="DT20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5" s="930">
        <f>WWWW[[#This Row],['#_Constructed/Existing hand washing stations]]-WWWW[[#This Row],['#_Non-Functional_hand_washing_stations]]</f>
        <v>8</v>
      </c>
      <c r="DW205" s="927">
        <f>IF(WWWW[[#This Row],['# Functional hand washing stations during reporting period]]*20&gt;WWWW[[#This Row],[Total HH]],WWWW[[#This Row],[Total HH]],WWWW[[#This Row],['# Functional hand washing stations during reporting period]]*20)</f>
        <v>160</v>
      </c>
      <c r="DX205" s="927">
        <f>IF(WWWW[[#This Row],[Is sufficient soap available for TLS? (Yes/No)]]="yes",WWWW[[#This Row],['#_Constructed/Existing hand washing stations at TLS/CFS/THF]],0)</f>
        <v>0</v>
      </c>
      <c r="DY205" s="429">
        <f>IF(WWWW[[#This Row],['# Functional hand washing stations during reporting period]]*100&gt;WWWW[[#This Row],[Total PoP ]],WWWW[[#This Row],[Total PoP ]],WWWW[[#This Row],['# Functional hand washing stations during reporting period]]*100)</f>
        <v>800</v>
      </c>
      <c r="DZ205" s="429" t="str">
        <f>IF(OR(WWWW[[#This Row],['#_students at TLS_CFS]]="",WWWW[[#This Row],['#_students at TLS_CFS]]=0),"No","Yes")</f>
        <v>No</v>
      </c>
      <c r="EA20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5" s="923" t="str">
        <f>VLOOKUP(WWWW[[#This Row],[Site Name]],SiteDB6[[Site Name]:[CCCM Management]],6,FALSE)</f>
        <v>Yes</v>
      </c>
      <c r="EF205" s="923" t="str">
        <f>VLOOKUP(WWWW[[#This Row],[Site Name]],SiteDB6[[Site Name]:[CCCM Focal Agency]],7,FALSE)</f>
        <v>KBC-MYT</v>
      </c>
      <c r="EG205" s="923" t="str">
        <f>VLOOKUP(WWWW[[#This Row],[Site Name]],SiteDB6[[Site Name]:[Location Type 1]],9,FALSE)</f>
        <v>Camp</v>
      </c>
      <c r="EH205" s="923" t="str">
        <f>VLOOKUP(WWWW[[#This Row],[Site Name]],SiteDB6[[Site Name]:[Type of Accommodation]],10,FALSE)</f>
        <v>Camp</v>
      </c>
      <c r="EI205" s="923" t="str">
        <f>VLOOKUP(WWWW[[#This Row],[Site Name]],SiteDB6[[Site Name]:[Ethnic or GCA/NGCA]],11,FALSE)</f>
        <v>NGCA</v>
      </c>
      <c r="EJ205" s="923">
        <f>VLOOKUP(WWWW[[#This Row],[Site Name]],SiteDB6[[Site Name]:[Lat]],12,FALSE)</f>
        <v>25.754110000000001</v>
      </c>
      <c r="EK205" s="923">
        <f>VLOOKUP(WWWW[[#This Row],[Site Name]],SiteDB6[[Site Name]:[Long]],13,FALSE)</f>
        <v>98.475719999999995</v>
      </c>
      <c r="EL205" s="923" t="str">
        <f>VLOOKUP(WWWW[[#This Row],[Site Name]],SiteDB6[[Site Name]:[Pcode]],3,FALSE)</f>
        <v>MMR001CMP043</v>
      </c>
      <c r="EM205" s="928" t="str">
        <f t="shared" si="3"/>
        <v>Covered</v>
      </c>
      <c r="EN205" s="928"/>
      <c r="EO205" s="923">
        <f>VLOOKUP(WWWW[[#This Row],[Site Name]],SiteDB6[[Site Name]:[Pop
(Kachin/Shan-CCCM as of July 2021)]],16,FALSE)</f>
        <v>167</v>
      </c>
      <c r="EP205" s="923">
        <f>VLOOKUP(WWWW[[#This Row],[Site Name]],SiteDB6[[Site Name]:[Pop
(Kachin/Shan-CCCM as of July 2021)]],17,FALSE)</f>
        <v>936</v>
      </c>
    </row>
    <row r="206" spans="1:146">
      <c r="A206" s="921" t="s">
        <v>2786</v>
      </c>
      <c r="B206" s="921" t="s">
        <v>3097</v>
      </c>
      <c r="C206" s="922" t="s">
        <v>141</v>
      </c>
      <c r="D206" s="922" t="s">
        <v>3098</v>
      </c>
      <c r="E206" s="922" t="s">
        <v>37</v>
      </c>
      <c r="F206" s="922" t="s">
        <v>148</v>
      </c>
      <c r="G206" s="594" t="str">
        <f>VLOOKUP(WWWW[[#This Row],[Site Name]],SiteDB6[[Site Name]:[Location Type]],8,FALSE)</f>
        <v>Camp</v>
      </c>
      <c r="H206" s="922" t="s">
        <v>149</v>
      </c>
      <c r="I206" s="924">
        <v>26</v>
      </c>
      <c r="J206" s="924">
        <v>133</v>
      </c>
      <c r="K206" s="925">
        <v>44682</v>
      </c>
      <c r="L206" s="926">
        <v>44865</v>
      </c>
      <c r="M206" s="924"/>
      <c r="N206" s="924">
        <v>1</v>
      </c>
      <c r="O206" s="924"/>
      <c r="P206" s="924"/>
      <c r="Q206" s="927" t="s">
        <v>41</v>
      </c>
      <c r="R206" s="449">
        <v>3</v>
      </c>
      <c r="S206" s="449">
        <v>3</v>
      </c>
      <c r="T206" s="449"/>
      <c r="U206" s="924"/>
      <c r="V206" s="924"/>
      <c r="W206" s="924">
        <v>1</v>
      </c>
      <c r="X206" s="924"/>
      <c r="Y206" s="924"/>
      <c r="Z206" s="924"/>
      <c r="AA206" s="924"/>
      <c r="AB206" s="924"/>
      <c r="AC206" s="924"/>
      <c r="AD206" s="924"/>
      <c r="AE206" s="924"/>
      <c r="AF206" s="924"/>
      <c r="AG206" s="924"/>
      <c r="AH206" s="924"/>
      <c r="AI206" s="924"/>
      <c r="AJ206" s="924"/>
      <c r="AK206" s="924"/>
      <c r="AL206" s="924"/>
      <c r="AM206" s="924"/>
      <c r="AN206" s="924"/>
      <c r="AO206" s="449"/>
      <c r="AP206" s="928"/>
      <c r="AQ206" s="924">
        <v>4</v>
      </c>
      <c r="AR206" s="924"/>
      <c r="AS206" s="929"/>
      <c r="AT206" s="924">
        <v>4</v>
      </c>
      <c r="AU206" s="924"/>
      <c r="AV206" s="924"/>
      <c r="AW206" s="924"/>
      <c r="AX206" s="924">
        <v>4</v>
      </c>
      <c r="AY206" s="923" t="s">
        <v>41</v>
      </c>
      <c r="AZ206" s="928" t="s">
        <v>137</v>
      </c>
      <c r="BA206" s="924"/>
      <c r="BB206" s="924"/>
      <c r="BC206" s="924"/>
      <c r="BD206" s="449"/>
      <c r="BE206" s="449"/>
      <c r="BF206" s="923"/>
      <c r="BG206" s="924">
        <v>1</v>
      </c>
      <c r="BH206" s="924"/>
      <c r="BI206" s="924"/>
      <c r="BJ206" s="924">
        <v>1</v>
      </c>
      <c r="BK206" s="924"/>
      <c r="BL206" s="924"/>
      <c r="BM206" s="924"/>
      <c r="BN206" s="924"/>
      <c r="BO206" s="924"/>
      <c r="BP206" s="923"/>
      <c r="BQ206" s="930"/>
      <c r="BR206" s="929"/>
      <c r="BS206" s="923"/>
      <c r="BT206" s="424"/>
      <c r="BU206" s="424"/>
      <c r="BV206" s="426"/>
      <c r="BW206" s="424"/>
      <c r="BX206" s="449"/>
      <c r="BY206" s="449"/>
      <c r="BZ206" s="449"/>
      <c r="CA206" s="449"/>
      <c r="CB206" s="449"/>
      <c r="CC206" s="807"/>
      <c r="CD206" s="449"/>
      <c r="CE206" s="931" t="str">
        <f>IFERROR(WWWW[[#This Row],['#_Water sources passed]]/WWWW[[#This Row],['#_Water sources tested for fecal coliform ]],"no test")</f>
        <v>no test</v>
      </c>
      <c r="CF206" s="929" t="str">
        <f>IFERROR(WWWW[[#This Row],['#_Household passed]]/WWWW[[#This Row],['#_Household water samples tested for fecal coliform]],"no test")</f>
        <v>no test</v>
      </c>
      <c r="CG206" s="930" t="str">
        <f>IF(AND(WWWW[[#This Row],[% of water sources passed]]="no test",WWWW[[#This Row],[% Household passed]]="no test"),"No Test","Tested")</f>
        <v>No Test</v>
      </c>
      <c r="CH206" s="930">
        <f>WWWW[[#This Row],['#_Constructed/existing protected hand dug well]]-WWWW[[#This Row],['#_Non-functional protected hand dug well]]</f>
        <v>0</v>
      </c>
      <c r="CI206" s="930">
        <f>(WWWW[[#This Row],['#_Constructed/Existing tube wells/boreholes/handpumps_WASH_agency]]+WWWW[[#This Row],['#_Non-Cluster partner water tube-wells/boreholes/handpumps]])-WWWW[[#This Row],['#_Non-functional tube wells/boreholes/handpumps]]</f>
        <v>1</v>
      </c>
      <c r="CJ206" s="930">
        <f>WWWW[[#This Row],['#_Constructed/Existingwater storage tank with gravity fed reticulation system]]-WWWW[[#This Row],['#_Non-functional storage tank gravity fed reticulation system]]</f>
        <v>0</v>
      </c>
      <c r="CK206" s="930">
        <f>(WWWW[[#This Row],['#_Water_Liters_supplied_by_Water boating or water trucking]]/90)/15</f>
        <v>0</v>
      </c>
      <c r="CL206" s="930">
        <f>WWWW[[#This Row],['#_Water_Liters_from_Constructed/Existing water distribution system from river or natural spring]]/90/15</f>
        <v>0</v>
      </c>
      <c r="CM206" s="425">
        <f>IF(WWWW[[#This Row],['#_of water points in TLS/CFS]]*500&gt;WWWW[[#This Row],[Total PoP ]],WWWW[[#This Row],[Total PoP ]],WWWW[[#This Row],['#_of water points in TLS/CFS]]*500)</f>
        <v>0</v>
      </c>
      <c r="CN206" s="425">
        <f>IF(WWWW[[#This Row],['#_of water points in THF]]*500&gt;WWWW[[#This Row],[Total PoP ]],WWWW[[#This Row],[Total PoP ]],WWWW[[#This Row],['#_of water points in THF]]*500)</f>
        <v>0</v>
      </c>
      <c r="CO20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6" s="929">
        <f>IF(WWWW[[#This Row],[Location Type 1]]="Village",WWWW[[#This Row],[Access to safe drinking water for Village]],WWWW[[#This Row],[Access to safe drinking water for Camp]])</f>
        <v>1</v>
      </c>
      <c r="CR206" s="927">
        <f>WWWW[[#This Row],[%Equitable and continuous access to sufficient quantity of safe drinking water]]*WWWW[[#This Row],[Total PoP ]]</f>
        <v>133</v>
      </c>
      <c r="CS206" s="929">
        <f>IF((WWWW[[#This Row],['#_Constructed/Existing protected/fenced ponds]]*250)/WWWW[[#This Row],[Total PoP ]]&gt;1,1,(WWWW[[#This Row],['#_Constructed/Existing protected/fenced ponds]]*250)/WWWW[[#This Row],[Total PoP ]])</f>
        <v>0</v>
      </c>
      <c r="CT206" s="927">
        <f>WWWW[[#This Row],[% Access to unimproved water points]]*WWWW[[#This Row],[Total PoP ]]</f>
        <v>0</v>
      </c>
      <c r="CU20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206" s="927">
        <f>WWWW[[#This Row],[HRP1]]/500</f>
        <v>0.26600000000000001</v>
      </c>
      <c r="CX206" s="932">
        <f>1-WWWW[[#This Row],[% Equitable and continuous access to sufficient quantity of domestic water]]</f>
        <v>0</v>
      </c>
      <c r="CY206" s="927">
        <f>WWWW[[#This Row],[%equitable and continuous access to sufficient quantity of safe drinking and domestic water''s GAP]]*WWWW[[#This Row],[Total PoP ]]</f>
        <v>0</v>
      </c>
      <c r="CZ206" s="930">
        <f>IF(WWWW[[#This Row],[Total required water points]]-WWWW[[#This Row],['#Water points coverage]]&lt;0,0,WWWW[[#This Row],[Total required water points]]-WWWW[[#This Row],['#Water points coverage]])</f>
        <v>0.73399999999999999</v>
      </c>
      <c r="DA206" s="930">
        <f>ROUND(IF(WWWW[[#This Row],[Total PoP ]]&lt;500,1,WWWW[[#This Row],[Total PoP ]]/500),0)</f>
        <v>1</v>
      </c>
      <c r="DB206" s="930">
        <f>(WWWW[[#This Row],['#_Constructed latrines_by_WASHAgencies]]+WWWW[[#This Row],['#_Non Cluster partner latrines]])-WWWW[[#This Row],['#_Non-functional latrines]]</f>
        <v>0</v>
      </c>
      <c r="DC206" s="634">
        <f>WWWW[[#This Row],[HRP2]]/WWWW[[#This Row],[Total PoP ]]</f>
        <v>0</v>
      </c>
      <c r="DD20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0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6" s="425">
        <f>IF(WWWW[[#This Row],['# of functional latrines in THF supported by WASH partners during the reporting period2]]="",0,WWWW[[#This Row],['# of functional latrines in THF supported by WASH partners during the reporting period2]]*50)</f>
        <v>0</v>
      </c>
      <c r="DH206" s="930">
        <f>ROUND(IF(WWWW[[#This Row],[Location Type 1]]="camp",WWWW[[#This Row],[Total PoP ]]/20,IF(WWWW[[#This Row],[Location Type 1]]="Temporary Location",WWWW[[#This Row],[Total PoP ]]/50,(WWWW[[#This Row],[Total PoP ]]/6))),0)</f>
        <v>7</v>
      </c>
      <c r="DI206" s="930">
        <f>IF(WWWW[[#This Row],[Total required Latrines]]-(WWWW[[#This Row],['#_Constructed latrines_by_WASHAgencies]]+WWWW[[#This Row],['#_Non Cluster partner latrines]])&lt;0,0,WWWW[[#This Row],[Total required Latrines]]-(WWWW[[#This Row],['#_Constructed latrines_by_WASHAgencies]]+WWWW[[#This Row],['#_Non Cluster partner latrines]]))</f>
        <v>3</v>
      </c>
      <c r="DJ206" s="932">
        <f>1-WWWW[[#This Row],[% people access to functioning Latrine]]</f>
        <v>1</v>
      </c>
      <c r="DK206" s="931">
        <f>IF(OR(WWWW[[#This Row],['#_Non-functional latrines]]="",WWWW[[#This Row],['#_Non-functional latrines]]=0),0,WWWW[[#This Row],['#_Non-functional latrines]]/(WWWW[[#This Row],['#_Constructed latrines_by_WASHAgencies]]+WWWW[[#This Row],['#_Non Cluster partner latrines]]))</f>
        <v>1</v>
      </c>
      <c r="DL206" s="927">
        <f>IF(500*(WWWW[[#This Row],['#_male hygiene promoters]]+WWWW[[#This Row],['#_female hygiene promoters]])&gt;WWWW[[#This Row],[Total PoP ]],WWWW[[#This Row],[Total PoP ]],500*(WWWW[[#This Row],['#_male hygiene promoters]]+WWWW[[#This Row],['#_female hygiene promoters]]))</f>
        <v>0</v>
      </c>
      <c r="DM20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6" s="930">
        <f>IF(WWWW[[#This Row],['# People with access to soap]]&gt;WWWW[[#This Row],['# People with access to Sanity Pads]],WWWW[[#This Row],['# People with access to soap]],WWWW[[#This Row],['# People with access to Sanity Pads]])</f>
        <v>0</v>
      </c>
      <c r="DP20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6" s="932">
        <f>IF(WWWW[[#This Row],[HRP3]]/WWWW[[#This Row],[Total PoP ]]&gt;1,1,WWWW[[#This Row],[HRP3]]/WWWW[[#This Row],[Total PoP ]])</f>
        <v>0</v>
      </c>
      <c r="DR206" s="931">
        <f>1-WWWW[[#This Row],[Hygiene Coverage%]]</f>
        <v>1</v>
      </c>
      <c r="DS206" s="929">
        <f>WWWW[[#This Row],['# people reached by regular dedicated hygiene promotion_5]]/WWWW[[#This Row],[Total PoP ]]</f>
        <v>0</v>
      </c>
      <c r="DT20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6" s="930">
        <f>WWWW[[#This Row],['#_Constructed/Existing hand washing stations]]-WWWW[[#This Row],['#_Non-Functional_hand_washing_stations]]</f>
        <v>1</v>
      </c>
      <c r="DW206" s="927">
        <f>IF(WWWW[[#This Row],['# Functional hand washing stations during reporting period]]*20&gt;WWWW[[#This Row],[Total HH]],WWWW[[#This Row],[Total HH]],WWWW[[#This Row],['# Functional hand washing stations during reporting period]]*20)</f>
        <v>20</v>
      </c>
      <c r="DX206" s="927">
        <f>IF(WWWW[[#This Row],[Is sufficient soap available for TLS? (Yes/No)]]="yes",WWWW[[#This Row],['#_Constructed/Existing hand washing stations at TLS/CFS/THF]],0)</f>
        <v>0</v>
      </c>
      <c r="DY206" s="429">
        <f>IF(WWWW[[#This Row],['# Functional hand washing stations during reporting period]]*100&gt;WWWW[[#This Row],[Total PoP ]],WWWW[[#This Row],[Total PoP ]],WWWW[[#This Row],['# Functional hand washing stations during reporting period]]*100)</f>
        <v>100</v>
      </c>
      <c r="DZ206" s="429" t="str">
        <f>IF(OR(WWWW[[#This Row],['#_students at TLS_CFS]]="",WWWW[[#This Row],['#_students at TLS_CFS]]=0),"No","Yes")</f>
        <v>No</v>
      </c>
      <c r="EA20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6" s="923" t="str">
        <f>VLOOKUP(WWWW[[#This Row],[Site Name]],SiteDB6[[Site Name]:[CCCM Management]],6,FALSE)</f>
        <v>Yes</v>
      </c>
      <c r="EF206" s="923" t="str">
        <f>VLOOKUP(WWWW[[#This Row],[Site Name]],SiteDB6[[Site Name]:[CCCM Focal Agency]],7,FALSE)</f>
        <v>KBC-MYT</v>
      </c>
      <c r="EG206" s="923" t="str">
        <f>VLOOKUP(WWWW[[#This Row],[Site Name]],SiteDB6[[Site Name]:[Location Type 1]],9,FALSE)</f>
        <v>Camp</v>
      </c>
      <c r="EH206" s="923" t="str">
        <f>VLOOKUP(WWWW[[#This Row],[Site Name]],SiteDB6[[Site Name]:[Type of Accommodation]],10,FALSE)</f>
        <v>Camp</v>
      </c>
      <c r="EI206" s="923" t="str">
        <f>VLOOKUP(WWWW[[#This Row],[Site Name]],SiteDB6[[Site Name]:[Ethnic or GCA/NGCA]],11,FALSE)</f>
        <v>GCA</v>
      </c>
      <c r="EJ206" s="923">
        <f>VLOOKUP(WWWW[[#This Row],[Site Name]],SiteDB6[[Site Name]:[Lat]],12,FALSE)</f>
        <v>25.51352</v>
      </c>
      <c r="EK206" s="923">
        <f>VLOOKUP(WWWW[[#This Row],[Site Name]],SiteDB6[[Site Name]:[Long]],13,FALSE)</f>
        <v>96.705960000000005</v>
      </c>
      <c r="EL206" s="923" t="str">
        <f>VLOOKUP(WWWW[[#This Row],[Site Name]],SiteDB6[[Site Name]:[Pcode]],3,FALSE)</f>
        <v>MMR001CMP148</v>
      </c>
      <c r="EM206" s="928" t="str">
        <f t="shared" si="3"/>
        <v>Covered</v>
      </c>
      <c r="EN206" s="928"/>
      <c r="EO206" s="923">
        <f>VLOOKUP(WWWW[[#This Row],[Site Name]],SiteDB6[[Site Name]:[Pop
(Kachin/Shan-CCCM as of July 2021)]],16,FALSE)</f>
        <v>26</v>
      </c>
      <c r="EP206" s="923">
        <f>VLOOKUP(WWWW[[#This Row],[Site Name]],SiteDB6[[Site Name]:[Pop
(Kachin/Shan-CCCM as of July 2021)]],17,FALSE)</f>
        <v>133</v>
      </c>
    </row>
    <row r="207" spans="1:146">
      <c r="A207" s="921" t="s">
        <v>2786</v>
      </c>
      <c r="B207" s="921" t="s">
        <v>3097</v>
      </c>
      <c r="C207" s="922" t="s">
        <v>141</v>
      </c>
      <c r="D207" s="922" t="s">
        <v>3098</v>
      </c>
      <c r="E207" s="922" t="s">
        <v>37</v>
      </c>
      <c r="F207" s="922" t="s">
        <v>148</v>
      </c>
      <c r="G207" s="594" t="str">
        <f>VLOOKUP(WWWW[[#This Row],[Site Name]],SiteDB6[[Site Name]:[Location Type]],8,FALSE)</f>
        <v>Camp</v>
      </c>
      <c r="H207" s="922" t="s">
        <v>190</v>
      </c>
      <c r="I207" s="924">
        <v>10</v>
      </c>
      <c r="J207" s="924">
        <v>18</v>
      </c>
      <c r="K207" s="925">
        <v>44105</v>
      </c>
      <c r="L207" s="926">
        <v>44681</v>
      </c>
      <c r="M207" s="924"/>
      <c r="N207" s="924">
        <v>1</v>
      </c>
      <c r="O207" s="924"/>
      <c r="P207" s="924"/>
      <c r="Q207" s="927"/>
      <c r="R207" s="449">
        <v>2</v>
      </c>
      <c r="S207" s="449">
        <v>2</v>
      </c>
      <c r="T207" s="449">
        <v>1</v>
      </c>
      <c r="U207" s="924"/>
      <c r="V207" s="924"/>
      <c r="W207" s="924">
        <v>1</v>
      </c>
      <c r="X207" s="924"/>
      <c r="Y207" s="924"/>
      <c r="Z207" s="924"/>
      <c r="AA207" s="924"/>
      <c r="AB207" s="924"/>
      <c r="AC207" s="924"/>
      <c r="AD207" s="924"/>
      <c r="AE207" s="924"/>
      <c r="AF207" s="924"/>
      <c r="AG207" s="924"/>
      <c r="AH207" s="924"/>
      <c r="AI207" s="924"/>
      <c r="AJ207" s="924"/>
      <c r="AK207" s="924"/>
      <c r="AL207" s="924"/>
      <c r="AM207" s="924"/>
      <c r="AN207" s="924"/>
      <c r="AO207" s="449"/>
      <c r="AP207" s="928"/>
      <c r="AQ207" s="924"/>
      <c r="AR207" s="924"/>
      <c r="AS207" s="929"/>
      <c r="AT207" s="924"/>
      <c r="AU207" s="924"/>
      <c r="AV207" s="924"/>
      <c r="AW207" s="924"/>
      <c r="AX207" s="924"/>
      <c r="AY207" s="923" t="s">
        <v>140</v>
      </c>
      <c r="AZ207" s="928" t="s">
        <v>140</v>
      </c>
      <c r="BA207" s="924"/>
      <c r="BB207" s="924"/>
      <c r="BC207" s="924"/>
      <c r="BD207" s="449"/>
      <c r="BE207" s="449"/>
      <c r="BF207" s="923"/>
      <c r="BG207" s="924">
        <v>5</v>
      </c>
      <c r="BH207" s="924"/>
      <c r="BI207" s="924"/>
      <c r="BJ207" s="924">
        <v>3</v>
      </c>
      <c r="BK207" s="924"/>
      <c r="BL207" s="924"/>
      <c r="BM207" s="924"/>
      <c r="BN207" s="924"/>
      <c r="BO207" s="924"/>
      <c r="BP207" s="923"/>
      <c r="BQ207" s="930"/>
      <c r="BR207" s="929"/>
      <c r="BS207" s="923"/>
      <c r="BT207" s="424"/>
      <c r="BU207" s="424"/>
      <c r="BV207" s="426"/>
      <c r="BW207" s="424"/>
      <c r="BX207" s="449"/>
      <c r="BY207" s="449"/>
      <c r="BZ207" s="449"/>
      <c r="CA207" s="449"/>
      <c r="CB207" s="449"/>
      <c r="CC207" s="807"/>
      <c r="CD207" s="449"/>
      <c r="CE207" s="931" t="str">
        <f>IFERROR(WWWW[[#This Row],['#_Water sources passed]]/WWWW[[#This Row],['#_Water sources tested for fecal coliform ]],"no test")</f>
        <v>no test</v>
      </c>
      <c r="CF207" s="929" t="str">
        <f>IFERROR(WWWW[[#This Row],['#_Household passed]]/WWWW[[#This Row],['#_Household water samples tested for fecal coliform]],"no test")</f>
        <v>no test</v>
      </c>
      <c r="CG207" s="930" t="str">
        <f>IF(AND(WWWW[[#This Row],[% of water sources passed]]="no test",WWWW[[#This Row],[% Household passed]]="no test"),"No Test","Tested")</f>
        <v>No Test</v>
      </c>
      <c r="CH207" s="930">
        <f>WWWW[[#This Row],['#_Constructed/existing protected hand dug well]]-WWWW[[#This Row],['#_Non-functional protected hand dug well]]</f>
        <v>1</v>
      </c>
      <c r="CI207" s="930">
        <f>(WWWW[[#This Row],['#_Constructed/Existing tube wells/boreholes/handpumps_WASH_agency]]+WWWW[[#This Row],['#_Non-Cluster partner water tube-wells/boreholes/handpumps]])-WWWW[[#This Row],['#_Non-functional tube wells/boreholes/handpumps]]</f>
        <v>1</v>
      </c>
      <c r="CJ207" s="930">
        <f>WWWW[[#This Row],['#_Constructed/Existingwater storage tank with gravity fed reticulation system]]-WWWW[[#This Row],['#_Non-functional storage tank gravity fed reticulation system]]</f>
        <v>0</v>
      </c>
      <c r="CK207" s="930">
        <f>(WWWW[[#This Row],['#_Water_Liters_supplied_by_Water boating or water trucking]]/90)/15</f>
        <v>0</v>
      </c>
      <c r="CL207" s="930">
        <f>WWWW[[#This Row],['#_Water_Liters_from_Constructed/Existing water distribution system from river or natural spring]]/90/15</f>
        <v>0</v>
      </c>
      <c r="CM207" s="425">
        <f>IF(WWWW[[#This Row],['#_of water points in TLS/CFS]]*500&gt;WWWW[[#This Row],[Total PoP ]],WWWW[[#This Row],[Total PoP ]],WWWW[[#This Row],['#_of water points in TLS/CFS]]*500)</f>
        <v>0</v>
      </c>
      <c r="CN207" s="425">
        <f>IF(WWWW[[#This Row],['#_of water points in THF]]*500&gt;WWWW[[#This Row],[Total PoP ]],WWWW[[#This Row],[Total PoP ]],WWWW[[#This Row],['#_of water points in THF]]*500)</f>
        <v>0</v>
      </c>
      <c r="CO20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7" s="929">
        <f>IF(WWWW[[#This Row],[Location Type 1]]="Village",WWWW[[#This Row],[Access to safe drinking water for Village]],WWWW[[#This Row],[Access to safe drinking water for Camp]])</f>
        <v>1</v>
      </c>
      <c r="CR207" s="927">
        <f>WWWW[[#This Row],[%Equitable and continuous access to sufficient quantity of safe drinking water]]*WWWW[[#This Row],[Total PoP ]]</f>
        <v>18</v>
      </c>
      <c r="CS207" s="929">
        <f>IF((WWWW[[#This Row],['#_Constructed/Existing protected/fenced ponds]]*250)/WWWW[[#This Row],[Total PoP ]]&gt;1,1,(WWWW[[#This Row],['#_Constructed/Existing protected/fenced ponds]]*250)/WWWW[[#This Row],[Total PoP ]])</f>
        <v>0</v>
      </c>
      <c r="CT207" s="927">
        <f>WWWW[[#This Row],[% Access to unimproved water points]]*WWWW[[#This Row],[Total PoP ]]</f>
        <v>0</v>
      </c>
      <c r="CU20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v>
      </c>
      <c r="CW207" s="927">
        <f>WWWW[[#This Row],[HRP1]]/500</f>
        <v>3.5999999999999997E-2</v>
      </c>
      <c r="CX207" s="932">
        <f>1-WWWW[[#This Row],[% Equitable and continuous access to sufficient quantity of domestic water]]</f>
        <v>0</v>
      </c>
      <c r="CY207" s="927">
        <f>WWWW[[#This Row],[%equitable and continuous access to sufficient quantity of safe drinking and domestic water''s GAP]]*WWWW[[#This Row],[Total PoP ]]</f>
        <v>0</v>
      </c>
      <c r="CZ207" s="930">
        <f>IF(WWWW[[#This Row],[Total required water points]]-WWWW[[#This Row],['#Water points coverage]]&lt;0,0,WWWW[[#This Row],[Total required water points]]-WWWW[[#This Row],['#Water points coverage]])</f>
        <v>0.96399999999999997</v>
      </c>
      <c r="DA207" s="930">
        <f>ROUND(IF(WWWW[[#This Row],[Total PoP ]]&lt;500,1,WWWW[[#This Row],[Total PoP ]]/500),0)</f>
        <v>1</v>
      </c>
      <c r="DB207" s="930">
        <f>(WWWW[[#This Row],['#_Constructed latrines_by_WASHAgencies]]+WWWW[[#This Row],['#_Non Cluster partner latrines]])-WWWW[[#This Row],['#_Non-functional latrines]]</f>
        <v>0</v>
      </c>
      <c r="DC207" s="634">
        <f>WWWW[[#This Row],[HRP2]]/WWWW[[#This Row],[Total PoP ]]</f>
        <v>0</v>
      </c>
      <c r="DD20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0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7" s="425">
        <f>IF(WWWW[[#This Row],['# of functional latrines in THF supported by WASH partners during the reporting period2]]="",0,WWWW[[#This Row],['# of functional latrines in THF supported by WASH partners during the reporting period2]]*50)</f>
        <v>0</v>
      </c>
      <c r="DH207" s="930">
        <f>ROUND(IF(WWWW[[#This Row],[Location Type 1]]="camp",WWWW[[#This Row],[Total PoP ]]/20,IF(WWWW[[#This Row],[Location Type 1]]="Temporary Location",WWWW[[#This Row],[Total PoP ]]/50,(WWWW[[#This Row],[Total PoP ]]/6))),0)</f>
        <v>1</v>
      </c>
      <c r="DI207" s="930">
        <f>IF(WWWW[[#This Row],[Total required Latrines]]-(WWWW[[#This Row],['#_Constructed latrines_by_WASHAgencies]]+WWWW[[#This Row],['#_Non Cluster partner latrines]])&lt;0,0,WWWW[[#This Row],[Total required Latrines]]-(WWWW[[#This Row],['#_Constructed latrines_by_WASHAgencies]]+WWWW[[#This Row],['#_Non Cluster partner latrines]]))</f>
        <v>1</v>
      </c>
      <c r="DJ207" s="932">
        <f>1-WWWW[[#This Row],[% people access to functioning Latrine]]</f>
        <v>1</v>
      </c>
      <c r="DK207" s="931">
        <f>IF(OR(WWWW[[#This Row],['#_Non-functional latrines]]="",WWWW[[#This Row],['#_Non-functional latrines]]=0),0,WWWW[[#This Row],['#_Non-functional latrines]]/(WWWW[[#This Row],['#_Constructed latrines_by_WASHAgencies]]+WWWW[[#This Row],['#_Non Cluster partner latrines]]))</f>
        <v>0</v>
      </c>
      <c r="DL207" s="927">
        <f>IF(500*(WWWW[[#This Row],['#_male hygiene promoters]]+WWWW[[#This Row],['#_female hygiene promoters]])&gt;WWWW[[#This Row],[Total PoP ]],WWWW[[#This Row],[Total PoP ]],500*(WWWW[[#This Row],['#_male hygiene promoters]]+WWWW[[#This Row],['#_female hygiene promoters]]))</f>
        <v>0</v>
      </c>
      <c r="DM20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7" s="930">
        <f>IF(WWWW[[#This Row],['# People with access to soap]]&gt;WWWW[[#This Row],['# People with access to Sanity Pads]],WWWW[[#This Row],['# People with access to soap]],WWWW[[#This Row],['# People with access to Sanity Pads]])</f>
        <v>0</v>
      </c>
      <c r="DP20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7" s="932">
        <f>IF(WWWW[[#This Row],[HRP3]]/WWWW[[#This Row],[Total PoP ]]&gt;1,1,WWWW[[#This Row],[HRP3]]/WWWW[[#This Row],[Total PoP ]])</f>
        <v>0</v>
      </c>
      <c r="DR207" s="931">
        <f>1-WWWW[[#This Row],[Hygiene Coverage%]]</f>
        <v>1</v>
      </c>
      <c r="DS207" s="929">
        <f>WWWW[[#This Row],['# people reached by regular dedicated hygiene promotion_5]]/WWWW[[#This Row],[Total PoP ]]</f>
        <v>0</v>
      </c>
      <c r="DT20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7" s="930">
        <f>WWWW[[#This Row],['#_Constructed/Existing hand washing stations]]-WWWW[[#This Row],['#_Non-Functional_hand_washing_stations]]</f>
        <v>5</v>
      </c>
      <c r="DW207" s="927">
        <f>IF(WWWW[[#This Row],['# Functional hand washing stations during reporting period]]*20&gt;WWWW[[#This Row],[Total HH]],WWWW[[#This Row],[Total HH]],WWWW[[#This Row],['# Functional hand washing stations during reporting period]]*20)</f>
        <v>10</v>
      </c>
      <c r="DX207" s="927">
        <f>IF(WWWW[[#This Row],[Is sufficient soap available for TLS? (Yes/No)]]="yes",WWWW[[#This Row],['#_Constructed/Existing hand washing stations at TLS/CFS/THF]],0)</f>
        <v>0</v>
      </c>
      <c r="DY207" s="429">
        <f>IF(WWWW[[#This Row],['# Functional hand washing stations during reporting period]]*100&gt;WWWW[[#This Row],[Total PoP ]],WWWW[[#This Row],[Total PoP ]],WWWW[[#This Row],['# Functional hand washing stations during reporting period]]*100)</f>
        <v>18</v>
      </c>
      <c r="DZ207" s="429" t="str">
        <f>IF(OR(WWWW[[#This Row],['#_students at TLS_CFS]]="",WWWW[[#This Row],['#_students at TLS_CFS]]=0),"No","Yes")</f>
        <v>No</v>
      </c>
      <c r="EA20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7" s="923" t="str">
        <f>VLOOKUP(WWWW[[#This Row],[Site Name]],SiteDB6[[Site Name]:[CCCM Management]],6,FALSE)</f>
        <v>Yes</v>
      </c>
      <c r="EF207" s="923" t="str">
        <f>VLOOKUP(WWWW[[#This Row],[Site Name]],SiteDB6[[Site Name]:[CCCM Focal Agency]],7,FALSE)</f>
        <v>KMSS-MYT</v>
      </c>
      <c r="EG207" s="923" t="str">
        <f>VLOOKUP(WWWW[[#This Row],[Site Name]],SiteDB6[[Site Name]:[Location Type 1]],9,FALSE)</f>
        <v>Camp</v>
      </c>
      <c r="EH207" s="923" t="str">
        <f>VLOOKUP(WWWW[[#This Row],[Site Name]],SiteDB6[[Site Name]:[Type of Accommodation]],10,FALSE)</f>
        <v>Camp</v>
      </c>
      <c r="EI207" s="923" t="str">
        <f>VLOOKUP(WWWW[[#This Row],[Site Name]],SiteDB6[[Site Name]:[Ethnic or GCA/NGCA]],11,FALSE)</f>
        <v>GCA</v>
      </c>
      <c r="EJ207" s="923">
        <f>VLOOKUP(WWWW[[#This Row],[Site Name]],SiteDB6[[Site Name]:[Lat]],12,FALSE)</f>
        <v>25.920006000000001</v>
      </c>
      <c r="EK207" s="923">
        <f>VLOOKUP(WWWW[[#This Row],[Site Name]],SiteDB6[[Site Name]:[Long]],13,FALSE)</f>
        <v>96.662092000000001</v>
      </c>
      <c r="EL207" s="923" t="str">
        <f>VLOOKUP(WWWW[[#This Row],[Site Name]],SiteDB6[[Site Name]:[Pcode]],3,FALSE)</f>
        <v>MMR001CMP247</v>
      </c>
      <c r="EM207" s="928" t="str">
        <f t="shared" si="3"/>
        <v>Covered</v>
      </c>
      <c r="EN207" s="928"/>
      <c r="EO207" s="923">
        <f>VLOOKUP(WWWW[[#This Row],[Site Name]],SiteDB6[[Site Name]:[Pop
(Kachin/Shan-CCCM as of July 2021)]],16,FALSE)</f>
        <v>24</v>
      </c>
      <c r="EP207" s="923">
        <f>VLOOKUP(WWWW[[#This Row],[Site Name]],SiteDB6[[Site Name]:[Pop
(Kachin/Shan-CCCM as of July 2021)]],17,FALSE)</f>
        <v>101</v>
      </c>
    </row>
    <row r="208" spans="1:146">
      <c r="A208" s="921" t="s">
        <v>2786</v>
      </c>
      <c r="B208" s="921" t="s">
        <v>3097</v>
      </c>
      <c r="C208" s="922" t="s">
        <v>141</v>
      </c>
      <c r="D208" s="922" t="s">
        <v>3099</v>
      </c>
      <c r="E208" s="922" t="s">
        <v>37</v>
      </c>
      <c r="F208" s="922" t="s">
        <v>148</v>
      </c>
      <c r="G208" s="594" t="str">
        <f>VLOOKUP(WWWW[[#This Row],[Site Name]],SiteDB6[[Site Name]:[Location Type]],8,FALSE)</f>
        <v>Camp</v>
      </c>
      <c r="H208" s="922" t="s">
        <v>188</v>
      </c>
      <c r="I208" s="924">
        <v>28</v>
      </c>
      <c r="J208" s="924">
        <v>103</v>
      </c>
      <c r="K208" s="925">
        <v>44105</v>
      </c>
      <c r="L208" s="926">
        <v>44681</v>
      </c>
      <c r="M208" s="924"/>
      <c r="N208" s="924">
        <v>1</v>
      </c>
      <c r="O208" s="924"/>
      <c r="P208" s="924"/>
      <c r="Q208" s="927" t="s">
        <v>41</v>
      </c>
      <c r="R208" s="924">
        <v>2</v>
      </c>
      <c r="S208" s="924">
        <v>2</v>
      </c>
      <c r="T208" s="449">
        <v>1</v>
      </c>
      <c r="U208" s="924"/>
      <c r="V208" s="924"/>
      <c r="W208" s="924">
        <v>2</v>
      </c>
      <c r="X208" s="924"/>
      <c r="Y208" s="924"/>
      <c r="Z208" s="924"/>
      <c r="AA208" s="924"/>
      <c r="AB208" s="924"/>
      <c r="AC208" s="924"/>
      <c r="AD208" s="924"/>
      <c r="AE208" s="924"/>
      <c r="AF208" s="924"/>
      <c r="AG208" s="924"/>
      <c r="AH208" s="924"/>
      <c r="AI208" s="924"/>
      <c r="AJ208" s="924"/>
      <c r="AK208" s="924"/>
      <c r="AL208" s="924"/>
      <c r="AM208" s="924"/>
      <c r="AN208" s="924"/>
      <c r="AO208" s="449"/>
      <c r="AP208" s="928"/>
      <c r="AQ208" s="924">
        <v>5</v>
      </c>
      <c r="AR208" s="924"/>
      <c r="AS208" s="929"/>
      <c r="AT208" s="924"/>
      <c r="AU208" s="924"/>
      <c r="AV208" s="924"/>
      <c r="AW208" s="924"/>
      <c r="AX208" s="924">
        <v>5</v>
      </c>
      <c r="AY208" s="923" t="s">
        <v>41</v>
      </c>
      <c r="AZ208" s="928" t="s">
        <v>904</v>
      </c>
      <c r="BA208" s="924"/>
      <c r="BB208" s="924"/>
      <c r="BC208" s="924"/>
      <c r="BD208" s="449"/>
      <c r="BE208" s="449"/>
      <c r="BF208" s="923"/>
      <c r="BG208" s="924">
        <v>2</v>
      </c>
      <c r="BH208" s="924"/>
      <c r="BI208" s="924"/>
      <c r="BJ208" s="924">
        <v>2</v>
      </c>
      <c r="BK208" s="924"/>
      <c r="BL208" s="924"/>
      <c r="BM208" s="924"/>
      <c r="BN208" s="924"/>
      <c r="BO208" s="924"/>
      <c r="BP208" s="923"/>
      <c r="BQ208" s="930"/>
      <c r="BR208" s="929"/>
      <c r="BS208" s="923"/>
      <c r="BT208" s="424"/>
      <c r="BU208" s="424"/>
      <c r="BV208" s="426"/>
      <c r="BW208" s="424"/>
      <c r="BX208" s="449"/>
      <c r="BY208" s="449"/>
      <c r="BZ208" s="449"/>
      <c r="CA208" s="449"/>
      <c r="CB208" s="449"/>
      <c r="CC208" s="807"/>
      <c r="CD208" s="449"/>
      <c r="CE208" s="931" t="str">
        <f>IFERROR(WWWW[[#This Row],['#_Water sources passed]]/WWWW[[#This Row],['#_Water sources tested for fecal coliform ]],"no test")</f>
        <v>no test</v>
      </c>
      <c r="CF208" s="929" t="str">
        <f>IFERROR(WWWW[[#This Row],['#_Household passed]]/WWWW[[#This Row],['#_Household water samples tested for fecal coliform]],"no test")</f>
        <v>no test</v>
      </c>
      <c r="CG208" s="930" t="str">
        <f>IF(AND(WWWW[[#This Row],[% of water sources passed]]="no test",WWWW[[#This Row],[% Household passed]]="no test"),"No Test","Tested")</f>
        <v>No Test</v>
      </c>
      <c r="CH208" s="930">
        <f>WWWW[[#This Row],['#_Constructed/existing protected hand dug well]]-WWWW[[#This Row],['#_Non-functional protected hand dug well]]</f>
        <v>1</v>
      </c>
      <c r="CI208" s="930">
        <f>(WWWW[[#This Row],['#_Constructed/Existing tube wells/boreholes/handpumps_WASH_agency]]+WWWW[[#This Row],['#_Non-Cluster partner water tube-wells/boreholes/handpumps]])-WWWW[[#This Row],['#_Non-functional tube wells/boreholes/handpumps]]</f>
        <v>2</v>
      </c>
      <c r="CJ208" s="930">
        <f>WWWW[[#This Row],['#_Constructed/Existingwater storage tank with gravity fed reticulation system]]-WWWW[[#This Row],['#_Non-functional storage tank gravity fed reticulation system]]</f>
        <v>0</v>
      </c>
      <c r="CK208" s="930">
        <f>(WWWW[[#This Row],['#_Water_Liters_supplied_by_Water boating or water trucking]]/90)/15</f>
        <v>0</v>
      </c>
      <c r="CL208" s="930">
        <f>WWWW[[#This Row],['#_Water_Liters_from_Constructed/Existing water distribution system from river or natural spring]]/90/15</f>
        <v>0</v>
      </c>
      <c r="CM208" s="425">
        <f>IF(WWWW[[#This Row],['#_of water points in TLS/CFS]]*500&gt;WWWW[[#This Row],[Total PoP ]],WWWW[[#This Row],[Total PoP ]],WWWW[[#This Row],['#_of water points in TLS/CFS]]*500)</f>
        <v>0</v>
      </c>
      <c r="CN208" s="425">
        <f>IF(WWWW[[#This Row],['#_of water points in THF]]*500&gt;WWWW[[#This Row],[Total PoP ]],WWWW[[#This Row],[Total PoP ]],WWWW[[#This Row],['#_of water points in THF]]*500)</f>
        <v>0</v>
      </c>
      <c r="CO20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0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08" s="929">
        <f>IF(WWWW[[#This Row],[Location Type 1]]="Village",WWWW[[#This Row],[Access to safe drinking water for Village]],WWWW[[#This Row],[Access to safe drinking water for Camp]])</f>
        <v>1</v>
      </c>
      <c r="CR208" s="927">
        <f>WWWW[[#This Row],[%Equitable and continuous access to sufficient quantity of safe drinking water]]*WWWW[[#This Row],[Total PoP ]]</f>
        <v>103</v>
      </c>
      <c r="CS208" s="929">
        <f>IF((WWWW[[#This Row],['#_Constructed/Existing protected/fenced ponds]]*250)/WWWW[[#This Row],[Total PoP ]]&gt;1,1,(WWWW[[#This Row],['#_Constructed/Existing protected/fenced ponds]]*250)/WWWW[[#This Row],[Total PoP ]])</f>
        <v>0</v>
      </c>
      <c r="CT208" s="927">
        <f>WWWW[[#This Row],[% Access to unimproved water points]]*WWWW[[#This Row],[Total PoP ]]</f>
        <v>0</v>
      </c>
      <c r="CU20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0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208" s="927">
        <f>WWWW[[#This Row],[HRP1]]/500</f>
        <v>0.20599999999999999</v>
      </c>
      <c r="CX208" s="932">
        <f>1-WWWW[[#This Row],[% Equitable and continuous access to sufficient quantity of domestic water]]</f>
        <v>0</v>
      </c>
      <c r="CY208" s="927">
        <f>WWWW[[#This Row],[%equitable and continuous access to sufficient quantity of safe drinking and domestic water''s GAP]]*WWWW[[#This Row],[Total PoP ]]</f>
        <v>0</v>
      </c>
      <c r="CZ208" s="930">
        <f>IF(WWWW[[#This Row],[Total required water points]]-WWWW[[#This Row],['#Water points coverage]]&lt;0,0,WWWW[[#This Row],[Total required water points]]-WWWW[[#This Row],['#Water points coverage]])</f>
        <v>0.79400000000000004</v>
      </c>
      <c r="DA208" s="930">
        <f>ROUND(IF(WWWW[[#This Row],[Total PoP ]]&lt;500,1,WWWW[[#This Row],[Total PoP ]]/500),0)</f>
        <v>1</v>
      </c>
      <c r="DB208" s="930">
        <f>(WWWW[[#This Row],['#_Constructed latrines_by_WASHAgencies]]+WWWW[[#This Row],['#_Non Cluster partner latrines]])-WWWW[[#This Row],['#_Non-functional latrines]]</f>
        <v>5</v>
      </c>
      <c r="DC208" s="634">
        <f>WWWW[[#This Row],[HRP2]]/WWWW[[#This Row],[Total PoP ]]</f>
        <v>0.970873786407767</v>
      </c>
      <c r="DD20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0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8" s="425">
        <f>IF(WWWW[[#This Row],['# of functional latrines in THF supported by WASH partners during the reporting period2]]="",0,WWWW[[#This Row],['# of functional latrines in THF supported by WASH partners during the reporting period2]]*50)</f>
        <v>0</v>
      </c>
      <c r="DH208" s="930">
        <f>ROUND(IF(WWWW[[#This Row],[Location Type 1]]="camp",WWWW[[#This Row],[Total PoP ]]/20,IF(WWWW[[#This Row],[Location Type 1]]="Temporary Location",WWWW[[#This Row],[Total PoP ]]/50,(WWWW[[#This Row],[Total PoP ]]/6))),0)</f>
        <v>5</v>
      </c>
      <c r="DI208" s="930">
        <f>IF(WWWW[[#This Row],[Total required Latrines]]-(WWWW[[#This Row],['#_Constructed latrines_by_WASHAgencies]]+WWWW[[#This Row],['#_Non Cluster partner latrines]])&lt;0,0,WWWW[[#This Row],[Total required Latrines]]-(WWWW[[#This Row],['#_Constructed latrines_by_WASHAgencies]]+WWWW[[#This Row],['#_Non Cluster partner latrines]]))</f>
        <v>0</v>
      </c>
      <c r="DJ208" s="932">
        <f>1-WWWW[[#This Row],[% people access to functioning Latrine]]</f>
        <v>2.9126213592232997E-2</v>
      </c>
      <c r="DK208" s="931">
        <f>IF(OR(WWWW[[#This Row],['#_Non-functional latrines]]="",WWWW[[#This Row],['#_Non-functional latrines]]=0),0,WWWW[[#This Row],['#_Non-functional latrines]]/(WWWW[[#This Row],['#_Constructed latrines_by_WASHAgencies]]+WWWW[[#This Row],['#_Non Cluster partner latrines]]))</f>
        <v>0</v>
      </c>
      <c r="DL208" s="927">
        <f>IF(500*(WWWW[[#This Row],['#_male hygiene promoters]]+WWWW[[#This Row],['#_female hygiene promoters]])&gt;WWWW[[#This Row],[Total PoP ]],WWWW[[#This Row],[Total PoP ]],500*(WWWW[[#This Row],['#_male hygiene promoters]]+WWWW[[#This Row],['#_female hygiene promoters]]))</f>
        <v>0</v>
      </c>
      <c r="DM20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0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08" s="930">
        <f>IF(WWWW[[#This Row],['# People with access to soap]]&gt;WWWW[[#This Row],['# People with access to Sanity Pads]],WWWW[[#This Row],['# People with access to soap]],WWWW[[#This Row],['# People with access to Sanity Pads]])</f>
        <v>0</v>
      </c>
      <c r="DP20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08" s="932">
        <f>IF(WWWW[[#This Row],[HRP3]]/WWWW[[#This Row],[Total PoP ]]&gt;1,1,WWWW[[#This Row],[HRP3]]/WWWW[[#This Row],[Total PoP ]])</f>
        <v>0</v>
      </c>
      <c r="DR208" s="931">
        <f>1-WWWW[[#This Row],[Hygiene Coverage%]]</f>
        <v>1</v>
      </c>
      <c r="DS208" s="929">
        <f>WWWW[[#This Row],['# people reached by regular dedicated hygiene promotion_5]]/WWWW[[#This Row],[Total PoP ]]</f>
        <v>0</v>
      </c>
      <c r="DT20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0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08" s="930">
        <f>WWWW[[#This Row],['#_Constructed/Existing hand washing stations]]-WWWW[[#This Row],['#_Non-Functional_hand_washing_stations]]</f>
        <v>2</v>
      </c>
      <c r="DW208" s="927">
        <f>IF(WWWW[[#This Row],['# Functional hand washing stations during reporting period]]*20&gt;WWWW[[#This Row],[Total HH]],WWWW[[#This Row],[Total HH]],WWWW[[#This Row],['# Functional hand washing stations during reporting period]]*20)</f>
        <v>28</v>
      </c>
      <c r="DX208" s="927">
        <f>IF(WWWW[[#This Row],[Is sufficient soap available for TLS? (Yes/No)]]="yes",WWWW[[#This Row],['#_Constructed/Existing hand washing stations at TLS/CFS/THF]],0)</f>
        <v>0</v>
      </c>
      <c r="DY208" s="429">
        <f>IF(WWWW[[#This Row],['# Functional hand washing stations during reporting period]]*100&gt;WWWW[[#This Row],[Total PoP ]],WWWW[[#This Row],[Total PoP ]],WWWW[[#This Row],['# Functional hand washing stations during reporting period]]*100)</f>
        <v>103</v>
      </c>
      <c r="DZ208" s="429" t="str">
        <f>IF(OR(WWWW[[#This Row],['#_students at TLS_CFS]]="",WWWW[[#This Row],['#_students at TLS_CFS]]=0),"No","Yes")</f>
        <v>No</v>
      </c>
      <c r="EA20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0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0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8" s="923" t="str">
        <f>VLOOKUP(WWWW[[#This Row],[Site Name]],SiteDB6[[Site Name]:[CCCM Management]],6,FALSE)</f>
        <v>Yes</v>
      </c>
      <c r="EF208" s="923" t="str">
        <f>VLOOKUP(WWWW[[#This Row],[Site Name]],SiteDB6[[Site Name]:[CCCM Focal Agency]],7,FALSE)</f>
        <v>KBC-MYT</v>
      </c>
      <c r="EG208" s="923" t="str">
        <f>VLOOKUP(WWWW[[#This Row],[Site Name]],SiteDB6[[Site Name]:[Location Type 1]],9,FALSE)</f>
        <v>Camp</v>
      </c>
      <c r="EH208" s="923" t="str">
        <f>VLOOKUP(WWWW[[#This Row],[Site Name]],SiteDB6[[Site Name]:[Type of Accommodation]],10,FALSE)</f>
        <v>Camp</v>
      </c>
      <c r="EI208" s="923" t="str">
        <f>VLOOKUP(WWWW[[#This Row],[Site Name]],SiteDB6[[Site Name]:[Ethnic or GCA/NGCA]],11,FALSE)</f>
        <v>GCA</v>
      </c>
      <c r="EJ208" s="923">
        <f>VLOOKUP(WWWW[[#This Row],[Site Name]],SiteDB6[[Site Name]:[Lat]],12,FALSE)</f>
        <v>25.920006000000001</v>
      </c>
      <c r="EK208" s="923">
        <f>VLOOKUP(WWWW[[#This Row],[Site Name]],SiteDB6[[Site Name]:[Long]],13,FALSE)</f>
        <v>96.662092000000001</v>
      </c>
      <c r="EL208" s="923" t="str">
        <f>VLOOKUP(WWWW[[#This Row],[Site Name]],SiteDB6[[Site Name]:[Pcode]],3,FALSE)</f>
        <v>MMR001CMP244</v>
      </c>
      <c r="EM208" s="928" t="str">
        <f t="shared" si="3"/>
        <v>Covered</v>
      </c>
      <c r="EN208" s="928"/>
      <c r="EO208" s="923">
        <f>VLOOKUP(WWWW[[#This Row],[Site Name]],SiteDB6[[Site Name]:[Pop
(Kachin/Shan-CCCM as of July 2021)]],16,FALSE)</f>
        <v>24</v>
      </c>
      <c r="EP208" s="923">
        <f>VLOOKUP(WWWW[[#This Row],[Site Name]],SiteDB6[[Site Name]:[Pop
(Kachin/Shan-CCCM as of July 2021)]],17,FALSE)</f>
        <v>110</v>
      </c>
    </row>
    <row r="209" spans="1:146">
      <c r="A209" s="921" t="s">
        <v>2786</v>
      </c>
      <c r="B209" s="921" t="s">
        <v>2828</v>
      </c>
      <c r="C209" s="922" t="s">
        <v>141</v>
      </c>
      <c r="D209" s="922" t="s">
        <v>2609</v>
      </c>
      <c r="E209" s="922" t="s">
        <v>37</v>
      </c>
      <c r="F209" s="922" t="s">
        <v>38</v>
      </c>
      <c r="G209" s="594" t="str">
        <f>VLOOKUP(WWWW[[#This Row],[Site Name]],SiteDB6[[Site Name]:[Location Type]],8,FALSE)</f>
        <v>Camp</v>
      </c>
      <c r="H209" s="922" t="s">
        <v>183</v>
      </c>
      <c r="I209" s="946">
        <v>364</v>
      </c>
      <c r="J209" s="946">
        <v>1759</v>
      </c>
      <c r="K209" s="947">
        <v>44652</v>
      </c>
      <c r="L209" s="948">
        <v>44865</v>
      </c>
      <c r="M209" s="946">
        <v>489</v>
      </c>
      <c r="N209" s="924"/>
      <c r="O209" s="924"/>
      <c r="P209" s="924"/>
      <c r="Q209" s="927" t="s">
        <v>41</v>
      </c>
      <c r="R209" s="924">
        <v>5</v>
      </c>
      <c r="S209" s="924">
        <v>5</v>
      </c>
      <c r="T209" s="449">
        <v>1</v>
      </c>
      <c r="U209" s="924"/>
      <c r="V209" s="924"/>
      <c r="W209" s="924">
        <v>1</v>
      </c>
      <c r="X209" s="924"/>
      <c r="Y209" s="924">
        <v>1</v>
      </c>
      <c r="Z209" s="924">
        <v>1</v>
      </c>
      <c r="AA209" s="924"/>
      <c r="AB209" s="924"/>
      <c r="AC209" s="924"/>
      <c r="AD209" s="924"/>
      <c r="AE209" s="924"/>
      <c r="AF209" s="924"/>
      <c r="AG209" s="924"/>
      <c r="AH209" s="924"/>
      <c r="AI209" s="946">
        <v>4</v>
      </c>
      <c r="AJ209" s="946">
        <v>4</v>
      </c>
      <c r="AK209" s="946">
        <v>29</v>
      </c>
      <c r="AL209" s="946">
        <v>24</v>
      </c>
      <c r="AM209" s="924">
        <v>3</v>
      </c>
      <c r="AN209" s="924">
        <v>3</v>
      </c>
      <c r="AO209" s="449"/>
      <c r="AP209" s="928"/>
      <c r="AQ209" s="924">
        <v>119</v>
      </c>
      <c r="AR209" s="924"/>
      <c r="AS209" s="929"/>
      <c r="AT209" s="924"/>
      <c r="AU209" s="924"/>
      <c r="AV209" s="924"/>
      <c r="AW209" s="924"/>
      <c r="AX209" s="924"/>
      <c r="AY209" s="923" t="s">
        <v>41</v>
      </c>
      <c r="AZ209" s="928" t="s">
        <v>137</v>
      </c>
      <c r="BA209" s="924"/>
      <c r="BB209" s="924"/>
      <c r="BC209" s="924"/>
      <c r="BD209" s="449"/>
      <c r="BE209" s="449"/>
      <c r="BF209" s="923"/>
      <c r="BG209" s="924">
        <v>40</v>
      </c>
      <c r="BH209" s="924">
        <v>20</v>
      </c>
      <c r="BI209" s="924"/>
      <c r="BJ209" s="924">
        <v>3</v>
      </c>
      <c r="BK209" s="924">
        <v>2</v>
      </c>
      <c r="BL209" s="924">
        <v>5</v>
      </c>
      <c r="BM209" s="924">
        <v>5</v>
      </c>
      <c r="BN209" s="946">
        <v>364</v>
      </c>
      <c r="BO209" s="946">
        <v>616</v>
      </c>
      <c r="BP209" s="951" t="s">
        <v>41</v>
      </c>
      <c r="BQ209" s="949">
        <v>1</v>
      </c>
      <c r="BR209" s="950">
        <v>0.6</v>
      </c>
      <c r="BS209" s="951" t="s">
        <v>3036</v>
      </c>
      <c r="BT209" s="424">
        <v>0.6</v>
      </c>
      <c r="BU209" s="424">
        <v>0.8</v>
      </c>
      <c r="BV209" s="426">
        <v>20</v>
      </c>
      <c r="BW209" s="424">
        <v>0.8</v>
      </c>
      <c r="BX209" s="449"/>
      <c r="BY209" s="449"/>
      <c r="BZ209" s="449"/>
      <c r="CA209" s="449"/>
      <c r="CB209" s="449"/>
      <c r="CC209" s="807"/>
      <c r="CD209" s="449"/>
      <c r="CE209" s="931">
        <f>IFERROR(WWWW[[#This Row],['#_Water sources passed]]/WWWW[[#This Row],['#_Water sources tested for fecal coliform ]],"no test")</f>
        <v>1</v>
      </c>
      <c r="CF209" s="929">
        <f>IFERROR(WWWW[[#This Row],['#_Household passed]]/WWWW[[#This Row],['#_Household water samples tested for fecal coliform]],"no test")</f>
        <v>0.82758620689655171</v>
      </c>
      <c r="CG209" s="930" t="str">
        <f>IF(AND(WWWW[[#This Row],[% of water sources passed]]="no test",WWWW[[#This Row],[% Household passed]]="no test"),"No Test","Tested")</f>
        <v>Tested</v>
      </c>
      <c r="CH209" s="930">
        <f>WWWW[[#This Row],['#_Constructed/existing protected hand dug well]]-WWWW[[#This Row],['#_Non-functional protected hand dug well]]</f>
        <v>1</v>
      </c>
      <c r="CI209" s="930">
        <f>(WWWW[[#This Row],['#_Constructed/Existing tube wells/boreholes/handpumps_WASH_agency]]+WWWW[[#This Row],['#_Non-Cluster partner water tube-wells/boreholes/handpumps]])-WWWW[[#This Row],['#_Non-functional tube wells/boreholes/handpumps]]</f>
        <v>0</v>
      </c>
      <c r="CJ209" s="930">
        <f>WWWW[[#This Row],['#_Constructed/Existingwater storage tank with gravity fed reticulation system]]-WWWW[[#This Row],['#_Non-functional storage tank gravity fed reticulation system]]</f>
        <v>0</v>
      </c>
      <c r="CK209" s="930">
        <f>(WWWW[[#This Row],['#_Water_Liters_supplied_by_Water boating or water trucking]]/90)/15</f>
        <v>0</v>
      </c>
      <c r="CL209" s="930">
        <f>WWWW[[#This Row],['#_Water_Liters_from_Constructed/Existing water distribution system from river or natural spring]]/90/15</f>
        <v>0</v>
      </c>
      <c r="CM209" s="425">
        <f>IF(WWWW[[#This Row],['#_of water points in TLS/CFS]]*500&gt;WWWW[[#This Row],[Total PoP ]],WWWW[[#This Row],[Total PoP ]],WWWW[[#This Row],['#_of water points in TLS/CFS]]*500)</f>
        <v>1500</v>
      </c>
      <c r="CN209" s="425">
        <f>IF(WWWW[[#This Row],['#_of water points in THF]]*500&gt;WWWW[[#This Row],[Total PoP ]],WWWW[[#This Row],[Total PoP ]],WWWW[[#This Row],['#_of water points in THF]]*500)</f>
        <v>0</v>
      </c>
      <c r="CO20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0.22740193291642979</v>
      </c>
      <c r="CP20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0.14212620807276863</v>
      </c>
      <c r="CQ209" s="929">
        <f>IF(WWWW[[#This Row],[Location Type 1]]="Village",WWWW[[#This Row],[Access to safe drinking water for Village]],WWWW[[#This Row],[Access to safe drinking water for Camp]])</f>
        <v>0.22740193291642979</v>
      </c>
      <c r="CR209" s="927">
        <f>WWWW[[#This Row],[%Equitable and continuous access to sufficient quantity of safe drinking water]]*WWWW[[#This Row],[Total PoP ]]</f>
        <v>400</v>
      </c>
      <c r="CS209" s="929">
        <f>IF((WWWW[[#This Row],['#_Constructed/Existing protected/fenced ponds]]*250)/WWWW[[#This Row],[Total PoP ]]&gt;1,1,(WWWW[[#This Row],['#_Constructed/Existing protected/fenced ponds]]*250)/WWWW[[#This Row],[Total PoP ]])</f>
        <v>0</v>
      </c>
      <c r="CT209" s="927">
        <f>WWWW[[#This Row],[% Access to unimproved water points]]*WWWW[[#This Row],[Total PoP ]]</f>
        <v>0</v>
      </c>
      <c r="CU20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0.22740193291642979</v>
      </c>
      <c r="CV20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09" s="927">
        <f>WWWW[[#This Row],[HRP1]]/500</f>
        <v>0.8</v>
      </c>
      <c r="CX209" s="932">
        <f>1-WWWW[[#This Row],[% Equitable and continuous access to sufficient quantity of domestic water]]</f>
        <v>0.77259806708357015</v>
      </c>
      <c r="CY209" s="927">
        <f>WWWW[[#This Row],[%equitable and continuous access to sufficient quantity of safe drinking and domestic water''s GAP]]*WWWW[[#This Row],[Total PoP ]]</f>
        <v>1359</v>
      </c>
      <c r="CZ209" s="930">
        <f>IF(WWWW[[#This Row],[Total required water points]]-WWWW[[#This Row],['#Water points coverage]]&lt;0,0,WWWW[[#This Row],[Total required water points]]-WWWW[[#This Row],['#Water points coverage]])</f>
        <v>3.2</v>
      </c>
      <c r="DA209" s="930">
        <f>ROUND(IF(WWWW[[#This Row],[Total PoP ]]&lt;500,1,WWWW[[#This Row],[Total PoP ]]/500),0)</f>
        <v>4</v>
      </c>
      <c r="DB209" s="930">
        <f>(WWWW[[#This Row],['#_Constructed latrines_by_WASHAgencies]]+WWWW[[#This Row],['#_Non Cluster partner latrines]])-WWWW[[#This Row],['#_Non-functional latrines]]</f>
        <v>119</v>
      </c>
      <c r="DC209" s="634">
        <f>WWWW[[#This Row],[HRP2]]/WWWW[[#This Row],[Total PoP ]]</f>
        <v>1</v>
      </c>
      <c r="DD20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1759</v>
      </c>
      <c r="DE20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0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09" s="425">
        <f>IF(WWWW[[#This Row],['# of functional latrines in THF supported by WASH partners during the reporting period2]]="",0,WWWW[[#This Row],['# of functional latrines in THF supported by WASH partners during the reporting period2]]*50)</f>
        <v>0</v>
      </c>
      <c r="DH209" s="930">
        <f>ROUND(IF(WWWW[[#This Row],[Location Type 1]]="camp",WWWW[[#This Row],[Total PoP ]]/20,IF(WWWW[[#This Row],[Location Type 1]]="Temporary Location",WWWW[[#This Row],[Total PoP ]]/50,(WWWW[[#This Row],[Total PoP ]]/6))),0)</f>
        <v>88</v>
      </c>
      <c r="DI209" s="930">
        <f>IF(WWWW[[#This Row],[Total required Latrines]]-(WWWW[[#This Row],['#_Constructed latrines_by_WASHAgencies]]+WWWW[[#This Row],['#_Non Cluster partner latrines]])&lt;0,0,WWWW[[#This Row],[Total required Latrines]]-(WWWW[[#This Row],['#_Constructed latrines_by_WASHAgencies]]+WWWW[[#This Row],['#_Non Cluster partner latrines]]))</f>
        <v>0</v>
      </c>
      <c r="DJ209" s="932">
        <f>1-WWWW[[#This Row],[% people access to functioning Latrine]]</f>
        <v>0</v>
      </c>
      <c r="DK209" s="931">
        <f>IF(OR(WWWW[[#This Row],['#_Non-functional latrines]]="",WWWW[[#This Row],['#_Non-functional latrines]]=0),0,WWWW[[#This Row],['#_Non-functional latrines]]/(WWWW[[#This Row],['#_Constructed latrines_by_WASHAgencies]]+WWWW[[#This Row],['#_Non Cluster partner latrines]]))</f>
        <v>0</v>
      </c>
      <c r="DL209" s="927">
        <f>IF(500*(WWWW[[#This Row],['#_male hygiene promoters]]+WWWW[[#This Row],['#_female hygiene promoters]])&gt;WWWW[[#This Row],[Total PoP ]],WWWW[[#This Row],[Total PoP ]],500*(WWWW[[#This Row],['#_male hygiene promoters]]+WWWW[[#This Row],['#_female hygiene promoters]]))</f>
        <v>1759</v>
      </c>
      <c r="DM20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1759</v>
      </c>
      <c r="DN20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616</v>
      </c>
      <c r="DO209" s="930">
        <f>IF(WWWW[[#This Row],['# People with access to soap]]&gt;WWWW[[#This Row],['# People with access to Sanity Pads]],WWWW[[#This Row],['# People with access to soap]],WWWW[[#This Row],['# People with access to Sanity Pads]])</f>
        <v>1759</v>
      </c>
      <c r="DP209" s="930">
        <f>IF(WWWW[[#This Row],['# people reached by regular dedicated hygiene promotion_5]]&gt;WWWW[[#This Row],['# People received regular supply of hygiene items_6]],WWWW[[#This Row],['# people reached by regular dedicated hygiene promotion_5]],WWWW[[#This Row],['# People received regular supply of hygiene items_6]])</f>
        <v>1759</v>
      </c>
      <c r="DQ209" s="932">
        <f>IF(WWWW[[#This Row],[HRP3]]/WWWW[[#This Row],[Total PoP ]]&gt;1,1,WWWW[[#This Row],[HRP3]]/WWWW[[#This Row],[Total PoP ]])</f>
        <v>1</v>
      </c>
      <c r="DR209" s="931">
        <f>1-WWWW[[#This Row],[Hygiene Coverage%]]</f>
        <v>0</v>
      </c>
      <c r="DS209" s="929">
        <f>WWWW[[#This Row],['# people reached by regular dedicated hygiene promotion_5]]/WWWW[[#This Row],[Total PoP ]]</f>
        <v>1</v>
      </c>
      <c r="DT20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0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09" s="930">
        <f>WWWW[[#This Row],['#_Constructed/Existing hand washing stations]]-WWWW[[#This Row],['#_Non-Functional_hand_washing_stations]]</f>
        <v>20</v>
      </c>
      <c r="DW209" s="927">
        <f>IF(WWWW[[#This Row],['# Functional hand washing stations during reporting period]]*20&gt;WWWW[[#This Row],[Total HH]],WWWW[[#This Row],[Total HH]],WWWW[[#This Row],['# Functional hand washing stations during reporting period]]*20)</f>
        <v>364</v>
      </c>
      <c r="DX209" s="927">
        <f>IF(WWWW[[#This Row],[Is sufficient soap available for TLS? (Yes/No)]]="yes",WWWW[[#This Row],['#_Constructed/Existing hand washing stations at TLS/CFS/THF]],0)</f>
        <v>3</v>
      </c>
      <c r="DY209" s="429">
        <f>IF(WWWW[[#This Row],['# Functional hand washing stations during reporting period]]*100&gt;WWWW[[#This Row],[Total PoP ]],WWWW[[#This Row],[Total PoP ]],WWWW[[#This Row],['# Functional hand washing stations during reporting period]]*100)</f>
        <v>1759</v>
      </c>
      <c r="DZ209" s="429" t="str">
        <f>IF(OR(WWWW[[#This Row],['#_students at TLS_CFS]]="",WWWW[[#This Row],['#_students at TLS_CFS]]=0),"No","Yes")</f>
        <v>Yes</v>
      </c>
      <c r="EA209" s="634">
        <f>IF(WWWW[[#This Row],['#_of_affected_people_surveyed_who_report_feeling_informed_about_the_different_WASH_services_available_to_them]]="","",WWWW[[#This Row],['#_of_affected_people_surveyed_who_report_feeling_informed_about_the_different_WASH_services_available_to_them]]/WWWW[[#This Row],[Total PoP ]])</f>
        <v>1.137009664582149E-2</v>
      </c>
      <c r="EB20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0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20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09" s="923" t="str">
        <f>VLOOKUP(WWWW[[#This Row],[Site Name]],SiteDB6[[Site Name]:[CCCM Management]],6,FALSE)</f>
        <v>Yes</v>
      </c>
      <c r="EF209" s="923" t="str">
        <f>VLOOKUP(WWWW[[#This Row],[Site Name]],SiteDB6[[Site Name]:[CCCM Focal Agency]],7,FALSE)</f>
        <v>KBC-BMO</v>
      </c>
      <c r="EG209" s="923" t="str">
        <f>VLOOKUP(WWWW[[#This Row],[Site Name]],SiteDB6[[Site Name]:[Location Type 1]],9,FALSE)</f>
        <v>Camp</v>
      </c>
      <c r="EH209" s="923" t="str">
        <f>VLOOKUP(WWWW[[#This Row],[Site Name]],SiteDB6[[Site Name]:[Type of Accommodation]],10,FALSE)</f>
        <v>Camp</v>
      </c>
      <c r="EI209" s="923" t="str">
        <f>VLOOKUP(WWWW[[#This Row],[Site Name]],SiteDB6[[Site Name]:[Ethnic or GCA/NGCA]],11,FALSE)</f>
        <v>GCA</v>
      </c>
      <c r="EJ209" s="923">
        <f>VLOOKUP(WWWW[[#This Row],[Site Name]],SiteDB6[[Site Name]:[Lat]],12,FALSE)</f>
        <v>23.972453000000002</v>
      </c>
      <c r="EK209" s="923">
        <f>VLOOKUP(WWWW[[#This Row],[Site Name]],SiteDB6[[Site Name]:[Long]],13,FALSE)</f>
        <v>97.225881000000001</v>
      </c>
      <c r="EL209" s="923" t="str">
        <f>VLOOKUP(WWWW[[#This Row],[Site Name]],SiteDB6[[Site Name]:[Pcode]],3,FALSE)</f>
        <v>MMR001CMP218</v>
      </c>
      <c r="EM209" s="928" t="str">
        <f t="shared" si="3"/>
        <v>Covered</v>
      </c>
      <c r="EN209" s="928"/>
      <c r="EO209" s="923">
        <f>VLOOKUP(WWWW[[#This Row],[Site Name]],SiteDB6[[Site Name]:[Pop
(Kachin/Shan-CCCM as of July 2021)]],16,FALSE)</f>
        <v>363</v>
      </c>
      <c r="EP209" s="923">
        <f>VLOOKUP(WWWW[[#This Row],[Site Name]],SiteDB6[[Site Name]:[Pop
(Kachin/Shan-CCCM as of July 2021)]],17,FALSE)</f>
        <v>1757</v>
      </c>
    </row>
    <row r="210" spans="1:146">
      <c r="A210" s="921" t="s">
        <v>2786</v>
      </c>
      <c r="B210" s="921" t="s">
        <v>919</v>
      </c>
      <c r="C210" s="922" t="s">
        <v>141</v>
      </c>
      <c r="D210" s="922" t="s">
        <v>3100</v>
      </c>
      <c r="E210" s="922" t="s">
        <v>37</v>
      </c>
      <c r="F210" s="922" t="s">
        <v>152</v>
      </c>
      <c r="G210" s="594" t="str">
        <f>VLOOKUP(WWWW[[#This Row],[Site Name]],SiteDB6[[Site Name]:[Location Type]],8,FALSE)</f>
        <v>Camp</v>
      </c>
      <c r="H210" s="922" t="s">
        <v>153</v>
      </c>
      <c r="I210" s="924">
        <v>13</v>
      </c>
      <c r="J210" s="924">
        <v>76</v>
      </c>
      <c r="K210" s="925">
        <v>44682</v>
      </c>
      <c r="L210" s="926">
        <v>44865</v>
      </c>
      <c r="M210" s="924"/>
      <c r="N210" s="924"/>
      <c r="O210" s="924"/>
      <c r="P210" s="924"/>
      <c r="Q210" s="927" t="s">
        <v>41</v>
      </c>
      <c r="R210" s="924">
        <v>2</v>
      </c>
      <c r="S210" s="924">
        <v>3</v>
      </c>
      <c r="T210" s="449">
        <v>1</v>
      </c>
      <c r="U210" s="924"/>
      <c r="V210" s="924"/>
      <c r="W210" s="924">
        <v>1</v>
      </c>
      <c r="X210" s="924"/>
      <c r="Y210" s="924"/>
      <c r="Z210" s="924"/>
      <c r="AA210" s="924"/>
      <c r="AB210" s="924"/>
      <c r="AC210" s="924"/>
      <c r="AD210" s="924"/>
      <c r="AE210" s="924"/>
      <c r="AF210" s="924"/>
      <c r="AG210" s="924"/>
      <c r="AH210" s="924">
        <v>2</v>
      </c>
      <c r="AI210" s="924"/>
      <c r="AJ210" s="924"/>
      <c r="AK210" s="924"/>
      <c r="AL210" s="924"/>
      <c r="AM210" s="924"/>
      <c r="AN210" s="924"/>
      <c r="AO210" s="449"/>
      <c r="AP210" s="928"/>
      <c r="AQ210" s="924">
        <v>6</v>
      </c>
      <c r="AR210" s="924"/>
      <c r="AS210" s="929"/>
      <c r="AT210" s="924">
        <v>6</v>
      </c>
      <c r="AU210" s="924"/>
      <c r="AV210" s="924"/>
      <c r="AW210" s="924"/>
      <c r="AX210" s="924">
        <v>6</v>
      </c>
      <c r="AY210" s="923" t="s">
        <v>41</v>
      </c>
      <c r="AZ210" s="928" t="s">
        <v>904</v>
      </c>
      <c r="BA210" s="924"/>
      <c r="BB210" s="924"/>
      <c r="BC210" s="924"/>
      <c r="BD210" s="449"/>
      <c r="BE210" s="449"/>
      <c r="BF210" s="923"/>
      <c r="BG210" s="924">
        <v>4</v>
      </c>
      <c r="BH210" s="924"/>
      <c r="BI210" s="924"/>
      <c r="BJ210" s="924">
        <v>2</v>
      </c>
      <c r="BK210" s="924"/>
      <c r="BL210" s="924"/>
      <c r="BM210" s="924"/>
      <c r="BN210" s="924"/>
      <c r="BO210" s="924"/>
      <c r="BP210" s="923"/>
      <c r="BQ210" s="930"/>
      <c r="BR210" s="929"/>
      <c r="BS210" s="923"/>
      <c r="BT210" s="424"/>
      <c r="BU210" s="424"/>
      <c r="BV210" s="426"/>
      <c r="BW210" s="424"/>
      <c r="BX210" s="449"/>
      <c r="BY210" s="449"/>
      <c r="BZ210" s="449"/>
      <c r="CA210" s="449"/>
      <c r="CB210" s="449"/>
      <c r="CC210" s="807"/>
      <c r="CD210" s="449"/>
      <c r="CE210" s="931" t="str">
        <f>IFERROR(WWWW[[#This Row],['#_Water sources passed]]/WWWW[[#This Row],['#_Water sources tested for fecal coliform ]],"no test")</f>
        <v>no test</v>
      </c>
      <c r="CF210" s="929" t="str">
        <f>IFERROR(WWWW[[#This Row],['#_Household passed]]/WWWW[[#This Row],['#_Household water samples tested for fecal coliform]],"no test")</f>
        <v>no test</v>
      </c>
      <c r="CG210" s="930" t="str">
        <f>IF(AND(WWWW[[#This Row],[% of water sources passed]]="no test",WWWW[[#This Row],[% Household passed]]="no test"),"No Test","Tested")</f>
        <v>No Test</v>
      </c>
      <c r="CH210" s="930">
        <f>WWWW[[#This Row],['#_Constructed/existing protected hand dug well]]-WWWW[[#This Row],['#_Non-functional protected hand dug well]]</f>
        <v>1</v>
      </c>
      <c r="CI210" s="930">
        <f>(WWWW[[#This Row],['#_Constructed/Existing tube wells/boreholes/handpumps_WASH_agency]]+WWWW[[#This Row],['#_Non-Cluster partner water tube-wells/boreholes/handpumps]])-WWWW[[#This Row],['#_Non-functional tube wells/boreholes/handpumps]]</f>
        <v>1</v>
      </c>
      <c r="CJ210" s="930">
        <f>WWWW[[#This Row],['#_Constructed/Existingwater storage tank with gravity fed reticulation system]]-WWWW[[#This Row],['#_Non-functional storage tank gravity fed reticulation system]]</f>
        <v>0</v>
      </c>
      <c r="CK210" s="930">
        <f>(WWWW[[#This Row],['#_Water_Liters_supplied_by_Water boating or water trucking]]/90)/15</f>
        <v>0</v>
      </c>
      <c r="CL210" s="930">
        <f>WWWW[[#This Row],['#_Water_Liters_from_Constructed/Existing water distribution system from river or natural spring]]/90/15</f>
        <v>0</v>
      </c>
      <c r="CM210" s="425">
        <f>IF(WWWW[[#This Row],['#_of water points in TLS/CFS]]*500&gt;WWWW[[#This Row],[Total PoP ]],WWWW[[#This Row],[Total PoP ]],WWWW[[#This Row],['#_of water points in TLS/CFS]]*500)</f>
        <v>0</v>
      </c>
      <c r="CN210" s="425">
        <f>IF(WWWW[[#This Row],['#_of water points in THF]]*500&gt;WWWW[[#This Row],[Total PoP ]],WWWW[[#This Row],[Total PoP ]],WWWW[[#This Row],['#_of water points in THF]]*500)</f>
        <v>0</v>
      </c>
      <c r="CO21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0" s="929">
        <f>IF(WWWW[[#This Row],[Location Type 1]]="Village",WWWW[[#This Row],[Access to safe drinking water for Village]],WWWW[[#This Row],[Access to safe drinking water for Camp]])</f>
        <v>1</v>
      </c>
      <c r="CR210" s="927">
        <f>WWWW[[#This Row],[%Equitable and continuous access to sufficient quantity of safe drinking water]]*WWWW[[#This Row],[Total PoP ]]</f>
        <v>76</v>
      </c>
      <c r="CS210" s="929">
        <f>IF((WWWW[[#This Row],['#_Constructed/Existing protected/fenced ponds]]*250)/WWWW[[#This Row],[Total PoP ]]&gt;1,1,(WWWW[[#This Row],['#_Constructed/Existing protected/fenced ponds]]*250)/WWWW[[#This Row],[Total PoP ]])</f>
        <v>0</v>
      </c>
      <c r="CT210" s="927">
        <f>WWWW[[#This Row],[% Access to unimproved water points]]*WWWW[[#This Row],[Total PoP ]]</f>
        <v>0</v>
      </c>
      <c r="CU21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W210" s="927">
        <f>WWWW[[#This Row],[HRP1]]/500</f>
        <v>0.152</v>
      </c>
      <c r="CX210" s="932">
        <f>1-WWWW[[#This Row],[% Equitable and continuous access to sufficient quantity of domestic water]]</f>
        <v>0</v>
      </c>
      <c r="CY210" s="927">
        <f>WWWW[[#This Row],[%equitable and continuous access to sufficient quantity of safe drinking and domestic water''s GAP]]*WWWW[[#This Row],[Total PoP ]]</f>
        <v>0</v>
      </c>
      <c r="CZ210" s="930">
        <f>IF(WWWW[[#This Row],[Total required water points]]-WWWW[[#This Row],['#Water points coverage]]&lt;0,0,WWWW[[#This Row],[Total required water points]]-WWWW[[#This Row],['#Water points coverage]])</f>
        <v>0.84799999999999998</v>
      </c>
      <c r="DA210" s="930">
        <f>ROUND(IF(WWWW[[#This Row],[Total PoP ]]&lt;500,1,WWWW[[#This Row],[Total PoP ]]/500),0)</f>
        <v>1</v>
      </c>
      <c r="DB210" s="930">
        <f>(WWWW[[#This Row],['#_Constructed latrines_by_WASHAgencies]]+WWWW[[#This Row],['#_Non Cluster partner latrines]])-WWWW[[#This Row],['#_Non-functional latrines]]</f>
        <v>0</v>
      </c>
      <c r="DC210" s="634">
        <f>WWWW[[#This Row],[HRP2]]/WWWW[[#This Row],[Total PoP ]]</f>
        <v>0</v>
      </c>
      <c r="DD21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0" s="425">
        <f>IF(WWWW[[#This Row],['# of functional latrines in THF supported by WASH partners during the reporting period2]]="",0,WWWW[[#This Row],['# of functional latrines in THF supported by WASH partners during the reporting period2]]*50)</f>
        <v>0</v>
      </c>
      <c r="DH210" s="930">
        <f>ROUND(IF(WWWW[[#This Row],[Location Type 1]]="camp",WWWW[[#This Row],[Total PoP ]]/20,IF(WWWW[[#This Row],[Location Type 1]]="Temporary Location",WWWW[[#This Row],[Total PoP ]]/50,(WWWW[[#This Row],[Total PoP ]]/6))),0)</f>
        <v>4</v>
      </c>
      <c r="DI210" s="930">
        <f>IF(WWWW[[#This Row],[Total required Latrines]]-(WWWW[[#This Row],['#_Constructed latrines_by_WASHAgencies]]+WWWW[[#This Row],['#_Non Cluster partner latrines]])&lt;0,0,WWWW[[#This Row],[Total required Latrines]]-(WWWW[[#This Row],['#_Constructed latrines_by_WASHAgencies]]+WWWW[[#This Row],['#_Non Cluster partner latrines]]))</f>
        <v>0</v>
      </c>
      <c r="DJ210" s="932">
        <f>1-WWWW[[#This Row],[% people access to functioning Latrine]]</f>
        <v>1</v>
      </c>
      <c r="DK210" s="931">
        <f>IF(OR(WWWW[[#This Row],['#_Non-functional latrines]]="",WWWW[[#This Row],['#_Non-functional latrines]]=0),0,WWWW[[#This Row],['#_Non-functional latrines]]/(WWWW[[#This Row],['#_Constructed latrines_by_WASHAgencies]]+WWWW[[#This Row],['#_Non Cluster partner latrines]]))</f>
        <v>1</v>
      </c>
      <c r="DL210" s="927">
        <f>IF(500*(WWWW[[#This Row],['#_male hygiene promoters]]+WWWW[[#This Row],['#_female hygiene promoters]])&gt;WWWW[[#This Row],[Total PoP ]],WWWW[[#This Row],[Total PoP ]],500*(WWWW[[#This Row],['#_male hygiene promoters]]+WWWW[[#This Row],['#_female hygiene promoters]]))</f>
        <v>0</v>
      </c>
      <c r="DM21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0" s="930">
        <f>IF(WWWW[[#This Row],['# People with access to soap]]&gt;WWWW[[#This Row],['# People with access to Sanity Pads]],WWWW[[#This Row],['# People with access to soap]],WWWW[[#This Row],['# People with access to Sanity Pads]])</f>
        <v>0</v>
      </c>
      <c r="DP21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0" s="932">
        <f>IF(WWWW[[#This Row],[HRP3]]/WWWW[[#This Row],[Total PoP ]]&gt;1,1,WWWW[[#This Row],[HRP3]]/WWWW[[#This Row],[Total PoP ]])</f>
        <v>0</v>
      </c>
      <c r="DR210" s="931">
        <f>1-WWWW[[#This Row],[Hygiene Coverage%]]</f>
        <v>1</v>
      </c>
      <c r="DS210" s="929">
        <f>WWWW[[#This Row],['# people reached by regular dedicated hygiene promotion_5]]/WWWW[[#This Row],[Total PoP ]]</f>
        <v>0</v>
      </c>
      <c r="DT21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0" s="930">
        <f>WWWW[[#This Row],['#_Constructed/Existing hand washing stations]]-WWWW[[#This Row],['#_Non-Functional_hand_washing_stations]]</f>
        <v>4</v>
      </c>
      <c r="DW210" s="927">
        <f>IF(WWWW[[#This Row],['# Functional hand washing stations during reporting period]]*20&gt;WWWW[[#This Row],[Total HH]],WWWW[[#This Row],[Total HH]],WWWW[[#This Row],['# Functional hand washing stations during reporting period]]*20)</f>
        <v>13</v>
      </c>
      <c r="DX210" s="927">
        <f>IF(WWWW[[#This Row],[Is sufficient soap available for TLS? (Yes/No)]]="yes",WWWW[[#This Row],['#_Constructed/Existing hand washing stations at TLS/CFS/THF]],0)</f>
        <v>0</v>
      </c>
      <c r="DY210" s="429">
        <f>IF(WWWW[[#This Row],['# Functional hand washing stations during reporting period]]*100&gt;WWWW[[#This Row],[Total PoP ]],WWWW[[#This Row],[Total PoP ]],WWWW[[#This Row],['# Functional hand washing stations during reporting period]]*100)</f>
        <v>76</v>
      </c>
      <c r="DZ210" s="429" t="str">
        <f>IF(OR(WWWW[[#This Row],['#_students at TLS_CFS]]="",WWWW[[#This Row],['#_students at TLS_CFS]]=0),"No","Yes")</f>
        <v>No</v>
      </c>
      <c r="EA21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0" s="923" t="str">
        <f>VLOOKUP(WWWW[[#This Row],[Site Name]],SiteDB6[[Site Name]:[CCCM Management]],6,FALSE)</f>
        <v>Yes</v>
      </c>
      <c r="EF210" s="923" t="str">
        <f>VLOOKUP(WWWW[[#This Row],[Site Name]],SiteDB6[[Site Name]:[CCCM Focal Agency]],7,FALSE)</f>
        <v>KBC-MYT</v>
      </c>
      <c r="EG210" s="923" t="str">
        <f>VLOOKUP(WWWW[[#This Row],[Site Name]],SiteDB6[[Site Name]:[Location Type 1]],9,FALSE)</f>
        <v>Camp</v>
      </c>
      <c r="EH210" s="923" t="str">
        <f>VLOOKUP(WWWW[[#This Row],[Site Name]],SiteDB6[[Site Name]:[Type of Accommodation]],10,FALSE)</f>
        <v>Camp</v>
      </c>
      <c r="EI210" s="923" t="str">
        <f>VLOOKUP(WWWW[[#This Row],[Site Name]],SiteDB6[[Site Name]:[Ethnic or GCA/NGCA]],11,FALSE)</f>
        <v>GCA</v>
      </c>
      <c r="EJ210" s="923">
        <f>VLOOKUP(WWWW[[#This Row],[Site Name]],SiteDB6[[Site Name]:[Lat]],12,FALSE)</f>
        <v>25.305669999999999</v>
      </c>
      <c r="EK210" s="923">
        <f>VLOOKUP(WWWW[[#This Row],[Site Name]],SiteDB6[[Site Name]:[Long]],13,FALSE)</f>
        <v>96.922619999999995</v>
      </c>
      <c r="EL210" s="923" t="str">
        <f>VLOOKUP(WWWW[[#This Row],[Site Name]],SiteDB6[[Site Name]:[Pcode]],3,FALSE)</f>
        <v>MMR001CMP078</v>
      </c>
      <c r="EM210" s="928" t="str">
        <f t="shared" si="3"/>
        <v>Covered</v>
      </c>
      <c r="EN210" s="928"/>
      <c r="EO210" s="923">
        <f>VLOOKUP(WWWW[[#This Row],[Site Name]],SiteDB6[[Site Name]:[Pop
(Kachin/Shan-CCCM as of July 2021)]],16,FALSE)</f>
        <v>13</v>
      </c>
      <c r="EP210" s="923">
        <f>VLOOKUP(WWWW[[#This Row],[Site Name]],SiteDB6[[Site Name]:[Pop
(Kachin/Shan-CCCM as of July 2021)]],17,FALSE)</f>
        <v>76</v>
      </c>
    </row>
    <row r="211" spans="1:146">
      <c r="A211" s="921" t="s">
        <v>2786</v>
      </c>
      <c r="B211" s="921" t="s">
        <v>919</v>
      </c>
      <c r="C211" s="922" t="s">
        <v>141</v>
      </c>
      <c r="D211" s="922" t="s">
        <v>3100</v>
      </c>
      <c r="E211" s="922" t="s">
        <v>37</v>
      </c>
      <c r="F211" s="922" t="s">
        <v>152</v>
      </c>
      <c r="G211" s="594" t="str">
        <f>VLOOKUP(WWWW[[#This Row],[Site Name]],SiteDB6[[Site Name]:[Location Type]],8,FALSE)</f>
        <v>Camp</v>
      </c>
      <c r="H211" s="922" t="s">
        <v>1614</v>
      </c>
      <c r="I211" s="924">
        <v>15</v>
      </c>
      <c r="J211" s="924">
        <v>73</v>
      </c>
      <c r="K211" s="925">
        <v>44682</v>
      </c>
      <c r="L211" s="926">
        <v>44865</v>
      </c>
      <c r="M211" s="924"/>
      <c r="N211" s="924"/>
      <c r="O211" s="924"/>
      <c r="P211" s="924"/>
      <c r="Q211" s="927" t="s">
        <v>41</v>
      </c>
      <c r="R211" s="924">
        <v>2</v>
      </c>
      <c r="S211" s="924">
        <v>3</v>
      </c>
      <c r="T211" s="449">
        <v>1</v>
      </c>
      <c r="U211" s="924"/>
      <c r="V211" s="924"/>
      <c r="W211" s="924">
        <v>1</v>
      </c>
      <c r="X211" s="924"/>
      <c r="Y211" s="924"/>
      <c r="Z211" s="924"/>
      <c r="AA211" s="924"/>
      <c r="AB211" s="924"/>
      <c r="AC211" s="924"/>
      <c r="AD211" s="924"/>
      <c r="AE211" s="924"/>
      <c r="AF211" s="924"/>
      <c r="AG211" s="924"/>
      <c r="AH211" s="924">
        <v>2</v>
      </c>
      <c r="AI211" s="924"/>
      <c r="AJ211" s="924"/>
      <c r="AK211" s="924"/>
      <c r="AL211" s="924"/>
      <c r="AM211" s="924"/>
      <c r="AN211" s="924"/>
      <c r="AO211" s="449"/>
      <c r="AP211" s="928"/>
      <c r="AQ211" s="924">
        <v>3</v>
      </c>
      <c r="AR211" s="924"/>
      <c r="AS211" s="929"/>
      <c r="AT211" s="924"/>
      <c r="AU211" s="924"/>
      <c r="AV211" s="924"/>
      <c r="AW211" s="924"/>
      <c r="AX211" s="924">
        <v>2</v>
      </c>
      <c r="AY211" s="923" t="s">
        <v>41</v>
      </c>
      <c r="AZ211" s="928" t="s">
        <v>137</v>
      </c>
      <c r="BA211" s="924"/>
      <c r="BB211" s="924"/>
      <c r="BC211" s="924"/>
      <c r="BD211" s="449"/>
      <c r="BE211" s="449"/>
      <c r="BF211" s="923"/>
      <c r="BG211" s="924">
        <v>2</v>
      </c>
      <c r="BH211" s="924"/>
      <c r="BI211" s="924"/>
      <c r="BJ211" s="924">
        <v>2</v>
      </c>
      <c r="BK211" s="924"/>
      <c r="BL211" s="924"/>
      <c r="BM211" s="924"/>
      <c r="BN211" s="924"/>
      <c r="BO211" s="924"/>
      <c r="BP211" s="923"/>
      <c r="BQ211" s="930"/>
      <c r="BR211" s="929"/>
      <c r="BS211" s="923"/>
      <c r="BT211" s="424"/>
      <c r="BU211" s="424"/>
      <c r="BV211" s="426"/>
      <c r="BW211" s="424"/>
      <c r="BX211" s="449"/>
      <c r="BY211" s="449"/>
      <c r="BZ211" s="449"/>
      <c r="CA211" s="449"/>
      <c r="CB211" s="449"/>
      <c r="CC211" s="807"/>
      <c r="CD211" s="449"/>
      <c r="CE211" s="931" t="str">
        <f>IFERROR(WWWW[[#This Row],['#_Water sources passed]]/WWWW[[#This Row],['#_Water sources tested for fecal coliform ]],"no test")</f>
        <v>no test</v>
      </c>
      <c r="CF211" s="929" t="str">
        <f>IFERROR(WWWW[[#This Row],['#_Household passed]]/WWWW[[#This Row],['#_Household water samples tested for fecal coliform]],"no test")</f>
        <v>no test</v>
      </c>
      <c r="CG211" s="930" t="str">
        <f>IF(AND(WWWW[[#This Row],[% of water sources passed]]="no test",WWWW[[#This Row],[% Household passed]]="no test"),"No Test","Tested")</f>
        <v>No Test</v>
      </c>
      <c r="CH211" s="930">
        <f>WWWW[[#This Row],['#_Constructed/existing protected hand dug well]]-WWWW[[#This Row],['#_Non-functional protected hand dug well]]</f>
        <v>1</v>
      </c>
      <c r="CI211" s="930">
        <f>(WWWW[[#This Row],['#_Constructed/Existing tube wells/boreholes/handpumps_WASH_agency]]+WWWW[[#This Row],['#_Non-Cluster partner water tube-wells/boreholes/handpumps]])-WWWW[[#This Row],['#_Non-functional tube wells/boreholes/handpumps]]</f>
        <v>1</v>
      </c>
      <c r="CJ211" s="930">
        <f>WWWW[[#This Row],['#_Constructed/Existingwater storage tank with gravity fed reticulation system]]-WWWW[[#This Row],['#_Non-functional storage tank gravity fed reticulation system]]</f>
        <v>0</v>
      </c>
      <c r="CK211" s="930">
        <f>(WWWW[[#This Row],['#_Water_Liters_supplied_by_Water boating or water trucking]]/90)/15</f>
        <v>0</v>
      </c>
      <c r="CL211" s="930">
        <f>WWWW[[#This Row],['#_Water_Liters_from_Constructed/Existing water distribution system from river or natural spring]]/90/15</f>
        <v>0</v>
      </c>
      <c r="CM211" s="425">
        <f>IF(WWWW[[#This Row],['#_of water points in TLS/CFS]]*500&gt;WWWW[[#This Row],[Total PoP ]],WWWW[[#This Row],[Total PoP ]],WWWW[[#This Row],['#_of water points in TLS/CFS]]*500)</f>
        <v>0</v>
      </c>
      <c r="CN211" s="425">
        <f>IF(WWWW[[#This Row],['#_of water points in THF]]*500&gt;WWWW[[#This Row],[Total PoP ]],WWWW[[#This Row],[Total PoP ]],WWWW[[#This Row],['#_of water points in THF]]*500)</f>
        <v>0</v>
      </c>
      <c r="CO21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1" s="929">
        <f>IF(WWWW[[#This Row],[Location Type 1]]="Village",WWWW[[#This Row],[Access to safe drinking water for Village]],WWWW[[#This Row],[Access to safe drinking water for Camp]])</f>
        <v>1</v>
      </c>
      <c r="CR211" s="927">
        <f>WWWW[[#This Row],[%Equitable and continuous access to sufficient quantity of safe drinking water]]*WWWW[[#This Row],[Total PoP ]]</f>
        <v>73</v>
      </c>
      <c r="CS211" s="929">
        <f>IF((WWWW[[#This Row],['#_Constructed/Existing protected/fenced ponds]]*250)/WWWW[[#This Row],[Total PoP ]]&gt;1,1,(WWWW[[#This Row],['#_Constructed/Existing protected/fenced ponds]]*250)/WWWW[[#This Row],[Total PoP ]])</f>
        <v>0</v>
      </c>
      <c r="CT211" s="927">
        <f>WWWW[[#This Row],[% Access to unimproved water points]]*WWWW[[#This Row],[Total PoP ]]</f>
        <v>0</v>
      </c>
      <c r="CU21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v>
      </c>
      <c r="CW211" s="927">
        <f>WWWW[[#This Row],[HRP1]]/500</f>
        <v>0.14599999999999999</v>
      </c>
      <c r="CX211" s="932">
        <f>1-WWWW[[#This Row],[% Equitable and continuous access to sufficient quantity of domestic water]]</f>
        <v>0</v>
      </c>
      <c r="CY211" s="927">
        <f>WWWW[[#This Row],[%equitable and continuous access to sufficient quantity of safe drinking and domestic water''s GAP]]*WWWW[[#This Row],[Total PoP ]]</f>
        <v>0</v>
      </c>
      <c r="CZ211" s="930">
        <f>IF(WWWW[[#This Row],[Total required water points]]-WWWW[[#This Row],['#Water points coverage]]&lt;0,0,WWWW[[#This Row],[Total required water points]]-WWWW[[#This Row],['#Water points coverage]])</f>
        <v>0.85399999999999998</v>
      </c>
      <c r="DA211" s="930">
        <f>ROUND(IF(WWWW[[#This Row],[Total PoP ]]&lt;500,1,WWWW[[#This Row],[Total PoP ]]/500),0)</f>
        <v>1</v>
      </c>
      <c r="DB211" s="930">
        <f>(WWWW[[#This Row],['#_Constructed latrines_by_WASHAgencies]]+WWWW[[#This Row],['#_Non Cluster partner latrines]])-WWWW[[#This Row],['#_Non-functional latrines]]</f>
        <v>3</v>
      </c>
      <c r="DC211" s="634">
        <f>WWWW[[#This Row],[HRP2]]/WWWW[[#This Row],[Total PoP ]]</f>
        <v>0.82191780821917804</v>
      </c>
      <c r="DD21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v>
      </c>
      <c r="DE21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1" s="425">
        <f>IF(WWWW[[#This Row],['# of functional latrines in THF supported by WASH partners during the reporting period2]]="",0,WWWW[[#This Row],['# of functional latrines in THF supported by WASH partners during the reporting period2]]*50)</f>
        <v>0</v>
      </c>
      <c r="DH211" s="930">
        <f>ROUND(IF(WWWW[[#This Row],[Location Type 1]]="camp",WWWW[[#This Row],[Total PoP ]]/20,IF(WWWW[[#This Row],[Location Type 1]]="Temporary Location",WWWW[[#This Row],[Total PoP ]]/50,(WWWW[[#This Row],[Total PoP ]]/6))),0)</f>
        <v>4</v>
      </c>
      <c r="DI211" s="930">
        <f>IF(WWWW[[#This Row],[Total required Latrines]]-(WWWW[[#This Row],['#_Constructed latrines_by_WASHAgencies]]+WWWW[[#This Row],['#_Non Cluster partner latrines]])&lt;0,0,WWWW[[#This Row],[Total required Latrines]]-(WWWW[[#This Row],['#_Constructed latrines_by_WASHAgencies]]+WWWW[[#This Row],['#_Non Cluster partner latrines]]))</f>
        <v>1</v>
      </c>
      <c r="DJ211" s="932">
        <f>1-WWWW[[#This Row],[% people access to functioning Latrine]]</f>
        <v>0.17808219178082196</v>
      </c>
      <c r="DK211" s="931">
        <f>IF(OR(WWWW[[#This Row],['#_Non-functional latrines]]="",WWWW[[#This Row],['#_Non-functional latrines]]=0),0,WWWW[[#This Row],['#_Non-functional latrines]]/(WWWW[[#This Row],['#_Constructed latrines_by_WASHAgencies]]+WWWW[[#This Row],['#_Non Cluster partner latrines]]))</f>
        <v>0</v>
      </c>
      <c r="DL211" s="927">
        <f>IF(500*(WWWW[[#This Row],['#_male hygiene promoters]]+WWWW[[#This Row],['#_female hygiene promoters]])&gt;WWWW[[#This Row],[Total PoP ]],WWWW[[#This Row],[Total PoP ]],500*(WWWW[[#This Row],['#_male hygiene promoters]]+WWWW[[#This Row],['#_female hygiene promoters]]))</f>
        <v>0</v>
      </c>
      <c r="DM21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1" s="930">
        <f>IF(WWWW[[#This Row],['# People with access to soap]]&gt;WWWW[[#This Row],['# People with access to Sanity Pads]],WWWW[[#This Row],['# People with access to soap]],WWWW[[#This Row],['# People with access to Sanity Pads]])</f>
        <v>0</v>
      </c>
      <c r="DP21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1" s="932">
        <f>IF(WWWW[[#This Row],[HRP3]]/WWWW[[#This Row],[Total PoP ]]&gt;1,1,WWWW[[#This Row],[HRP3]]/WWWW[[#This Row],[Total PoP ]])</f>
        <v>0</v>
      </c>
      <c r="DR211" s="931">
        <f>1-WWWW[[#This Row],[Hygiene Coverage%]]</f>
        <v>1</v>
      </c>
      <c r="DS211" s="929">
        <f>WWWW[[#This Row],['# people reached by regular dedicated hygiene promotion_5]]/WWWW[[#This Row],[Total PoP ]]</f>
        <v>0</v>
      </c>
      <c r="DT21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1" s="930">
        <f>WWWW[[#This Row],['#_Constructed/Existing hand washing stations]]-WWWW[[#This Row],['#_Non-Functional_hand_washing_stations]]</f>
        <v>2</v>
      </c>
      <c r="DW211" s="927">
        <f>IF(WWWW[[#This Row],['# Functional hand washing stations during reporting period]]*20&gt;WWWW[[#This Row],[Total HH]],WWWW[[#This Row],[Total HH]],WWWW[[#This Row],['# Functional hand washing stations during reporting period]]*20)</f>
        <v>15</v>
      </c>
      <c r="DX211" s="927">
        <f>IF(WWWW[[#This Row],[Is sufficient soap available for TLS? (Yes/No)]]="yes",WWWW[[#This Row],['#_Constructed/Existing hand washing stations at TLS/CFS/THF]],0)</f>
        <v>0</v>
      </c>
      <c r="DY211" s="429">
        <f>IF(WWWW[[#This Row],['# Functional hand washing stations during reporting period]]*100&gt;WWWW[[#This Row],[Total PoP ]],WWWW[[#This Row],[Total PoP ]],WWWW[[#This Row],['# Functional hand washing stations during reporting period]]*100)</f>
        <v>73</v>
      </c>
      <c r="DZ211" s="429" t="str">
        <f>IF(OR(WWWW[[#This Row],['#_students at TLS_CFS]]="",WWWW[[#This Row],['#_students at TLS_CFS]]=0),"No","Yes")</f>
        <v>No</v>
      </c>
      <c r="EA21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1" s="923" t="str">
        <f>VLOOKUP(WWWW[[#This Row],[Site Name]],SiteDB6[[Site Name]:[CCCM Management]],6,FALSE)</f>
        <v>Yes</v>
      </c>
      <c r="EF211" s="923" t="str">
        <f>VLOOKUP(WWWW[[#This Row],[Site Name]],SiteDB6[[Site Name]:[CCCM Focal Agency]],7,FALSE)</f>
        <v>KBC-MYT</v>
      </c>
      <c r="EG211" s="923" t="str">
        <f>VLOOKUP(WWWW[[#This Row],[Site Name]],SiteDB6[[Site Name]:[Location Type 1]],9,FALSE)</f>
        <v>Camp</v>
      </c>
      <c r="EH211" s="923" t="str">
        <f>VLOOKUP(WWWW[[#This Row],[Site Name]],SiteDB6[[Site Name]:[Type of Accommodation]],10,FALSE)</f>
        <v>Camp</v>
      </c>
      <c r="EI211" s="923" t="str">
        <f>VLOOKUP(WWWW[[#This Row],[Site Name]],SiteDB6[[Site Name]:[Ethnic or GCA/NGCA]],11,FALSE)</f>
        <v>GCA</v>
      </c>
      <c r="EJ211" s="923">
        <f>VLOOKUP(WWWW[[#This Row],[Site Name]],SiteDB6[[Site Name]:[Lat]],12,FALSE)</f>
        <v>25.296579999999999</v>
      </c>
      <c r="EK211" s="923">
        <f>VLOOKUP(WWWW[[#This Row],[Site Name]],SiteDB6[[Site Name]:[Long]],13,FALSE)</f>
        <v>96.942279999999997</v>
      </c>
      <c r="EL211" s="923" t="str">
        <f>VLOOKUP(WWWW[[#This Row],[Site Name]],SiteDB6[[Site Name]:[Pcode]],3,FALSE)</f>
        <v>MMR001CMP077</v>
      </c>
      <c r="EM211" s="928" t="str">
        <f t="shared" si="3"/>
        <v>Covered</v>
      </c>
      <c r="EN211" s="928"/>
      <c r="EO211" s="923">
        <f>VLOOKUP(WWWW[[#This Row],[Site Name]],SiteDB6[[Site Name]:[Pop
(Kachin/Shan-CCCM as of July 2021)]],16,FALSE)</f>
        <v>16</v>
      </c>
      <c r="EP211" s="923">
        <f>VLOOKUP(WWWW[[#This Row],[Site Name]],SiteDB6[[Site Name]:[Pop
(Kachin/Shan-CCCM as of July 2021)]],17,FALSE)</f>
        <v>75</v>
      </c>
    </row>
    <row r="212" spans="1:146">
      <c r="A212" s="921" t="s">
        <v>2786</v>
      </c>
      <c r="B212" s="921" t="s">
        <v>919</v>
      </c>
      <c r="C212" s="922" t="s">
        <v>141</v>
      </c>
      <c r="D212" s="922" t="s">
        <v>3100</v>
      </c>
      <c r="E212" s="922" t="s">
        <v>37</v>
      </c>
      <c r="F212" s="922" t="s">
        <v>152</v>
      </c>
      <c r="G212" s="594" t="str">
        <f>VLOOKUP(WWWW[[#This Row],[Site Name]],SiteDB6[[Site Name]:[Location Type]],8,FALSE)</f>
        <v>Camp_not registered</v>
      </c>
      <c r="H212" s="922" t="s">
        <v>2646</v>
      </c>
      <c r="I212" s="924">
        <v>5</v>
      </c>
      <c r="J212" s="924">
        <v>28</v>
      </c>
      <c r="K212" s="925">
        <v>44682</v>
      </c>
      <c r="L212" s="926">
        <v>44865</v>
      </c>
      <c r="M212" s="924"/>
      <c r="N212" s="924"/>
      <c r="O212" s="924"/>
      <c r="P212" s="924"/>
      <c r="Q212" s="927" t="s">
        <v>41</v>
      </c>
      <c r="R212" s="924">
        <v>3</v>
      </c>
      <c r="S212" s="924"/>
      <c r="T212" s="449">
        <v>1</v>
      </c>
      <c r="U212" s="924"/>
      <c r="V212" s="924"/>
      <c r="W212" s="924">
        <v>1</v>
      </c>
      <c r="X212" s="924"/>
      <c r="Y212" s="924"/>
      <c r="Z212" s="924"/>
      <c r="AA212" s="924"/>
      <c r="AB212" s="924"/>
      <c r="AC212" s="924"/>
      <c r="AD212" s="924"/>
      <c r="AE212" s="924"/>
      <c r="AF212" s="924"/>
      <c r="AG212" s="924"/>
      <c r="AH212" s="924">
        <v>3</v>
      </c>
      <c r="AI212" s="924"/>
      <c r="AJ212" s="924"/>
      <c r="AK212" s="924"/>
      <c r="AL212" s="924"/>
      <c r="AM212" s="924"/>
      <c r="AN212" s="924"/>
      <c r="AO212" s="449"/>
      <c r="AP212" s="928"/>
      <c r="AQ212" s="924">
        <v>2</v>
      </c>
      <c r="AR212" s="924"/>
      <c r="AS212" s="929"/>
      <c r="AT212" s="924"/>
      <c r="AU212" s="924"/>
      <c r="AV212" s="924"/>
      <c r="AW212" s="924"/>
      <c r="AX212" s="924">
        <v>2</v>
      </c>
      <c r="AY212" s="923" t="s">
        <v>41</v>
      </c>
      <c r="AZ212" s="928" t="s">
        <v>137</v>
      </c>
      <c r="BA212" s="924"/>
      <c r="BB212" s="924"/>
      <c r="BC212" s="924"/>
      <c r="BD212" s="449"/>
      <c r="BE212" s="449"/>
      <c r="BF212" s="923"/>
      <c r="BG212" s="924">
        <v>1</v>
      </c>
      <c r="BH212" s="924">
        <v>1</v>
      </c>
      <c r="BI212" s="924"/>
      <c r="BJ212" s="924">
        <v>2</v>
      </c>
      <c r="BK212" s="924"/>
      <c r="BL212" s="924"/>
      <c r="BM212" s="924"/>
      <c r="BN212" s="924"/>
      <c r="BO212" s="924"/>
      <c r="BP212" s="923"/>
      <c r="BQ212" s="930"/>
      <c r="BR212" s="929"/>
      <c r="BS212" s="923"/>
      <c r="BT212" s="424"/>
      <c r="BU212" s="424"/>
      <c r="BV212" s="426"/>
      <c r="BW212" s="424"/>
      <c r="BX212" s="449"/>
      <c r="BY212" s="449"/>
      <c r="BZ212" s="449"/>
      <c r="CA212" s="449"/>
      <c r="CB212" s="449"/>
      <c r="CC212" s="807"/>
      <c r="CD212" s="449"/>
      <c r="CE212" s="931" t="str">
        <f>IFERROR(WWWW[[#This Row],['#_Water sources passed]]/WWWW[[#This Row],['#_Water sources tested for fecal coliform ]],"no test")</f>
        <v>no test</v>
      </c>
      <c r="CF212" s="929" t="str">
        <f>IFERROR(WWWW[[#This Row],['#_Household passed]]/WWWW[[#This Row],['#_Household water samples tested for fecal coliform]],"no test")</f>
        <v>no test</v>
      </c>
      <c r="CG212" s="930" t="str">
        <f>IF(AND(WWWW[[#This Row],[% of water sources passed]]="no test",WWWW[[#This Row],[% Household passed]]="no test"),"No Test","Tested")</f>
        <v>No Test</v>
      </c>
      <c r="CH212" s="930">
        <f>WWWW[[#This Row],['#_Constructed/existing protected hand dug well]]-WWWW[[#This Row],['#_Non-functional protected hand dug well]]</f>
        <v>1</v>
      </c>
      <c r="CI212" s="930">
        <f>(WWWW[[#This Row],['#_Constructed/Existing tube wells/boreholes/handpumps_WASH_agency]]+WWWW[[#This Row],['#_Non-Cluster partner water tube-wells/boreholes/handpumps]])-WWWW[[#This Row],['#_Non-functional tube wells/boreholes/handpumps]]</f>
        <v>1</v>
      </c>
      <c r="CJ212" s="930">
        <f>WWWW[[#This Row],['#_Constructed/Existingwater storage tank with gravity fed reticulation system]]-WWWW[[#This Row],['#_Non-functional storage tank gravity fed reticulation system]]</f>
        <v>0</v>
      </c>
      <c r="CK212" s="930">
        <f>(WWWW[[#This Row],['#_Water_Liters_supplied_by_Water boating or water trucking]]/90)/15</f>
        <v>0</v>
      </c>
      <c r="CL212" s="930">
        <f>WWWW[[#This Row],['#_Water_Liters_from_Constructed/Existing water distribution system from river or natural spring]]/90/15</f>
        <v>0</v>
      </c>
      <c r="CM212" s="425">
        <f>IF(WWWW[[#This Row],['#_of water points in TLS/CFS]]*500&gt;WWWW[[#This Row],[Total PoP ]],WWWW[[#This Row],[Total PoP ]],WWWW[[#This Row],['#_of water points in TLS/CFS]]*500)</f>
        <v>0</v>
      </c>
      <c r="CN212" s="425">
        <f>IF(WWWW[[#This Row],['#_of water points in THF]]*500&gt;WWWW[[#This Row],[Total PoP ]],WWWW[[#This Row],[Total PoP ]],WWWW[[#This Row],['#_of water points in THF]]*500)</f>
        <v>0</v>
      </c>
      <c r="CO21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2" s="929">
        <f>IF(WWWW[[#This Row],[Location Type 1]]="Village",WWWW[[#This Row],[Access to safe drinking water for Village]],WWWW[[#This Row],[Access to safe drinking water for Camp]])</f>
        <v>1</v>
      </c>
      <c r="CR212" s="927">
        <f>WWWW[[#This Row],[%Equitable and continuous access to sufficient quantity of safe drinking water]]*WWWW[[#This Row],[Total PoP ]]</f>
        <v>28</v>
      </c>
      <c r="CS212" s="929">
        <f>IF((WWWW[[#This Row],['#_Constructed/Existing protected/fenced ponds]]*250)/WWWW[[#This Row],[Total PoP ]]&gt;1,1,(WWWW[[#This Row],['#_Constructed/Existing protected/fenced ponds]]*250)/WWWW[[#This Row],[Total PoP ]])</f>
        <v>0</v>
      </c>
      <c r="CT212" s="927">
        <f>WWWW[[#This Row],[% Access to unimproved water points]]*WWWW[[#This Row],[Total PoP ]]</f>
        <v>0</v>
      </c>
      <c r="CU21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v>
      </c>
      <c r="CW212" s="927">
        <f>WWWW[[#This Row],[HRP1]]/500</f>
        <v>5.6000000000000001E-2</v>
      </c>
      <c r="CX212" s="932">
        <f>1-WWWW[[#This Row],[% Equitable and continuous access to sufficient quantity of domestic water]]</f>
        <v>0</v>
      </c>
      <c r="CY212" s="927">
        <f>WWWW[[#This Row],[%equitable and continuous access to sufficient quantity of safe drinking and domestic water''s GAP]]*WWWW[[#This Row],[Total PoP ]]</f>
        <v>0</v>
      </c>
      <c r="CZ212" s="930">
        <f>IF(WWWW[[#This Row],[Total required water points]]-WWWW[[#This Row],['#Water points coverage]]&lt;0,0,WWWW[[#This Row],[Total required water points]]-WWWW[[#This Row],['#Water points coverage]])</f>
        <v>0.94399999999999995</v>
      </c>
      <c r="DA212" s="930">
        <f>ROUND(IF(WWWW[[#This Row],[Total PoP ]]&lt;500,1,WWWW[[#This Row],[Total PoP ]]/500),0)</f>
        <v>1</v>
      </c>
      <c r="DB212" s="930">
        <f>(WWWW[[#This Row],['#_Constructed latrines_by_WASHAgencies]]+WWWW[[#This Row],['#_Non Cluster partner latrines]])-WWWW[[#This Row],['#_Non-functional latrines]]</f>
        <v>2</v>
      </c>
      <c r="DC212" s="634">
        <f>WWWW[[#This Row],[HRP2]]/WWWW[[#This Row],[Total PoP ]]</f>
        <v>1</v>
      </c>
      <c r="DD21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21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2" s="425">
        <f>IF(WWWW[[#This Row],['# of functional latrines in THF supported by WASH partners during the reporting period2]]="",0,WWWW[[#This Row],['# of functional latrines in THF supported by WASH partners during the reporting period2]]*50)</f>
        <v>0</v>
      </c>
      <c r="DH212" s="930">
        <f>ROUND(IF(WWWW[[#This Row],[Location Type 1]]="camp",WWWW[[#This Row],[Total PoP ]]/20,IF(WWWW[[#This Row],[Location Type 1]]="Temporary Location",WWWW[[#This Row],[Total PoP ]]/50,(WWWW[[#This Row],[Total PoP ]]/6))),0)</f>
        <v>1</v>
      </c>
      <c r="DI212" s="930">
        <f>IF(WWWW[[#This Row],[Total required Latrines]]-(WWWW[[#This Row],['#_Constructed latrines_by_WASHAgencies]]+WWWW[[#This Row],['#_Non Cluster partner latrines]])&lt;0,0,WWWW[[#This Row],[Total required Latrines]]-(WWWW[[#This Row],['#_Constructed latrines_by_WASHAgencies]]+WWWW[[#This Row],['#_Non Cluster partner latrines]]))</f>
        <v>0</v>
      </c>
      <c r="DJ212" s="932">
        <f>1-WWWW[[#This Row],[% people access to functioning Latrine]]</f>
        <v>0</v>
      </c>
      <c r="DK212" s="931">
        <f>IF(OR(WWWW[[#This Row],['#_Non-functional latrines]]="",WWWW[[#This Row],['#_Non-functional latrines]]=0),0,WWWW[[#This Row],['#_Non-functional latrines]]/(WWWW[[#This Row],['#_Constructed latrines_by_WASHAgencies]]+WWWW[[#This Row],['#_Non Cluster partner latrines]]))</f>
        <v>0</v>
      </c>
      <c r="DL212" s="927">
        <f>IF(500*(WWWW[[#This Row],['#_male hygiene promoters]]+WWWW[[#This Row],['#_female hygiene promoters]])&gt;WWWW[[#This Row],[Total PoP ]],WWWW[[#This Row],[Total PoP ]],500*(WWWW[[#This Row],['#_male hygiene promoters]]+WWWW[[#This Row],['#_female hygiene promoters]]))</f>
        <v>0</v>
      </c>
      <c r="DM21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2" s="930">
        <f>IF(WWWW[[#This Row],['# People with access to soap]]&gt;WWWW[[#This Row],['# People with access to Sanity Pads]],WWWW[[#This Row],['# People with access to soap]],WWWW[[#This Row],['# People with access to Sanity Pads]])</f>
        <v>0</v>
      </c>
      <c r="DP212"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2" s="932">
        <f>IF(WWWW[[#This Row],[HRP3]]/WWWW[[#This Row],[Total PoP ]]&gt;1,1,WWWW[[#This Row],[HRP3]]/WWWW[[#This Row],[Total PoP ]])</f>
        <v>0</v>
      </c>
      <c r="DR212" s="931">
        <f>1-WWWW[[#This Row],[Hygiene Coverage%]]</f>
        <v>1</v>
      </c>
      <c r="DS212" s="929">
        <f>WWWW[[#This Row],['# people reached by regular dedicated hygiene promotion_5]]/WWWW[[#This Row],[Total PoP ]]</f>
        <v>0</v>
      </c>
      <c r="DT21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2" s="930">
        <f>WWWW[[#This Row],['#_Constructed/Existing hand washing stations]]-WWWW[[#This Row],['#_Non-Functional_hand_washing_stations]]</f>
        <v>0</v>
      </c>
      <c r="DW212" s="927">
        <f>IF(WWWW[[#This Row],['# Functional hand washing stations during reporting period]]*20&gt;WWWW[[#This Row],[Total HH]],WWWW[[#This Row],[Total HH]],WWWW[[#This Row],['# Functional hand washing stations during reporting period]]*20)</f>
        <v>0</v>
      </c>
      <c r="DX212" s="927">
        <f>IF(WWWW[[#This Row],[Is sufficient soap available for TLS? (Yes/No)]]="yes",WWWW[[#This Row],['#_Constructed/Existing hand washing stations at TLS/CFS/THF]],0)</f>
        <v>0</v>
      </c>
      <c r="DY212" s="429">
        <f>IF(WWWW[[#This Row],['# Functional hand washing stations during reporting period]]*100&gt;WWWW[[#This Row],[Total PoP ]],WWWW[[#This Row],[Total PoP ]],WWWW[[#This Row],['# Functional hand washing stations during reporting period]]*100)</f>
        <v>0</v>
      </c>
      <c r="DZ212" s="429" t="str">
        <f>IF(OR(WWWW[[#This Row],['#_students at TLS_CFS]]="",WWWW[[#This Row],['#_students at TLS_CFS]]=0),"No","Yes")</f>
        <v>No</v>
      </c>
      <c r="EA21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2" s="923">
        <f>VLOOKUP(WWWW[[#This Row],[Site Name]],SiteDB6[[Site Name]:[CCCM Management]],6,FALSE)</f>
        <v>0</v>
      </c>
      <c r="EF212" s="923">
        <f>VLOOKUP(WWWW[[#This Row],[Site Name]],SiteDB6[[Site Name]:[CCCM Focal Agency]],7,FALSE)</f>
        <v>0</v>
      </c>
      <c r="EG212" s="923" t="str">
        <f>VLOOKUP(WWWW[[#This Row],[Site Name]],SiteDB6[[Site Name]:[Location Type 1]],9,FALSE)</f>
        <v>Camp</v>
      </c>
      <c r="EH212" s="923" t="str">
        <f>VLOOKUP(WWWW[[#This Row],[Site Name]],SiteDB6[[Site Name]:[Type of Accommodation]],10,FALSE)</f>
        <v>Camp like setting</v>
      </c>
      <c r="EI212" s="923" t="str">
        <f>VLOOKUP(WWWW[[#This Row],[Site Name]],SiteDB6[[Site Name]:[Ethnic or GCA/NGCA]],11,FALSE)</f>
        <v>GCA</v>
      </c>
      <c r="EJ212" s="923">
        <f>VLOOKUP(WWWW[[#This Row],[Site Name]],SiteDB6[[Site Name]:[Lat]],12,FALSE)</f>
        <v>0</v>
      </c>
      <c r="EK212" s="923">
        <f>VLOOKUP(WWWW[[#This Row],[Site Name]],SiteDB6[[Site Name]:[Long]],13,FALSE)</f>
        <v>0</v>
      </c>
      <c r="EL212" s="923">
        <f>VLOOKUP(WWWW[[#This Row],[Site Name]],SiteDB6[[Site Name]:[Pcode]],3,FALSE)</f>
        <v>0</v>
      </c>
      <c r="EM212" s="928" t="str">
        <f t="shared" si="3"/>
        <v>Covered</v>
      </c>
      <c r="EN212" s="928"/>
      <c r="EO212" s="923">
        <f>VLOOKUP(WWWW[[#This Row],[Site Name]],SiteDB6[[Site Name]:[Pop
(Kachin/Shan-CCCM as of July 2021)]],16,FALSE)</f>
        <v>0</v>
      </c>
      <c r="EP212" s="923">
        <f>VLOOKUP(WWWW[[#This Row],[Site Name]],SiteDB6[[Site Name]:[Pop
(Kachin/Shan-CCCM as of July 2021)]],17,FALSE)</f>
        <v>0</v>
      </c>
    </row>
    <row r="213" spans="1:146">
      <c r="A213" s="921" t="s">
        <v>2786</v>
      </c>
      <c r="B213" s="921" t="s">
        <v>3101</v>
      </c>
      <c r="C213" s="922" t="s">
        <v>141</v>
      </c>
      <c r="D213" s="370" t="s">
        <v>3102</v>
      </c>
      <c r="E213" s="922" t="s">
        <v>37</v>
      </c>
      <c r="F213" s="922" t="s">
        <v>152</v>
      </c>
      <c r="G213" s="594" t="str">
        <f>VLOOKUP(WWWW[[#This Row],[Site Name]],SiteDB6[[Site Name]:[Location Type]],8,FALSE)</f>
        <v>Camp</v>
      </c>
      <c r="H213" s="922" t="s">
        <v>1613</v>
      </c>
      <c r="I213" s="924">
        <v>110</v>
      </c>
      <c r="J213" s="924">
        <v>611</v>
      </c>
      <c r="K213" s="830" t="s">
        <v>3103</v>
      </c>
      <c r="L213" s="56" t="s">
        <v>3104</v>
      </c>
      <c r="M213" s="924"/>
      <c r="N213" s="924"/>
      <c r="O213" s="924"/>
      <c r="P213" s="924"/>
      <c r="Q213" s="927" t="s">
        <v>41</v>
      </c>
      <c r="R213" s="924">
        <v>1</v>
      </c>
      <c r="S213" s="924">
        <v>2</v>
      </c>
      <c r="T213" s="449">
        <v>5</v>
      </c>
      <c r="U213" s="924"/>
      <c r="V213" s="924"/>
      <c r="W213" s="924">
        <v>3</v>
      </c>
      <c r="X213" s="924"/>
      <c r="Y213" s="924"/>
      <c r="Z213" s="924"/>
      <c r="AA213" s="924"/>
      <c r="AB213" s="924"/>
      <c r="AC213" s="924"/>
      <c r="AD213" s="924"/>
      <c r="AE213" s="924"/>
      <c r="AF213" s="924"/>
      <c r="AG213" s="924"/>
      <c r="AH213" s="924">
        <v>2</v>
      </c>
      <c r="AI213" s="924"/>
      <c r="AJ213" s="924"/>
      <c r="AK213" s="924"/>
      <c r="AL213" s="924"/>
      <c r="AM213" s="924"/>
      <c r="AN213" s="924"/>
      <c r="AO213" s="449"/>
      <c r="AP213" s="928"/>
      <c r="AQ213" s="924">
        <v>20</v>
      </c>
      <c r="AR213" s="924"/>
      <c r="AS213" s="929"/>
      <c r="AT213" s="924">
        <v>2</v>
      </c>
      <c r="AU213" s="924"/>
      <c r="AV213" s="924"/>
      <c r="AW213" s="924"/>
      <c r="AX213" s="924">
        <v>12</v>
      </c>
      <c r="AY213" s="923" t="s">
        <v>41</v>
      </c>
      <c r="AZ213" s="928" t="s">
        <v>137</v>
      </c>
      <c r="BA213" s="924"/>
      <c r="BB213" s="924"/>
      <c r="BC213" s="924"/>
      <c r="BD213" s="449"/>
      <c r="BE213" s="449"/>
      <c r="BF213" s="923"/>
      <c r="BG213" s="924">
        <v>4</v>
      </c>
      <c r="BH213" s="924"/>
      <c r="BI213" s="924"/>
      <c r="BJ213" s="924">
        <v>5</v>
      </c>
      <c r="BK213" s="924"/>
      <c r="BL213" s="924">
        <v>2</v>
      </c>
      <c r="BM213" s="924">
        <v>1</v>
      </c>
      <c r="BN213" s="449">
        <v>37</v>
      </c>
      <c r="BO213" s="449">
        <v>39</v>
      </c>
      <c r="BP213" s="923"/>
      <c r="BQ213" s="930"/>
      <c r="BR213" s="929"/>
      <c r="BS213" s="426" t="s">
        <v>3077</v>
      </c>
      <c r="BT213" s="424"/>
      <c r="BU213" s="424"/>
      <c r="BV213" s="426"/>
      <c r="BW213" s="424"/>
      <c r="BX213" s="449"/>
      <c r="BY213" s="449"/>
      <c r="BZ213" s="449"/>
      <c r="CA213" s="449"/>
      <c r="CB213" s="449"/>
      <c r="CC213" s="807"/>
      <c r="CD213" s="449"/>
      <c r="CE213" s="931" t="str">
        <f>IFERROR(WWWW[[#This Row],['#_Water sources passed]]/WWWW[[#This Row],['#_Water sources tested for fecal coliform ]],"no test")</f>
        <v>no test</v>
      </c>
      <c r="CF213" s="929" t="str">
        <f>IFERROR(WWWW[[#This Row],['#_Household passed]]/WWWW[[#This Row],['#_Household water samples tested for fecal coliform]],"no test")</f>
        <v>no test</v>
      </c>
      <c r="CG213" s="930" t="str">
        <f>IF(AND(WWWW[[#This Row],[% of water sources passed]]="no test",WWWW[[#This Row],[% Household passed]]="no test"),"No Test","Tested")</f>
        <v>No Test</v>
      </c>
      <c r="CH213" s="930">
        <f>WWWW[[#This Row],['#_Constructed/existing protected hand dug well]]-WWWW[[#This Row],['#_Non-functional protected hand dug well]]</f>
        <v>5</v>
      </c>
      <c r="CI213" s="930">
        <f>(WWWW[[#This Row],['#_Constructed/Existing tube wells/boreholes/handpumps_WASH_agency]]+WWWW[[#This Row],['#_Non-Cluster partner water tube-wells/boreholes/handpumps]])-WWWW[[#This Row],['#_Non-functional tube wells/boreholes/handpumps]]</f>
        <v>3</v>
      </c>
      <c r="CJ213" s="930">
        <f>WWWW[[#This Row],['#_Constructed/Existingwater storage tank with gravity fed reticulation system]]-WWWW[[#This Row],['#_Non-functional storage tank gravity fed reticulation system]]</f>
        <v>0</v>
      </c>
      <c r="CK213" s="930">
        <f>(WWWW[[#This Row],['#_Water_Liters_supplied_by_Water boating or water trucking]]/90)/15</f>
        <v>0</v>
      </c>
      <c r="CL213" s="930">
        <f>WWWW[[#This Row],['#_Water_Liters_from_Constructed/Existing water distribution system from river or natural spring]]/90/15</f>
        <v>0</v>
      </c>
      <c r="CM213" s="425">
        <f>IF(WWWW[[#This Row],['#_of water points in TLS/CFS]]*500&gt;WWWW[[#This Row],[Total PoP ]],WWWW[[#This Row],[Total PoP ]],WWWW[[#This Row],['#_of water points in TLS/CFS]]*500)</f>
        <v>0</v>
      </c>
      <c r="CN213" s="425">
        <f>IF(WWWW[[#This Row],['#_of water points in THF]]*500&gt;WWWW[[#This Row],[Total PoP ]],WWWW[[#This Row],[Total PoP ]],WWWW[[#This Row],['#_of water points in THF]]*500)</f>
        <v>0</v>
      </c>
      <c r="CO21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3" s="929">
        <f>IF(WWWW[[#This Row],[Location Type 1]]="Village",WWWW[[#This Row],[Access to safe drinking water for Village]],WWWW[[#This Row],[Access to safe drinking water for Camp]])</f>
        <v>1</v>
      </c>
      <c r="CR213" s="927">
        <f>WWWW[[#This Row],[%Equitable and continuous access to sufficient quantity of safe drinking water]]*WWWW[[#This Row],[Total PoP ]]</f>
        <v>611</v>
      </c>
      <c r="CS213" s="929">
        <f>IF((WWWW[[#This Row],['#_Constructed/Existing protected/fenced ponds]]*250)/WWWW[[#This Row],[Total PoP ]]&gt;1,1,(WWWW[[#This Row],['#_Constructed/Existing protected/fenced ponds]]*250)/WWWW[[#This Row],[Total PoP ]])</f>
        <v>0</v>
      </c>
      <c r="CT213" s="927">
        <f>WWWW[[#This Row],[% Access to unimproved water points]]*WWWW[[#This Row],[Total PoP ]]</f>
        <v>0</v>
      </c>
      <c r="CU21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611</v>
      </c>
      <c r="CW213" s="927">
        <f>WWWW[[#This Row],[HRP1]]/500</f>
        <v>1.222</v>
      </c>
      <c r="CX213" s="932">
        <f>1-WWWW[[#This Row],[% Equitable and continuous access to sufficient quantity of domestic water]]</f>
        <v>0</v>
      </c>
      <c r="CY213" s="927">
        <f>WWWW[[#This Row],[%equitable and continuous access to sufficient quantity of safe drinking and domestic water''s GAP]]*WWWW[[#This Row],[Total PoP ]]</f>
        <v>0</v>
      </c>
      <c r="CZ213" s="930">
        <f>IF(WWWW[[#This Row],[Total required water points]]-WWWW[[#This Row],['#Water points coverage]]&lt;0,0,WWWW[[#This Row],[Total required water points]]-WWWW[[#This Row],['#Water points coverage]])</f>
        <v>0</v>
      </c>
      <c r="DA213" s="930">
        <f>ROUND(IF(WWWW[[#This Row],[Total PoP ]]&lt;500,1,WWWW[[#This Row],[Total PoP ]]/500),0)</f>
        <v>1</v>
      </c>
      <c r="DB213" s="930">
        <f>(WWWW[[#This Row],['#_Constructed latrines_by_WASHAgencies]]+WWWW[[#This Row],['#_Non Cluster partner latrines]])-WWWW[[#This Row],['#_Non-functional latrines]]</f>
        <v>18</v>
      </c>
      <c r="DC213" s="634">
        <f>WWWW[[#This Row],[HRP2]]/WWWW[[#This Row],[Total PoP ]]</f>
        <v>0.58919803600654663</v>
      </c>
      <c r="DD21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21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3" s="425">
        <f>IF(WWWW[[#This Row],['# of functional latrines in THF supported by WASH partners during the reporting period2]]="",0,WWWW[[#This Row],['# of functional latrines in THF supported by WASH partners during the reporting period2]]*50)</f>
        <v>0</v>
      </c>
      <c r="DH213" s="930">
        <f>ROUND(IF(WWWW[[#This Row],[Location Type 1]]="camp",WWWW[[#This Row],[Total PoP ]]/20,IF(WWWW[[#This Row],[Location Type 1]]="Temporary Location",WWWW[[#This Row],[Total PoP ]]/50,(WWWW[[#This Row],[Total PoP ]]/6))),0)</f>
        <v>31</v>
      </c>
      <c r="DI213" s="930">
        <f>IF(WWWW[[#This Row],[Total required Latrines]]-(WWWW[[#This Row],['#_Constructed latrines_by_WASHAgencies]]+WWWW[[#This Row],['#_Non Cluster partner latrines]])&lt;0,0,WWWW[[#This Row],[Total required Latrines]]-(WWWW[[#This Row],['#_Constructed latrines_by_WASHAgencies]]+WWWW[[#This Row],['#_Non Cluster partner latrines]]))</f>
        <v>11</v>
      </c>
      <c r="DJ213" s="932">
        <f>1-WWWW[[#This Row],[% people access to functioning Latrine]]</f>
        <v>0.41080196399345337</v>
      </c>
      <c r="DK213" s="931">
        <f>IF(OR(WWWW[[#This Row],['#_Non-functional latrines]]="",WWWW[[#This Row],['#_Non-functional latrines]]=0),0,WWWW[[#This Row],['#_Non-functional latrines]]/(WWWW[[#This Row],['#_Constructed latrines_by_WASHAgencies]]+WWWW[[#This Row],['#_Non Cluster partner latrines]]))</f>
        <v>0.1</v>
      </c>
      <c r="DL213" s="927">
        <f>IF(500*(WWWW[[#This Row],['#_male hygiene promoters]]+WWWW[[#This Row],['#_female hygiene promoters]])&gt;WWWW[[#This Row],[Total PoP ]],WWWW[[#This Row],[Total PoP ]],500*(WWWW[[#This Row],['#_male hygiene promoters]]+WWWW[[#This Row],['#_female hygiene promoters]]))</f>
        <v>611</v>
      </c>
      <c r="DM21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185</v>
      </c>
      <c r="DN21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39</v>
      </c>
      <c r="DO213" s="930">
        <f>IF(WWWW[[#This Row],['# People with access to soap]]&gt;WWWW[[#This Row],['# People with access to Sanity Pads]],WWWW[[#This Row],['# People with access to soap]],WWWW[[#This Row],['# People with access to Sanity Pads]])</f>
        <v>185</v>
      </c>
      <c r="DP213" s="930">
        <f>IF(WWWW[[#This Row],['# people reached by regular dedicated hygiene promotion_5]]&gt;WWWW[[#This Row],['# People received regular supply of hygiene items_6]],WWWW[[#This Row],['# people reached by regular dedicated hygiene promotion_5]],WWWW[[#This Row],['# People received regular supply of hygiene items_6]])</f>
        <v>611</v>
      </c>
      <c r="DQ213" s="932">
        <f>IF(WWWW[[#This Row],[HRP3]]/WWWW[[#This Row],[Total PoP ]]&gt;1,1,WWWW[[#This Row],[HRP3]]/WWWW[[#This Row],[Total PoP ]])</f>
        <v>1</v>
      </c>
      <c r="DR213" s="931">
        <f>1-WWWW[[#This Row],[Hygiene Coverage%]]</f>
        <v>0</v>
      </c>
      <c r="DS213" s="929">
        <f>WWWW[[#This Row],['# people reached by regular dedicated hygiene promotion_5]]/WWWW[[#This Row],[Total PoP ]]</f>
        <v>1</v>
      </c>
      <c r="DT21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0.35454545454545455</v>
      </c>
      <c r="DV213" s="930">
        <f>WWWW[[#This Row],['#_Constructed/Existing hand washing stations]]-WWWW[[#This Row],['#_Non-Functional_hand_washing_stations]]</f>
        <v>4</v>
      </c>
      <c r="DW213" s="927">
        <f>IF(WWWW[[#This Row],['# Functional hand washing stations during reporting period]]*20&gt;WWWW[[#This Row],[Total HH]],WWWW[[#This Row],[Total HH]],WWWW[[#This Row],['# Functional hand washing stations during reporting period]]*20)</f>
        <v>80</v>
      </c>
      <c r="DX213" s="927">
        <f>IF(WWWW[[#This Row],[Is sufficient soap available for TLS? (Yes/No)]]="yes",WWWW[[#This Row],['#_Constructed/Existing hand washing stations at TLS/CFS/THF]],0)</f>
        <v>0</v>
      </c>
      <c r="DY213" s="429">
        <f>IF(WWWW[[#This Row],['# Functional hand washing stations during reporting period]]*100&gt;WWWW[[#This Row],[Total PoP ]],WWWW[[#This Row],[Total PoP ]],WWWW[[#This Row],['# Functional hand washing stations during reporting period]]*100)</f>
        <v>400</v>
      </c>
      <c r="DZ213" s="429" t="str">
        <f>IF(OR(WWWW[[#This Row],['#_students at TLS_CFS]]="",WWWW[[#This Row],['#_students at TLS_CFS]]=0),"No","Yes")</f>
        <v>No</v>
      </c>
      <c r="EA21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3" s="923">
        <f>VLOOKUP(WWWW[[#This Row],[Site Name]],SiteDB6[[Site Name]:[CCCM Management]],6,FALSE)</f>
        <v>0</v>
      </c>
      <c r="EF213" s="923" t="str">
        <f>VLOOKUP(WWWW[[#This Row],[Site Name]],SiteDB6[[Site Name]:[CCCM Focal Agency]],7,FALSE)</f>
        <v>KBC-MYT</v>
      </c>
      <c r="EG213" s="923" t="str">
        <f>VLOOKUP(WWWW[[#This Row],[Site Name]],SiteDB6[[Site Name]:[Location Type 1]],9,FALSE)</f>
        <v>Camp</v>
      </c>
      <c r="EH213" s="923" t="str">
        <f>VLOOKUP(WWWW[[#This Row],[Site Name]],SiteDB6[[Site Name]:[Type of Accommodation]],10,FALSE)</f>
        <v>Camp</v>
      </c>
      <c r="EI213" s="923" t="str">
        <f>VLOOKUP(WWWW[[#This Row],[Site Name]],SiteDB6[[Site Name]:[Ethnic or GCA/NGCA]],11,FALSE)</f>
        <v>GCA</v>
      </c>
      <c r="EJ213" s="923">
        <f>VLOOKUP(WWWW[[#This Row],[Site Name]],SiteDB6[[Site Name]:[Lat]],12,FALSE)</f>
        <v>25.2226</v>
      </c>
      <c r="EK213" s="923">
        <f>VLOOKUP(WWWW[[#This Row],[Site Name]],SiteDB6[[Site Name]:[Long]],13,FALSE)</f>
        <v>97.012299999999996</v>
      </c>
      <c r="EL213" s="923" t="str">
        <f>VLOOKUP(WWWW[[#This Row],[Site Name]],SiteDB6[[Site Name]:[Pcode]],3,FALSE)</f>
        <v>MMR001CMP261</v>
      </c>
      <c r="EM213" s="928" t="str">
        <f t="shared" si="3"/>
        <v>Covered</v>
      </c>
      <c r="EN213" s="928"/>
      <c r="EO213" s="923">
        <f>VLOOKUP(WWWW[[#This Row],[Site Name]],SiteDB6[[Site Name]:[Pop
(Kachin/Shan-CCCM as of July 2021)]],16,FALSE)</f>
        <v>111</v>
      </c>
      <c r="EP213" s="923">
        <f>VLOOKUP(WWWW[[#This Row],[Site Name]],SiteDB6[[Site Name]:[Pop
(Kachin/Shan-CCCM as of July 2021)]],17,FALSE)</f>
        <v>599</v>
      </c>
    </row>
    <row r="214" spans="1:146">
      <c r="A214" s="921" t="s">
        <v>2786</v>
      </c>
      <c r="B214" s="921" t="s">
        <v>919</v>
      </c>
      <c r="C214" s="922" t="s">
        <v>141</v>
      </c>
      <c r="D214" s="922" t="s">
        <v>3100</v>
      </c>
      <c r="E214" s="922" t="s">
        <v>37</v>
      </c>
      <c r="F214" s="922" t="s">
        <v>152</v>
      </c>
      <c r="G214" s="594" t="str">
        <f>VLOOKUP(WWWW[[#This Row],[Site Name]],SiteDB6[[Site Name]:[Location Type]],8,FALSE)</f>
        <v>Camp</v>
      </c>
      <c r="H214" s="922" t="s">
        <v>155</v>
      </c>
      <c r="I214" s="924">
        <v>10</v>
      </c>
      <c r="J214" s="924">
        <v>48</v>
      </c>
      <c r="K214" s="925">
        <v>44682</v>
      </c>
      <c r="L214" s="926">
        <v>44865</v>
      </c>
      <c r="M214" s="924"/>
      <c r="N214" s="924"/>
      <c r="O214" s="924"/>
      <c r="P214" s="924"/>
      <c r="Q214" s="927" t="s">
        <v>41</v>
      </c>
      <c r="R214" s="924">
        <v>2</v>
      </c>
      <c r="S214" s="924">
        <v>1</v>
      </c>
      <c r="T214" s="449">
        <v>2</v>
      </c>
      <c r="U214" s="924"/>
      <c r="V214" s="924">
        <v>1</v>
      </c>
      <c r="W214" s="924">
        <v>2</v>
      </c>
      <c r="X214" s="924"/>
      <c r="Y214" s="924"/>
      <c r="Z214" s="924"/>
      <c r="AA214" s="924"/>
      <c r="AB214" s="924"/>
      <c r="AC214" s="924"/>
      <c r="AD214" s="924"/>
      <c r="AE214" s="924"/>
      <c r="AF214" s="924"/>
      <c r="AG214" s="924"/>
      <c r="AH214" s="924">
        <v>3</v>
      </c>
      <c r="AI214" s="924"/>
      <c r="AJ214" s="924"/>
      <c r="AK214" s="924"/>
      <c r="AL214" s="924"/>
      <c r="AM214" s="924"/>
      <c r="AN214" s="924"/>
      <c r="AO214" s="449"/>
      <c r="AP214" s="928"/>
      <c r="AQ214" s="924">
        <v>4</v>
      </c>
      <c r="AR214" s="924"/>
      <c r="AS214" s="929"/>
      <c r="AT214" s="924">
        <v>1</v>
      </c>
      <c r="AU214" s="924">
        <v>2</v>
      </c>
      <c r="AV214" s="924"/>
      <c r="AW214" s="924"/>
      <c r="AX214" s="924">
        <v>3</v>
      </c>
      <c r="AY214" s="923" t="s">
        <v>41</v>
      </c>
      <c r="AZ214" s="928" t="s">
        <v>137</v>
      </c>
      <c r="BA214" s="924"/>
      <c r="BB214" s="924"/>
      <c r="BC214" s="924"/>
      <c r="BD214" s="449"/>
      <c r="BE214" s="449"/>
      <c r="BF214" s="923"/>
      <c r="BG214" s="924">
        <v>3</v>
      </c>
      <c r="BH214" s="924">
        <v>1</v>
      </c>
      <c r="BI214" s="924"/>
      <c r="BJ214" s="924">
        <v>2</v>
      </c>
      <c r="BK214" s="924"/>
      <c r="BL214" s="924"/>
      <c r="BM214" s="924"/>
      <c r="BN214" s="924"/>
      <c r="BO214" s="924"/>
      <c r="BP214" s="923"/>
      <c r="BQ214" s="930"/>
      <c r="BR214" s="929"/>
      <c r="BS214" s="923"/>
      <c r="BT214" s="424"/>
      <c r="BU214" s="424"/>
      <c r="BV214" s="426"/>
      <c r="BW214" s="424"/>
      <c r="BX214" s="449"/>
      <c r="BY214" s="449"/>
      <c r="BZ214" s="449"/>
      <c r="CA214" s="449"/>
      <c r="CB214" s="449"/>
      <c r="CC214" s="807"/>
      <c r="CD214" s="449"/>
      <c r="CE214" s="931" t="str">
        <f>IFERROR(WWWW[[#This Row],['#_Water sources passed]]/WWWW[[#This Row],['#_Water sources tested for fecal coliform ]],"no test")</f>
        <v>no test</v>
      </c>
      <c r="CF214" s="929" t="str">
        <f>IFERROR(WWWW[[#This Row],['#_Household passed]]/WWWW[[#This Row],['#_Household water samples tested for fecal coliform]],"no test")</f>
        <v>no test</v>
      </c>
      <c r="CG214" s="930" t="str">
        <f>IF(AND(WWWW[[#This Row],[% of water sources passed]]="no test",WWWW[[#This Row],[% Household passed]]="no test"),"No Test","Tested")</f>
        <v>No Test</v>
      </c>
      <c r="CH214" s="930">
        <f>WWWW[[#This Row],['#_Constructed/existing protected hand dug well]]-WWWW[[#This Row],['#_Non-functional protected hand dug well]]</f>
        <v>2</v>
      </c>
      <c r="CI214" s="930">
        <f>(WWWW[[#This Row],['#_Constructed/Existing tube wells/boreholes/handpumps_WASH_agency]]+WWWW[[#This Row],['#_Non-Cluster partner water tube-wells/boreholes/handpumps]])-WWWW[[#This Row],['#_Non-functional tube wells/boreholes/handpumps]]</f>
        <v>2</v>
      </c>
      <c r="CJ214" s="930">
        <f>WWWW[[#This Row],['#_Constructed/Existingwater storage tank with gravity fed reticulation system]]-WWWW[[#This Row],['#_Non-functional storage tank gravity fed reticulation system]]</f>
        <v>0</v>
      </c>
      <c r="CK214" s="930">
        <f>(WWWW[[#This Row],['#_Water_Liters_supplied_by_Water boating or water trucking]]/90)/15</f>
        <v>0</v>
      </c>
      <c r="CL214" s="930">
        <f>WWWW[[#This Row],['#_Water_Liters_from_Constructed/Existing water distribution system from river or natural spring]]/90/15</f>
        <v>0</v>
      </c>
      <c r="CM214" s="425">
        <f>IF(WWWW[[#This Row],['#_of water points in TLS/CFS]]*500&gt;WWWW[[#This Row],[Total PoP ]],WWWW[[#This Row],[Total PoP ]],WWWW[[#This Row],['#_of water points in TLS/CFS]]*500)</f>
        <v>0</v>
      </c>
      <c r="CN214" s="425">
        <f>IF(WWWW[[#This Row],['#_of water points in THF]]*500&gt;WWWW[[#This Row],[Total PoP ]],WWWW[[#This Row],[Total PoP ]],WWWW[[#This Row],['#_of water points in THF]]*500)</f>
        <v>0</v>
      </c>
      <c r="CO21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4" s="929">
        <f>IF(WWWW[[#This Row],[Location Type 1]]="Village",WWWW[[#This Row],[Access to safe drinking water for Village]],WWWW[[#This Row],[Access to safe drinking water for Camp]])</f>
        <v>1</v>
      </c>
      <c r="CR214" s="927">
        <f>WWWW[[#This Row],[%Equitable and continuous access to sufficient quantity of safe drinking water]]*WWWW[[#This Row],[Total PoP ]]</f>
        <v>48</v>
      </c>
      <c r="CS214" s="929">
        <f>IF((WWWW[[#This Row],['#_Constructed/Existing protected/fenced ponds]]*250)/WWWW[[#This Row],[Total PoP ]]&gt;1,1,(WWWW[[#This Row],['#_Constructed/Existing protected/fenced ponds]]*250)/WWWW[[#This Row],[Total PoP ]])</f>
        <v>0</v>
      </c>
      <c r="CT214" s="927">
        <f>WWWW[[#This Row],[% Access to unimproved water points]]*WWWW[[#This Row],[Total PoP ]]</f>
        <v>0</v>
      </c>
      <c r="CU21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v>
      </c>
      <c r="CW214" s="927">
        <f>WWWW[[#This Row],[HRP1]]/500</f>
        <v>9.6000000000000002E-2</v>
      </c>
      <c r="CX214" s="932">
        <f>1-WWWW[[#This Row],[% Equitable and continuous access to sufficient quantity of domestic water]]</f>
        <v>0</v>
      </c>
      <c r="CY214" s="927">
        <f>WWWW[[#This Row],[%equitable and continuous access to sufficient quantity of safe drinking and domestic water''s GAP]]*WWWW[[#This Row],[Total PoP ]]</f>
        <v>0</v>
      </c>
      <c r="CZ214" s="930">
        <f>IF(WWWW[[#This Row],[Total required water points]]-WWWW[[#This Row],['#Water points coverage]]&lt;0,0,WWWW[[#This Row],[Total required water points]]-WWWW[[#This Row],['#Water points coverage]])</f>
        <v>0.90400000000000003</v>
      </c>
      <c r="DA214" s="930">
        <f>ROUND(IF(WWWW[[#This Row],[Total PoP ]]&lt;500,1,WWWW[[#This Row],[Total PoP ]]/500),0)</f>
        <v>1</v>
      </c>
      <c r="DB214" s="930">
        <f>(WWWW[[#This Row],['#_Constructed latrines_by_WASHAgencies]]+WWWW[[#This Row],['#_Non Cluster partner latrines]])-WWWW[[#This Row],['#_Non-functional latrines]]</f>
        <v>3</v>
      </c>
      <c r="DC214" s="634">
        <f>WWWW[[#This Row],[HRP2]]/WWWW[[#This Row],[Total PoP ]]</f>
        <v>1</v>
      </c>
      <c r="DD21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v>
      </c>
      <c r="DE21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4" s="425">
        <f>IF(WWWW[[#This Row],['# of functional latrines in THF supported by WASH partners during the reporting period2]]="",0,WWWW[[#This Row],['# of functional latrines in THF supported by WASH partners during the reporting period2]]*50)</f>
        <v>0</v>
      </c>
      <c r="DH214" s="930">
        <f>ROUND(IF(WWWW[[#This Row],[Location Type 1]]="camp",WWWW[[#This Row],[Total PoP ]]/20,IF(WWWW[[#This Row],[Location Type 1]]="Temporary Location",WWWW[[#This Row],[Total PoP ]]/50,(WWWW[[#This Row],[Total PoP ]]/6))),0)</f>
        <v>2</v>
      </c>
      <c r="DI214" s="930">
        <f>IF(WWWW[[#This Row],[Total required Latrines]]-(WWWW[[#This Row],['#_Constructed latrines_by_WASHAgencies]]+WWWW[[#This Row],['#_Non Cluster partner latrines]])&lt;0,0,WWWW[[#This Row],[Total required Latrines]]-(WWWW[[#This Row],['#_Constructed latrines_by_WASHAgencies]]+WWWW[[#This Row],['#_Non Cluster partner latrines]]))</f>
        <v>0</v>
      </c>
      <c r="DJ214" s="932">
        <f>1-WWWW[[#This Row],[% people access to functioning Latrine]]</f>
        <v>0</v>
      </c>
      <c r="DK214" s="931">
        <f>IF(OR(WWWW[[#This Row],['#_Non-functional latrines]]="",WWWW[[#This Row],['#_Non-functional latrines]]=0),0,WWWW[[#This Row],['#_Non-functional latrines]]/(WWWW[[#This Row],['#_Constructed latrines_by_WASHAgencies]]+WWWW[[#This Row],['#_Non Cluster partner latrines]]))</f>
        <v>0.25</v>
      </c>
      <c r="DL214" s="927">
        <f>IF(500*(WWWW[[#This Row],['#_male hygiene promoters]]+WWWW[[#This Row],['#_female hygiene promoters]])&gt;WWWW[[#This Row],[Total PoP ]],WWWW[[#This Row],[Total PoP ]],500*(WWWW[[#This Row],['#_male hygiene promoters]]+WWWW[[#This Row],['#_female hygiene promoters]]))</f>
        <v>0</v>
      </c>
      <c r="DM21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4" s="930">
        <f>IF(WWWW[[#This Row],['# People with access to soap]]&gt;WWWW[[#This Row],['# People with access to Sanity Pads]],WWWW[[#This Row],['# People with access to soap]],WWWW[[#This Row],['# People with access to Sanity Pads]])</f>
        <v>0</v>
      </c>
      <c r="DP21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4" s="932">
        <f>IF(WWWW[[#This Row],[HRP3]]/WWWW[[#This Row],[Total PoP ]]&gt;1,1,WWWW[[#This Row],[HRP3]]/WWWW[[#This Row],[Total PoP ]])</f>
        <v>0</v>
      </c>
      <c r="DR214" s="931">
        <f>1-WWWW[[#This Row],[Hygiene Coverage%]]</f>
        <v>1</v>
      </c>
      <c r="DS214" s="929">
        <f>WWWW[[#This Row],['# people reached by regular dedicated hygiene promotion_5]]/WWWW[[#This Row],[Total PoP ]]</f>
        <v>0</v>
      </c>
      <c r="DT21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4" s="930">
        <f>WWWW[[#This Row],['#_Constructed/Existing hand washing stations]]-WWWW[[#This Row],['#_Non-Functional_hand_washing_stations]]</f>
        <v>2</v>
      </c>
      <c r="DW214" s="927">
        <f>IF(WWWW[[#This Row],['# Functional hand washing stations during reporting period]]*20&gt;WWWW[[#This Row],[Total HH]],WWWW[[#This Row],[Total HH]],WWWW[[#This Row],['# Functional hand washing stations during reporting period]]*20)</f>
        <v>10</v>
      </c>
      <c r="DX214" s="927">
        <f>IF(WWWW[[#This Row],[Is sufficient soap available for TLS? (Yes/No)]]="yes",WWWW[[#This Row],['#_Constructed/Existing hand washing stations at TLS/CFS/THF]],0)</f>
        <v>0</v>
      </c>
      <c r="DY214" s="429">
        <f>IF(WWWW[[#This Row],['# Functional hand washing stations during reporting period]]*100&gt;WWWW[[#This Row],[Total PoP ]],WWWW[[#This Row],[Total PoP ]],WWWW[[#This Row],['# Functional hand washing stations during reporting period]]*100)</f>
        <v>48</v>
      </c>
      <c r="DZ214" s="429" t="str">
        <f>IF(OR(WWWW[[#This Row],['#_students at TLS_CFS]]="",WWWW[[#This Row],['#_students at TLS_CFS]]=0),"No","Yes")</f>
        <v>No</v>
      </c>
      <c r="EA21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4" s="923" t="str">
        <f>VLOOKUP(WWWW[[#This Row],[Site Name]],SiteDB6[[Site Name]:[CCCM Management]],6,FALSE)</f>
        <v>Yes</v>
      </c>
      <c r="EF214" s="923" t="str">
        <f>VLOOKUP(WWWW[[#This Row],[Site Name]],SiteDB6[[Site Name]:[CCCM Focal Agency]],7,FALSE)</f>
        <v>KBC-MYT</v>
      </c>
      <c r="EG214" s="923" t="str">
        <f>VLOOKUP(WWWW[[#This Row],[Site Name]],SiteDB6[[Site Name]:[Location Type 1]],9,FALSE)</f>
        <v>Camp</v>
      </c>
      <c r="EH214" s="923" t="str">
        <f>VLOOKUP(WWWW[[#This Row],[Site Name]],SiteDB6[[Site Name]:[Type of Accommodation]],10,FALSE)</f>
        <v>Camp</v>
      </c>
      <c r="EI214" s="923" t="str">
        <f>VLOOKUP(WWWW[[#This Row],[Site Name]],SiteDB6[[Site Name]:[Ethnic or GCA/NGCA]],11,FALSE)</f>
        <v>GCA</v>
      </c>
      <c r="EJ214" s="923">
        <f>VLOOKUP(WWWW[[#This Row],[Site Name]],SiteDB6[[Site Name]:[Lat]],12,FALSE)</f>
        <v>25.30442</v>
      </c>
      <c r="EK214" s="923">
        <f>VLOOKUP(WWWW[[#This Row],[Site Name]],SiteDB6[[Site Name]:[Long]],13,FALSE)</f>
        <v>96.948740000000001</v>
      </c>
      <c r="EL214" s="923" t="str">
        <f>VLOOKUP(WWWW[[#This Row],[Site Name]],SiteDB6[[Site Name]:[Pcode]],3,FALSE)</f>
        <v>MMR001CMP079</v>
      </c>
      <c r="EM214" s="928" t="str">
        <f t="shared" si="3"/>
        <v>Covered</v>
      </c>
      <c r="EN214" s="928"/>
      <c r="EO214" s="923">
        <f>VLOOKUP(WWWW[[#This Row],[Site Name]],SiteDB6[[Site Name]:[Pop
(Kachin/Shan-CCCM as of July 2021)]],16,FALSE)</f>
        <v>10</v>
      </c>
      <c r="EP214" s="923">
        <f>VLOOKUP(WWWW[[#This Row],[Site Name]],SiteDB6[[Site Name]:[Pop
(Kachin/Shan-CCCM as of July 2021)]],17,FALSE)</f>
        <v>48</v>
      </c>
    </row>
    <row r="215" spans="1:146">
      <c r="A215" s="921" t="s">
        <v>2786</v>
      </c>
      <c r="B215" s="921" t="s">
        <v>919</v>
      </c>
      <c r="C215" s="922" t="s">
        <v>141</v>
      </c>
      <c r="D215" s="922" t="s">
        <v>3100</v>
      </c>
      <c r="E215" s="922" t="s">
        <v>37</v>
      </c>
      <c r="F215" s="922" t="s">
        <v>152</v>
      </c>
      <c r="G215" s="594" t="str">
        <f>VLOOKUP(WWWW[[#This Row],[Site Name]],SiteDB6[[Site Name]:[Location Type]],8,FALSE)</f>
        <v>Camp</v>
      </c>
      <c r="H215" s="922" t="s">
        <v>156</v>
      </c>
      <c r="I215" s="924">
        <v>27</v>
      </c>
      <c r="J215" s="924">
        <v>136</v>
      </c>
      <c r="K215" s="925">
        <v>44682</v>
      </c>
      <c r="L215" s="926">
        <v>44865</v>
      </c>
      <c r="M215" s="924"/>
      <c r="N215" s="924"/>
      <c r="O215" s="924"/>
      <c r="P215" s="924"/>
      <c r="Q215" s="927" t="s">
        <v>41</v>
      </c>
      <c r="R215" s="924">
        <v>2</v>
      </c>
      <c r="S215" s="924">
        <v>2</v>
      </c>
      <c r="T215" s="449"/>
      <c r="U215" s="924"/>
      <c r="V215" s="924"/>
      <c r="W215" s="924">
        <v>1</v>
      </c>
      <c r="X215" s="924"/>
      <c r="Y215" s="924"/>
      <c r="Z215" s="924"/>
      <c r="AA215" s="924"/>
      <c r="AB215" s="924"/>
      <c r="AC215" s="924"/>
      <c r="AD215" s="924"/>
      <c r="AE215" s="924"/>
      <c r="AF215" s="924"/>
      <c r="AG215" s="924"/>
      <c r="AH215" s="924">
        <v>3</v>
      </c>
      <c r="AI215" s="924"/>
      <c r="AJ215" s="924"/>
      <c r="AK215" s="924"/>
      <c r="AL215" s="924"/>
      <c r="AM215" s="924"/>
      <c r="AN215" s="924"/>
      <c r="AO215" s="449"/>
      <c r="AP215" s="928"/>
      <c r="AQ215" s="924">
        <v>12</v>
      </c>
      <c r="AR215" s="924"/>
      <c r="AS215" s="929"/>
      <c r="AT215" s="924"/>
      <c r="AU215" s="924"/>
      <c r="AV215" s="924"/>
      <c r="AW215" s="924"/>
      <c r="AX215" s="924">
        <v>12</v>
      </c>
      <c r="AY215" s="923" t="s">
        <v>41</v>
      </c>
      <c r="AZ215" s="928" t="s">
        <v>904</v>
      </c>
      <c r="BA215" s="924"/>
      <c r="BB215" s="924"/>
      <c r="BC215" s="924"/>
      <c r="BD215" s="449"/>
      <c r="BE215" s="449"/>
      <c r="BF215" s="923"/>
      <c r="BG215" s="924">
        <v>8</v>
      </c>
      <c r="BH215" s="924"/>
      <c r="BI215" s="924"/>
      <c r="BJ215" s="924">
        <v>3</v>
      </c>
      <c r="BK215" s="924"/>
      <c r="BL215" s="924"/>
      <c r="BM215" s="924"/>
      <c r="BN215" s="924"/>
      <c r="BO215" s="924"/>
      <c r="BP215" s="923"/>
      <c r="BQ215" s="930"/>
      <c r="BR215" s="929"/>
      <c r="BS215" s="923"/>
      <c r="BT215" s="424"/>
      <c r="BU215" s="424"/>
      <c r="BV215" s="426"/>
      <c r="BW215" s="424"/>
      <c r="BX215" s="449"/>
      <c r="BY215" s="449"/>
      <c r="BZ215" s="449"/>
      <c r="CA215" s="449"/>
      <c r="CB215" s="449"/>
      <c r="CC215" s="807"/>
      <c r="CD215" s="449"/>
      <c r="CE215" s="931" t="str">
        <f>IFERROR(WWWW[[#This Row],['#_Water sources passed]]/WWWW[[#This Row],['#_Water sources tested for fecal coliform ]],"no test")</f>
        <v>no test</v>
      </c>
      <c r="CF215" s="929" t="str">
        <f>IFERROR(WWWW[[#This Row],['#_Household passed]]/WWWW[[#This Row],['#_Household water samples tested for fecal coliform]],"no test")</f>
        <v>no test</v>
      </c>
      <c r="CG215" s="930" t="str">
        <f>IF(AND(WWWW[[#This Row],[% of water sources passed]]="no test",WWWW[[#This Row],[% Household passed]]="no test"),"No Test","Tested")</f>
        <v>No Test</v>
      </c>
      <c r="CH215" s="930">
        <f>WWWW[[#This Row],['#_Constructed/existing protected hand dug well]]-WWWW[[#This Row],['#_Non-functional protected hand dug well]]</f>
        <v>0</v>
      </c>
      <c r="CI215" s="930">
        <f>(WWWW[[#This Row],['#_Constructed/Existing tube wells/boreholes/handpumps_WASH_agency]]+WWWW[[#This Row],['#_Non-Cluster partner water tube-wells/boreholes/handpumps]])-WWWW[[#This Row],['#_Non-functional tube wells/boreholes/handpumps]]</f>
        <v>1</v>
      </c>
      <c r="CJ215" s="930">
        <f>WWWW[[#This Row],['#_Constructed/Existingwater storage tank with gravity fed reticulation system]]-WWWW[[#This Row],['#_Non-functional storage tank gravity fed reticulation system]]</f>
        <v>0</v>
      </c>
      <c r="CK215" s="930">
        <f>(WWWW[[#This Row],['#_Water_Liters_supplied_by_Water boating or water trucking]]/90)/15</f>
        <v>0</v>
      </c>
      <c r="CL215" s="930">
        <f>WWWW[[#This Row],['#_Water_Liters_from_Constructed/Existing water distribution system from river or natural spring]]/90/15</f>
        <v>0</v>
      </c>
      <c r="CM215" s="425">
        <f>IF(WWWW[[#This Row],['#_of water points in TLS/CFS]]*500&gt;WWWW[[#This Row],[Total PoP ]],WWWW[[#This Row],[Total PoP ]],WWWW[[#This Row],['#_of water points in TLS/CFS]]*500)</f>
        <v>0</v>
      </c>
      <c r="CN215" s="425">
        <f>IF(WWWW[[#This Row],['#_of water points in THF]]*500&gt;WWWW[[#This Row],[Total PoP ]],WWWW[[#This Row],[Total PoP ]],WWWW[[#This Row],['#_of water points in THF]]*500)</f>
        <v>0</v>
      </c>
      <c r="CO21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5" s="929">
        <f>IF(WWWW[[#This Row],[Location Type 1]]="Village",WWWW[[#This Row],[Access to safe drinking water for Village]],WWWW[[#This Row],[Access to safe drinking water for Camp]])</f>
        <v>1</v>
      </c>
      <c r="CR215" s="927">
        <f>WWWW[[#This Row],[%Equitable and continuous access to sufficient quantity of safe drinking water]]*WWWW[[#This Row],[Total PoP ]]</f>
        <v>136</v>
      </c>
      <c r="CS215" s="929">
        <f>IF((WWWW[[#This Row],['#_Constructed/Existing protected/fenced ponds]]*250)/WWWW[[#This Row],[Total PoP ]]&gt;1,1,(WWWW[[#This Row],['#_Constructed/Existing protected/fenced ponds]]*250)/WWWW[[#This Row],[Total PoP ]])</f>
        <v>0</v>
      </c>
      <c r="CT215" s="927">
        <f>WWWW[[#This Row],[% Access to unimproved water points]]*WWWW[[#This Row],[Total PoP ]]</f>
        <v>0</v>
      </c>
      <c r="CU21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v>
      </c>
      <c r="CW215" s="927">
        <f>WWWW[[#This Row],[HRP1]]/500</f>
        <v>0.27200000000000002</v>
      </c>
      <c r="CX215" s="932">
        <f>1-WWWW[[#This Row],[% Equitable and continuous access to sufficient quantity of domestic water]]</f>
        <v>0</v>
      </c>
      <c r="CY215" s="927">
        <f>WWWW[[#This Row],[%equitable and continuous access to sufficient quantity of safe drinking and domestic water''s GAP]]*WWWW[[#This Row],[Total PoP ]]</f>
        <v>0</v>
      </c>
      <c r="CZ215" s="930">
        <f>IF(WWWW[[#This Row],[Total required water points]]-WWWW[[#This Row],['#Water points coverage]]&lt;0,0,WWWW[[#This Row],[Total required water points]]-WWWW[[#This Row],['#Water points coverage]])</f>
        <v>0.72799999999999998</v>
      </c>
      <c r="DA215" s="930">
        <f>ROUND(IF(WWWW[[#This Row],[Total PoP ]]&lt;500,1,WWWW[[#This Row],[Total PoP ]]/500),0)</f>
        <v>1</v>
      </c>
      <c r="DB215" s="930">
        <f>(WWWW[[#This Row],['#_Constructed latrines_by_WASHAgencies]]+WWWW[[#This Row],['#_Non Cluster partner latrines]])-WWWW[[#This Row],['#_Non-functional latrines]]</f>
        <v>12</v>
      </c>
      <c r="DC215" s="634">
        <f>WWWW[[#This Row],[HRP2]]/WWWW[[#This Row],[Total PoP ]]</f>
        <v>1</v>
      </c>
      <c r="DD21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136</v>
      </c>
      <c r="DE21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5" s="425">
        <f>IF(WWWW[[#This Row],['# of functional latrines in THF supported by WASH partners during the reporting period2]]="",0,WWWW[[#This Row],['# of functional latrines in THF supported by WASH partners during the reporting period2]]*50)</f>
        <v>0</v>
      </c>
      <c r="DH215" s="930">
        <f>ROUND(IF(WWWW[[#This Row],[Location Type 1]]="camp",WWWW[[#This Row],[Total PoP ]]/20,IF(WWWW[[#This Row],[Location Type 1]]="Temporary Location",WWWW[[#This Row],[Total PoP ]]/50,(WWWW[[#This Row],[Total PoP ]]/6))),0)</f>
        <v>7</v>
      </c>
      <c r="DI215" s="930">
        <f>IF(WWWW[[#This Row],[Total required Latrines]]-(WWWW[[#This Row],['#_Constructed latrines_by_WASHAgencies]]+WWWW[[#This Row],['#_Non Cluster partner latrines]])&lt;0,0,WWWW[[#This Row],[Total required Latrines]]-(WWWW[[#This Row],['#_Constructed latrines_by_WASHAgencies]]+WWWW[[#This Row],['#_Non Cluster partner latrines]]))</f>
        <v>0</v>
      </c>
      <c r="DJ215" s="932">
        <f>1-WWWW[[#This Row],[% people access to functioning Latrine]]</f>
        <v>0</v>
      </c>
      <c r="DK215" s="931">
        <f>IF(OR(WWWW[[#This Row],['#_Non-functional latrines]]="",WWWW[[#This Row],['#_Non-functional latrines]]=0),0,WWWW[[#This Row],['#_Non-functional latrines]]/(WWWW[[#This Row],['#_Constructed latrines_by_WASHAgencies]]+WWWW[[#This Row],['#_Non Cluster partner latrines]]))</f>
        <v>0</v>
      </c>
      <c r="DL215" s="927">
        <f>IF(500*(WWWW[[#This Row],['#_male hygiene promoters]]+WWWW[[#This Row],['#_female hygiene promoters]])&gt;WWWW[[#This Row],[Total PoP ]],WWWW[[#This Row],[Total PoP ]],500*(WWWW[[#This Row],['#_male hygiene promoters]]+WWWW[[#This Row],['#_female hygiene promoters]]))</f>
        <v>0</v>
      </c>
      <c r="DM21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5" s="930">
        <f>IF(WWWW[[#This Row],['# People with access to soap]]&gt;WWWW[[#This Row],['# People with access to Sanity Pads]],WWWW[[#This Row],['# People with access to soap]],WWWW[[#This Row],['# People with access to Sanity Pads]])</f>
        <v>0</v>
      </c>
      <c r="DP21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5" s="932">
        <f>IF(WWWW[[#This Row],[HRP3]]/WWWW[[#This Row],[Total PoP ]]&gt;1,1,WWWW[[#This Row],[HRP3]]/WWWW[[#This Row],[Total PoP ]])</f>
        <v>0</v>
      </c>
      <c r="DR215" s="931">
        <f>1-WWWW[[#This Row],[Hygiene Coverage%]]</f>
        <v>1</v>
      </c>
      <c r="DS215" s="929">
        <f>WWWW[[#This Row],['# people reached by regular dedicated hygiene promotion_5]]/WWWW[[#This Row],[Total PoP ]]</f>
        <v>0</v>
      </c>
      <c r="DT21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5" s="930">
        <f>WWWW[[#This Row],['#_Constructed/Existing hand washing stations]]-WWWW[[#This Row],['#_Non-Functional_hand_washing_stations]]</f>
        <v>8</v>
      </c>
      <c r="DW215" s="927">
        <f>IF(WWWW[[#This Row],['# Functional hand washing stations during reporting period]]*20&gt;WWWW[[#This Row],[Total HH]],WWWW[[#This Row],[Total HH]],WWWW[[#This Row],['# Functional hand washing stations during reporting period]]*20)</f>
        <v>27</v>
      </c>
      <c r="DX215" s="927">
        <f>IF(WWWW[[#This Row],[Is sufficient soap available for TLS? (Yes/No)]]="yes",WWWW[[#This Row],['#_Constructed/Existing hand washing stations at TLS/CFS/THF]],0)</f>
        <v>0</v>
      </c>
      <c r="DY215" s="429">
        <f>IF(WWWW[[#This Row],['# Functional hand washing stations during reporting period]]*100&gt;WWWW[[#This Row],[Total PoP ]],WWWW[[#This Row],[Total PoP ]],WWWW[[#This Row],['# Functional hand washing stations during reporting period]]*100)</f>
        <v>136</v>
      </c>
      <c r="DZ215" s="429" t="str">
        <f>IF(OR(WWWW[[#This Row],['#_students at TLS_CFS]]="",WWWW[[#This Row],['#_students at TLS_CFS]]=0),"No","Yes")</f>
        <v>No</v>
      </c>
      <c r="EA21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5" s="923" t="str">
        <f>VLOOKUP(WWWW[[#This Row],[Site Name]],SiteDB6[[Site Name]:[CCCM Management]],6,FALSE)</f>
        <v>Yes</v>
      </c>
      <c r="EF215" s="923" t="str">
        <f>VLOOKUP(WWWW[[#This Row],[Site Name]],SiteDB6[[Site Name]:[CCCM Focal Agency]],7,FALSE)</f>
        <v>KBC-MYT</v>
      </c>
      <c r="EG215" s="923" t="str">
        <f>VLOOKUP(WWWW[[#This Row],[Site Name]],SiteDB6[[Site Name]:[Location Type 1]],9,FALSE)</f>
        <v>Camp</v>
      </c>
      <c r="EH215" s="923" t="str">
        <f>VLOOKUP(WWWW[[#This Row],[Site Name]],SiteDB6[[Site Name]:[Type of Accommodation]],10,FALSE)</f>
        <v>Camp</v>
      </c>
      <c r="EI215" s="923" t="str">
        <f>VLOOKUP(WWWW[[#This Row],[Site Name]],SiteDB6[[Site Name]:[Ethnic or GCA/NGCA]],11,FALSE)</f>
        <v>GCA</v>
      </c>
      <c r="EJ215" s="923">
        <f>VLOOKUP(WWWW[[#This Row],[Site Name]],SiteDB6[[Site Name]:[Lat]],12,FALSE)</f>
        <v>25.225000000000001</v>
      </c>
      <c r="EK215" s="923">
        <f>VLOOKUP(WWWW[[#This Row],[Site Name]],SiteDB6[[Site Name]:[Long]],13,FALSE)</f>
        <v>96.793999999999997</v>
      </c>
      <c r="EL215" s="923" t="str">
        <f>VLOOKUP(WWWW[[#This Row],[Site Name]],SiteDB6[[Site Name]:[Pcode]],3,FALSE)</f>
        <v>MMR001CMP236</v>
      </c>
      <c r="EM215" s="928" t="str">
        <f t="shared" si="3"/>
        <v>Covered</v>
      </c>
      <c r="EN215" s="928"/>
      <c r="EO215" s="923">
        <f>VLOOKUP(WWWW[[#This Row],[Site Name]],SiteDB6[[Site Name]:[Pop
(Kachin/Shan-CCCM as of July 2021)]],16,FALSE)</f>
        <v>27</v>
      </c>
      <c r="EP215" s="923">
        <f>VLOOKUP(WWWW[[#This Row],[Site Name]],SiteDB6[[Site Name]:[Pop
(Kachin/Shan-CCCM as of July 2021)]],17,FALSE)</f>
        <v>137</v>
      </c>
    </row>
    <row r="216" spans="1:146">
      <c r="A216" s="921" t="s">
        <v>2786</v>
      </c>
      <c r="B216" s="921" t="s">
        <v>919</v>
      </c>
      <c r="C216" s="922" t="s">
        <v>141</v>
      </c>
      <c r="D216" s="922" t="s">
        <v>3100</v>
      </c>
      <c r="E216" s="922" t="s">
        <v>37</v>
      </c>
      <c r="F216" s="922" t="s">
        <v>157</v>
      </c>
      <c r="G216" s="594" t="str">
        <f>VLOOKUP(WWWW[[#This Row],[Site Name]],SiteDB6[[Site Name]:[Location Type]],8,FALSE)</f>
        <v>Camp</v>
      </c>
      <c r="H216" s="922" t="s">
        <v>158</v>
      </c>
      <c r="I216" s="449">
        <v>27</v>
      </c>
      <c r="J216" s="449">
        <v>130</v>
      </c>
      <c r="K216" s="591">
        <v>44682</v>
      </c>
      <c r="L216" s="592">
        <v>44865</v>
      </c>
      <c r="M216" s="924"/>
      <c r="N216" s="924"/>
      <c r="O216" s="924"/>
      <c r="P216" s="924"/>
      <c r="Q216" s="927" t="s">
        <v>41</v>
      </c>
      <c r="R216" s="449">
        <v>2</v>
      </c>
      <c r="S216" s="449">
        <v>2</v>
      </c>
      <c r="T216" s="449">
        <v>2</v>
      </c>
      <c r="U216" s="924"/>
      <c r="V216" s="924"/>
      <c r="W216" s="924">
        <v>1</v>
      </c>
      <c r="X216" s="924"/>
      <c r="Y216" s="924"/>
      <c r="Z216" s="924"/>
      <c r="AA216" s="924"/>
      <c r="AB216" s="924"/>
      <c r="AC216" s="924"/>
      <c r="AD216" s="924"/>
      <c r="AE216" s="924"/>
      <c r="AF216" s="924"/>
      <c r="AG216" s="924"/>
      <c r="AH216" s="924"/>
      <c r="AI216" s="924"/>
      <c r="AJ216" s="924"/>
      <c r="AK216" s="924"/>
      <c r="AL216" s="924"/>
      <c r="AM216" s="924"/>
      <c r="AN216" s="924"/>
      <c r="AO216" s="449"/>
      <c r="AP216" s="928"/>
      <c r="AQ216" s="924">
        <v>5</v>
      </c>
      <c r="AR216" s="924"/>
      <c r="AS216" s="929"/>
      <c r="AT216" s="924">
        <v>5</v>
      </c>
      <c r="AU216" s="924"/>
      <c r="AV216" s="924"/>
      <c r="AW216" s="924"/>
      <c r="AX216" s="924"/>
      <c r="AY216" s="923" t="s">
        <v>41</v>
      </c>
      <c r="AZ216" s="928" t="s">
        <v>904</v>
      </c>
      <c r="BA216" s="924"/>
      <c r="BB216" s="924"/>
      <c r="BC216" s="924"/>
      <c r="BD216" s="449"/>
      <c r="BE216" s="449"/>
      <c r="BF216" s="923"/>
      <c r="BG216" s="924">
        <v>4</v>
      </c>
      <c r="BH216" s="924"/>
      <c r="BI216" s="924"/>
      <c r="BJ216" s="924">
        <v>2</v>
      </c>
      <c r="BK216" s="924">
        <v>1</v>
      </c>
      <c r="BL216" s="924"/>
      <c r="BM216" s="924"/>
      <c r="BN216" s="924"/>
      <c r="BO216" s="924"/>
      <c r="BP216" s="923"/>
      <c r="BQ216" s="930"/>
      <c r="BR216" s="929"/>
      <c r="BS216" s="923"/>
      <c r="BT216" s="424"/>
      <c r="BU216" s="424"/>
      <c r="BV216" s="426"/>
      <c r="BW216" s="424"/>
      <c r="BX216" s="449"/>
      <c r="BY216" s="449"/>
      <c r="BZ216" s="449"/>
      <c r="CA216" s="449"/>
      <c r="CB216" s="449"/>
      <c r="CC216" s="807"/>
      <c r="CD216" s="449"/>
      <c r="CE216" s="931" t="str">
        <f>IFERROR(WWWW[[#This Row],['#_Water sources passed]]/WWWW[[#This Row],['#_Water sources tested for fecal coliform ]],"no test")</f>
        <v>no test</v>
      </c>
      <c r="CF216" s="929" t="str">
        <f>IFERROR(WWWW[[#This Row],['#_Household passed]]/WWWW[[#This Row],['#_Household water samples tested for fecal coliform]],"no test")</f>
        <v>no test</v>
      </c>
      <c r="CG216" s="930" t="str">
        <f>IF(AND(WWWW[[#This Row],[% of water sources passed]]="no test",WWWW[[#This Row],[% Household passed]]="no test"),"No Test","Tested")</f>
        <v>No Test</v>
      </c>
      <c r="CH216" s="930">
        <f>WWWW[[#This Row],['#_Constructed/existing protected hand dug well]]-WWWW[[#This Row],['#_Non-functional protected hand dug well]]</f>
        <v>2</v>
      </c>
      <c r="CI216" s="930">
        <f>(WWWW[[#This Row],['#_Constructed/Existing tube wells/boreholes/handpumps_WASH_agency]]+WWWW[[#This Row],['#_Non-Cluster partner water tube-wells/boreholes/handpumps]])-WWWW[[#This Row],['#_Non-functional tube wells/boreholes/handpumps]]</f>
        <v>1</v>
      </c>
      <c r="CJ216" s="930">
        <f>WWWW[[#This Row],['#_Constructed/Existingwater storage tank with gravity fed reticulation system]]-WWWW[[#This Row],['#_Non-functional storage tank gravity fed reticulation system]]</f>
        <v>0</v>
      </c>
      <c r="CK216" s="930">
        <f>(WWWW[[#This Row],['#_Water_Liters_supplied_by_Water boating or water trucking]]/90)/15</f>
        <v>0</v>
      </c>
      <c r="CL216" s="930">
        <f>WWWW[[#This Row],['#_Water_Liters_from_Constructed/Existing water distribution system from river or natural spring]]/90/15</f>
        <v>0</v>
      </c>
      <c r="CM216" s="425">
        <f>IF(WWWW[[#This Row],['#_of water points in TLS/CFS]]*500&gt;WWWW[[#This Row],[Total PoP ]],WWWW[[#This Row],[Total PoP ]],WWWW[[#This Row],['#_of water points in TLS/CFS]]*500)</f>
        <v>0</v>
      </c>
      <c r="CN216" s="425">
        <f>IF(WWWW[[#This Row],['#_of water points in THF]]*500&gt;WWWW[[#This Row],[Total PoP ]],WWWW[[#This Row],[Total PoP ]],WWWW[[#This Row],['#_of water points in THF]]*500)</f>
        <v>0</v>
      </c>
      <c r="CO21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1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16" s="929">
        <f>IF(WWWW[[#This Row],[Location Type 1]]="Village",WWWW[[#This Row],[Access to safe drinking water for Village]],WWWW[[#This Row],[Access to safe drinking water for Camp]])</f>
        <v>1</v>
      </c>
      <c r="CR216" s="927">
        <f>WWWW[[#This Row],[%Equitable and continuous access to sufficient quantity of safe drinking water]]*WWWW[[#This Row],[Total PoP ]]</f>
        <v>130</v>
      </c>
      <c r="CS216" s="929">
        <f>IF((WWWW[[#This Row],['#_Constructed/Existing protected/fenced ponds]]*250)/WWWW[[#This Row],[Total PoP ]]&gt;1,1,(WWWW[[#This Row],['#_Constructed/Existing protected/fenced ponds]]*250)/WWWW[[#This Row],[Total PoP ]])</f>
        <v>0</v>
      </c>
      <c r="CT216" s="927">
        <f>WWWW[[#This Row],[% Access to unimproved water points]]*WWWW[[#This Row],[Total PoP ]]</f>
        <v>0</v>
      </c>
      <c r="CU21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1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216" s="927">
        <f>WWWW[[#This Row],[HRP1]]/500</f>
        <v>0.26</v>
      </c>
      <c r="CX216" s="932">
        <f>1-WWWW[[#This Row],[% Equitable and continuous access to sufficient quantity of domestic water]]</f>
        <v>0</v>
      </c>
      <c r="CY216" s="927">
        <f>WWWW[[#This Row],[%equitable and continuous access to sufficient quantity of safe drinking and domestic water''s GAP]]*WWWW[[#This Row],[Total PoP ]]</f>
        <v>0</v>
      </c>
      <c r="CZ216" s="930">
        <f>IF(WWWW[[#This Row],[Total required water points]]-WWWW[[#This Row],['#Water points coverage]]&lt;0,0,WWWW[[#This Row],[Total required water points]]-WWWW[[#This Row],['#Water points coverage]])</f>
        <v>0.74</v>
      </c>
      <c r="DA216" s="930">
        <f>ROUND(IF(WWWW[[#This Row],[Total PoP ]]&lt;500,1,WWWW[[#This Row],[Total PoP ]]/500),0)</f>
        <v>1</v>
      </c>
      <c r="DB216" s="930">
        <f>(WWWW[[#This Row],['#_Constructed latrines_by_WASHAgencies]]+WWWW[[#This Row],['#_Non Cluster partner latrines]])-WWWW[[#This Row],['#_Non-functional latrines]]</f>
        <v>0</v>
      </c>
      <c r="DC216" s="634">
        <f>WWWW[[#This Row],[HRP2]]/WWWW[[#This Row],[Total PoP ]]</f>
        <v>0</v>
      </c>
      <c r="DD21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6" s="425">
        <f>IF(WWWW[[#This Row],['# of functional latrines in THF supported by WASH partners during the reporting period2]]="",0,WWWW[[#This Row],['# of functional latrines in THF supported by WASH partners during the reporting period2]]*50)</f>
        <v>0</v>
      </c>
      <c r="DH216" s="930">
        <f>ROUND(IF(WWWW[[#This Row],[Location Type 1]]="camp",WWWW[[#This Row],[Total PoP ]]/20,IF(WWWW[[#This Row],[Location Type 1]]="Temporary Location",WWWW[[#This Row],[Total PoP ]]/50,(WWWW[[#This Row],[Total PoP ]]/6))),0)</f>
        <v>7</v>
      </c>
      <c r="DI216" s="930">
        <f>IF(WWWW[[#This Row],[Total required Latrines]]-(WWWW[[#This Row],['#_Constructed latrines_by_WASHAgencies]]+WWWW[[#This Row],['#_Non Cluster partner latrines]])&lt;0,0,WWWW[[#This Row],[Total required Latrines]]-(WWWW[[#This Row],['#_Constructed latrines_by_WASHAgencies]]+WWWW[[#This Row],['#_Non Cluster partner latrines]]))</f>
        <v>2</v>
      </c>
      <c r="DJ216" s="932">
        <f>1-WWWW[[#This Row],[% people access to functioning Latrine]]</f>
        <v>1</v>
      </c>
      <c r="DK216" s="931">
        <f>IF(OR(WWWW[[#This Row],['#_Non-functional latrines]]="",WWWW[[#This Row],['#_Non-functional latrines]]=0),0,WWWW[[#This Row],['#_Non-functional latrines]]/(WWWW[[#This Row],['#_Constructed latrines_by_WASHAgencies]]+WWWW[[#This Row],['#_Non Cluster partner latrines]]))</f>
        <v>1</v>
      </c>
      <c r="DL216" s="927">
        <f>IF(500*(WWWW[[#This Row],['#_male hygiene promoters]]+WWWW[[#This Row],['#_female hygiene promoters]])&gt;WWWW[[#This Row],[Total PoP ]],WWWW[[#This Row],[Total PoP ]],500*(WWWW[[#This Row],['#_male hygiene promoters]]+WWWW[[#This Row],['#_female hygiene promoters]]))</f>
        <v>0</v>
      </c>
      <c r="DM21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6" s="930">
        <f>IF(WWWW[[#This Row],['# People with access to soap]]&gt;WWWW[[#This Row],['# People with access to Sanity Pads]],WWWW[[#This Row],['# People with access to soap]],WWWW[[#This Row],['# People with access to Sanity Pads]])</f>
        <v>0</v>
      </c>
      <c r="DP21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6" s="932">
        <f>IF(WWWW[[#This Row],[HRP3]]/WWWW[[#This Row],[Total PoP ]]&gt;1,1,WWWW[[#This Row],[HRP3]]/WWWW[[#This Row],[Total PoP ]])</f>
        <v>0</v>
      </c>
      <c r="DR216" s="931">
        <f>1-WWWW[[#This Row],[Hygiene Coverage%]]</f>
        <v>1</v>
      </c>
      <c r="DS216" s="929">
        <f>WWWW[[#This Row],['# people reached by regular dedicated hygiene promotion_5]]/WWWW[[#This Row],[Total PoP ]]</f>
        <v>0</v>
      </c>
      <c r="DT21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6" s="930">
        <f>WWWW[[#This Row],['#_Constructed/Existing hand washing stations]]-WWWW[[#This Row],['#_Non-Functional_hand_washing_stations]]</f>
        <v>4</v>
      </c>
      <c r="DW216" s="927">
        <f>IF(WWWW[[#This Row],['# Functional hand washing stations during reporting period]]*20&gt;WWWW[[#This Row],[Total HH]],WWWW[[#This Row],[Total HH]],WWWW[[#This Row],['# Functional hand washing stations during reporting period]]*20)</f>
        <v>27</v>
      </c>
      <c r="DX216" s="927">
        <f>IF(WWWW[[#This Row],[Is sufficient soap available for TLS? (Yes/No)]]="yes",WWWW[[#This Row],['#_Constructed/Existing hand washing stations at TLS/CFS/THF]],0)</f>
        <v>0</v>
      </c>
      <c r="DY216" s="429">
        <f>IF(WWWW[[#This Row],['# Functional hand washing stations during reporting period]]*100&gt;WWWW[[#This Row],[Total PoP ]],WWWW[[#This Row],[Total PoP ]],WWWW[[#This Row],['# Functional hand washing stations during reporting period]]*100)</f>
        <v>130</v>
      </c>
      <c r="DZ216" s="429" t="str">
        <f>IF(OR(WWWW[[#This Row],['#_students at TLS_CFS]]="",WWWW[[#This Row],['#_students at TLS_CFS]]=0),"No","Yes")</f>
        <v>No</v>
      </c>
      <c r="EA21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6" s="923" t="str">
        <f>VLOOKUP(WWWW[[#This Row],[Site Name]],SiteDB6[[Site Name]:[CCCM Management]],6,FALSE)</f>
        <v>Yes</v>
      </c>
      <c r="EF216" s="923" t="str">
        <f>VLOOKUP(WWWW[[#This Row],[Site Name]],SiteDB6[[Site Name]:[CCCM Focal Agency]],7,FALSE)</f>
        <v>KBC-MYT</v>
      </c>
      <c r="EG216" s="923" t="str">
        <f>VLOOKUP(WWWW[[#This Row],[Site Name]],SiteDB6[[Site Name]:[Location Type 1]],9,FALSE)</f>
        <v>Camp</v>
      </c>
      <c r="EH216" s="923" t="str">
        <f>VLOOKUP(WWWW[[#This Row],[Site Name]],SiteDB6[[Site Name]:[Type of Accommodation]],10,FALSE)</f>
        <v>Camp</v>
      </c>
      <c r="EI216" s="923" t="str">
        <f>VLOOKUP(WWWW[[#This Row],[Site Name]],SiteDB6[[Site Name]:[Ethnic or GCA/NGCA]],11,FALSE)</f>
        <v>GCA</v>
      </c>
      <c r="EJ216" s="923">
        <f>VLOOKUP(WWWW[[#This Row],[Site Name]],SiteDB6[[Site Name]:[Lat]],12,FALSE)</f>
        <v>24.998349999999999</v>
      </c>
      <c r="EK216" s="923">
        <f>VLOOKUP(WWWW[[#This Row],[Site Name]],SiteDB6[[Site Name]:[Long]],13,FALSE)</f>
        <v>96.364949999999993</v>
      </c>
      <c r="EL216" s="923" t="str">
        <f>VLOOKUP(WWWW[[#This Row],[Site Name]],SiteDB6[[Site Name]:[Pcode]],3,FALSE)</f>
        <v>MMR001CMP152</v>
      </c>
      <c r="EM216" s="928" t="str">
        <f t="shared" si="3"/>
        <v>Covered</v>
      </c>
      <c r="EN216" s="928"/>
      <c r="EO216" s="923">
        <f>VLOOKUP(WWWW[[#This Row],[Site Name]],SiteDB6[[Site Name]:[Pop
(Kachin/Shan-CCCM as of July 2021)]],16,FALSE)</f>
        <v>26</v>
      </c>
      <c r="EP216" s="923">
        <f>VLOOKUP(WWWW[[#This Row],[Site Name]],SiteDB6[[Site Name]:[Pop
(Kachin/Shan-CCCM as of July 2021)]],17,FALSE)</f>
        <v>127</v>
      </c>
    </row>
    <row r="217" spans="1:146">
      <c r="A217" s="921" t="s">
        <v>2786</v>
      </c>
      <c r="B217" s="921" t="s">
        <v>141</v>
      </c>
      <c r="C217" s="922" t="s">
        <v>141</v>
      </c>
      <c r="D217" s="922" t="s">
        <v>241</v>
      </c>
      <c r="E217" s="922" t="s">
        <v>37</v>
      </c>
      <c r="F217" s="922" t="s">
        <v>205</v>
      </c>
      <c r="G217" s="594" t="str">
        <f>VLOOKUP(WWWW[[#This Row],[Site Name]],SiteDB6[[Site Name]:[Location Type]],8,FALSE)</f>
        <v>Camp</v>
      </c>
      <c r="H217" s="922" t="s">
        <v>290</v>
      </c>
      <c r="I217" s="946">
        <v>1490</v>
      </c>
      <c r="J217" s="946">
        <v>8486</v>
      </c>
      <c r="K217" s="947">
        <v>44682</v>
      </c>
      <c r="L217" s="948">
        <v>44865</v>
      </c>
      <c r="M217" s="924"/>
      <c r="N217" s="946">
        <v>3</v>
      </c>
      <c r="O217" s="924"/>
      <c r="P217" s="924"/>
      <c r="Q217" s="927" t="s">
        <v>41</v>
      </c>
      <c r="R217" s="946">
        <v>12</v>
      </c>
      <c r="S217" s="946">
        <v>13</v>
      </c>
      <c r="T217" s="449">
        <v>3</v>
      </c>
      <c r="U217" s="924"/>
      <c r="V217" s="924"/>
      <c r="W217" s="924"/>
      <c r="X217" s="924"/>
      <c r="Y217" s="924"/>
      <c r="Z217" s="924"/>
      <c r="AA217" s="946">
        <v>3</v>
      </c>
      <c r="AB217" s="924"/>
      <c r="AC217" s="924"/>
      <c r="AD217" s="924"/>
      <c r="AE217" s="946">
        <v>3</v>
      </c>
      <c r="AF217" s="924"/>
      <c r="AG217" s="946">
        <v>12</v>
      </c>
      <c r="AH217" s="924"/>
      <c r="AI217" s="924"/>
      <c r="AJ217" s="924"/>
      <c r="AK217" s="924"/>
      <c r="AL217" s="924"/>
      <c r="AM217" s="924"/>
      <c r="AN217" s="924"/>
      <c r="AO217" s="449"/>
      <c r="AP217" s="593" t="s">
        <v>3037</v>
      </c>
      <c r="AQ217" s="946">
        <v>715</v>
      </c>
      <c r="AR217" s="924"/>
      <c r="AS217" s="929"/>
      <c r="AT217" s="946">
        <v>78</v>
      </c>
      <c r="AU217" s="946">
        <v>39</v>
      </c>
      <c r="AV217" s="946"/>
      <c r="AW217" s="924">
        <v>340</v>
      </c>
      <c r="AX217" s="924"/>
      <c r="AY217" s="923" t="s">
        <v>41</v>
      </c>
      <c r="AZ217" s="928" t="s">
        <v>137</v>
      </c>
      <c r="BA217" s="924"/>
      <c r="BB217" s="946">
        <v>8</v>
      </c>
      <c r="BC217" s="924"/>
      <c r="BD217" s="449"/>
      <c r="BE217" s="449"/>
      <c r="BF217" s="923"/>
      <c r="BG217" s="946">
        <v>145</v>
      </c>
      <c r="BH217" s="946">
        <v>97</v>
      </c>
      <c r="BI217" s="924"/>
      <c r="BJ217" s="946">
        <v>49</v>
      </c>
      <c r="BK217" s="946">
        <v>2</v>
      </c>
      <c r="BL217" s="946">
        <v>12</v>
      </c>
      <c r="BM217" s="946">
        <v>13</v>
      </c>
      <c r="BN217" s="946">
        <v>1597</v>
      </c>
      <c r="BO217" s="946">
        <v>2887</v>
      </c>
      <c r="BP217" s="951" t="s">
        <v>136</v>
      </c>
      <c r="BQ217" s="930"/>
      <c r="BR217" s="929"/>
      <c r="BS217" s="951" t="s">
        <v>3038</v>
      </c>
      <c r="BT217" s="424">
        <v>0.8</v>
      </c>
      <c r="BU217" s="424">
        <v>0.8</v>
      </c>
      <c r="BV217" s="426">
        <v>50</v>
      </c>
      <c r="BW217" s="424">
        <v>0.65</v>
      </c>
      <c r="BX217" s="449"/>
      <c r="BY217" s="449"/>
      <c r="BZ217" s="449"/>
      <c r="CA217" s="449"/>
      <c r="CB217" s="449"/>
      <c r="CC217" s="807"/>
      <c r="CD217" s="449"/>
      <c r="CE217" s="931" t="str">
        <f>IFERROR(WWWW[[#This Row],['#_Water sources passed]]/WWWW[[#This Row],['#_Water sources tested for fecal coliform ]],"no test")</f>
        <v>no test</v>
      </c>
      <c r="CF217" s="929" t="str">
        <f>IFERROR(WWWW[[#This Row],['#_Household passed]]/WWWW[[#This Row],['#_Household water samples tested for fecal coliform]],"no test")</f>
        <v>no test</v>
      </c>
      <c r="CG217" s="930" t="str">
        <f>IF(AND(WWWW[[#This Row],[% of water sources passed]]="no test",WWWW[[#This Row],[% Household passed]]="no test"),"No Test","Tested")</f>
        <v>No Test</v>
      </c>
      <c r="CH217" s="930">
        <f>WWWW[[#This Row],['#_Constructed/existing protected hand dug well]]-WWWW[[#This Row],['#_Non-functional protected hand dug well]]</f>
        <v>3</v>
      </c>
      <c r="CI217" s="930">
        <f>(WWWW[[#This Row],['#_Constructed/Existing tube wells/boreholes/handpumps_WASH_agency]]+WWWW[[#This Row],['#_Non-Cluster partner water tube-wells/boreholes/handpumps]])-WWWW[[#This Row],['#_Non-functional tube wells/boreholes/handpumps]]</f>
        <v>0</v>
      </c>
      <c r="CJ217" s="930">
        <f>WWWW[[#This Row],['#_Constructed/Existingwater storage tank with gravity fed reticulation system]]-WWWW[[#This Row],['#_Non-functional storage tank gravity fed reticulation system]]</f>
        <v>3</v>
      </c>
      <c r="CK217" s="930">
        <f>(WWWW[[#This Row],['#_Water_Liters_supplied_by_Water boating or water trucking]]/90)/15</f>
        <v>0</v>
      </c>
      <c r="CL217" s="930">
        <f>WWWW[[#This Row],['#_Water_Liters_from_Constructed/Existing water distribution system from river or natural spring]]/90/15</f>
        <v>0</v>
      </c>
      <c r="CM217" s="425">
        <f>IF(WWWW[[#This Row],['#_of water points in TLS/CFS]]*500&gt;WWWW[[#This Row],[Total PoP ]],WWWW[[#This Row],[Total PoP ]],WWWW[[#This Row],['#_of water points in TLS/CFS]]*500)</f>
        <v>0</v>
      </c>
      <c r="CN217" s="425">
        <f>IF(WWWW[[#This Row],['#_of water points in THF]]*500&gt;WWWW[[#This Row],[Total PoP ]],WWWW[[#This Row],[Total PoP ]],WWWW[[#This Row],['#_of water points in THF]]*500)</f>
        <v>0</v>
      </c>
      <c r="CO21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0.16497761018147536</v>
      </c>
      <c r="CP21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0.11194909262314401</v>
      </c>
      <c r="CQ217" s="929">
        <f>IF(WWWW[[#This Row],[Location Type 1]]="Village",WWWW[[#This Row],[Access to safe drinking water for Village]],WWWW[[#This Row],[Access to safe drinking water for Camp]])</f>
        <v>0.16497761018147536</v>
      </c>
      <c r="CR217" s="927">
        <f>WWWW[[#This Row],[%Equitable and continuous access to sufficient quantity of safe drinking water]]*WWWW[[#This Row],[Total PoP ]]</f>
        <v>1400</v>
      </c>
      <c r="CS217" s="929">
        <f>IF((WWWW[[#This Row],['#_Constructed/Existing protected/fenced ponds]]*250)/WWWW[[#This Row],[Total PoP ]]&gt;1,1,(WWWW[[#This Row],['#_Constructed/Existing protected/fenced ponds]]*250)/WWWW[[#This Row],[Total PoP ]])</f>
        <v>8.8380862597218945E-2</v>
      </c>
      <c r="CT217" s="927">
        <f>WWWW[[#This Row],[% Access to unimproved water points]]*WWWW[[#This Row],[Total PoP ]]</f>
        <v>750</v>
      </c>
      <c r="CU21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0.25335847277869428</v>
      </c>
      <c r="CV21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2150</v>
      </c>
      <c r="CW217" s="927">
        <f>WWWW[[#This Row],[HRP1]]/500</f>
        <v>4.3</v>
      </c>
      <c r="CX217" s="932">
        <f>1-WWWW[[#This Row],[% Equitable and continuous access to sufficient quantity of domestic water]]</f>
        <v>0.74664152722130572</v>
      </c>
      <c r="CY217" s="927">
        <f>WWWW[[#This Row],[%equitable and continuous access to sufficient quantity of safe drinking and domestic water''s GAP]]*WWWW[[#This Row],[Total PoP ]]</f>
        <v>6336</v>
      </c>
      <c r="CZ217" s="930">
        <f>IF(WWWW[[#This Row],[Total required water points]]-WWWW[[#This Row],['#Water points coverage]]&lt;0,0,WWWW[[#This Row],[Total required water points]]-WWWW[[#This Row],['#Water points coverage]])</f>
        <v>12.7</v>
      </c>
      <c r="DA217" s="930">
        <f>ROUND(IF(WWWW[[#This Row],[Total PoP ]]&lt;500,1,WWWW[[#This Row],[Total PoP ]]/500),0)</f>
        <v>17</v>
      </c>
      <c r="DB217" s="930">
        <f>(WWWW[[#This Row],['#_Constructed latrines_by_WASHAgencies]]+WWWW[[#This Row],['#_Non Cluster partner latrines]])-WWWW[[#This Row],['#_Non-functional latrines]]</f>
        <v>637</v>
      </c>
      <c r="DC217" s="634">
        <f>WWWW[[#This Row],[HRP2]]/WWWW[[#This Row],[Total PoP ]]</f>
        <v>1</v>
      </c>
      <c r="DD21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8486</v>
      </c>
      <c r="DE21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7" s="425">
        <f>IF(WWWW[[#This Row],['# of functional latrines in THF supported by WASH partners during the reporting period2]]="",0,WWWW[[#This Row],['# of functional latrines in THF supported by WASH partners during the reporting period2]]*50)</f>
        <v>0</v>
      </c>
      <c r="DH217" s="930">
        <f>ROUND(IF(WWWW[[#This Row],[Location Type 1]]="camp",WWWW[[#This Row],[Total PoP ]]/20,IF(WWWW[[#This Row],[Location Type 1]]="Temporary Location",WWWW[[#This Row],[Total PoP ]]/50,(WWWW[[#This Row],[Total PoP ]]/6))),0)</f>
        <v>424</v>
      </c>
      <c r="DI217" s="930">
        <f>IF(WWWW[[#This Row],[Total required Latrines]]-(WWWW[[#This Row],['#_Constructed latrines_by_WASHAgencies]]+WWWW[[#This Row],['#_Non Cluster partner latrines]])&lt;0,0,WWWW[[#This Row],[Total required Latrines]]-(WWWW[[#This Row],['#_Constructed latrines_by_WASHAgencies]]+WWWW[[#This Row],['#_Non Cluster partner latrines]]))</f>
        <v>0</v>
      </c>
      <c r="DJ217" s="932">
        <f>1-WWWW[[#This Row],[% people access to functioning Latrine]]</f>
        <v>0</v>
      </c>
      <c r="DK217" s="931">
        <f>IF(OR(WWWW[[#This Row],['#_Non-functional latrines]]="",WWWW[[#This Row],['#_Non-functional latrines]]=0),0,WWWW[[#This Row],['#_Non-functional latrines]]/(WWWW[[#This Row],['#_Constructed latrines_by_WASHAgencies]]+WWWW[[#This Row],['#_Non Cluster partner latrines]]))</f>
        <v>0.10909090909090909</v>
      </c>
      <c r="DL217" s="927">
        <f>IF(500*(WWWW[[#This Row],['#_male hygiene promoters]]+WWWW[[#This Row],['#_female hygiene promoters]])&gt;WWWW[[#This Row],[Total PoP ]],WWWW[[#This Row],[Total PoP ]],500*(WWWW[[#This Row],['#_male hygiene promoters]]+WWWW[[#This Row],['#_female hygiene promoters]]))</f>
        <v>8486</v>
      </c>
      <c r="DM21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7985</v>
      </c>
      <c r="DN21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2887</v>
      </c>
      <c r="DO217" s="930">
        <f>IF(WWWW[[#This Row],['# People with access to soap]]&gt;WWWW[[#This Row],['# People with access to Sanity Pads]],WWWW[[#This Row],['# People with access to soap]],WWWW[[#This Row],['# People with access to Sanity Pads]])</f>
        <v>7985</v>
      </c>
      <c r="DP217" s="930">
        <f>IF(WWWW[[#This Row],['# people reached by regular dedicated hygiene promotion_5]]&gt;WWWW[[#This Row],['# People received regular supply of hygiene items_6]],WWWW[[#This Row],['# people reached by regular dedicated hygiene promotion_5]],WWWW[[#This Row],['# People received regular supply of hygiene items_6]])</f>
        <v>8486</v>
      </c>
      <c r="DQ217" s="932">
        <f>IF(WWWW[[#This Row],[HRP3]]/WWWW[[#This Row],[Total PoP ]]&gt;1,1,WWWW[[#This Row],[HRP3]]/WWWW[[#This Row],[Total PoP ]])</f>
        <v>1</v>
      </c>
      <c r="DR217" s="931">
        <f>1-WWWW[[#This Row],[Hygiene Coverage%]]</f>
        <v>0</v>
      </c>
      <c r="DS217" s="929">
        <f>WWWW[[#This Row],['# people reached by regular dedicated hygiene promotion_5]]/WWWW[[#This Row],[Total PoP ]]</f>
        <v>1</v>
      </c>
      <c r="DT21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7" s="930">
        <f>WWWW[[#This Row],['#_Constructed/Existing hand washing stations]]-WWWW[[#This Row],['#_Non-Functional_hand_washing_stations]]</f>
        <v>48</v>
      </c>
      <c r="DW217" s="927">
        <f>IF(WWWW[[#This Row],['# Functional hand washing stations during reporting period]]*20&gt;WWWW[[#This Row],[Total HH]],WWWW[[#This Row],[Total HH]],WWWW[[#This Row],['# Functional hand washing stations during reporting period]]*20)</f>
        <v>960</v>
      </c>
      <c r="DX217" s="927">
        <f>IF(WWWW[[#This Row],[Is sufficient soap available for TLS? (Yes/No)]]="yes",WWWW[[#This Row],['#_Constructed/Existing hand washing stations at TLS/CFS/THF]],0)</f>
        <v>0</v>
      </c>
      <c r="DY217" s="429">
        <f>IF(WWWW[[#This Row],['# Functional hand washing stations during reporting period]]*100&gt;WWWW[[#This Row],[Total PoP ]],WWWW[[#This Row],[Total PoP ]],WWWW[[#This Row],['# Functional hand washing stations during reporting period]]*100)</f>
        <v>4800</v>
      </c>
      <c r="DZ217" s="429" t="str">
        <f>IF(OR(WWWW[[#This Row],['#_students at TLS_CFS]]="",WWWW[[#This Row],['#_students at TLS_CFS]]=0),"No","Yes")</f>
        <v>No</v>
      </c>
      <c r="EA217" s="634">
        <f>IF(WWWW[[#This Row],['#_of_affected_people_surveyed_who_report_feeling_informed_about_the_different_WASH_services_available_to_them]]="","",WWWW[[#This Row],['#_of_affected_people_surveyed_who_report_feeling_informed_about_the_different_WASH_services_available_to_them]]/WWWW[[#This Row],[Total PoP ]])</f>
        <v>5.8920575064812632E-3</v>
      </c>
      <c r="EB21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7" s="923" t="str">
        <f>VLOOKUP(WWWW[[#This Row],[Site Name]],SiteDB6[[Site Name]:[CCCM Management]],6,FALSE)</f>
        <v>Yes</v>
      </c>
      <c r="EF217" s="923" t="str">
        <f>VLOOKUP(WWWW[[#This Row],[Site Name]],SiteDB6[[Site Name]:[CCCM Focal Agency]],7,FALSE)</f>
        <v>KMSS-MYT</v>
      </c>
      <c r="EG217" s="923" t="str">
        <f>VLOOKUP(WWWW[[#This Row],[Site Name]],SiteDB6[[Site Name]:[Location Type 1]],9,FALSE)</f>
        <v>Camp</v>
      </c>
      <c r="EH217" s="923" t="str">
        <f>VLOOKUP(WWWW[[#This Row],[Site Name]],SiteDB6[[Site Name]:[Type of Accommodation]],10,FALSE)</f>
        <v>Camp</v>
      </c>
      <c r="EI217" s="923" t="str">
        <f>VLOOKUP(WWWW[[#This Row],[Site Name]],SiteDB6[[Site Name]:[Ethnic or GCA/NGCA]],11,FALSE)</f>
        <v>NGCA</v>
      </c>
      <c r="EJ217" s="923">
        <f>VLOOKUP(WWWW[[#This Row],[Site Name]],SiteDB6[[Site Name]:[Lat]],12,FALSE)</f>
        <v>24.688338999999999</v>
      </c>
      <c r="EK217" s="923">
        <f>VLOOKUP(WWWW[[#This Row],[Site Name]],SiteDB6[[Site Name]:[Long]],13,FALSE)</f>
        <v>97.568331999999998</v>
      </c>
      <c r="EL217" s="923" t="str">
        <f>VLOOKUP(WWWW[[#This Row],[Site Name]],SiteDB6[[Site Name]:[Pcode]],3,FALSE)</f>
        <v>MMR001CMP121</v>
      </c>
      <c r="EM217" s="928" t="str">
        <f t="shared" si="3"/>
        <v>Covered</v>
      </c>
      <c r="EN217" s="928"/>
      <c r="EO217" s="923">
        <f>VLOOKUP(WWWW[[#This Row],[Site Name]],SiteDB6[[Site Name]:[Pop
(Kachin/Shan-CCCM as of July 2021)]],16,FALSE)</f>
        <v>1592</v>
      </c>
      <c r="EP217" s="923">
        <f>VLOOKUP(WWWW[[#This Row],[Site Name]],SiteDB6[[Site Name]:[Pop
(Kachin/Shan-CCCM as of July 2021)]],17,FALSE)</f>
        <v>8220</v>
      </c>
    </row>
    <row r="218" spans="1:146">
      <c r="A218" s="921" t="s">
        <v>2786</v>
      </c>
      <c r="B218" s="921" t="s">
        <v>141</v>
      </c>
      <c r="C218" s="922" t="s">
        <v>141</v>
      </c>
      <c r="D218" s="922" t="s">
        <v>241</v>
      </c>
      <c r="E218" s="922" t="s">
        <v>37</v>
      </c>
      <c r="F218" s="922" t="s">
        <v>205</v>
      </c>
      <c r="G218" s="594" t="str">
        <f>VLOOKUP(WWWW[[#This Row],[Site Name]],SiteDB6[[Site Name]:[Location Type]],8,FALSE)</f>
        <v>Camp_not registered</v>
      </c>
      <c r="H218" s="922" t="s">
        <v>289</v>
      </c>
      <c r="I218" s="924">
        <v>440</v>
      </c>
      <c r="J218" s="924">
        <v>2199</v>
      </c>
      <c r="K218" s="925">
        <v>44105</v>
      </c>
      <c r="L218" s="926">
        <v>44681</v>
      </c>
      <c r="M218" s="924"/>
      <c r="N218" s="924"/>
      <c r="O218" s="924"/>
      <c r="P218" s="924"/>
      <c r="Q218" s="927" t="s">
        <v>41</v>
      </c>
      <c r="R218" s="924"/>
      <c r="S218" s="924"/>
      <c r="T218" s="449"/>
      <c r="U218" s="924"/>
      <c r="V218" s="924"/>
      <c r="W218" s="924">
        <v>1</v>
      </c>
      <c r="X218" s="924"/>
      <c r="Y218" s="924"/>
      <c r="Z218" s="924"/>
      <c r="AA218" s="924"/>
      <c r="AB218" s="924"/>
      <c r="AC218" s="924"/>
      <c r="AD218" s="924"/>
      <c r="AE218" s="924"/>
      <c r="AF218" s="924"/>
      <c r="AG218" s="924"/>
      <c r="AH218" s="924"/>
      <c r="AI218" s="924"/>
      <c r="AJ218" s="924"/>
      <c r="AK218" s="924"/>
      <c r="AL218" s="924"/>
      <c r="AM218" s="924">
        <v>20</v>
      </c>
      <c r="AN218" s="924"/>
      <c r="AO218" s="449"/>
      <c r="AP218" s="928"/>
      <c r="AQ218" s="924"/>
      <c r="AR218" s="924">
        <v>0</v>
      </c>
      <c r="AS218" s="929"/>
      <c r="AT218" s="924"/>
      <c r="AU218" s="924"/>
      <c r="AV218" s="924"/>
      <c r="AW218" s="924"/>
      <c r="AX218" s="924"/>
      <c r="AY218" s="923" t="s">
        <v>140</v>
      </c>
      <c r="AZ218" s="928" t="s">
        <v>140</v>
      </c>
      <c r="BA218" s="924"/>
      <c r="BB218" s="924"/>
      <c r="BC218" s="924">
        <v>51</v>
      </c>
      <c r="BD218" s="449"/>
      <c r="BE218" s="449"/>
      <c r="BF218" s="923"/>
      <c r="BG218" s="924">
        <v>3</v>
      </c>
      <c r="BH218" s="924"/>
      <c r="BI218" s="924"/>
      <c r="BJ218" s="924">
        <v>2</v>
      </c>
      <c r="BK218" s="924"/>
      <c r="BL218" s="924"/>
      <c r="BM218" s="924"/>
      <c r="BN218" s="924"/>
      <c r="BO218" s="924"/>
      <c r="BP218" s="923"/>
      <c r="BQ218" s="930"/>
      <c r="BR218" s="929"/>
      <c r="BS218" s="923"/>
      <c r="BT218" s="424"/>
      <c r="BU218" s="424"/>
      <c r="BV218" s="426"/>
      <c r="BW218" s="424"/>
      <c r="BX218" s="449"/>
      <c r="BY218" s="449"/>
      <c r="BZ218" s="449"/>
      <c r="CA218" s="449"/>
      <c r="CB218" s="449"/>
      <c r="CC218" s="807"/>
      <c r="CD218" s="449"/>
      <c r="CE218" s="931" t="str">
        <f>IFERROR(WWWW[[#This Row],['#_Water sources passed]]/WWWW[[#This Row],['#_Water sources tested for fecal coliform ]],"no test")</f>
        <v>no test</v>
      </c>
      <c r="CF218" s="929" t="str">
        <f>IFERROR(WWWW[[#This Row],['#_Household passed]]/WWWW[[#This Row],['#_Household water samples tested for fecal coliform]],"no test")</f>
        <v>no test</v>
      </c>
      <c r="CG218" s="930" t="str">
        <f>IF(AND(WWWW[[#This Row],[% of water sources passed]]="no test",WWWW[[#This Row],[% Household passed]]="no test"),"No Test","Tested")</f>
        <v>No Test</v>
      </c>
      <c r="CH218" s="930">
        <f>WWWW[[#This Row],['#_Constructed/existing protected hand dug well]]-WWWW[[#This Row],['#_Non-functional protected hand dug well]]</f>
        <v>0</v>
      </c>
      <c r="CI218" s="930">
        <f>(WWWW[[#This Row],['#_Constructed/Existing tube wells/boreholes/handpumps_WASH_agency]]+WWWW[[#This Row],['#_Non-Cluster partner water tube-wells/boreholes/handpumps]])-WWWW[[#This Row],['#_Non-functional tube wells/boreholes/handpumps]]</f>
        <v>1</v>
      </c>
      <c r="CJ218" s="930">
        <f>WWWW[[#This Row],['#_Constructed/Existingwater storage tank with gravity fed reticulation system]]-WWWW[[#This Row],['#_Non-functional storage tank gravity fed reticulation system]]</f>
        <v>0</v>
      </c>
      <c r="CK218" s="930">
        <f>(WWWW[[#This Row],['#_Water_Liters_supplied_by_Water boating or water trucking]]/90)/15</f>
        <v>0</v>
      </c>
      <c r="CL218" s="930">
        <f>WWWW[[#This Row],['#_Water_Liters_from_Constructed/Existing water distribution system from river or natural spring]]/90/15</f>
        <v>0</v>
      </c>
      <c r="CM218" s="425">
        <f>IF(WWWW[[#This Row],['#_of water points in TLS/CFS]]*500&gt;WWWW[[#This Row],[Total PoP ]],WWWW[[#This Row],[Total PoP ]],WWWW[[#This Row],['#_of water points in TLS/CFS]]*500)</f>
        <v>0</v>
      </c>
      <c r="CN218" s="425">
        <f>IF(WWWW[[#This Row],['#_of water points in THF]]*500&gt;WWWW[[#This Row],[Total PoP ]],WWWW[[#This Row],[Total PoP ]],WWWW[[#This Row],['#_of water points in THF]]*500)</f>
        <v>0</v>
      </c>
      <c r="CO21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P21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Q218" s="929">
        <f>IF(WWWW[[#This Row],[Location Type 1]]="Village",WWWW[[#This Row],[Access to safe drinking water for Village]],WWWW[[#This Row],[Access to safe drinking water for Camp]])</f>
        <v>0.22737608003638018</v>
      </c>
      <c r="CR218" s="927">
        <f>WWWW[[#This Row],[%Equitable and continuous access to sufficient quantity of safe drinking water]]*WWWW[[#This Row],[Total PoP ]]</f>
        <v>500</v>
      </c>
      <c r="CS218" s="929">
        <f>IF((WWWW[[#This Row],['#_Constructed/Existing protected/fenced ponds]]*250)/WWWW[[#This Row],[Total PoP ]]&gt;1,1,(WWWW[[#This Row],['#_Constructed/Existing protected/fenced ponds]]*250)/WWWW[[#This Row],[Total PoP ]])</f>
        <v>0</v>
      </c>
      <c r="CT218" s="927">
        <f>WWWW[[#This Row],[% Access to unimproved water points]]*WWWW[[#This Row],[Total PoP ]]</f>
        <v>0</v>
      </c>
      <c r="CU21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V21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218" s="927">
        <f>WWWW[[#This Row],[HRP1]]/500</f>
        <v>1</v>
      </c>
      <c r="CX218" s="932">
        <f>1-WWWW[[#This Row],[% Equitable and continuous access to sufficient quantity of domestic water]]</f>
        <v>0.77262391996361979</v>
      </c>
      <c r="CY218" s="927">
        <f>WWWW[[#This Row],[%equitable and continuous access to sufficient quantity of safe drinking and domestic water''s GAP]]*WWWW[[#This Row],[Total PoP ]]</f>
        <v>1699</v>
      </c>
      <c r="CZ218" s="930">
        <f>IF(WWWW[[#This Row],[Total required water points]]-WWWW[[#This Row],['#Water points coverage]]&lt;0,0,WWWW[[#This Row],[Total required water points]]-WWWW[[#This Row],['#Water points coverage]])</f>
        <v>3</v>
      </c>
      <c r="DA218" s="930">
        <f>ROUND(IF(WWWW[[#This Row],[Total PoP ]]&lt;500,1,WWWW[[#This Row],[Total PoP ]]/500),0)</f>
        <v>4</v>
      </c>
      <c r="DB218" s="930">
        <f>(WWWW[[#This Row],['#_Constructed latrines_by_WASHAgencies]]+WWWW[[#This Row],['#_Non Cluster partner latrines]])-WWWW[[#This Row],['#_Non-functional latrines]]</f>
        <v>0</v>
      </c>
      <c r="DC218" s="634">
        <f>WWWW[[#This Row],[HRP2]]/WWWW[[#This Row],[Total PoP ]]</f>
        <v>0</v>
      </c>
      <c r="DD21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1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8" s="425">
        <f>IF(WWWW[[#This Row],['# of functional latrines in THF supported by WASH partners during the reporting period2]]="",0,WWWW[[#This Row],['# of functional latrines in THF supported by WASH partners during the reporting period2]]*50)</f>
        <v>0</v>
      </c>
      <c r="DH218" s="930">
        <f>ROUND(IF(WWWW[[#This Row],[Location Type 1]]="camp",WWWW[[#This Row],[Total PoP ]]/20,IF(WWWW[[#This Row],[Location Type 1]]="Temporary Location",WWWW[[#This Row],[Total PoP ]]/50,(WWWW[[#This Row],[Total PoP ]]/6))),0)</f>
        <v>110</v>
      </c>
      <c r="DI218" s="930">
        <f>IF(WWWW[[#This Row],[Total required Latrines]]-(WWWW[[#This Row],['#_Constructed latrines_by_WASHAgencies]]+WWWW[[#This Row],['#_Non Cluster partner latrines]])&lt;0,0,WWWW[[#This Row],[Total required Latrines]]-(WWWW[[#This Row],['#_Constructed latrines_by_WASHAgencies]]+WWWW[[#This Row],['#_Non Cluster partner latrines]]))</f>
        <v>110</v>
      </c>
      <c r="DJ218" s="932">
        <f>1-WWWW[[#This Row],[% people access to functioning Latrine]]</f>
        <v>1</v>
      </c>
      <c r="DK218" s="931">
        <f>IF(OR(WWWW[[#This Row],['#_Non-functional latrines]]="",WWWW[[#This Row],['#_Non-functional latrines]]=0),0,WWWW[[#This Row],['#_Non-functional latrines]]/(WWWW[[#This Row],['#_Constructed latrines_by_WASHAgencies]]+WWWW[[#This Row],['#_Non Cluster partner latrines]]))</f>
        <v>0</v>
      </c>
      <c r="DL218" s="927">
        <f>IF(500*(WWWW[[#This Row],['#_male hygiene promoters]]+WWWW[[#This Row],['#_female hygiene promoters]])&gt;WWWW[[#This Row],[Total PoP ]],WWWW[[#This Row],[Total PoP ]],500*(WWWW[[#This Row],['#_male hygiene promoters]]+WWWW[[#This Row],['#_female hygiene promoters]]))</f>
        <v>0</v>
      </c>
      <c r="DM21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1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18" s="930">
        <f>IF(WWWW[[#This Row],['# People with access to soap]]&gt;WWWW[[#This Row],['# People with access to Sanity Pads]],WWWW[[#This Row],['# People with access to soap]],WWWW[[#This Row],['# People with access to Sanity Pads]])</f>
        <v>0</v>
      </c>
      <c r="DP21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18" s="932">
        <f>IF(WWWW[[#This Row],[HRP3]]/WWWW[[#This Row],[Total PoP ]]&gt;1,1,WWWW[[#This Row],[HRP3]]/WWWW[[#This Row],[Total PoP ]])</f>
        <v>0</v>
      </c>
      <c r="DR218" s="931">
        <f>1-WWWW[[#This Row],[Hygiene Coverage%]]</f>
        <v>1</v>
      </c>
      <c r="DS218" s="929">
        <f>WWWW[[#This Row],['# people reached by regular dedicated hygiene promotion_5]]/WWWW[[#This Row],[Total PoP ]]</f>
        <v>0</v>
      </c>
      <c r="DT21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1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18" s="930">
        <f>WWWW[[#This Row],['#_Constructed/Existing hand washing stations]]-WWWW[[#This Row],['#_Non-Functional_hand_washing_stations]]</f>
        <v>3</v>
      </c>
      <c r="DW218" s="927">
        <f>IF(WWWW[[#This Row],['# Functional hand washing stations during reporting period]]*20&gt;WWWW[[#This Row],[Total HH]],WWWW[[#This Row],[Total HH]],WWWW[[#This Row],['# Functional hand washing stations during reporting period]]*20)</f>
        <v>60</v>
      </c>
      <c r="DX218" s="927">
        <f>IF(WWWW[[#This Row],[Is sufficient soap available for TLS? (Yes/No)]]="yes",WWWW[[#This Row],['#_Constructed/Existing hand washing stations at TLS/CFS/THF]],0)</f>
        <v>0</v>
      </c>
      <c r="DY218" s="429">
        <f>IF(WWWW[[#This Row],['# Functional hand washing stations during reporting period]]*100&gt;WWWW[[#This Row],[Total PoP ]],WWWW[[#This Row],[Total PoP ]],WWWW[[#This Row],['# Functional hand washing stations during reporting period]]*100)</f>
        <v>300</v>
      </c>
      <c r="DZ218" s="429" t="str">
        <f>IF(OR(WWWW[[#This Row],['#_students at TLS_CFS]]="",WWWW[[#This Row],['#_students at TLS_CFS]]=0),"No","Yes")</f>
        <v>No</v>
      </c>
      <c r="EA21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1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8" s="923">
        <f>VLOOKUP(WWWW[[#This Row],[Site Name]],SiteDB6[[Site Name]:[CCCM Management]],6,FALSE)</f>
        <v>0</v>
      </c>
      <c r="EF218" s="923">
        <f>VLOOKUP(WWWW[[#This Row],[Site Name]],SiteDB6[[Site Name]:[CCCM Focal Agency]],7,FALSE)</f>
        <v>0</v>
      </c>
      <c r="EG218" s="923" t="str">
        <f>VLOOKUP(WWWW[[#This Row],[Site Name]],SiteDB6[[Site Name]:[Location Type 1]],9,FALSE)</f>
        <v>Camp</v>
      </c>
      <c r="EH218" s="923" t="str">
        <f>VLOOKUP(WWWW[[#This Row],[Site Name]],SiteDB6[[Site Name]:[Type of Accommodation]],10,FALSE)</f>
        <v>School</v>
      </c>
      <c r="EI218" s="923" t="str">
        <f>VLOOKUP(WWWW[[#This Row],[Site Name]],SiteDB6[[Site Name]:[Ethnic or GCA/NGCA]],11,FALSE)</f>
        <v>NGCA</v>
      </c>
      <c r="EJ218" s="923">
        <f>VLOOKUP(WWWW[[#This Row],[Site Name]],SiteDB6[[Site Name]:[Lat]],12,FALSE)</f>
        <v>0</v>
      </c>
      <c r="EK218" s="923">
        <f>VLOOKUP(WWWW[[#This Row],[Site Name]],SiteDB6[[Site Name]:[Long]],13,FALSE)</f>
        <v>0</v>
      </c>
      <c r="EL218" s="923">
        <f>VLOOKUP(WWWW[[#This Row],[Site Name]],SiteDB6[[Site Name]:[Pcode]],3,FALSE)</f>
        <v>0</v>
      </c>
      <c r="EM218" s="928" t="str">
        <f t="shared" si="3"/>
        <v>Covered</v>
      </c>
      <c r="EN218" s="928"/>
      <c r="EO218" s="923">
        <f>VLOOKUP(WWWW[[#This Row],[Site Name]],SiteDB6[[Site Name]:[Pop
(Kachin/Shan-CCCM as of July 2021)]],16,FALSE)</f>
        <v>0</v>
      </c>
      <c r="EP218" s="923">
        <f>VLOOKUP(WWWW[[#This Row],[Site Name]],SiteDB6[[Site Name]:[Pop
(Kachin/Shan-CCCM as of July 2021)]],17,FALSE)</f>
        <v>0</v>
      </c>
    </row>
    <row r="219" spans="1:146">
      <c r="A219" s="921" t="s">
        <v>2786</v>
      </c>
      <c r="B219" s="921" t="s">
        <v>2082</v>
      </c>
      <c r="C219" s="922" t="s">
        <v>141</v>
      </c>
      <c r="D219" s="922" t="s">
        <v>299</v>
      </c>
      <c r="E219" s="922" t="s">
        <v>37</v>
      </c>
      <c r="F219" s="922" t="s">
        <v>205</v>
      </c>
      <c r="G219" s="594" t="str">
        <f>VLOOKUP(WWWW[[#This Row],[Site Name]],SiteDB6[[Site Name]:[Location Type]],8,FALSE)</f>
        <v>Camp_not registered</v>
      </c>
      <c r="H219" s="922" t="s">
        <v>1535</v>
      </c>
      <c r="I219" s="946">
        <v>311</v>
      </c>
      <c r="J219" s="946">
        <v>1340</v>
      </c>
      <c r="K219" s="947">
        <v>44501</v>
      </c>
      <c r="L219" s="948">
        <v>44865</v>
      </c>
      <c r="M219" s="946">
        <v>153</v>
      </c>
      <c r="N219" s="924">
        <v>4</v>
      </c>
      <c r="O219" s="924"/>
      <c r="P219" s="924"/>
      <c r="Q219" s="927" t="s">
        <v>136</v>
      </c>
      <c r="R219" s="946">
        <v>3</v>
      </c>
      <c r="S219" s="946">
        <v>5</v>
      </c>
      <c r="T219" s="449">
        <v>3</v>
      </c>
      <c r="U219" s="924"/>
      <c r="V219" s="924"/>
      <c r="W219" s="924"/>
      <c r="X219" s="924"/>
      <c r="Y219" s="924"/>
      <c r="Z219" s="924"/>
      <c r="AA219" s="924"/>
      <c r="AB219" s="924"/>
      <c r="AC219" s="924"/>
      <c r="AD219" s="924"/>
      <c r="AE219" s="924"/>
      <c r="AF219" s="924"/>
      <c r="AG219" s="924"/>
      <c r="AH219" s="924"/>
      <c r="AI219" s="924">
        <v>5</v>
      </c>
      <c r="AJ219" s="924">
        <v>5</v>
      </c>
      <c r="AK219" s="924">
        <v>9</v>
      </c>
      <c r="AL219" s="924">
        <v>9</v>
      </c>
      <c r="AM219" s="924"/>
      <c r="AN219" s="924"/>
      <c r="AO219" s="449"/>
      <c r="AP219" s="928"/>
      <c r="AQ219" s="946">
        <v>19</v>
      </c>
      <c r="AR219" s="924"/>
      <c r="AS219" s="929"/>
      <c r="AT219" s="924"/>
      <c r="AU219" s="924"/>
      <c r="AV219" s="924"/>
      <c r="AW219" s="924"/>
      <c r="AX219" s="924">
        <v>0</v>
      </c>
      <c r="AY219" s="923" t="s">
        <v>41</v>
      </c>
      <c r="AZ219" s="928" t="s">
        <v>137</v>
      </c>
      <c r="BA219" s="924"/>
      <c r="BB219" s="924"/>
      <c r="BC219" s="924"/>
      <c r="BD219" s="449"/>
      <c r="BE219" s="449"/>
      <c r="BF219" s="923"/>
      <c r="BG219" s="946">
        <v>14</v>
      </c>
      <c r="BH219" s="924"/>
      <c r="BI219" s="924"/>
      <c r="BJ219" s="924">
        <v>2</v>
      </c>
      <c r="BK219" s="924"/>
      <c r="BL219" s="946">
        <v>3</v>
      </c>
      <c r="BM219" s="946">
        <v>5</v>
      </c>
      <c r="BN219" s="946">
        <v>311</v>
      </c>
      <c r="BO219" s="946">
        <f>1340*0.35</f>
        <v>468.99999999999994</v>
      </c>
      <c r="BP219" s="923" t="s">
        <v>41</v>
      </c>
      <c r="BQ219" s="949">
        <v>1</v>
      </c>
      <c r="BR219" s="950">
        <v>0.3</v>
      </c>
      <c r="BS219" s="923"/>
      <c r="BT219" s="424">
        <v>0.8</v>
      </c>
      <c r="BU219" s="424">
        <v>0.8</v>
      </c>
      <c r="BV219" s="426">
        <v>20</v>
      </c>
      <c r="BW219" s="424">
        <v>0.8</v>
      </c>
      <c r="BX219" s="449"/>
      <c r="BY219" s="449"/>
      <c r="BZ219" s="449"/>
      <c r="CA219" s="449"/>
      <c r="CB219" s="449"/>
      <c r="CC219" s="807"/>
      <c r="CD219" s="449"/>
      <c r="CE219" s="931">
        <f>IFERROR(WWWW[[#This Row],['#_Water sources passed]]/WWWW[[#This Row],['#_Water sources tested for fecal coliform ]],"no test")</f>
        <v>1</v>
      </c>
      <c r="CF219" s="929">
        <f>IFERROR(WWWW[[#This Row],['#_Household passed]]/WWWW[[#This Row],['#_Household water samples tested for fecal coliform]],"no test")</f>
        <v>1</v>
      </c>
      <c r="CG219" s="930" t="str">
        <f>IF(AND(WWWW[[#This Row],[% of water sources passed]]="no test",WWWW[[#This Row],[% Household passed]]="no test"),"No Test","Tested")</f>
        <v>Tested</v>
      </c>
      <c r="CH219" s="930">
        <f>WWWW[[#This Row],['#_Constructed/existing protected hand dug well]]-WWWW[[#This Row],['#_Non-functional protected hand dug well]]</f>
        <v>3</v>
      </c>
      <c r="CI219" s="930">
        <f>(WWWW[[#This Row],['#_Constructed/Existing tube wells/boreholes/handpumps_WASH_agency]]+WWWW[[#This Row],['#_Non-Cluster partner water tube-wells/boreholes/handpumps]])-WWWW[[#This Row],['#_Non-functional tube wells/boreholes/handpumps]]</f>
        <v>0</v>
      </c>
      <c r="CJ219" s="930">
        <f>WWWW[[#This Row],['#_Constructed/Existingwater storage tank with gravity fed reticulation system]]-WWWW[[#This Row],['#_Non-functional storage tank gravity fed reticulation system]]</f>
        <v>0</v>
      </c>
      <c r="CK219" s="930">
        <f>(WWWW[[#This Row],['#_Water_Liters_supplied_by_Water boating or water trucking]]/90)/15</f>
        <v>0</v>
      </c>
      <c r="CL219" s="930">
        <f>WWWW[[#This Row],['#_Water_Liters_from_Constructed/Existing water distribution system from river or natural spring]]/90/15</f>
        <v>0</v>
      </c>
      <c r="CM219" s="425">
        <f>IF(WWWW[[#This Row],['#_of water points in TLS/CFS]]*500&gt;WWWW[[#This Row],[Total PoP ]],WWWW[[#This Row],[Total PoP ]],WWWW[[#This Row],['#_of water points in TLS/CFS]]*500)</f>
        <v>0</v>
      </c>
      <c r="CN219" s="425">
        <f>IF(WWWW[[#This Row],['#_of water points in THF]]*500&gt;WWWW[[#This Row],[Total PoP ]],WWWW[[#This Row],[Total PoP ]],WWWW[[#This Row],['#_of water points in THF]]*500)</f>
        <v>0</v>
      </c>
      <c r="CO21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0.89552238805970152</v>
      </c>
      <c r="CP21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0.55970149253731338</v>
      </c>
      <c r="CQ219" s="929">
        <f>IF(WWWW[[#This Row],[Location Type 1]]="Village",WWWW[[#This Row],[Access to safe drinking water for Village]],WWWW[[#This Row],[Access to safe drinking water for Camp]])</f>
        <v>0.89552238805970152</v>
      </c>
      <c r="CR219" s="927">
        <f>WWWW[[#This Row],[%Equitable and continuous access to sufficient quantity of safe drinking water]]*WWWW[[#This Row],[Total PoP ]]</f>
        <v>1200</v>
      </c>
      <c r="CS219" s="929">
        <f>IF((WWWW[[#This Row],['#_Constructed/Existing protected/fenced ponds]]*250)/WWWW[[#This Row],[Total PoP ]]&gt;1,1,(WWWW[[#This Row],['#_Constructed/Existing protected/fenced ponds]]*250)/WWWW[[#This Row],[Total PoP ]])</f>
        <v>0</v>
      </c>
      <c r="CT219" s="927">
        <f>WWWW[[#This Row],[% Access to unimproved water points]]*WWWW[[#This Row],[Total PoP ]]</f>
        <v>0</v>
      </c>
      <c r="CU21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0.89552238805970152</v>
      </c>
      <c r="CV21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W219" s="927">
        <f>WWWW[[#This Row],[HRP1]]/500</f>
        <v>2.4</v>
      </c>
      <c r="CX219" s="932">
        <f>1-WWWW[[#This Row],[% Equitable and continuous access to sufficient quantity of domestic water]]</f>
        <v>0.10447761194029848</v>
      </c>
      <c r="CY219" s="927">
        <f>WWWW[[#This Row],[%equitable and continuous access to sufficient quantity of safe drinking and domestic water''s GAP]]*WWWW[[#This Row],[Total PoP ]]</f>
        <v>139.99999999999997</v>
      </c>
      <c r="CZ219" s="930">
        <f>IF(WWWW[[#This Row],[Total required water points]]-WWWW[[#This Row],['#Water points coverage]]&lt;0,0,WWWW[[#This Row],[Total required water points]]-WWWW[[#This Row],['#Water points coverage]])</f>
        <v>0.60000000000000009</v>
      </c>
      <c r="DA219" s="930">
        <f>ROUND(IF(WWWW[[#This Row],[Total PoP ]]&lt;500,1,WWWW[[#This Row],[Total PoP ]]/500),0)</f>
        <v>3</v>
      </c>
      <c r="DB219" s="930">
        <f>(WWWW[[#This Row],['#_Constructed latrines_by_WASHAgencies]]+WWWW[[#This Row],['#_Non Cluster partner latrines]])-WWWW[[#This Row],['#_Non-functional latrines]]</f>
        <v>19</v>
      </c>
      <c r="DC219" s="634">
        <f>WWWW[[#This Row],[HRP2]]/WWWW[[#This Row],[Total PoP ]]</f>
        <v>0.28358208955223879</v>
      </c>
      <c r="DD21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380</v>
      </c>
      <c r="DE21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1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19" s="425">
        <f>IF(WWWW[[#This Row],['# of functional latrines in THF supported by WASH partners during the reporting period2]]="",0,WWWW[[#This Row],['# of functional latrines in THF supported by WASH partners during the reporting period2]]*50)</f>
        <v>0</v>
      </c>
      <c r="DH219" s="930">
        <f>ROUND(IF(WWWW[[#This Row],[Location Type 1]]="camp",WWWW[[#This Row],[Total PoP ]]/20,IF(WWWW[[#This Row],[Location Type 1]]="Temporary Location",WWWW[[#This Row],[Total PoP ]]/50,(WWWW[[#This Row],[Total PoP ]]/6))),0)</f>
        <v>67</v>
      </c>
      <c r="DI219" s="930">
        <f>IF(WWWW[[#This Row],[Total required Latrines]]-(WWWW[[#This Row],['#_Constructed latrines_by_WASHAgencies]]+WWWW[[#This Row],['#_Non Cluster partner latrines]])&lt;0,0,WWWW[[#This Row],[Total required Latrines]]-(WWWW[[#This Row],['#_Constructed latrines_by_WASHAgencies]]+WWWW[[#This Row],['#_Non Cluster partner latrines]]))</f>
        <v>48</v>
      </c>
      <c r="DJ219" s="932">
        <f>1-WWWW[[#This Row],[% people access to functioning Latrine]]</f>
        <v>0.71641791044776126</v>
      </c>
      <c r="DK219" s="931">
        <f>IF(OR(WWWW[[#This Row],['#_Non-functional latrines]]="",WWWW[[#This Row],['#_Non-functional latrines]]=0),0,WWWW[[#This Row],['#_Non-functional latrines]]/(WWWW[[#This Row],['#_Constructed latrines_by_WASHAgencies]]+WWWW[[#This Row],['#_Non Cluster partner latrines]]))</f>
        <v>0</v>
      </c>
      <c r="DL219" s="927">
        <f>IF(500*(WWWW[[#This Row],['#_male hygiene promoters]]+WWWW[[#This Row],['#_female hygiene promoters]])&gt;WWWW[[#This Row],[Total PoP ]],WWWW[[#This Row],[Total PoP ]],500*(WWWW[[#This Row],['#_male hygiene promoters]]+WWWW[[#This Row],['#_female hygiene promoters]]))</f>
        <v>1340</v>
      </c>
      <c r="DM21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1340</v>
      </c>
      <c r="DN21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468.99999999999994</v>
      </c>
      <c r="DO219" s="930">
        <f>IF(WWWW[[#This Row],['# People with access to soap]]&gt;WWWW[[#This Row],['# People with access to Sanity Pads]],WWWW[[#This Row],['# People with access to soap]],WWWW[[#This Row],['# People with access to Sanity Pads]])</f>
        <v>1340</v>
      </c>
      <c r="DP219" s="930">
        <f>IF(WWWW[[#This Row],['# people reached by regular dedicated hygiene promotion_5]]&gt;WWWW[[#This Row],['# People received regular supply of hygiene items_6]],WWWW[[#This Row],['# people reached by regular dedicated hygiene promotion_5]],WWWW[[#This Row],['# People received regular supply of hygiene items_6]])</f>
        <v>1340</v>
      </c>
      <c r="DQ219" s="932">
        <f>IF(WWWW[[#This Row],[HRP3]]/WWWW[[#This Row],[Total PoP ]]&gt;1,1,WWWW[[#This Row],[HRP3]]/WWWW[[#This Row],[Total PoP ]])</f>
        <v>1</v>
      </c>
      <c r="DR219" s="931">
        <f>1-WWWW[[#This Row],[Hygiene Coverage%]]</f>
        <v>0</v>
      </c>
      <c r="DS219" s="929">
        <f>WWWW[[#This Row],['# people reached by regular dedicated hygiene promotion_5]]/WWWW[[#This Row],[Total PoP ]]</f>
        <v>1</v>
      </c>
      <c r="DT21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1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19" s="930">
        <f>WWWW[[#This Row],['#_Constructed/Existing hand washing stations]]-WWWW[[#This Row],['#_Non-Functional_hand_washing_stations]]</f>
        <v>14</v>
      </c>
      <c r="DW219" s="927">
        <f>IF(WWWW[[#This Row],['# Functional hand washing stations during reporting period]]*20&gt;WWWW[[#This Row],[Total HH]],WWWW[[#This Row],[Total HH]],WWWW[[#This Row],['# Functional hand washing stations during reporting period]]*20)</f>
        <v>280</v>
      </c>
      <c r="DX219" s="927">
        <f>IF(WWWW[[#This Row],[Is sufficient soap available for TLS? (Yes/No)]]="yes",WWWW[[#This Row],['#_Constructed/Existing hand washing stations at TLS/CFS/THF]],0)</f>
        <v>0</v>
      </c>
      <c r="DY219" s="429">
        <f>IF(WWWW[[#This Row],['# Functional hand washing stations during reporting period]]*100&gt;WWWW[[#This Row],[Total PoP ]],WWWW[[#This Row],[Total PoP ]],WWWW[[#This Row],['# Functional hand washing stations during reporting period]]*100)</f>
        <v>1340</v>
      </c>
      <c r="DZ219" s="429" t="str">
        <f>IF(OR(WWWW[[#This Row],['#_students at TLS_CFS]]="",WWWW[[#This Row],['#_students at TLS_CFS]]=0),"No","Yes")</f>
        <v>Yes</v>
      </c>
      <c r="EA219" s="634">
        <f>IF(WWWW[[#This Row],['#_of_affected_people_surveyed_who_report_feeling_informed_about_the_different_WASH_services_available_to_them]]="","",WWWW[[#This Row],['#_of_affected_people_surveyed_who_report_feeling_informed_about_the_different_WASH_services_available_to_them]]/WWWW[[#This Row],[Total PoP ]])</f>
        <v>1.4925373134328358E-2</v>
      </c>
      <c r="EB21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1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1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19" s="923">
        <f>VLOOKUP(WWWW[[#This Row],[Site Name]],SiteDB6[[Site Name]:[CCCM Management]],6,FALSE)</f>
        <v>0</v>
      </c>
      <c r="EF219" s="923">
        <f>VLOOKUP(WWWW[[#This Row],[Site Name]],SiteDB6[[Site Name]:[CCCM Focal Agency]],7,FALSE)</f>
        <v>0</v>
      </c>
      <c r="EG219" s="923" t="str">
        <f>VLOOKUP(WWWW[[#This Row],[Site Name]],SiteDB6[[Site Name]:[Location Type 1]],9,FALSE)</f>
        <v>Camp</v>
      </c>
      <c r="EH219" s="923" t="str">
        <f>VLOOKUP(WWWW[[#This Row],[Site Name]],SiteDB6[[Site Name]:[Type of Accommodation]],10,FALSE)</f>
        <v>Camp</v>
      </c>
      <c r="EI219" s="923" t="str">
        <f>VLOOKUP(WWWW[[#This Row],[Site Name]],SiteDB6[[Site Name]:[Ethnic or GCA/NGCA]],11,FALSE)</f>
        <v>GCA</v>
      </c>
      <c r="EJ219" s="923">
        <f>VLOOKUP(WWWW[[#This Row],[Site Name]],SiteDB6[[Site Name]:[Lat]],12,FALSE)</f>
        <v>0</v>
      </c>
      <c r="EK219" s="923">
        <f>VLOOKUP(WWWW[[#This Row],[Site Name]],SiteDB6[[Site Name]:[Long]],13,FALSE)</f>
        <v>0</v>
      </c>
      <c r="EL219" s="923">
        <f>VLOOKUP(WWWW[[#This Row],[Site Name]],SiteDB6[[Site Name]:[Pcode]],3,FALSE)</f>
        <v>0</v>
      </c>
      <c r="EM219" s="928" t="str">
        <f t="shared" si="3"/>
        <v>Covered</v>
      </c>
      <c r="EN219" s="928"/>
      <c r="EO219" s="923">
        <f>VLOOKUP(WWWW[[#This Row],[Site Name]],SiteDB6[[Site Name]:[Pop
(Kachin/Shan-CCCM as of July 2021)]],16,FALSE)</f>
        <v>0</v>
      </c>
      <c r="EP219" s="923">
        <f>VLOOKUP(WWWW[[#This Row],[Site Name]],SiteDB6[[Site Name]:[Pop
(Kachin/Shan-CCCM as of July 2021)]],17,FALSE)</f>
        <v>0</v>
      </c>
    </row>
    <row r="220" spans="1:146">
      <c r="A220" s="921" t="s">
        <v>2786</v>
      </c>
      <c r="B220" s="921" t="s">
        <v>3097</v>
      </c>
      <c r="C220" s="922" t="s">
        <v>141</v>
      </c>
      <c r="D220" s="922" t="s">
        <v>3105</v>
      </c>
      <c r="E220" s="922" t="s">
        <v>37</v>
      </c>
      <c r="F220" s="922" t="s">
        <v>159</v>
      </c>
      <c r="G220" s="594" t="str">
        <f>VLOOKUP(WWWW[[#This Row],[Site Name]],SiteDB6[[Site Name]:[Location Type]],8,FALSE)</f>
        <v>Camp</v>
      </c>
      <c r="H220" s="922" t="s">
        <v>160</v>
      </c>
      <c r="I220" s="924">
        <v>43</v>
      </c>
      <c r="J220" s="924">
        <v>193</v>
      </c>
      <c r="K220" s="925">
        <v>44682</v>
      </c>
      <c r="L220" s="926">
        <v>44865</v>
      </c>
      <c r="M220" s="924"/>
      <c r="N220" s="924">
        <v>1</v>
      </c>
      <c r="O220" s="924"/>
      <c r="P220" s="924"/>
      <c r="Q220" s="927" t="s">
        <v>41</v>
      </c>
      <c r="R220" s="924">
        <v>2</v>
      </c>
      <c r="S220" s="924">
        <v>2</v>
      </c>
      <c r="T220" s="449">
        <v>3</v>
      </c>
      <c r="U220" s="924">
        <v>1</v>
      </c>
      <c r="V220" s="924"/>
      <c r="W220" s="924">
        <v>3</v>
      </c>
      <c r="X220" s="924"/>
      <c r="Y220" s="924"/>
      <c r="Z220" s="924"/>
      <c r="AA220" s="924"/>
      <c r="AB220" s="924"/>
      <c r="AC220" s="924"/>
      <c r="AD220" s="924"/>
      <c r="AE220" s="924">
        <v>3</v>
      </c>
      <c r="AF220" s="924"/>
      <c r="AG220" s="924"/>
      <c r="AH220" s="924">
        <v>3</v>
      </c>
      <c r="AI220" s="924"/>
      <c r="AJ220" s="924"/>
      <c r="AK220" s="924"/>
      <c r="AL220" s="924"/>
      <c r="AM220" s="924"/>
      <c r="AN220" s="924"/>
      <c r="AO220" s="449"/>
      <c r="AP220" s="928"/>
      <c r="AQ220" s="924">
        <v>6</v>
      </c>
      <c r="AR220" s="924"/>
      <c r="AS220" s="929"/>
      <c r="AT220" s="924">
        <v>1</v>
      </c>
      <c r="AU220" s="924"/>
      <c r="AV220" s="924"/>
      <c r="AW220" s="924"/>
      <c r="AX220" s="924">
        <v>6</v>
      </c>
      <c r="AY220" s="923" t="s">
        <v>41</v>
      </c>
      <c r="AZ220" s="928" t="s">
        <v>137</v>
      </c>
      <c r="BA220" s="924"/>
      <c r="BB220" s="924"/>
      <c r="BC220" s="924"/>
      <c r="BD220" s="449"/>
      <c r="BE220" s="449"/>
      <c r="BF220" s="923"/>
      <c r="BG220" s="924">
        <v>5</v>
      </c>
      <c r="BH220" s="924"/>
      <c r="BI220" s="924"/>
      <c r="BJ220" s="924">
        <v>3</v>
      </c>
      <c r="BK220" s="924"/>
      <c r="BL220" s="924">
        <v>1</v>
      </c>
      <c r="BM220" s="924"/>
      <c r="BN220" s="924"/>
      <c r="BO220" s="924"/>
      <c r="BP220" s="923"/>
      <c r="BQ220" s="930"/>
      <c r="BR220" s="929"/>
      <c r="BS220" s="923"/>
      <c r="BT220" s="424"/>
      <c r="BU220" s="424"/>
      <c r="BV220" s="426"/>
      <c r="BW220" s="424"/>
      <c r="BX220" s="449"/>
      <c r="BY220" s="449"/>
      <c r="BZ220" s="449"/>
      <c r="CA220" s="449"/>
      <c r="CB220" s="449"/>
      <c r="CC220" s="807"/>
      <c r="CD220" s="449"/>
      <c r="CE220" s="931" t="str">
        <f>IFERROR(WWWW[[#This Row],['#_Water sources passed]]/WWWW[[#This Row],['#_Water sources tested for fecal coliform ]],"no test")</f>
        <v>no test</v>
      </c>
      <c r="CF220" s="929" t="str">
        <f>IFERROR(WWWW[[#This Row],['#_Household passed]]/WWWW[[#This Row],['#_Household water samples tested for fecal coliform]],"no test")</f>
        <v>no test</v>
      </c>
      <c r="CG220" s="930" t="str">
        <f>IF(AND(WWWW[[#This Row],[% of water sources passed]]="no test",WWWW[[#This Row],[% Household passed]]="no test"),"No Test","Tested")</f>
        <v>No Test</v>
      </c>
      <c r="CH220" s="930">
        <f>WWWW[[#This Row],['#_Constructed/existing protected hand dug well]]-WWWW[[#This Row],['#_Non-functional protected hand dug well]]</f>
        <v>2</v>
      </c>
      <c r="CI220" s="930">
        <f>(WWWW[[#This Row],['#_Constructed/Existing tube wells/boreholes/handpumps_WASH_agency]]+WWWW[[#This Row],['#_Non-Cluster partner water tube-wells/boreholes/handpumps]])-WWWW[[#This Row],['#_Non-functional tube wells/boreholes/handpumps]]</f>
        <v>3</v>
      </c>
      <c r="CJ220" s="930">
        <f>WWWW[[#This Row],['#_Constructed/Existingwater storage tank with gravity fed reticulation system]]-WWWW[[#This Row],['#_Non-functional storage tank gravity fed reticulation system]]</f>
        <v>0</v>
      </c>
      <c r="CK220" s="930">
        <f>(WWWW[[#This Row],['#_Water_Liters_supplied_by_Water boating or water trucking]]/90)/15</f>
        <v>0</v>
      </c>
      <c r="CL220" s="930">
        <f>WWWW[[#This Row],['#_Water_Liters_from_Constructed/Existing water distribution system from river or natural spring]]/90/15</f>
        <v>0</v>
      </c>
      <c r="CM220" s="425">
        <f>IF(WWWW[[#This Row],['#_of water points in TLS/CFS]]*500&gt;WWWW[[#This Row],[Total PoP ]],WWWW[[#This Row],[Total PoP ]],WWWW[[#This Row],['#_of water points in TLS/CFS]]*500)</f>
        <v>0</v>
      </c>
      <c r="CN220" s="425">
        <f>IF(WWWW[[#This Row],['#_of water points in THF]]*500&gt;WWWW[[#This Row],[Total PoP ]],WWWW[[#This Row],[Total PoP ]],WWWW[[#This Row],['#_of water points in THF]]*500)</f>
        <v>0</v>
      </c>
      <c r="CO22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0" s="929">
        <f>IF(WWWW[[#This Row],[Location Type 1]]="Village",WWWW[[#This Row],[Access to safe drinking water for Village]],WWWW[[#This Row],[Access to safe drinking water for Camp]])</f>
        <v>1</v>
      </c>
      <c r="CR220" s="927">
        <f>WWWW[[#This Row],[%Equitable and continuous access to sufficient quantity of safe drinking water]]*WWWW[[#This Row],[Total PoP ]]</f>
        <v>193</v>
      </c>
      <c r="CS220" s="929">
        <f>IF((WWWW[[#This Row],['#_Constructed/Existing protected/fenced ponds]]*250)/WWWW[[#This Row],[Total PoP ]]&gt;1,1,(WWWW[[#This Row],['#_Constructed/Existing protected/fenced ponds]]*250)/WWWW[[#This Row],[Total PoP ]])</f>
        <v>1</v>
      </c>
      <c r="CT220" s="927">
        <f>WWWW[[#This Row],[% Access to unimproved water points]]*WWWW[[#This Row],[Total PoP ]]</f>
        <v>193</v>
      </c>
      <c r="CU22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220" s="927">
        <f>WWWW[[#This Row],[HRP1]]/500</f>
        <v>0.38600000000000001</v>
      </c>
      <c r="CX220" s="932">
        <f>1-WWWW[[#This Row],[% Equitable and continuous access to sufficient quantity of domestic water]]</f>
        <v>0</v>
      </c>
      <c r="CY220" s="927">
        <f>WWWW[[#This Row],[%equitable and continuous access to sufficient quantity of safe drinking and domestic water''s GAP]]*WWWW[[#This Row],[Total PoP ]]</f>
        <v>0</v>
      </c>
      <c r="CZ220" s="930">
        <f>IF(WWWW[[#This Row],[Total required water points]]-WWWW[[#This Row],['#Water points coverage]]&lt;0,0,WWWW[[#This Row],[Total required water points]]-WWWW[[#This Row],['#Water points coverage]])</f>
        <v>0.61399999999999999</v>
      </c>
      <c r="DA220" s="930">
        <f>ROUND(IF(WWWW[[#This Row],[Total PoP ]]&lt;500,1,WWWW[[#This Row],[Total PoP ]]/500),0)</f>
        <v>1</v>
      </c>
      <c r="DB220" s="930">
        <f>(WWWW[[#This Row],['#_Constructed latrines_by_WASHAgencies]]+WWWW[[#This Row],['#_Non Cluster partner latrines]])-WWWW[[#This Row],['#_Non-functional latrines]]</f>
        <v>5</v>
      </c>
      <c r="DC220" s="634">
        <f>WWWW[[#This Row],[HRP2]]/WWWW[[#This Row],[Total PoP ]]</f>
        <v>0.51813471502590669</v>
      </c>
      <c r="DD22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2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0" s="425">
        <f>IF(WWWW[[#This Row],['# of functional latrines in THF supported by WASH partners during the reporting period2]]="",0,WWWW[[#This Row],['# of functional latrines in THF supported by WASH partners during the reporting period2]]*50)</f>
        <v>0</v>
      </c>
      <c r="DH220" s="930">
        <f>ROUND(IF(WWWW[[#This Row],[Location Type 1]]="camp",WWWW[[#This Row],[Total PoP ]]/20,IF(WWWW[[#This Row],[Location Type 1]]="Temporary Location",WWWW[[#This Row],[Total PoP ]]/50,(WWWW[[#This Row],[Total PoP ]]/6))),0)</f>
        <v>10</v>
      </c>
      <c r="DI220" s="930">
        <f>IF(WWWW[[#This Row],[Total required Latrines]]-(WWWW[[#This Row],['#_Constructed latrines_by_WASHAgencies]]+WWWW[[#This Row],['#_Non Cluster partner latrines]])&lt;0,0,WWWW[[#This Row],[Total required Latrines]]-(WWWW[[#This Row],['#_Constructed latrines_by_WASHAgencies]]+WWWW[[#This Row],['#_Non Cluster partner latrines]]))</f>
        <v>4</v>
      </c>
      <c r="DJ220" s="932">
        <f>1-WWWW[[#This Row],[% people access to functioning Latrine]]</f>
        <v>0.48186528497409331</v>
      </c>
      <c r="DK220" s="931">
        <f>IF(OR(WWWW[[#This Row],['#_Non-functional latrines]]="",WWWW[[#This Row],['#_Non-functional latrines]]=0),0,WWWW[[#This Row],['#_Non-functional latrines]]/(WWWW[[#This Row],['#_Constructed latrines_by_WASHAgencies]]+WWWW[[#This Row],['#_Non Cluster partner latrines]]))</f>
        <v>0.16666666666666666</v>
      </c>
      <c r="DL220" s="927">
        <f>IF(500*(WWWW[[#This Row],['#_male hygiene promoters]]+WWWW[[#This Row],['#_female hygiene promoters]])&gt;WWWW[[#This Row],[Total PoP ]],WWWW[[#This Row],[Total PoP ]],500*(WWWW[[#This Row],['#_male hygiene promoters]]+WWWW[[#This Row],['#_female hygiene promoters]]))</f>
        <v>193</v>
      </c>
      <c r="DM22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0" s="930">
        <f>IF(WWWW[[#This Row],['# People with access to soap]]&gt;WWWW[[#This Row],['# People with access to Sanity Pads]],WWWW[[#This Row],['# People with access to soap]],WWWW[[#This Row],['# People with access to Sanity Pads]])</f>
        <v>0</v>
      </c>
      <c r="DP220" s="930">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220" s="932">
        <f>IF(WWWW[[#This Row],[HRP3]]/WWWW[[#This Row],[Total PoP ]]&gt;1,1,WWWW[[#This Row],[HRP3]]/WWWW[[#This Row],[Total PoP ]])</f>
        <v>1</v>
      </c>
      <c r="DR220" s="931">
        <f>1-WWWW[[#This Row],[Hygiene Coverage%]]</f>
        <v>0</v>
      </c>
      <c r="DS220" s="929">
        <f>WWWW[[#This Row],['# people reached by regular dedicated hygiene promotion_5]]/WWWW[[#This Row],[Total PoP ]]</f>
        <v>1</v>
      </c>
      <c r="DT22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0" s="930">
        <f>WWWW[[#This Row],['#_Constructed/Existing hand washing stations]]-WWWW[[#This Row],['#_Non-Functional_hand_washing_stations]]</f>
        <v>5</v>
      </c>
      <c r="DW220" s="927">
        <f>IF(WWWW[[#This Row],['# Functional hand washing stations during reporting period]]*20&gt;WWWW[[#This Row],[Total HH]],WWWW[[#This Row],[Total HH]],WWWW[[#This Row],['# Functional hand washing stations during reporting period]]*20)</f>
        <v>43</v>
      </c>
      <c r="DX220" s="927">
        <f>IF(WWWW[[#This Row],[Is sufficient soap available for TLS? (Yes/No)]]="yes",WWWW[[#This Row],['#_Constructed/Existing hand washing stations at TLS/CFS/THF]],0)</f>
        <v>0</v>
      </c>
      <c r="DY220" s="429">
        <f>IF(WWWW[[#This Row],['# Functional hand washing stations during reporting period]]*100&gt;WWWW[[#This Row],[Total PoP ]],WWWW[[#This Row],[Total PoP ]],WWWW[[#This Row],['# Functional hand washing stations during reporting period]]*100)</f>
        <v>193</v>
      </c>
      <c r="DZ220" s="429" t="str">
        <f>IF(OR(WWWW[[#This Row],['#_students at TLS_CFS]]="",WWWW[[#This Row],['#_students at TLS_CFS]]=0),"No","Yes")</f>
        <v>No</v>
      </c>
      <c r="EA22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0" s="923" t="str">
        <f>VLOOKUP(WWWW[[#This Row],[Site Name]],SiteDB6[[Site Name]:[CCCM Management]],6,FALSE)</f>
        <v>Yes</v>
      </c>
      <c r="EF220" s="923" t="str">
        <f>VLOOKUP(WWWW[[#This Row],[Site Name]],SiteDB6[[Site Name]:[CCCM Focal Agency]],7,FALSE)</f>
        <v>KBC-MYT</v>
      </c>
      <c r="EG220" s="923" t="str">
        <f>VLOOKUP(WWWW[[#This Row],[Site Name]],SiteDB6[[Site Name]:[Location Type 1]],9,FALSE)</f>
        <v>Camp</v>
      </c>
      <c r="EH220" s="923" t="str">
        <f>VLOOKUP(WWWW[[#This Row],[Site Name]],SiteDB6[[Site Name]:[Type of Accommodation]],10,FALSE)</f>
        <v>Camp</v>
      </c>
      <c r="EI220" s="923" t="str">
        <f>VLOOKUP(WWWW[[#This Row],[Site Name]],SiteDB6[[Site Name]:[Ethnic or GCA/NGCA]],11,FALSE)</f>
        <v>GCA</v>
      </c>
      <c r="EJ220" s="923">
        <f>VLOOKUP(WWWW[[#This Row],[Site Name]],SiteDB6[[Site Name]:[Lat]],12,FALSE)</f>
        <v>25.3959740909091</v>
      </c>
      <c r="EK220" s="923">
        <f>VLOOKUP(WWWW[[#This Row],[Site Name]],SiteDB6[[Site Name]:[Long]],13,FALSE)</f>
        <v>97.382997575757599</v>
      </c>
      <c r="EL220" s="923" t="str">
        <f>VLOOKUP(WWWW[[#This Row],[Site Name]],SiteDB6[[Site Name]:[Pcode]],3,FALSE)</f>
        <v>MMR001CMP010</v>
      </c>
      <c r="EM220" s="928" t="str">
        <f t="shared" si="3"/>
        <v>Covered</v>
      </c>
      <c r="EN220" s="928"/>
      <c r="EO220" s="923">
        <f>VLOOKUP(WWWW[[#This Row],[Site Name]],SiteDB6[[Site Name]:[Pop
(Kachin/Shan-CCCM as of July 2021)]],16,FALSE)</f>
        <v>44</v>
      </c>
      <c r="EP220" s="923">
        <f>VLOOKUP(WWWW[[#This Row],[Site Name]],SiteDB6[[Site Name]:[Pop
(Kachin/Shan-CCCM as of July 2021)]],17,FALSE)</f>
        <v>196</v>
      </c>
    </row>
    <row r="221" spans="1:146">
      <c r="A221" s="921" t="s">
        <v>2786</v>
      </c>
      <c r="B221" s="921" t="s">
        <v>3097</v>
      </c>
      <c r="C221" s="922" t="s">
        <v>141</v>
      </c>
      <c r="D221" s="370" t="s">
        <v>3105</v>
      </c>
      <c r="E221" s="922" t="s">
        <v>37</v>
      </c>
      <c r="F221" s="922" t="s">
        <v>159</v>
      </c>
      <c r="G221" s="594" t="str">
        <f>VLOOKUP(WWWW[[#This Row],[Site Name]],SiteDB6[[Site Name]:[Location Type]],8,FALSE)</f>
        <v>Camp</v>
      </c>
      <c r="H221" s="922" t="s">
        <v>161</v>
      </c>
      <c r="I221" s="924">
        <v>201</v>
      </c>
      <c r="J221" s="924">
        <v>1184</v>
      </c>
      <c r="K221" s="925">
        <v>44682</v>
      </c>
      <c r="L221" s="926">
        <v>44865</v>
      </c>
      <c r="M221" s="924"/>
      <c r="N221" s="924">
        <v>1</v>
      </c>
      <c r="O221" s="924"/>
      <c r="P221" s="924"/>
      <c r="Q221" s="927" t="s">
        <v>41</v>
      </c>
      <c r="R221" s="924">
        <v>1</v>
      </c>
      <c r="S221" s="924">
        <v>4</v>
      </c>
      <c r="T221" s="449">
        <v>7</v>
      </c>
      <c r="U221" s="924"/>
      <c r="V221" s="924">
        <v>2</v>
      </c>
      <c r="W221" s="924">
        <v>4</v>
      </c>
      <c r="X221" s="924">
        <v>0</v>
      </c>
      <c r="Y221" s="924"/>
      <c r="Z221" s="924"/>
      <c r="AA221" s="924"/>
      <c r="AB221" s="924"/>
      <c r="AC221" s="924"/>
      <c r="AD221" s="924"/>
      <c r="AE221" s="924"/>
      <c r="AF221" s="924"/>
      <c r="AG221" s="924"/>
      <c r="AH221" s="924">
        <v>5</v>
      </c>
      <c r="AI221" s="924"/>
      <c r="AJ221" s="924"/>
      <c r="AK221" s="924"/>
      <c r="AL221" s="924"/>
      <c r="AM221" s="924"/>
      <c r="AN221" s="924"/>
      <c r="AO221" s="449"/>
      <c r="AP221" s="928"/>
      <c r="AQ221" s="924">
        <v>45</v>
      </c>
      <c r="AR221" s="924"/>
      <c r="AS221" s="929"/>
      <c r="AT221" s="924"/>
      <c r="AU221" s="924"/>
      <c r="AV221" s="924"/>
      <c r="AW221" s="924"/>
      <c r="AX221" s="924">
        <v>45</v>
      </c>
      <c r="AY221" s="923" t="s">
        <v>41</v>
      </c>
      <c r="AZ221" s="928" t="s">
        <v>137</v>
      </c>
      <c r="BA221" s="924"/>
      <c r="BB221" s="924"/>
      <c r="BC221" s="924"/>
      <c r="BD221" s="449"/>
      <c r="BE221" s="449"/>
      <c r="BF221" s="923"/>
      <c r="BG221" s="924">
        <v>7</v>
      </c>
      <c r="BH221" s="924"/>
      <c r="BI221" s="924"/>
      <c r="BJ221" s="924">
        <v>7</v>
      </c>
      <c r="BK221" s="924"/>
      <c r="BL221" s="924">
        <v>1</v>
      </c>
      <c r="BM221" s="924"/>
      <c r="BN221" s="924"/>
      <c r="BO221" s="924"/>
      <c r="BP221" s="923"/>
      <c r="BQ221" s="930"/>
      <c r="BR221" s="929"/>
      <c r="BS221" s="923"/>
      <c r="BT221" s="424"/>
      <c r="BU221" s="424"/>
      <c r="BV221" s="426"/>
      <c r="BW221" s="424"/>
      <c r="BX221" s="449"/>
      <c r="BY221" s="449"/>
      <c r="BZ221" s="449"/>
      <c r="CA221" s="449"/>
      <c r="CB221" s="449"/>
      <c r="CC221" s="807"/>
      <c r="CD221" s="449"/>
      <c r="CE221" s="931" t="str">
        <f>IFERROR(WWWW[[#This Row],['#_Water sources passed]]/WWWW[[#This Row],['#_Water sources tested for fecal coliform ]],"no test")</f>
        <v>no test</v>
      </c>
      <c r="CF221" s="929" t="str">
        <f>IFERROR(WWWW[[#This Row],['#_Household passed]]/WWWW[[#This Row],['#_Household water samples tested for fecal coliform]],"no test")</f>
        <v>no test</v>
      </c>
      <c r="CG221" s="930" t="str">
        <f>IF(AND(WWWW[[#This Row],[% of water sources passed]]="no test",WWWW[[#This Row],[% Household passed]]="no test"),"No Test","Tested")</f>
        <v>No Test</v>
      </c>
      <c r="CH221" s="930">
        <f>WWWW[[#This Row],['#_Constructed/existing protected hand dug well]]-WWWW[[#This Row],['#_Non-functional protected hand dug well]]</f>
        <v>7</v>
      </c>
      <c r="CI221" s="930">
        <f>(WWWW[[#This Row],['#_Constructed/Existing tube wells/boreholes/handpumps_WASH_agency]]+WWWW[[#This Row],['#_Non-Cluster partner water tube-wells/boreholes/handpumps]])-WWWW[[#This Row],['#_Non-functional tube wells/boreholes/handpumps]]</f>
        <v>4</v>
      </c>
      <c r="CJ221" s="930">
        <f>WWWW[[#This Row],['#_Constructed/Existingwater storage tank with gravity fed reticulation system]]-WWWW[[#This Row],['#_Non-functional storage tank gravity fed reticulation system]]</f>
        <v>0</v>
      </c>
      <c r="CK221" s="930">
        <f>(WWWW[[#This Row],['#_Water_Liters_supplied_by_Water boating or water trucking]]/90)/15</f>
        <v>0</v>
      </c>
      <c r="CL221" s="930">
        <f>WWWW[[#This Row],['#_Water_Liters_from_Constructed/Existing water distribution system from river or natural spring]]/90/15</f>
        <v>0</v>
      </c>
      <c r="CM221" s="425">
        <f>IF(WWWW[[#This Row],['#_of water points in TLS/CFS]]*500&gt;WWWW[[#This Row],[Total PoP ]],WWWW[[#This Row],[Total PoP ]],WWWW[[#This Row],['#_of water points in TLS/CFS]]*500)</f>
        <v>0</v>
      </c>
      <c r="CN221" s="425">
        <f>IF(WWWW[[#This Row],['#_of water points in THF]]*500&gt;WWWW[[#This Row],[Total PoP ]],WWWW[[#This Row],[Total PoP ]],WWWW[[#This Row],['#_of water points in THF]]*500)</f>
        <v>0</v>
      </c>
      <c r="CO22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1" s="929">
        <f>IF(WWWW[[#This Row],[Location Type 1]]="Village",WWWW[[#This Row],[Access to safe drinking water for Village]],WWWW[[#This Row],[Access to safe drinking water for Camp]])</f>
        <v>1</v>
      </c>
      <c r="CR221" s="927">
        <f>WWWW[[#This Row],[%Equitable and continuous access to sufficient quantity of safe drinking water]]*WWWW[[#This Row],[Total PoP ]]</f>
        <v>1184</v>
      </c>
      <c r="CS221" s="929">
        <f>IF((WWWW[[#This Row],['#_Constructed/Existing protected/fenced ponds]]*250)/WWWW[[#This Row],[Total PoP ]]&gt;1,1,(WWWW[[#This Row],['#_Constructed/Existing protected/fenced ponds]]*250)/WWWW[[#This Row],[Total PoP ]])</f>
        <v>0</v>
      </c>
      <c r="CT221" s="927">
        <f>WWWW[[#This Row],[% Access to unimproved water points]]*WWWW[[#This Row],[Total PoP ]]</f>
        <v>0</v>
      </c>
      <c r="CU22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1184</v>
      </c>
      <c r="CW221" s="927">
        <f>WWWW[[#This Row],[HRP1]]/500</f>
        <v>2.3679999999999999</v>
      </c>
      <c r="CX221" s="932">
        <f>1-WWWW[[#This Row],[% Equitable and continuous access to sufficient quantity of domestic water]]</f>
        <v>0</v>
      </c>
      <c r="CY221" s="927">
        <f>WWWW[[#This Row],[%equitable and continuous access to sufficient quantity of safe drinking and domestic water''s GAP]]*WWWW[[#This Row],[Total PoP ]]</f>
        <v>0</v>
      </c>
      <c r="CZ221" s="930">
        <f>IF(WWWW[[#This Row],[Total required water points]]-WWWW[[#This Row],['#Water points coverage]]&lt;0,0,WWWW[[#This Row],[Total required water points]]-WWWW[[#This Row],['#Water points coverage]])</f>
        <v>0</v>
      </c>
      <c r="DA221" s="930">
        <f>ROUND(IF(WWWW[[#This Row],[Total PoP ]]&lt;500,1,WWWW[[#This Row],[Total PoP ]]/500),0)</f>
        <v>2</v>
      </c>
      <c r="DB221" s="930">
        <f>(WWWW[[#This Row],['#_Constructed latrines_by_WASHAgencies]]+WWWW[[#This Row],['#_Non Cluster partner latrines]])-WWWW[[#This Row],['#_Non-functional latrines]]</f>
        <v>45</v>
      </c>
      <c r="DC221" s="634">
        <f>WWWW[[#This Row],[HRP2]]/WWWW[[#This Row],[Total PoP ]]</f>
        <v>0.76013513513513509</v>
      </c>
      <c r="DD22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900</v>
      </c>
      <c r="DE22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1" s="425">
        <f>IF(WWWW[[#This Row],['# of functional latrines in THF supported by WASH partners during the reporting period2]]="",0,WWWW[[#This Row],['# of functional latrines in THF supported by WASH partners during the reporting period2]]*50)</f>
        <v>0</v>
      </c>
      <c r="DH221" s="930">
        <f>ROUND(IF(WWWW[[#This Row],[Location Type 1]]="camp",WWWW[[#This Row],[Total PoP ]]/20,IF(WWWW[[#This Row],[Location Type 1]]="Temporary Location",WWWW[[#This Row],[Total PoP ]]/50,(WWWW[[#This Row],[Total PoP ]]/6))),0)</f>
        <v>59</v>
      </c>
      <c r="DI221" s="930">
        <f>IF(WWWW[[#This Row],[Total required Latrines]]-(WWWW[[#This Row],['#_Constructed latrines_by_WASHAgencies]]+WWWW[[#This Row],['#_Non Cluster partner latrines]])&lt;0,0,WWWW[[#This Row],[Total required Latrines]]-(WWWW[[#This Row],['#_Constructed latrines_by_WASHAgencies]]+WWWW[[#This Row],['#_Non Cluster partner latrines]]))</f>
        <v>14</v>
      </c>
      <c r="DJ221" s="932">
        <f>1-WWWW[[#This Row],[% people access to functioning Latrine]]</f>
        <v>0.23986486486486491</v>
      </c>
      <c r="DK221" s="931">
        <f>IF(OR(WWWW[[#This Row],['#_Non-functional latrines]]="",WWWW[[#This Row],['#_Non-functional latrines]]=0),0,WWWW[[#This Row],['#_Non-functional latrines]]/(WWWW[[#This Row],['#_Constructed latrines_by_WASHAgencies]]+WWWW[[#This Row],['#_Non Cluster partner latrines]]))</f>
        <v>0</v>
      </c>
      <c r="DL221" s="927">
        <f>IF(500*(WWWW[[#This Row],['#_male hygiene promoters]]+WWWW[[#This Row],['#_female hygiene promoters]])&gt;WWWW[[#This Row],[Total PoP ]],WWWW[[#This Row],[Total PoP ]],500*(WWWW[[#This Row],['#_male hygiene promoters]]+WWWW[[#This Row],['#_female hygiene promoters]]))</f>
        <v>500</v>
      </c>
      <c r="DM22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1" s="930">
        <f>IF(WWWW[[#This Row],['# People with access to soap]]&gt;WWWW[[#This Row],['# People with access to Sanity Pads]],WWWW[[#This Row],['# People with access to soap]],WWWW[[#This Row],['# People with access to Sanity Pads]])</f>
        <v>0</v>
      </c>
      <c r="DP221"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21" s="932">
        <f>IF(WWWW[[#This Row],[HRP3]]/WWWW[[#This Row],[Total PoP ]]&gt;1,1,WWWW[[#This Row],[HRP3]]/WWWW[[#This Row],[Total PoP ]])</f>
        <v>0.42229729729729731</v>
      </c>
      <c r="DR221" s="931">
        <f>1-WWWW[[#This Row],[Hygiene Coverage%]]</f>
        <v>0.57770270270270263</v>
      </c>
      <c r="DS221" s="929">
        <f>WWWW[[#This Row],['# people reached by regular dedicated hygiene promotion_5]]/WWWW[[#This Row],[Total PoP ]]</f>
        <v>0.42229729729729731</v>
      </c>
      <c r="DT22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1" s="930">
        <f>WWWW[[#This Row],['#_Constructed/Existing hand washing stations]]-WWWW[[#This Row],['#_Non-Functional_hand_washing_stations]]</f>
        <v>7</v>
      </c>
      <c r="DW221" s="927">
        <f>IF(WWWW[[#This Row],['# Functional hand washing stations during reporting period]]*20&gt;WWWW[[#This Row],[Total HH]],WWWW[[#This Row],[Total HH]],WWWW[[#This Row],['# Functional hand washing stations during reporting period]]*20)</f>
        <v>140</v>
      </c>
      <c r="DX221" s="927">
        <f>IF(WWWW[[#This Row],[Is sufficient soap available for TLS? (Yes/No)]]="yes",WWWW[[#This Row],['#_Constructed/Existing hand washing stations at TLS/CFS/THF]],0)</f>
        <v>0</v>
      </c>
      <c r="DY221" s="429">
        <f>IF(WWWW[[#This Row],['# Functional hand washing stations during reporting period]]*100&gt;WWWW[[#This Row],[Total PoP ]],WWWW[[#This Row],[Total PoP ]],WWWW[[#This Row],['# Functional hand washing stations during reporting period]]*100)</f>
        <v>700</v>
      </c>
      <c r="DZ221" s="429" t="str">
        <f>IF(OR(WWWW[[#This Row],['#_students at TLS_CFS]]="",WWWW[[#This Row],['#_students at TLS_CFS]]=0),"No","Yes")</f>
        <v>No</v>
      </c>
      <c r="EA22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1" s="923" t="str">
        <f>VLOOKUP(WWWW[[#This Row],[Site Name]],SiteDB6[[Site Name]:[CCCM Management]],6,FALSE)</f>
        <v>Yes</v>
      </c>
      <c r="EF221" s="923" t="str">
        <f>VLOOKUP(WWWW[[#This Row],[Site Name]],SiteDB6[[Site Name]:[CCCM Focal Agency]],7,FALSE)</f>
        <v>KBC-MYT</v>
      </c>
      <c r="EG221" s="923" t="str">
        <f>VLOOKUP(WWWW[[#This Row],[Site Name]],SiteDB6[[Site Name]:[Location Type 1]],9,FALSE)</f>
        <v>Camp</v>
      </c>
      <c r="EH221" s="923" t="str">
        <f>VLOOKUP(WWWW[[#This Row],[Site Name]],SiteDB6[[Site Name]:[Type of Accommodation]],10,FALSE)</f>
        <v>Camp</v>
      </c>
      <c r="EI221" s="923" t="str">
        <f>VLOOKUP(WWWW[[#This Row],[Site Name]],SiteDB6[[Site Name]:[Ethnic or GCA/NGCA]],11,FALSE)</f>
        <v>GCA</v>
      </c>
      <c r="EJ221" s="923">
        <f>VLOOKUP(WWWW[[#This Row],[Site Name]],SiteDB6[[Site Name]:[Lat]],12,FALSE)</f>
        <v>25.397850999999999</v>
      </c>
      <c r="EK221" s="923">
        <f>VLOOKUP(WWWW[[#This Row],[Site Name]],SiteDB6[[Site Name]:[Long]],13,FALSE)</f>
        <v>97.370900000000006</v>
      </c>
      <c r="EL221" s="923" t="str">
        <f>VLOOKUP(WWWW[[#This Row],[Site Name]],SiteDB6[[Site Name]:[Pcode]],3,FALSE)</f>
        <v>MMR001CMP018</v>
      </c>
      <c r="EM221" s="928" t="str">
        <f t="shared" si="3"/>
        <v>Covered</v>
      </c>
      <c r="EN221" s="928"/>
      <c r="EO221" s="923">
        <f>VLOOKUP(WWWW[[#This Row],[Site Name]],SiteDB6[[Site Name]:[Pop
(Kachin/Shan-CCCM as of July 2021)]],16,FALSE)</f>
        <v>201</v>
      </c>
      <c r="EP221" s="923">
        <f>VLOOKUP(WWWW[[#This Row],[Site Name]],SiteDB6[[Site Name]:[Pop
(Kachin/Shan-CCCM as of July 2021)]],17,FALSE)</f>
        <v>1187</v>
      </c>
    </row>
    <row r="222" spans="1:146">
      <c r="A222" s="921" t="s">
        <v>2786</v>
      </c>
      <c r="B222" s="921" t="s">
        <v>3106</v>
      </c>
      <c r="C222" s="922" t="s">
        <v>141</v>
      </c>
      <c r="D222" s="370" t="s">
        <v>3107</v>
      </c>
      <c r="E222" s="922" t="s">
        <v>37</v>
      </c>
      <c r="F222" s="922" t="s">
        <v>159</v>
      </c>
      <c r="G222" s="594" t="str">
        <f>VLOOKUP(WWWW[[#This Row],[Site Name]],SiteDB6[[Site Name]:[Location Type]],8,FALSE)</f>
        <v>Camp</v>
      </c>
      <c r="H222" s="922" t="s">
        <v>1605</v>
      </c>
      <c r="I222" s="924">
        <v>136</v>
      </c>
      <c r="J222" s="924">
        <v>658</v>
      </c>
      <c r="K222" s="830" t="s">
        <v>3108</v>
      </c>
      <c r="L222" s="56" t="s">
        <v>3104</v>
      </c>
      <c r="M222" s="924"/>
      <c r="N222" s="924">
        <v>3</v>
      </c>
      <c r="O222" s="924"/>
      <c r="P222" s="924"/>
      <c r="Q222" s="927" t="s">
        <v>41</v>
      </c>
      <c r="R222" s="924">
        <v>2</v>
      </c>
      <c r="S222" s="924">
        <v>4</v>
      </c>
      <c r="T222" s="449">
        <v>9</v>
      </c>
      <c r="U222" s="924"/>
      <c r="V222" s="924">
        <v>2</v>
      </c>
      <c r="W222" s="924">
        <v>4</v>
      </c>
      <c r="X222" s="924">
        <v>0</v>
      </c>
      <c r="Y222" s="924"/>
      <c r="Z222" s="924"/>
      <c r="AA222" s="924"/>
      <c r="AB222" s="924"/>
      <c r="AC222" s="924"/>
      <c r="AD222" s="924"/>
      <c r="AE222" s="924"/>
      <c r="AF222" s="924"/>
      <c r="AG222" s="924"/>
      <c r="AH222" s="924">
        <v>6</v>
      </c>
      <c r="AI222" s="924"/>
      <c r="AJ222" s="924"/>
      <c r="AK222" s="924"/>
      <c r="AL222" s="924"/>
      <c r="AM222" s="924"/>
      <c r="AN222" s="924"/>
      <c r="AO222" s="449"/>
      <c r="AP222" s="928"/>
      <c r="AQ222" s="924">
        <v>16</v>
      </c>
      <c r="AR222" s="924"/>
      <c r="AS222" s="929"/>
      <c r="AT222" s="924">
        <v>1</v>
      </c>
      <c r="AU222" s="924"/>
      <c r="AV222" s="924"/>
      <c r="AW222" s="924"/>
      <c r="AX222" s="924">
        <v>8</v>
      </c>
      <c r="AY222" s="923" t="s">
        <v>41</v>
      </c>
      <c r="AZ222" s="928" t="s">
        <v>137</v>
      </c>
      <c r="BA222" s="924"/>
      <c r="BB222" s="924"/>
      <c r="BC222" s="924"/>
      <c r="BD222" s="449"/>
      <c r="BE222" s="449"/>
      <c r="BF222" s="923"/>
      <c r="BG222" s="924">
        <v>12</v>
      </c>
      <c r="BH222" s="924"/>
      <c r="BI222" s="924"/>
      <c r="BJ222" s="924">
        <v>8</v>
      </c>
      <c r="BK222" s="924"/>
      <c r="BL222" s="924">
        <v>1</v>
      </c>
      <c r="BM222" s="924"/>
      <c r="BN222" s="449">
        <v>21</v>
      </c>
      <c r="BO222" s="449">
        <v>54</v>
      </c>
      <c r="BP222" s="923"/>
      <c r="BQ222" s="930"/>
      <c r="BR222" s="929"/>
      <c r="BS222" s="426" t="s">
        <v>3077</v>
      </c>
      <c r="BT222" s="424"/>
      <c r="BU222" s="424"/>
      <c r="BV222" s="426"/>
      <c r="BW222" s="424"/>
      <c r="BX222" s="449"/>
      <c r="BY222" s="449"/>
      <c r="BZ222" s="449"/>
      <c r="CA222" s="449"/>
      <c r="CB222" s="449"/>
      <c r="CC222" s="807"/>
      <c r="CD222" s="449"/>
      <c r="CE222" s="931" t="str">
        <f>IFERROR(WWWW[[#This Row],['#_Water sources passed]]/WWWW[[#This Row],['#_Water sources tested for fecal coliform ]],"no test")</f>
        <v>no test</v>
      </c>
      <c r="CF222" s="929" t="str">
        <f>IFERROR(WWWW[[#This Row],['#_Household passed]]/WWWW[[#This Row],['#_Household water samples tested for fecal coliform]],"no test")</f>
        <v>no test</v>
      </c>
      <c r="CG222" s="930" t="str">
        <f>IF(AND(WWWW[[#This Row],[% of water sources passed]]="no test",WWWW[[#This Row],[% Household passed]]="no test"),"No Test","Tested")</f>
        <v>No Test</v>
      </c>
      <c r="CH222" s="930">
        <f>WWWW[[#This Row],['#_Constructed/existing protected hand dug well]]-WWWW[[#This Row],['#_Non-functional protected hand dug well]]</f>
        <v>9</v>
      </c>
      <c r="CI222" s="930">
        <f>(WWWW[[#This Row],['#_Constructed/Existing tube wells/boreholes/handpumps_WASH_agency]]+WWWW[[#This Row],['#_Non-Cluster partner water tube-wells/boreholes/handpumps]])-WWWW[[#This Row],['#_Non-functional tube wells/boreholes/handpumps]]</f>
        <v>4</v>
      </c>
      <c r="CJ222" s="930">
        <f>WWWW[[#This Row],['#_Constructed/Existingwater storage tank with gravity fed reticulation system]]-WWWW[[#This Row],['#_Non-functional storage tank gravity fed reticulation system]]</f>
        <v>0</v>
      </c>
      <c r="CK222" s="930">
        <f>(WWWW[[#This Row],['#_Water_Liters_supplied_by_Water boating or water trucking]]/90)/15</f>
        <v>0</v>
      </c>
      <c r="CL222" s="930">
        <f>WWWW[[#This Row],['#_Water_Liters_from_Constructed/Existing water distribution system from river or natural spring]]/90/15</f>
        <v>0</v>
      </c>
      <c r="CM222" s="425">
        <f>IF(WWWW[[#This Row],['#_of water points in TLS/CFS]]*500&gt;WWWW[[#This Row],[Total PoP ]],WWWW[[#This Row],[Total PoP ]],WWWW[[#This Row],['#_of water points in TLS/CFS]]*500)</f>
        <v>0</v>
      </c>
      <c r="CN222" s="425">
        <f>IF(WWWW[[#This Row],['#_of water points in THF]]*500&gt;WWWW[[#This Row],[Total PoP ]],WWWW[[#This Row],[Total PoP ]],WWWW[[#This Row],['#_of water points in THF]]*500)</f>
        <v>0</v>
      </c>
      <c r="CO22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2" s="929">
        <f>IF(WWWW[[#This Row],[Location Type 1]]="Village",WWWW[[#This Row],[Access to safe drinking water for Village]],WWWW[[#This Row],[Access to safe drinking water for Camp]])</f>
        <v>1</v>
      </c>
      <c r="CR222" s="927">
        <f>WWWW[[#This Row],[%Equitable and continuous access to sufficient quantity of safe drinking water]]*WWWW[[#This Row],[Total PoP ]]</f>
        <v>658</v>
      </c>
      <c r="CS222" s="929">
        <f>IF((WWWW[[#This Row],['#_Constructed/Existing protected/fenced ponds]]*250)/WWWW[[#This Row],[Total PoP ]]&gt;1,1,(WWWW[[#This Row],['#_Constructed/Existing protected/fenced ponds]]*250)/WWWW[[#This Row],[Total PoP ]])</f>
        <v>0</v>
      </c>
      <c r="CT222" s="927">
        <f>WWWW[[#This Row],[% Access to unimproved water points]]*WWWW[[#This Row],[Total PoP ]]</f>
        <v>0</v>
      </c>
      <c r="CU22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CW222" s="927">
        <f>WWWW[[#This Row],[HRP1]]/500</f>
        <v>1.3160000000000001</v>
      </c>
      <c r="CX222" s="932">
        <f>1-WWWW[[#This Row],[% Equitable and continuous access to sufficient quantity of domestic water]]</f>
        <v>0</v>
      </c>
      <c r="CY222" s="927">
        <f>WWWW[[#This Row],[%equitable and continuous access to sufficient quantity of safe drinking and domestic water''s GAP]]*WWWW[[#This Row],[Total PoP ]]</f>
        <v>0</v>
      </c>
      <c r="CZ222" s="930">
        <f>IF(WWWW[[#This Row],[Total required water points]]-WWWW[[#This Row],['#Water points coverage]]&lt;0,0,WWWW[[#This Row],[Total required water points]]-WWWW[[#This Row],['#Water points coverage]])</f>
        <v>0</v>
      </c>
      <c r="DA222" s="930">
        <f>ROUND(IF(WWWW[[#This Row],[Total PoP ]]&lt;500,1,WWWW[[#This Row],[Total PoP ]]/500),0)</f>
        <v>1</v>
      </c>
      <c r="DB222" s="930">
        <f>(WWWW[[#This Row],['#_Constructed latrines_by_WASHAgencies]]+WWWW[[#This Row],['#_Non Cluster partner latrines]])-WWWW[[#This Row],['#_Non-functional latrines]]</f>
        <v>15</v>
      </c>
      <c r="DC222" s="634">
        <f>WWWW[[#This Row],[HRP2]]/WWWW[[#This Row],[Total PoP ]]</f>
        <v>0.45592705167173253</v>
      </c>
      <c r="DD22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22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2" s="425">
        <f>IF(WWWW[[#This Row],['# of functional latrines in THF supported by WASH partners during the reporting period2]]="",0,WWWW[[#This Row],['# of functional latrines in THF supported by WASH partners during the reporting period2]]*50)</f>
        <v>0</v>
      </c>
      <c r="DH222" s="930">
        <f>ROUND(IF(WWWW[[#This Row],[Location Type 1]]="camp",WWWW[[#This Row],[Total PoP ]]/20,IF(WWWW[[#This Row],[Location Type 1]]="Temporary Location",WWWW[[#This Row],[Total PoP ]]/50,(WWWW[[#This Row],[Total PoP ]]/6))),0)</f>
        <v>33</v>
      </c>
      <c r="DI222" s="930">
        <f>IF(WWWW[[#This Row],[Total required Latrines]]-(WWWW[[#This Row],['#_Constructed latrines_by_WASHAgencies]]+WWWW[[#This Row],['#_Non Cluster partner latrines]])&lt;0,0,WWWW[[#This Row],[Total required Latrines]]-(WWWW[[#This Row],['#_Constructed latrines_by_WASHAgencies]]+WWWW[[#This Row],['#_Non Cluster partner latrines]]))</f>
        <v>17</v>
      </c>
      <c r="DJ222" s="932">
        <f>1-WWWW[[#This Row],[% people access to functioning Latrine]]</f>
        <v>0.54407294832826747</v>
      </c>
      <c r="DK222" s="931">
        <f>IF(OR(WWWW[[#This Row],['#_Non-functional latrines]]="",WWWW[[#This Row],['#_Non-functional latrines]]=0),0,WWWW[[#This Row],['#_Non-functional latrines]]/(WWWW[[#This Row],['#_Constructed latrines_by_WASHAgencies]]+WWWW[[#This Row],['#_Non Cluster partner latrines]]))</f>
        <v>6.25E-2</v>
      </c>
      <c r="DL222" s="927">
        <f>IF(500*(WWWW[[#This Row],['#_male hygiene promoters]]+WWWW[[#This Row],['#_female hygiene promoters]])&gt;WWWW[[#This Row],[Total PoP ]],WWWW[[#This Row],[Total PoP ]],500*(WWWW[[#This Row],['#_male hygiene promoters]]+WWWW[[#This Row],['#_female hygiene promoters]]))</f>
        <v>500</v>
      </c>
      <c r="DM22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105</v>
      </c>
      <c r="DN22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54</v>
      </c>
      <c r="DO222" s="930">
        <f>IF(WWWW[[#This Row],['# People with access to soap]]&gt;WWWW[[#This Row],['# People with access to Sanity Pads]],WWWW[[#This Row],['# People with access to soap]],WWWW[[#This Row],['# People with access to Sanity Pads]])</f>
        <v>105</v>
      </c>
      <c r="DP222"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22" s="932">
        <f>IF(WWWW[[#This Row],[HRP3]]/WWWW[[#This Row],[Total PoP ]]&gt;1,1,WWWW[[#This Row],[HRP3]]/WWWW[[#This Row],[Total PoP ]])</f>
        <v>0.75987841945288759</v>
      </c>
      <c r="DR222" s="931">
        <f>1-WWWW[[#This Row],[Hygiene Coverage%]]</f>
        <v>0.24012158054711241</v>
      </c>
      <c r="DS222" s="929">
        <f>WWWW[[#This Row],['# people reached by regular dedicated hygiene promotion_5]]/WWWW[[#This Row],[Total PoP ]]</f>
        <v>0.75987841945288759</v>
      </c>
      <c r="DT22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0.61764705882352944</v>
      </c>
      <c r="DU22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0.39705882352941174</v>
      </c>
      <c r="DV222" s="930">
        <f>WWWW[[#This Row],['#_Constructed/Existing hand washing stations]]-WWWW[[#This Row],['#_Non-Functional_hand_washing_stations]]</f>
        <v>12</v>
      </c>
      <c r="DW222" s="927">
        <f>IF(WWWW[[#This Row],['# Functional hand washing stations during reporting period]]*20&gt;WWWW[[#This Row],[Total HH]],WWWW[[#This Row],[Total HH]],WWWW[[#This Row],['# Functional hand washing stations during reporting period]]*20)</f>
        <v>136</v>
      </c>
      <c r="DX222" s="927">
        <f>IF(WWWW[[#This Row],[Is sufficient soap available for TLS? (Yes/No)]]="yes",WWWW[[#This Row],['#_Constructed/Existing hand washing stations at TLS/CFS/THF]],0)</f>
        <v>0</v>
      </c>
      <c r="DY222" s="429">
        <f>IF(WWWW[[#This Row],['# Functional hand washing stations during reporting period]]*100&gt;WWWW[[#This Row],[Total PoP ]],WWWW[[#This Row],[Total PoP ]],WWWW[[#This Row],['# Functional hand washing stations during reporting period]]*100)</f>
        <v>658</v>
      </c>
      <c r="DZ222" s="429" t="str">
        <f>IF(OR(WWWW[[#This Row],['#_students at TLS_CFS]]="",WWWW[[#This Row],['#_students at TLS_CFS]]=0),"No","Yes")</f>
        <v>No</v>
      </c>
      <c r="EA22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2" s="923">
        <f>VLOOKUP(WWWW[[#This Row],[Site Name]],SiteDB6[[Site Name]:[CCCM Management]],6,FALSE)</f>
        <v>0</v>
      </c>
      <c r="EF222" s="923" t="str">
        <f>VLOOKUP(WWWW[[#This Row],[Site Name]],SiteDB6[[Site Name]:[CCCM Focal Agency]],7,FALSE)</f>
        <v>KBC-MYT</v>
      </c>
      <c r="EG222" s="923" t="str">
        <f>VLOOKUP(WWWW[[#This Row],[Site Name]],SiteDB6[[Site Name]:[Location Type 1]],9,FALSE)</f>
        <v>Camp</v>
      </c>
      <c r="EH222" s="923" t="str">
        <f>VLOOKUP(WWWW[[#This Row],[Site Name]],SiteDB6[[Site Name]:[Type of Accommodation]],10,FALSE)</f>
        <v>Camp</v>
      </c>
      <c r="EI222" s="923" t="str">
        <f>VLOOKUP(WWWW[[#This Row],[Site Name]],SiteDB6[[Site Name]:[Ethnic or GCA/NGCA]],11,FALSE)</f>
        <v>GCA</v>
      </c>
      <c r="EJ222" s="923">
        <f>VLOOKUP(WWWW[[#This Row],[Site Name]],SiteDB6[[Site Name]:[Lat]],12,FALSE)</f>
        <v>25.489669799804702</v>
      </c>
      <c r="EK222" s="923">
        <f>VLOOKUP(WWWW[[#This Row],[Site Name]],SiteDB6[[Site Name]:[Long]],13,FALSE)</f>
        <v>97.458778381347699</v>
      </c>
      <c r="EL222" s="923" t="str">
        <f>VLOOKUP(WWWW[[#This Row],[Site Name]],SiteDB6[[Site Name]:[Pcode]],3,FALSE)</f>
        <v>MMR001CMP265</v>
      </c>
      <c r="EM222" s="928" t="str">
        <f t="shared" si="3"/>
        <v>Covered</v>
      </c>
      <c r="EN222" s="928"/>
      <c r="EO222" s="923">
        <f>VLOOKUP(WWWW[[#This Row],[Site Name]],SiteDB6[[Site Name]:[Pop
(Kachin/Shan-CCCM as of July 2021)]],16,FALSE)</f>
        <v>136</v>
      </c>
      <c r="EP222" s="923">
        <f>VLOOKUP(WWWW[[#This Row],[Site Name]],SiteDB6[[Site Name]:[Pop
(Kachin/Shan-CCCM as of July 2021)]],17,FALSE)</f>
        <v>658</v>
      </c>
    </row>
    <row r="223" spans="1:146">
      <c r="A223" s="921" t="s">
        <v>2786</v>
      </c>
      <c r="B223" s="921" t="s">
        <v>3097</v>
      </c>
      <c r="C223" s="922" t="s">
        <v>141</v>
      </c>
      <c r="D223" s="922" t="s">
        <v>3105</v>
      </c>
      <c r="E223" s="922" t="s">
        <v>37</v>
      </c>
      <c r="F223" s="922" t="s">
        <v>159</v>
      </c>
      <c r="G223" s="594" t="str">
        <f>VLOOKUP(WWWW[[#This Row],[Site Name]],SiteDB6[[Site Name]:[Location Type]],8,FALSE)</f>
        <v>Camp</v>
      </c>
      <c r="H223" s="922" t="s">
        <v>163</v>
      </c>
      <c r="I223" s="924">
        <v>142</v>
      </c>
      <c r="J223" s="924">
        <v>718</v>
      </c>
      <c r="K223" s="925">
        <v>44682</v>
      </c>
      <c r="L223" s="926">
        <v>44865</v>
      </c>
      <c r="M223" s="924"/>
      <c r="N223" s="924">
        <v>1</v>
      </c>
      <c r="O223" s="924"/>
      <c r="P223" s="924"/>
      <c r="Q223" s="927" t="s">
        <v>41</v>
      </c>
      <c r="R223" s="924">
        <v>2</v>
      </c>
      <c r="S223" s="924">
        <v>3</v>
      </c>
      <c r="T223" s="449">
        <v>1</v>
      </c>
      <c r="U223" s="924"/>
      <c r="V223" s="924">
        <v>1</v>
      </c>
      <c r="W223" s="924">
        <v>3</v>
      </c>
      <c r="X223" s="924">
        <v>0</v>
      </c>
      <c r="Y223" s="924"/>
      <c r="Z223" s="924"/>
      <c r="AA223" s="924"/>
      <c r="AB223" s="924"/>
      <c r="AC223" s="924"/>
      <c r="AD223" s="924"/>
      <c r="AE223" s="924"/>
      <c r="AF223" s="924"/>
      <c r="AG223" s="924"/>
      <c r="AH223" s="924">
        <v>2</v>
      </c>
      <c r="AI223" s="924"/>
      <c r="AJ223" s="924"/>
      <c r="AK223" s="924"/>
      <c r="AL223" s="924"/>
      <c r="AM223" s="924"/>
      <c r="AN223" s="924"/>
      <c r="AO223" s="449"/>
      <c r="AP223" s="928"/>
      <c r="AQ223" s="924">
        <v>8</v>
      </c>
      <c r="AR223" s="924"/>
      <c r="AS223" s="929"/>
      <c r="AT223" s="924"/>
      <c r="AU223" s="924"/>
      <c r="AV223" s="924"/>
      <c r="AW223" s="924"/>
      <c r="AX223" s="924">
        <v>8</v>
      </c>
      <c r="AY223" s="923" t="s">
        <v>41</v>
      </c>
      <c r="AZ223" s="928" t="s">
        <v>904</v>
      </c>
      <c r="BA223" s="924"/>
      <c r="BB223" s="924"/>
      <c r="BC223" s="924"/>
      <c r="BD223" s="449"/>
      <c r="BE223" s="449"/>
      <c r="BF223" s="923"/>
      <c r="BG223" s="924">
        <v>3</v>
      </c>
      <c r="BH223" s="924"/>
      <c r="BI223" s="924"/>
      <c r="BJ223" s="924">
        <v>2</v>
      </c>
      <c r="BK223" s="924"/>
      <c r="BL223" s="924"/>
      <c r="BM223" s="924"/>
      <c r="BN223" s="924"/>
      <c r="BO223" s="924"/>
      <c r="BP223" s="923"/>
      <c r="BQ223" s="930"/>
      <c r="BR223" s="929"/>
      <c r="BS223" s="923"/>
      <c r="BT223" s="424"/>
      <c r="BU223" s="424"/>
      <c r="BV223" s="426"/>
      <c r="BW223" s="424"/>
      <c r="BX223" s="449"/>
      <c r="BY223" s="449"/>
      <c r="BZ223" s="449"/>
      <c r="CA223" s="449"/>
      <c r="CB223" s="449"/>
      <c r="CC223" s="807"/>
      <c r="CD223" s="449"/>
      <c r="CE223" s="931" t="str">
        <f>IFERROR(WWWW[[#This Row],['#_Water sources passed]]/WWWW[[#This Row],['#_Water sources tested for fecal coliform ]],"no test")</f>
        <v>no test</v>
      </c>
      <c r="CF223" s="929" t="str">
        <f>IFERROR(WWWW[[#This Row],['#_Household passed]]/WWWW[[#This Row],['#_Household water samples tested for fecal coliform]],"no test")</f>
        <v>no test</v>
      </c>
      <c r="CG223" s="930" t="str">
        <f>IF(AND(WWWW[[#This Row],[% of water sources passed]]="no test",WWWW[[#This Row],[% Household passed]]="no test"),"No Test","Tested")</f>
        <v>No Test</v>
      </c>
      <c r="CH223" s="930">
        <f>WWWW[[#This Row],['#_Constructed/existing protected hand dug well]]-WWWW[[#This Row],['#_Non-functional protected hand dug well]]</f>
        <v>1</v>
      </c>
      <c r="CI223" s="930">
        <f>(WWWW[[#This Row],['#_Constructed/Existing tube wells/boreholes/handpumps_WASH_agency]]+WWWW[[#This Row],['#_Non-Cluster partner water tube-wells/boreholes/handpumps]])-WWWW[[#This Row],['#_Non-functional tube wells/boreholes/handpumps]]</f>
        <v>3</v>
      </c>
      <c r="CJ223" s="930">
        <f>WWWW[[#This Row],['#_Constructed/Existingwater storage tank with gravity fed reticulation system]]-WWWW[[#This Row],['#_Non-functional storage tank gravity fed reticulation system]]</f>
        <v>0</v>
      </c>
      <c r="CK223" s="930">
        <f>(WWWW[[#This Row],['#_Water_Liters_supplied_by_Water boating or water trucking]]/90)/15</f>
        <v>0</v>
      </c>
      <c r="CL223" s="930">
        <f>WWWW[[#This Row],['#_Water_Liters_from_Constructed/Existing water distribution system from river or natural spring]]/90/15</f>
        <v>0</v>
      </c>
      <c r="CM223" s="425">
        <f>IF(WWWW[[#This Row],['#_of water points in TLS/CFS]]*500&gt;WWWW[[#This Row],[Total PoP ]],WWWW[[#This Row],[Total PoP ]],WWWW[[#This Row],['#_of water points in TLS/CFS]]*500)</f>
        <v>0</v>
      </c>
      <c r="CN223" s="425">
        <f>IF(WWWW[[#This Row],['#_of water points in THF]]*500&gt;WWWW[[#This Row],[Total PoP ]],WWWW[[#This Row],[Total PoP ]],WWWW[[#This Row],['#_of water points in THF]]*500)</f>
        <v>0</v>
      </c>
      <c r="CO22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3" s="929">
        <f>IF(WWWW[[#This Row],[Location Type 1]]="Village",WWWW[[#This Row],[Access to safe drinking water for Village]],WWWW[[#This Row],[Access to safe drinking water for Camp]])</f>
        <v>1</v>
      </c>
      <c r="CR223" s="927">
        <f>WWWW[[#This Row],[%Equitable and continuous access to sufficient quantity of safe drinking water]]*WWWW[[#This Row],[Total PoP ]]</f>
        <v>718</v>
      </c>
      <c r="CS223" s="929">
        <f>IF((WWWW[[#This Row],['#_Constructed/Existing protected/fenced ponds]]*250)/WWWW[[#This Row],[Total PoP ]]&gt;1,1,(WWWW[[#This Row],['#_Constructed/Existing protected/fenced ponds]]*250)/WWWW[[#This Row],[Total PoP ]])</f>
        <v>0</v>
      </c>
      <c r="CT223" s="927">
        <f>WWWW[[#This Row],[% Access to unimproved water points]]*WWWW[[#This Row],[Total PoP ]]</f>
        <v>0</v>
      </c>
      <c r="CU22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718</v>
      </c>
      <c r="CW223" s="927">
        <f>WWWW[[#This Row],[HRP1]]/500</f>
        <v>1.4359999999999999</v>
      </c>
      <c r="CX223" s="932">
        <f>1-WWWW[[#This Row],[% Equitable and continuous access to sufficient quantity of domestic water]]</f>
        <v>0</v>
      </c>
      <c r="CY223" s="927">
        <f>WWWW[[#This Row],[%equitable and continuous access to sufficient quantity of safe drinking and domestic water''s GAP]]*WWWW[[#This Row],[Total PoP ]]</f>
        <v>0</v>
      </c>
      <c r="CZ223" s="930">
        <f>IF(WWWW[[#This Row],[Total required water points]]-WWWW[[#This Row],['#Water points coverage]]&lt;0,0,WWWW[[#This Row],[Total required water points]]-WWWW[[#This Row],['#Water points coverage]])</f>
        <v>0</v>
      </c>
      <c r="DA223" s="930">
        <f>ROUND(IF(WWWW[[#This Row],[Total PoP ]]&lt;500,1,WWWW[[#This Row],[Total PoP ]]/500),0)</f>
        <v>1</v>
      </c>
      <c r="DB223" s="930">
        <f>(WWWW[[#This Row],['#_Constructed latrines_by_WASHAgencies]]+WWWW[[#This Row],['#_Non Cluster partner latrines]])-WWWW[[#This Row],['#_Non-functional latrines]]</f>
        <v>8</v>
      </c>
      <c r="DC223" s="634">
        <f>WWWW[[#This Row],[HRP2]]/WWWW[[#This Row],[Total PoP ]]</f>
        <v>0.22284122562674094</v>
      </c>
      <c r="DD22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2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3" s="425">
        <f>IF(WWWW[[#This Row],['# of functional latrines in THF supported by WASH partners during the reporting period2]]="",0,WWWW[[#This Row],['# of functional latrines in THF supported by WASH partners during the reporting period2]]*50)</f>
        <v>0</v>
      </c>
      <c r="DH223" s="930">
        <f>ROUND(IF(WWWW[[#This Row],[Location Type 1]]="camp",WWWW[[#This Row],[Total PoP ]]/20,IF(WWWW[[#This Row],[Location Type 1]]="Temporary Location",WWWW[[#This Row],[Total PoP ]]/50,(WWWW[[#This Row],[Total PoP ]]/6))),0)</f>
        <v>36</v>
      </c>
      <c r="DI223" s="930">
        <f>IF(WWWW[[#This Row],[Total required Latrines]]-(WWWW[[#This Row],['#_Constructed latrines_by_WASHAgencies]]+WWWW[[#This Row],['#_Non Cluster partner latrines]])&lt;0,0,WWWW[[#This Row],[Total required Latrines]]-(WWWW[[#This Row],['#_Constructed latrines_by_WASHAgencies]]+WWWW[[#This Row],['#_Non Cluster partner latrines]]))</f>
        <v>28</v>
      </c>
      <c r="DJ223" s="932">
        <f>1-WWWW[[#This Row],[% people access to functioning Latrine]]</f>
        <v>0.77715877437325909</v>
      </c>
      <c r="DK223" s="931">
        <f>IF(OR(WWWW[[#This Row],['#_Non-functional latrines]]="",WWWW[[#This Row],['#_Non-functional latrines]]=0),0,WWWW[[#This Row],['#_Non-functional latrines]]/(WWWW[[#This Row],['#_Constructed latrines_by_WASHAgencies]]+WWWW[[#This Row],['#_Non Cluster partner latrines]]))</f>
        <v>0</v>
      </c>
      <c r="DL223" s="927">
        <f>IF(500*(WWWW[[#This Row],['#_male hygiene promoters]]+WWWW[[#This Row],['#_female hygiene promoters]])&gt;WWWW[[#This Row],[Total PoP ]],WWWW[[#This Row],[Total PoP ]],500*(WWWW[[#This Row],['#_male hygiene promoters]]+WWWW[[#This Row],['#_female hygiene promoters]]))</f>
        <v>0</v>
      </c>
      <c r="DM22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3" s="930">
        <f>IF(WWWW[[#This Row],['# People with access to soap]]&gt;WWWW[[#This Row],['# People with access to Sanity Pads]],WWWW[[#This Row],['# People with access to soap]],WWWW[[#This Row],['# People with access to Sanity Pads]])</f>
        <v>0</v>
      </c>
      <c r="DP22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3" s="932">
        <f>IF(WWWW[[#This Row],[HRP3]]/WWWW[[#This Row],[Total PoP ]]&gt;1,1,WWWW[[#This Row],[HRP3]]/WWWW[[#This Row],[Total PoP ]])</f>
        <v>0</v>
      </c>
      <c r="DR223" s="931">
        <f>1-WWWW[[#This Row],[Hygiene Coverage%]]</f>
        <v>1</v>
      </c>
      <c r="DS223" s="929">
        <f>WWWW[[#This Row],['# people reached by regular dedicated hygiene promotion_5]]/WWWW[[#This Row],[Total PoP ]]</f>
        <v>0</v>
      </c>
      <c r="DT22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3" s="930">
        <f>WWWW[[#This Row],['#_Constructed/Existing hand washing stations]]-WWWW[[#This Row],['#_Non-Functional_hand_washing_stations]]</f>
        <v>3</v>
      </c>
      <c r="DW223" s="927">
        <f>IF(WWWW[[#This Row],['# Functional hand washing stations during reporting period]]*20&gt;WWWW[[#This Row],[Total HH]],WWWW[[#This Row],[Total HH]],WWWW[[#This Row],['# Functional hand washing stations during reporting period]]*20)</f>
        <v>60</v>
      </c>
      <c r="DX223" s="927">
        <f>IF(WWWW[[#This Row],[Is sufficient soap available for TLS? (Yes/No)]]="yes",WWWW[[#This Row],['#_Constructed/Existing hand washing stations at TLS/CFS/THF]],0)</f>
        <v>0</v>
      </c>
      <c r="DY223" s="429">
        <f>IF(WWWW[[#This Row],['# Functional hand washing stations during reporting period]]*100&gt;WWWW[[#This Row],[Total PoP ]],WWWW[[#This Row],[Total PoP ]],WWWW[[#This Row],['# Functional hand washing stations during reporting period]]*100)</f>
        <v>300</v>
      </c>
      <c r="DZ223" s="429" t="str">
        <f>IF(OR(WWWW[[#This Row],['#_students at TLS_CFS]]="",WWWW[[#This Row],['#_students at TLS_CFS]]=0),"No","Yes")</f>
        <v>No</v>
      </c>
      <c r="EA22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3" s="923" t="str">
        <f>VLOOKUP(WWWW[[#This Row],[Site Name]],SiteDB6[[Site Name]:[CCCM Management]],6,FALSE)</f>
        <v>Yes</v>
      </c>
      <c r="EF223" s="923" t="str">
        <f>VLOOKUP(WWWW[[#This Row],[Site Name]],SiteDB6[[Site Name]:[CCCM Focal Agency]],7,FALSE)</f>
        <v>KBC-MYT</v>
      </c>
      <c r="EG223" s="923" t="str">
        <f>VLOOKUP(WWWW[[#This Row],[Site Name]],SiteDB6[[Site Name]:[Location Type 1]],9,FALSE)</f>
        <v>Camp</v>
      </c>
      <c r="EH223" s="923" t="str">
        <f>VLOOKUP(WWWW[[#This Row],[Site Name]],SiteDB6[[Site Name]:[Type of Accommodation]],10,FALSE)</f>
        <v>Camp</v>
      </c>
      <c r="EI223" s="923" t="str">
        <f>VLOOKUP(WWWW[[#This Row],[Site Name]],SiteDB6[[Site Name]:[Ethnic or GCA/NGCA]],11,FALSE)</f>
        <v>GCA</v>
      </c>
      <c r="EJ223" s="923">
        <f>VLOOKUP(WWWW[[#This Row],[Site Name]],SiteDB6[[Site Name]:[Lat]],12,FALSE)</f>
        <v>25.362420757575801</v>
      </c>
      <c r="EK223" s="923">
        <f>VLOOKUP(WWWW[[#This Row],[Site Name]],SiteDB6[[Site Name]:[Long]],13,FALSE)</f>
        <v>97.409035000000003</v>
      </c>
      <c r="EL223" s="923" t="str">
        <f>VLOOKUP(WWWW[[#This Row],[Site Name]],SiteDB6[[Site Name]:[Pcode]],3,FALSE)</f>
        <v>MMR001CMP015</v>
      </c>
      <c r="EM223" s="928" t="str">
        <f t="shared" si="3"/>
        <v>Covered</v>
      </c>
      <c r="EN223" s="928"/>
      <c r="EO223" s="923">
        <f>VLOOKUP(WWWW[[#This Row],[Site Name]],SiteDB6[[Site Name]:[Pop
(Kachin/Shan-CCCM as of July 2021)]],16,FALSE)</f>
        <v>144</v>
      </c>
      <c r="EP223" s="923">
        <f>VLOOKUP(WWWW[[#This Row],[Site Name]],SiteDB6[[Site Name]:[Pop
(Kachin/Shan-CCCM as of July 2021)]],17,FALSE)</f>
        <v>723</v>
      </c>
    </row>
    <row r="224" spans="1:146">
      <c r="A224" s="921" t="s">
        <v>2786</v>
      </c>
      <c r="B224" s="921" t="s">
        <v>3097</v>
      </c>
      <c r="C224" s="922" t="s">
        <v>141</v>
      </c>
      <c r="D224" s="922" t="s">
        <v>3105</v>
      </c>
      <c r="E224" s="922" t="s">
        <v>37</v>
      </c>
      <c r="F224" s="922" t="s">
        <v>159</v>
      </c>
      <c r="G224" s="594" t="str">
        <f>VLOOKUP(WWWW[[#This Row],[Site Name]],SiteDB6[[Site Name]:[Location Type]],8,FALSE)</f>
        <v>Camp</v>
      </c>
      <c r="H224" s="922" t="s">
        <v>164</v>
      </c>
      <c r="I224" s="924">
        <v>136</v>
      </c>
      <c r="J224" s="924">
        <v>697</v>
      </c>
      <c r="K224" s="925">
        <v>44682</v>
      </c>
      <c r="L224" s="926">
        <v>44865</v>
      </c>
      <c r="M224" s="924"/>
      <c r="N224" s="924">
        <v>1</v>
      </c>
      <c r="O224" s="924"/>
      <c r="P224" s="924"/>
      <c r="Q224" s="927" t="s">
        <v>41</v>
      </c>
      <c r="R224" s="924">
        <v>2</v>
      </c>
      <c r="S224" s="924">
        <v>3</v>
      </c>
      <c r="T224" s="449">
        <v>3</v>
      </c>
      <c r="U224" s="924"/>
      <c r="V224" s="924"/>
      <c r="W224" s="924">
        <v>3</v>
      </c>
      <c r="X224" s="924"/>
      <c r="Y224" s="924"/>
      <c r="Z224" s="924"/>
      <c r="AA224" s="924"/>
      <c r="AB224" s="924"/>
      <c r="AC224" s="924"/>
      <c r="AD224" s="924"/>
      <c r="AE224" s="924"/>
      <c r="AF224" s="924"/>
      <c r="AG224" s="924"/>
      <c r="AH224" s="924">
        <v>2</v>
      </c>
      <c r="AI224" s="924"/>
      <c r="AJ224" s="924"/>
      <c r="AK224" s="924"/>
      <c r="AL224" s="924"/>
      <c r="AM224" s="924"/>
      <c r="AN224" s="924"/>
      <c r="AO224" s="449"/>
      <c r="AP224" s="928"/>
      <c r="AQ224" s="924">
        <v>32</v>
      </c>
      <c r="AR224" s="924"/>
      <c r="AS224" s="929"/>
      <c r="AT224" s="924"/>
      <c r="AU224" s="924"/>
      <c r="AV224" s="924"/>
      <c r="AW224" s="924"/>
      <c r="AX224" s="924">
        <v>32</v>
      </c>
      <c r="AY224" s="923" t="s">
        <v>41</v>
      </c>
      <c r="AZ224" s="928" t="s">
        <v>137</v>
      </c>
      <c r="BA224" s="924"/>
      <c r="BB224" s="924"/>
      <c r="BC224" s="924"/>
      <c r="BD224" s="449"/>
      <c r="BE224" s="449"/>
      <c r="BF224" s="923"/>
      <c r="BG224" s="924">
        <v>3</v>
      </c>
      <c r="BH224" s="924"/>
      <c r="BI224" s="924"/>
      <c r="BJ224" s="924">
        <v>2</v>
      </c>
      <c r="BK224" s="924"/>
      <c r="BL224" s="924"/>
      <c r="BM224" s="924"/>
      <c r="BN224" s="924"/>
      <c r="BO224" s="924"/>
      <c r="BP224" s="923"/>
      <c r="BQ224" s="930"/>
      <c r="BR224" s="929"/>
      <c r="BS224" s="923"/>
      <c r="BT224" s="424"/>
      <c r="BU224" s="424"/>
      <c r="BV224" s="426"/>
      <c r="BW224" s="424"/>
      <c r="BX224" s="449"/>
      <c r="BY224" s="449"/>
      <c r="BZ224" s="449"/>
      <c r="CA224" s="449"/>
      <c r="CB224" s="449"/>
      <c r="CC224" s="807"/>
      <c r="CD224" s="449"/>
      <c r="CE224" s="931" t="str">
        <f>IFERROR(WWWW[[#This Row],['#_Water sources passed]]/WWWW[[#This Row],['#_Water sources tested for fecal coliform ]],"no test")</f>
        <v>no test</v>
      </c>
      <c r="CF224" s="929" t="str">
        <f>IFERROR(WWWW[[#This Row],['#_Household passed]]/WWWW[[#This Row],['#_Household water samples tested for fecal coliform]],"no test")</f>
        <v>no test</v>
      </c>
      <c r="CG224" s="930" t="str">
        <f>IF(AND(WWWW[[#This Row],[% of water sources passed]]="no test",WWWW[[#This Row],[% Household passed]]="no test"),"No Test","Tested")</f>
        <v>No Test</v>
      </c>
      <c r="CH224" s="930">
        <f>WWWW[[#This Row],['#_Constructed/existing protected hand dug well]]-WWWW[[#This Row],['#_Non-functional protected hand dug well]]</f>
        <v>3</v>
      </c>
      <c r="CI224" s="930">
        <f>(WWWW[[#This Row],['#_Constructed/Existing tube wells/boreholes/handpumps_WASH_agency]]+WWWW[[#This Row],['#_Non-Cluster partner water tube-wells/boreholes/handpumps]])-WWWW[[#This Row],['#_Non-functional tube wells/boreholes/handpumps]]</f>
        <v>3</v>
      </c>
      <c r="CJ224" s="930">
        <f>WWWW[[#This Row],['#_Constructed/Existingwater storage tank with gravity fed reticulation system]]-WWWW[[#This Row],['#_Non-functional storage tank gravity fed reticulation system]]</f>
        <v>0</v>
      </c>
      <c r="CK224" s="930">
        <f>(WWWW[[#This Row],['#_Water_Liters_supplied_by_Water boating or water trucking]]/90)/15</f>
        <v>0</v>
      </c>
      <c r="CL224" s="930">
        <f>WWWW[[#This Row],['#_Water_Liters_from_Constructed/Existing water distribution system from river or natural spring]]/90/15</f>
        <v>0</v>
      </c>
      <c r="CM224" s="425">
        <f>IF(WWWW[[#This Row],['#_of water points in TLS/CFS]]*500&gt;WWWW[[#This Row],[Total PoP ]],WWWW[[#This Row],[Total PoP ]],WWWW[[#This Row],['#_of water points in TLS/CFS]]*500)</f>
        <v>0</v>
      </c>
      <c r="CN224" s="425">
        <f>IF(WWWW[[#This Row],['#_of water points in THF]]*500&gt;WWWW[[#This Row],[Total PoP ]],WWWW[[#This Row],[Total PoP ]],WWWW[[#This Row],['#_of water points in THF]]*500)</f>
        <v>0</v>
      </c>
      <c r="CO22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4" s="929">
        <f>IF(WWWW[[#This Row],[Location Type 1]]="Village",WWWW[[#This Row],[Access to safe drinking water for Village]],WWWW[[#This Row],[Access to safe drinking water for Camp]])</f>
        <v>1</v>
      </c>
      <c r="CR224" s="927">
        <f>WWWW[[#This Row],[%Equitable and continuous access to sufficient quantity of safe drinking water]]*WWWW[[#This Row],[Total PoP ]]</f>
        <v>697</v>
      </c>
      <c r="CS224" s="929">
        <f>IF((WWWW[[#This Row],['#_Constructed/Existing protected/fenced ponds]]*250)/WWWW[[#This Row],[Total PoP ]]&gt;1,1,(WWWW[[#This Row],['#_Constructed/Existing protected/fenced ponds]]*250)/WWWW[[#This Row],[Total PoP ]])</f>
        <v>0</v>
      </c>
      <c r="CT224" s="927">
        <f>WWWW[[#This Row],[% Access to unimproved water points]]*WWWW[[#This Row],[Total PoP ]]</f>
        <v>0</v>
      </c>
      <c r="CU22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697</v>
      </c>
      <c r="CW224" s="927">
        <f>WWWW[[#This Row],[HRP1]]/500</f>
        <v>1.3939999999999999</v>
      </c>
      <c r="CX224" s="932">
        <f>1-WWWW[[#This Row],[% Equitable and continuous access to sufficient quantity of domestic water]]</f>
        <v>0</v>
      </c>
      <c r="CY224" s="927">
        <f>WWWW[[#This Row],[%equitable and continuous access to sufficient quantity of safe drinking and domestic water''s GAP]]*WWWW[[#This Row],[Total PoP ]]</f>
        <v>0</v>
      </c>
      <c r="CZ224" s="930">
        <f>IF(WWWW[[#This Row],[Total required water points]]-WWWW[[#This Row],['#Water points coverage]]&lt;0,0,WWWW[[#This Row],[Total required water points]]-WWWW[[#This Row],['#Water points coverage]])</f>
        <v>0</v>
      </c>
      <c r="DA224" s="930">
        <f>ROUND(IF(WWWW[[#This Row],[Total PoP ]]&lt;500,1,WWWW[[#This Row],[Total PoP ]]/500),0)</f>
        <v>1</v>
      </c>
      <c r="DB224" s="930">
        <f>(WWWW[[#This Row],['#_Constructed latrines_by_WASHAgencies]]+WWWW[[#This Row],['#_Non Cluster partner latrines]])-WWWW[[#This Row],['#_Non-functional latrines]]</f>
        <v>32</v>
      </c>
      <c r="DC224" s="634">
        <f>WWWW[[#This Row],[HRP2]]/WWWW[[#This Row],[Total PoP ]]</f>
        <v>0.9182209469153515</v>
      </c>
      <c r="DD22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640</v>
      </c>
      <c r="DE22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4" s="425">
        <f>IF(WWWW[[#This Row],['# of functional latrines in THF supported by WASH partners during the reporting period2]]="",0,WWWW[[#This Row],['# of functional latrines in THF supported by WASH partners during the reporting period2]]*50)</f>
        <v>0</v>
      </c>
      <c r="DH224" s="930">
        <f>ROUND(IF(WWWW[[#This Row],[Location Type 1]]="camp",WWWW[[#This Row],[Total PoP ]]/20,IF(WWWW[[#This Row],[Location Type 1]]="Temporary Location",WWWW[[#This Row],[Total PoP ]]/50,(WWWW[[#This Row],[Total PoP ]]/6))),0)</f>
        <v>35</v>
      </c>
      <c r="DI224" s="930">
        <f>IF(WWWW[[#This Row],[Total required Latrines]]-(WWWW[[#This Row],['#_Constructed latrines_by_WASHAgencies]]+WWWW[[#This Row],['#_Non Cluster partner latrines]])&lt;0,0,WWWW[[#This Row],[Total required Latrines]]-(WWWW[[#This Row],['#_Constructed latrines_by_WASHAgencies]]+WWWW[[#This Row],['#_Non Cluster partner latrines]]))</f>
        <v>3</v>
      </c>
      <c r="DJ224" s="932">
        <f>1-WWWW[[#This Row],[% people access to functioning Latrine]]</f>
        <v>8.1779053084648501E-2</v>
      </c>
      <c r="DK224" s="931">
        <f>IF(OR(WWWW[[#This Row],['#_Non-functional latrines]]="",WWWW[[#This Row],['#_Non-functional latrines]]=0),0,WWWW[[#This Row],['#_Non-functional latrines]]/(WWWW[[#This Row],['#_Constructed latrines_by_WASHAgencies]]+WWWW[[#This Row],['#_Non Cluster partner latrines]]))</f>
        <v>0</v>
      </c>
      <c r="DL224" s="927">
        <f>IF(500*(WWWW[[#This Row],['#_male hygiene promoters]]+WWWW[[#This Row],['#_female hygiene promoters]])&gt;WWWW[[#This Row],[Total PoP ]],WWWW[[#This Row],[Total PoP ]],500*(WWWW[[#This Row],['#_male hygiene promoters]]+WWWW[[#This Row],['#_female hygiene promoters]]))</f>
        <v>0</v>
      </c>
      <c r="DM22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4" s="930">
        <f>IF(WWWW[[#This Row],['# People with access to soap]]&gt;WWWW[[#This Row],['# People with access to Sanity Pads]],WWWW[[#This Row],['# People with access to soap]],WWWW[[#This Row],['# People with access to Sanity Pads]])</f>
        <v>0</v>
      </c>
      <c r="DP22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4" s="932">
        <f>IF(WWWW[[#This Row],[HRP3]]/WWWW[[#This Row],[Total PoP ]]&gt;1,1,WWWW[[#This Row],[HRP3]]/WWWW[[#This Row],[Total PoP ]])</f>
        <v>0</v>
      </c>
      <c r="DR224" s="931">
        <f>1-WWWW[[#This Row],[Hygiene Coverage%]]</f>
        <v>1</v>
      </c>
      <c r="DS224" s="929">
        <f>WWWW[[#This Row],['# people reached by regular dedicated hygiene promotion_5]]/WWWW[[#This Row],[Total PoP ]]</f>
        <v>0</v>
      </c>
      <c r="DT22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4" s="930">
        <f>WWWW[[#This Row],['#_Constructed/Existing hand washing stations]]-WWWW[[#This Row],['#_Non-Functional_hand_washing_stations]]</f>
        <v>3</v>
      </c>
      <c r="DW224" s="927">
        <f>IF(WWWW[[#This Row],['# Functional hand washing stations during reporting period]]*20&gt;WWWW[[#This Row],[Total HH]],WWWW[[#This Row],[Total HH]],WWWW[[#This Row],['# Functional hand washing stations during reporting period]]*20)</f>
        <v>60</v>
      </c>
      <c r="DX224" s="927">
        <f>IF(WWWW[[#This Row],[Is sufficient soap available for TLS? (Yes/No)]]="yes",WWWW[[#This Row],['#_Constructed/Existing hand washing stations at TLS/CFS/THF]],0)</f>
        <v>0</v>
      </c>
      <c r="DY224" s="429">
        <f>IF(WWWW[[#This Row],['# Functional hand washing stations during reporting period]]*100&gt;WWWW[[#This Row],[Total PoP ]],WWWW[[#This Row],[Total PoP ]],WWWW[[#This Row],['# Functional hand washing stations during reporting period]]*100)</f>
        <v>300</v>
      </c>
      <c r="DZ224" s="429" t="str">
        <f>IF(OR(WWWW[[#This Row],['#_students at TLS_CFS]]="",WWWW[[#This Row],['#_students at TLS_CFS]]=0),"No","Yes")</f>
        <v>No</v>
      </c>
      <c r="EA22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4" s="923" t="str">
        <f>VLOOKUP(WWWW[[#This Row],[Site Name]],SiteDB6[[Site Name]:[CCCM Management]],6,FALSE)</f>
        <v>Yes</v>
      </c>
      <c r="EF224" s="923" t="str">
        <f>VLOOKUP(WWWW[[#This Row],[Site Name]],SiteDB6[[Site Name]:[CCCM Focal Agency]],7,FALSE)</f>
        <v>KBC-MYT</v>
      </c>
      <c r="EG224" s="923" t="str">
        <f>VLOOKUP(WWWW[[#This Row],[Site Name]],SiteDB6[[Site Name]:[Location Type 1]],9,FALSE)</f>
        <v>Camp</v>
      </c>
      <c r="EH224" s="923" t="str">
        <f>VLOOKUP(WWWW[[#This Row],[Site Name]],SiteDB6[[Site Name]:[Type of Accommodation]],10,FALSE)</f>
        <v>Camp</v>
      </c>
      <c r="EI224" s="923" t="str">
        <f>VLOOKUP(WWWW[[#This Row],[Site Name]],SiteDB6[[Site Name]:[Ethnic or GCA/NGCA]],11,FALSE)</f>
        <v>GCA</v>
      </c>
      <c r="EJ224" s="923">
        <f>VLOOKUP(WWWW[[#This Row],[Site Name]],SiteDB6[[Site Name]:[Lat]],12,FALSE)</f>
        <v>25.3510167948718</v>
      </c>
      <c r="EK224" s="923">
        <f>VLOOKUP(WWWW[[#This Row],[Site Name]],SiteDB6[[Site Name]:[Long]],13,FALSE)</f>
        <v>97.403402307692303</v>
      </c>
      <c r="EL224" s="923" t="str">
        <f>VLOOKUP(WWWW[[#This Row],[Site Name]],SiteDB6[[Site Name]:[Pcode]],3,FALSE)</f>
        <v>MMR001CMP014</v>
      </c>
      <c r="EM224" s="928" t="str">
        <f t="shared" si="3"/>
        <v>Covered</v>
      </c>
      <c r="EN224" s="928"/>
      <c r="EO224" s="923">
        <f>VLOOKUP(WWWW[[#This Row],[Site Name]],SiteDB6[[Site Name]:[Pop
(Kachin/Shan-CCCM as of July 2021)]],16,FALSE)</f>
        <v>136</v>
      </c>
      <c r="EP224" s="923">
        <f>VLOOKUP(WWWW[[#This Row],[Site Name]],SiteDB6[[Site Name]:[Pop
(Kachin/Shan-CCCM as of July 2021)]],17,FALSE)</f>
        <v>697</v>
      </c>
    </row>
    <row r="225" spans="1:146">
      <c r="A225" s="921" t="s">
        <v>2786</v>
      </c>
      <c r="B225" s="921" t="s">
        <v>3097</v>
      </c>
      <c r="C225" s="922" t="s">
        <v>141</v>
      </c>
      <c r="D225" s="922" t="s">
        <v>3105</v>
      </c>
      <c r="E225" s="922" t="s">
        <v>37</v>
      </c>
      <c r="F225" s="922" t="s">
        <v>159</v>
      </c>
      <c r="G225" s="594" t="str">
        <f>VLOOKUP(WWWW[[#This Row],[Site Name]],SiteDB6[[Site Name]:[Location Type]],8,FALSE)</f>
        <v>Camp</v>
      </c>
      <c r="H225" s="922" t="s">
        <v>165</v>
      </c>
      <c r="I225" s="924">
        <v>59</v>
      </c>
      <c r="J225" s="924">
        <v>327</v>
      </c>
      <c r="K225" s="925">
        <v>44682</v>
      </c>
      <c r="L225" s="926">
        <v>44865</v>
      </c>
      <c r="M225" s="924"/>
      <c r="N225" s="924">
        <v>1</v>
      </c>
      <c r="O225" s="924"/>
      <c r="P225" s="924"/>
      <c r="Q225" s="927" t="s">
        <v>41</v>
      </c>
      <c r="R225" s="924">
        <v>1</v>
      </c>
      <c r="S225" s="924">
        <v>2</v>
      </c>
      <c r="T225" s="449">
        <v>3</v>
      </c>
      <c r="U225" s="924"/>
      <c r="V225" s="924"/>
      <c r="W225" s="924"/>
      <c r="X225" s="924"/>
      <c r="Y225" s="924"/>
      <c r="Z225" s="924"/>
      <c r="AA225" s="924"/>
      <c r="AB225" s="924"/>
      <c r="AC225" s="924"/>
      <c r="AD225" s="924"/>
      <c r="AE225" s="924"/>
      <c r="AF225" s="924"/>
      <c r="AG225" s="924"/>
      <c r="AH225" s="924">
        <v>2</v>
      </c>
      <c r="AI225" s="924"/>
      <c r="AJ225" s="924"/>
      <c r="AK225" s="924"/>
      <c r="AL225" s="924"/>
      <c r="AM225" s="924"/>
      <c r="AN225" s="924"/>
      <c r="AO225" s="449"/>
      <c r="AP225" s="928"/>
      <c r="AQ225" s="924">
        <v>7</v>
      </c>
      <c r="AR225" s="924"/>
      <c r="AS225" s="929"/>
      <c r="AT225" s="924"/>
      <c r="AU225" s="924"/>
      <c r="AV225" s="924"/>
      <c r="AW225" s="924"/>
      <c r="AX225" s="924">
        <v>7</v>
      </c>
      <c r="AY225" s="923" t="s">
        <v>41</v>
      </c>
      <c r="AZ225" s="928" t="s">
        <v>904</v>
      </c>
      <c r="BA225" s="924"/>
      <c r="BB225" s="924"/>
      <c r="BC225" s="924"/>
      <c r="BD225" s="449"/>
      <c r="BE225" s="449"/>
      <c r="BF225" s="923"/>
      <c r="BG225" s="924">
        <v>3</v>
      </c>
      <c r="BH225" s="924"/>
      <c r="BI225" s="924"/>
      <c r="BJ225" s="924">
        <v>2</v>
      </c>
      <c r="BK225" s="924"/>
      <c r="BL225" s="924"/>
      <c r="BM225" s="924"/>
      <c r="BN225" s="924"/>
      <c r="BO225" s="924"/>
      <c r="BP225" s="923"/>
      <c r="BQ225" s="930"/>
      <c r="BR225" s="929"/>
      <c r="BS225" s="923"/>
      <c r="BT225" s="424"/>
      <c r="BU225" s="424"/>
      <c r="BV225" s="426"/>
      <c r="BW225" s="424"/>
      <c r="BX225" s="449"/>
      <c r="BY225" s="449"/>
      <c r="BZ225" s="449"/>
      <c r="CA225" s="449"/>
      <c r="CB225" s="449"/>
      <c r="CC225" s="807"/>
      <c r="CD225" s="449"/>
      <c r="CE225" s="931" t="str">
        <f>IFERROR(WWWW[[#This Row],['#_Water sources passed]]/WWWW[[#This Row],['#_Water sources tested for fecal coliform ]],"no test")</f>
        <v>no test</v>
      </c>
      <c r="CF225" s="929" t="str">
        <f>IFERROR(WWWW[[#This Row],['#_Household passed]]/WWWW[[#This Row],['#_Household water samples tested for fecal coliform]],"no test")</f>
        <v>no test</v>
      </c>
      <c r="CG225" s="930" t="str">
        <f>IF(AND(WWWW[[#This Row],[% of water sources passed]]="no test",WWWW[[#This Row],[% Household passed]]="no test"),"No Test","Tested")</f>
        <v>No Test</v>
      </c>
      <c r="CH225" s="930">
        <f>WWWW[[#This Row],['#_Constructed/existing protected hand dug well]]-WWWW[[#This Row],['#_Non-functional protected hand dug well]]</f>
        <v>3</v>
      </c>
      <c r="CI225" s="930">
        <f>(WWWW[[#This Row],['#_Constructed/Existing tube wells/boreholes/handpumps_WASH_agency]]+WWWW[[#This Row],['#_Non-Cluster partner water tube-wells/boreholes/handpumps]])-WWWW[[#This Row],['#_Non-functional tube wells/boreholes/handpumps]]</f>
        <v>0</v>
      </c>
      <c r="CJ225" s="930">
        <f>WWWW[[#This Row],['#_Constructed/Existingwater storage tank with gravity fed reticulation system]]-WWWW[[#This Row],['#_Non-functional storage tank gravity fed reticulation system]]</f>
        <v>0</v>
      </c>
      <c r="CK225" s="930">
        <f>(WWWW[[#This Row],['#_Water_Liters_supplied_by_Water boating or water trucking]]/90)/15</f>
        <v>0</v>
      </c>
      <c r="CL225" s="930">
        <f>WWWW[[#This Row],['#_Water_Liters_from_Constructed/Existing water distribution system from river or natural spring]]/90/15</f>
        <v>0</v>
      </c>
      <c r="CM225" s="425">
        <f>IF(WWWW[[#This Row],['#_of water points in TLS/CFS]]*500&gt;WWWW[[#This Row],[Total PoP ]],WWWW[[#This Row],[Total PoP ]],WWWW[[#This Row],['#_of water points in TLS/CFS]]*500)</f>
        <v>0</v>
      </c>
      <c r="CN225" s="425">
        <f>IF(WWWW[[#This Row],['#_of water points in THF]]*500&gt;WWWW[[#This Row],[Total PoP ]],WWWW[[#This Row],[Total PoP ]],WWWW[[#This Row],['#_of water points in THF]]*500)</f>
        <v>0</v>
      </c>
      <c r="CO22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5" s="929">
        <f>IF(WWWW[[#This Row],[Location Type 1]]="Village",WWWW[[#This Row],[Access to safe drinking water for Village]],WWWW[[#This Row],[Access to safe drinking water for Camp]])</f>
        <v>1</v>
      </c>
      <c r="CR225" s="927">
        <f>WWWW[[#This Row],[%Equitable and continuous access to sufficient quantity of safe drinking water]]*WWWW[[#This Row],[Total PoP ]]</f>
        <v>327</v>
      </c>
      <c r="CS225" s="929">
        <f>IF((WWWW[[#This Row],['#_Constructed/Existing protected/fenced ponds]]*250)/WWWW[[#This Row],[Total PoP ]]&gt;1,1,(WWWW[[#This Row],['#_Constructed/Existing protected/fenced ponds]]*250)/WWWW[[#This Row],[Total PoP ]])</f>
        <v>0</v>
      </c>
      <c r="CT225" s="927">
        <f>WWWW[[#This Row],[% Access to unimproved water points]]*WWWW[[#This Row],[Total PoP ]]</f>
        <v>0</v>
      </c>
      <c r="CU22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327</v>
      </c>
      <c r="CW225" s="927">
        <f>WWWW[[#This Row],[HRP1]]/500</f>
        <v>0.65400000000000003</v>
      </c>
      <c r="CX225" s="932">
        <f>1-WWWW[[#This Row],[% Equitable and continuous access to sufficient quantity of domestic water]]</f>
        <v>0</v>
      </c>
      <c r="CY225" s="927">
        <f>WWWW[[#This Row],[%equitable and continuous access to sufficient quantity of safe drinking and domestic water''s GAP]]*WWWW[[#This Row],[Total PoP ]]</f>
        <v>0</v>
      </c>
      <c r="CZ225" s="930">
        <f>IF(WWWW[[#This Row],[Total required water points]]-WWWW[[#This Row],['#Water points coverage]]&lt;0,0,WWWW[[#This Row],[Total required water points]]-WWWW[[#This Row],['#Water points coverage]])</f>
        <v>0.34599999999999997</v>
      </c>
      <c r="DA225" s="930">
        <f>ROUND(IF(WWWW[[#This Row],[Total PoP ]]&lt;500,1,WWWW[[#This Row],[Total PoP ]]/500),0)</f>
        <v>1</v>
      </c>
      <c r="DB225" s="930">
        <f>(WWWW[[#This Row],['#_Constructed latrines_by_WASHAgencies]]+WWWW[[#This Row],['#_Non Cluster partner latrines]])-WWWW[[#This Row],['#_Non-functional latrines]]</f>
        <v>7</v>
      </c>
      <c r="DC225" s="634">
        <f>WWWW[[#This Row],[HRP2]]/WWWW[[#This Row],[Total PoP ]]</f>
        <v>0.42813455657492355</v>
      </c>
      <c r="DD22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22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5" s="425">
        <f>IF(WWWW[[#This Row],['# of functional latrines in THF supported by WASH partners during the reporting period2]]="",0,WWWW[[#This Row],['# of functional latrines in THF supported by WASH partners during the reporting period2]]*50)</f>
        <v>0</v>
      </c>
      <c r="DH225" s="930">
        <f>ROUND(IF(WWWW[[#This Row],[Location Type 1]]="camp",WWWW[[#This Row],[Total PoP ]]/20,IF(WWWW[[#This Row],[Location Type 1]]="Temporary Location",WWWW[[#This Row],[Total PoP ]]/50,(WWWW[[#This Row],[Total PoP ]]/6))),0)</f>
        <v>16</v>
      </c>
      <c r="DI225" s="930">
        <f>IF(WWWW[[#This Row],[Total required Latrines]]-(WWWW[[#This Row],['#_Constructed latrines_by_WASHAgencies]]+WWWW[[#This Row],['#_Non Cluster partner latrines]])&lt;0,0,WWWW[[#This Row],[Total required Latrines]]-(WWWW[[#This Row],['#_Constructed latrines_by_WASHAgencies]]+WWWW[[#This Row],['#_Non Cluster partner latrines]]))</f>
        <v>9</v>
      </c>
      <c r="DJ225" s="932">
        <f>1-WWWW[[#This Row],[% people access to functioning Latrine]]</f>
        <v>0.5718654434250765</v>
      </c>
      <c r="DK225" s="931">
        <f>IF(OR(WWWW[[#This Row],['#_Non-functional latrines]]="",WWWW[[#This Row],['#_Non-functional latrines]]=0),0,WWWW[[#This Row],['#_Non-functional latrines]]/(WWWW[[#This Row],['#_Constructed latrines_by_WASHAgencies]]+WWWW[[#This Row],['#_Non Cluster partner latrines]]))</f>
        <v>0</v>
      </c>
      <c r="DL225" s="927">
        <f>IF(500*(WWWW[[#This Row],['#_male hygiene promoters]]+WWWW[[#This Row],['#_female hygiene promoters]])&gt;WWWW[[#This Row],[Total PoP ]],WWWW[[#This Row],[Total PoP ]],500*(WWWW[[#This Row],['#_male hygiene promoters]]+WWWW[[#This Row],['#_female hygiene promoters]]))</f>
        <v>0</v>
      </c>
      <c r="DM22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5" s="930">
        <f>IF(WWWW[[#This Row],['# People with access to soap]]&gt;WWWW[[#This Row],['# People with access to Sanity Pads]],WWWW[[#This Row],['# People with access to soap]],WWWW[[#This Row],['# People with access to Sanity Pads]])</f>
        <v>0</v>
      </c>
      <c r="DP22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5" s="932">
        <f>IF(WWWW[[#This Row],[HRP3]]/WWWW[[#This Row],[Total PoP ]]&gt;1,1,WWWW[[#This Row],[HRP3]]/WWWW[[#This Row],[Total PoP ]])</f>
        <v>0</v>
      </c>
      <c r="DR225" s="931">
        <f>1-WWWW[[#This Row],[Hygiene Coverage%]]</f>
        <v>1</v>
      </c>
      <c r="DS225" s="929">
        <f>WWWW[[#This Row],['# people reached by regular dedicated hygiene promotion_5]]/WWWW[[#This Row],[Total PoP ]]</f>
        <v>0</v>
      </c>
      <c r="DT22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5" s="930">
        <f>WWWW[[#This Row],['#_Constructed/Existing hand washing stations]]-WWWW[[#This Row],['#_Non-Functional_hand_washing_stations]]</f>
        <v>3</v>
      </c>
      <c r="DW225" s="927">
        <f>IF(WWWW[[#This Row],['# Functional hand washing stations during reporting period]]*20&gt;WWWW[[#This Row],[Total HH]],WWWW[[#This Row],[Total HH]],WWWW[[#This Row],['# Functional hand washing stations during reporting period]]*20)</f>
        <v>59</v>
      </c>
      <c r="DX225" s="927">
        <f>IF(WWWW[[#This Row],[Is sufficient soap available for TLS? (Yes/No)]]="yes",WWWW[[#This Row],['#_Constructed/Existing hand washing stations at TLS/CFS/THF]],0)</f>
        <v>0</v>
      </c>
      <c r="DY225" s="429">
        <f>IF(WWWW[[#This Row],['# Functional hand washing stations during reporting period]]*100&gt;WWWW[[#This Row],[Total PoP ]],WWWW[[#This Row],[Total PoP ]],WWWW[[#This Row],['# Functional hand washing stations during reporting period]]*100)</f>
        <v>300</v>
      </c>
      <c r="DZ225" s="429" t="str">
        <f>IF(OR(WWWW[[#This Row],['#_students at TLS_CFS]]="",WWWW[[#This Row],['#_students at TLS_CFS]]=0),"No","Yes")</f>
        <v>No</v>
      </c>
      <c r="EA22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5" s="923" t="str">
        <f>VLOOKUP(WWWW[[#This Row],[Site Name]],SiteDB6[[Site Name]:[CCCM Management]],6,FALSE)</f>
        <v>Yes</v>
      </c>
      <c r="EF225" s="923" t="str">
        <f>VLOOKUP(WWWW[[#This Row],[Site Name]],SiteDB6[[Site Name]:[CCCM Focal Agency]],7,FALSE)</f>
        <v>KBC-MYT</v>
      </c>
      <c r="EG225" s="923" t="str">
        <f>VLOOKUP(WWWW[[#This Row],[Site Name]],SiteDB6[[Site Name]:[Location Type 1]],9,FALSE)</f>
        <v>Camp</v>
      </c>
      <c r="EH225" s="923" t="str">
        <f>VLOOKUP(WWWW[[#This Row],[Site Name]],SiteDB6[[Site Name]:[Type of Accommodation]],10,FALSE)</f>
        <v>Camp</v>
      </c>
      <c r="EI225" s="923" t="str">
        <f>VLOOKUP(WWWW[[#This Row],[Site Name]],SiteDB6[[Site Name]:[Ethnic or GCA/NGCA]],11,FALSE)</f>
        <v>GCA</v>
      </c>
      <c r="EJ225" s="923">
        <f>VLOOKUP(WWWW[[#This Row],[Site Name]],SiteDB6[[Site Name]:[Lat]],12,FALSE)</f>
        <v>25.360463124999999</v>
      </c>
      <c r="EK225" s="923">
        <f>VLOOKUP(WWWW[[#This Row],[Site Name]],SiteDB6[[Site Name]:[Long]],13,FALSE)</f>
        <v>97.4113064583333</v>
      </c>
      <c r="EL225" s="923" t="str">
        <f>VLOOKUP(WWWW[[#This Row],[Site Name]],SiteDB6[[Site Name]:[Pcode]],3,FALSE)</f>
        <v>MMR001CMP016</v>
      </c>
      <c r="EM225" s="928" t="str">
        <f t="shared" si="3"/>
        <v>Covered</v>
      </c>
      <c r="EN225" s="928"/>
      <c r="EO225" s="923">
        <f>VLOOKUP(WWWW[[#This Row],[Site Name]],SiteDB6[[Site Name]:[Pop
(Kachin/Shan-CCCM as of July 2021)]],16,FALSE)</f>
        <v>59</v>
      </c>
      <c r="EP225" s="923">
        <f>VLOOKUP(WWWW[[#This Row],[Site Name]],SiteDB6[[Site Name]:[Pop
(Kachin/Shan-CCCM as of July 2021)]],17,FALSE)</f>
        <v>327</v>
      </c>
    </row>
    <row r="226" spans="1:146">
      <c r="A226" s="921" t="s">
        <v>2786</v>
      </c>
      <c r="B226" s="921" t="s">
        <v>3097</v>
      </c>
      <c r="C226" s="922" t="s">
        <v>141</v>
      </c>
      <c r="D226" s="922" t="s">
        <v>3105</v>
      </c>
      <c r="E226" s="922" t="s">
        <v>37</v>
      </c>
      <c r="F226" s="922" t="s">
        <v>159</v>
      </c>
      <c r="G226" s="594" t="str">
        <f>VLOOKUP(WWWW[[#This Row],[Site Name]],SiteDB6[[Site Name]:[Location Type]],8,FALSE)</f>
        <v>Camp</v>
      </c>
      <c r="H226" s="922" t="s">
        <v>166</v>
      </c>
      <c r="I226" s="924">
        <v>108</v>
      </c>
      <c r="J226" s="924">
        <v>622</v>
      </c>
      <c r="K226" s="925">
        <v>44682</v>
      </c>
      <c r="L226" s="926">
        <v>44865</v>
      </c>
      <c r="M226" s="924"/>
      <c r="N226" s="924">
        <v>1</v>
      </c>
      <c r="O226" s="924"/>
      <c r="P226" s="924"/>
      <c r="Q226" s="927" t="s">
        <v>41</v>
      </c>
      <c r="R226" s="924">
        <v>2</v>
      </c>
      <c r="S226" s="924">
        <v>3</v>
      </c>
      <c r="T226" s="449">
        <v>2</v>
      </c>
      <c r="U226" s="924">
        <v>1</v>
      </c>
      <c r="V226" s="924"/>
      <c r="W226" s="924">
        <v>3</v>
      </c>
      <c r="X226" s="924"/>
      <c r="Y226" s="924"/>
      <c r="Z226" s="924"/>
      <c r="AA226" s="924"/>
      <c r="AB226" s="924"/>
      <c r="AC226" s="924"/>
      <c r="AD226" s="924"/>
      <c r="AE226" s="924"/>
      <c r="AF226" s="924"/>
      <c r="AG226" s="924"/>
      <c r="AH226" s="924">
        <v>3</v>
      </c>
      <c r="AI226" s="924"/>
      <c r="AJ226" s="924"/>
      <c r="AK226" s="924"/>
      <c r="AL226" s="924"/>
      <c r="AM226" s="924"/>
      <c r="AN226" s="924"/>
      <c r="AO226" s="449"/>
      <c r="AP226" s="928"/>
      <c r="AQ226" s="924">
        <v>34</v>
      </c>
      <c r="AR226" s="924"/>
      <c r="AS226" s="929"/>
      <c r="AT226" s="924"/>
      <c r="AU226" s="924"/>
      <c r="AV226" s="924"/>
      <c r="AW226" s="924"/>
      <c r="AX226" s="924">
        <v>34</v>
      </c>
      <c r="AY226" s="923" t="s">
        <v>41</v>
      </c>
      <c r="AZ226" s="928" t="s">
        <v>904</v>
      </c>
      <c r="BA226" s="924"/>
      <c r="BB226" s="924"/>
      <c r="BC226" s="924"/>
      <c r="BD226" s="449"/>
      <c r="BE226" s="449"/>
      <c r="BF226" s="923"/>
      <c r="BG226" s="924">
        <v>3</v>
      </c>
      <c r="BH226" s="924"/>
      <c r="BI226" s="924"/>
      <c r="BJ226" s="924">
        <v>2</v>
      </c>
      <c r="BK226" s="924"/>
      <c r="BL226" s="924"/>
      <c r="BM226" s="924"/>
      <c r="BN226" s="924"/>
      <c r="BO226" s="924"/>
      <c r="BP226" s="923"/>
      <c r="BQ226" s="930"/>
      <c r="BR226" s="929"/>
      <c r="BS226" s="923"/>
      <c r="BT226" s="424"/>
      <c r="BU226" s="424"/>
      <c r="BV226" s="426"/>
      <c r="BW226" s="424"/>
      <c r="BX226" s="449"/>
      <c r="BY226" s="449"/>
      <c r="BZ226" s="449"/>
      <c r="CA226" s="449"/>
      <c r="CB226" s="449"/>
      <c r="CC226" s="807"/>
      <c r="CD226" s="449"/>
      <c r="CE226" s="931" t="str">
        <f>IFERROR(WWWW[[#This Row],['#_Water sources passed]]/WWWW[[#This Row],['#_Water sources tested for fecal coliform ]],"no test")</f>
        <v>no test</v>
      </c>
      <c r="CF226" s="929" t="str">
        <f>IFERROR(WWWW[[#This Row],['#_Household passed]]/WWWW[[#This Row],['#_Household water samples tested for fecal coliform]],"no test")</f>
        <v>no test</v>
      </c>
      <c r="CG226" s="930" t="str">
        <f>IF(AND(WWWW[[#This Row],[% of water sources passed]]="no test",WWWW[[#This Row],[% Household passed]]="no test"),"No Test","Tested")</f>
        <v>No Test</v>
      </c>
      <c r="CH226" s="930">
        <f>WWWW[[#This Row],['#_Constructed/existing protected hand dug well]]-WWWW[[#This Row],['#_Non-functional protected hand dug well]]</f>
        <v>1</v>
      </c>
      <c r="CI226" s="930">
        <f>(WWWW[[#This Row],['#_Constructed/Existing tube wells/boreholes/handpumps_WASH_agency]]+WWWW[[#This Row],['#_Non-Cluster partner water tube-wells/boreholes/handpumps]])-WWWW[[#This Row],['#_Non-functional tube wells/boreholes/handpumps]]</f>
        <v>3</v>
      </c>
      <c r="CJ226" s="930">
        <f>WWWW[[#This Row],['#_Constructed/Existingwater storage tank with gravity fed reticulation system]]-WWWW[[#This Row],['#_Non-functional storage tank gravity fed reticulation system]]</f>
        <v>0</v>
      </c>
      <c r="CK226" s="930">
        <f>(WWWW[[#This Row],['#_Water_Liters_supplied_by_Water boating or water trucking]]/90)/15</f>
        <v>0</v>
      </c>
      <c r="CL226" s="930">
        <f>WWWW[[#This Row],['#_Water_Liters_from_Constructed/Existing water distribution system from river or natural spring]]/90/15</f>
        <v>0</v>
      </c>
      <c r="CM226" s="425">
        <f>IF(WWWW[[#This Row],['#_of water points in TLS/CFS]]*500&gt;WWWW[[#This Row],[Total PoP ]],WWWW[[#This Row],[Total PoP ]],WWWW[[#This Row],['#_of water points in TLS/CFS]]*500)</f>
        <v>0</v>
      </c>
      <c r="CN226" s="425">
        <f>IF(WWWW[[#This Row],['#_of water points in THF]]*500&gt;WWWW[[#This Row],[Total PoP ]],WWWW[[#This Row],[Total PoP ]],WWWW[[#This Row],['#_of water points in THF]]*500)</f>
        <v>0</v>
      </c>
      <c r="CO22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6" s="929">
        <f>IF(WWWW[[#This Row],[Location Type 1]]="Village",WWWW[[#This Row],[Access to safe drinking water for Village]],WWWW[[#This Row],[Access to safe drinking water for Camp]])</f>
        <v>1</v>
      </c>
      <c r="CR226" s="927">
        <f>WWWW[[#This Row],[%Equitable and continuous access to sufficient quantity of safe drinking water]]*WWWW[[#This Row],[Total PoP ]]</f>
        <v>622</v>
      </c>
      <c r="CS226" s="929">
        <f>IF((WWWW[[#This Row],['#_Constructed/Existing protected/fenced ponds]]*250)/WWWW[[#This Row],[Total PoP ]]&gt;1,1,(WWWW[[#This Row],['#_Constructed/Existing protected/fenced ponds]]*250)/WWWW[[#This Row],[Total PoP ]])</f>
        <v>0</v>
      </c>
      <c r="CT226" s="927">
        <f>WWWW[[#This Row],[% Access to unimproved water points]]*WWWW[[#This Row],[Total PoP ]]</f>
        <v>0</v>
      </c>
      <c r="CU22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622</v>
      </c>
      <c r="CW226" s="927">
        <f>WWWW[[#This Row],[HRP1]]/500</f>
        <v>1.244</v>
      </c>
      <c r="CX226" s="932">
        <f>1-WWWW[[#This Row],[% Equitable and continuous access to sufficient quantity of domestic water]]</f>
        <v>0</v>
      </c>
      <c r="CY226" s="927">
        <f>WWWW[[#This Row],[%equitable and continuous access to sufficient quantity of safe drinking and domestic water''s GAP]]*WWWW[[#This Row],[Total PoP ]]</f>
        <v>0</v>
      </c>
      <c r="CZ226" s="930">
        <f>IF(WWWW[[#This Row],[Total required water points]]-WWWW[[#This Row],['#Water points coverage]]&lt;0,0,WWWW[[#This Row],[Total required water points]]-WWWW[[#This Row],['#Water points coverage]])</f>
        <v>0</v>
      </c>
      <c r="DA226" s="930">
        <f>ROUND(IF(WWWW[[#This Row],[Total PoP ]]&lt;500,1,WWWW[[#This Row],[Total PoP ]]/500),0)</f>
        <v>1</v>
      </c>
      <c r="DB226" s="930">
        <f>(WWWW[[#This Row],['#_Constructed latrines_by_WASHAgencies]]+WWWW[[#This Row],['#_Non Cluster partner latrines]])-WWWW[[#This Row],['#_Non-functional latrines]]</f>
        <v>34</v>
      </c>
      <c r="DC226" s="634">
        <f>WWWW[[#This Row],[HRP2]]/WWWW[[#This Row],[Total PoP ]]</f>
        <v>1</v>
      </c>
      <c r="DD22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622</v>
      </c>
      <c r="DE22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6" s="425">
        <f>IF(WWWW[[#This Row],['# of functional latrines in THF supported by WASH partners during the reporting period2]]="",0,WWWW[[#This Row],['# of functional latrines in THF supported by WASH partners during the reporting period2]]*50)</f>
        <v>0</v>
      </c>
      <c r="DH226" s="930">
        <f>ROUND(IF(WWWW[[#This Row],[Location Type 1]]="camp",WWWW[[#This Row],[Total PoP ]]/20,IF(WWWW[[#This Row],[Location Type 1]]="Temporary Location",WWWW[[#This Row],[Total PoP ]]/50,(WWWW[[#This Row],[Total PoP ]]/6))),0)</f>
        <v>31</v>
      </c>
      <c r="DI226" s="930">
        <f>IF(WWWW[[#This Row],[Total required Latrines]]-(WWWW[[#This Row],['#_Constructed latrines_by_WASHAgencies]]+WWWW[[#This Row],['#_Non Cluster partner latrines]])&lt;0,0,WWWW[[#This Row],[Total required Latrines]]-(WWWW[[#This Row],['#_Constructed latrines_by_WASHAgencies]]+WWWW[[#This Row],['#_Non Cluster partner latrines]]))</f>
        <v>0</v>
      </c>
      <c r="DJ226" s="932">
        <f>1-WWWW[[#This Row],[% people access to functioning Latrine]]</f>
        <v>0</v>
      </c>
      <c r="DK226" s="931">
        <f>IF(OR(WWWW[[#This Row],['#_Non-functional latrines]]="",WWWW[[#This Row],['#_Non-functional latrines]]=0),0,WWWW[[#This Row],['#_Non-functional latrines]]/(WWWW[[#This Row],['#_Constructed latrines_by_WASHAgencies]]+WWWW[[#This Row],['#_Non Cluster partner latrines]]))</f>
        <v>0</v>
      </c>
      <c r="DL226" s="927">
        <f>IF(500*(WWWW[[#This Row],['#_male hygiene promoters]]+WWWW[[#This Row],['#_female hygiene promoters]])&gt;WWWW[[#This Row],[Total PoP ]],WWWW[[#This Row],[Total PoP ]],500*(WWWW[[#This Row],['#_male hygiene promoters]]+WWWW[[#This Row],['#_female hygiene promoters]]))</f>
        <v>0</v>
      </c>
      <c r="DM22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6" s="930">
        <f>IF(WWWW[[#This Row],['# People with access to soap]]&gt;WWWW[[#This Row],['# People with access to Sanity Pads]],WWWW[[#This Row],['# People with access to soap]],WWWW[[#This Row],['# People with access to Sanity Pads]])</f>
        <v>0</v>
      </c>
      <c r="DP22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6" s="932">
        <f>IF(WWWW[[#This Row],[HRP3]]/WWWW[[#This Row],[Total PoP ]]&gt;1,1,WWWW[[#This Row],[HRP3]]/WWWW[[#This Row],[Total PoP ]])</f>
        <v>0</v>
      </c>
      <c r="DR226" s="931">
        <f>1-WWWW[[#This Row],[Hygiene Coverage%]]</f>
        <v>1</v>
      </c>
      <c r="DS226" s="929">
        <f>WWWW[[#This Row],['# people reached by regular dedicated hygiene promotion_5]]/WWWW[[#This Row],[Total PoP ]]</f>
        <v>0</v>
      </c>
      <c r="DT22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6" s="930">
        <f>WWWW[[#This Row],['#_Constructed/Existing hand washing stations]]-WWWW[[#This Row],['#_Non-Functional_hand_washing_stations]]</f>
        <v>3</v>
      </c>
      <c r="DW226" s="927">
        <f>IF(WWWW[[#This Row],['# Functional hand washing stations during reporting period]]*20&gt;WWWW[[#This Row],[Total HH]],WWWW[[#This Row],[Total HH]],WWWW[[#This Row],['# Functional hand washing stations during reporting period]]*20)</f>
        <v>60</v>
      </c>
      <c r="DX226" s="927">
        <f>IF(WWWW[[#This Row],[Is sufficient soap available for TLS? (Yes/No)]]="yes",WWWW[[#This Row],['#_Constructed/Existing hand washing stations at TLS/CFS/THF]],0)</f>
        <v>0</v>
      </c>
      <c r="DY226" s="429">
        <f>IF(WWWW[[#This Row],['# Functional hand washing stations during reporting period]]*100&gt;WWWW[[#This Row],[Total PoP ]],WWWW[[#This Row],[Total PoP ]],WWWW[[#This Row],['# Functional hand washing stations during reporting period]]*100)</f>
        <v>300</v>
      </c>
      <c r="DZ226" s="429" t="str">
        <f>IF(OR(WWWW[[#This Row],['#_students at TLS_CFS]]="",WWWW[[#This Row],['#_students at TLS_CFS]]=0),"No","Yes")</f>
        <v>No</v>
      </c>
      <c r="EA22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6" s="923" t="str">
        <f>VLOOKUP(WWWW[[#This Row],[Site Name]],SiteDB6[[Site Name]:[CCCM Management]],6,FALSE)</f>
        <v>Yes</v>
      </c>
      <c r="EF226" s="923" t="str">
        <f>VLOOKUP(WWWW[[#This Row],[Site Name]],SiteDB6[[Site Name]:[CCCM Focal Agency]],7,FALSE)</f>
        <v>KBC-MYT</v>
      </c>
      <c r="EG226" s="923" t="str">
        <f>VLOOKUP(WWWW[[#This Row],[Site Name]],SiteDB6[[Site Name]:[Location Type 1]],9,FALSE)</f>
        <v>Camp</v>
      </c>
      <c r="EH226" s="923" t="str">
        <f>VLOOKUP(WWWW[[#This Row],[Site Name]],SiteDB6[[Site Name]:[Type of Accommodation]],10,FALSE)</f>
        <v>Camp</v>
      </c>
      <c r="EI226" s="923" t="str">
        <f>VLOOKUP(WWWW[[#This Row],[Site Name]],SiteDB6[[Site Name]:[Ethnic or GCA/NGCA]],11,FALSE)</f>
        <v>GCA</v>
      </c>
      <c r="EJ226" s="923">
        <f>VLOOKUP(WWWW[[#This Row],[Site Name]],SiteDB6[[Site Name]:[Lat]],12,FALSE)</f>
        <v>25.428910999999999</v>
      </c>
      <c r="EK226" s="923">
        <f>VLOOKUP(WWWW[[#This Row],[Site Name]],SiteDB6[[Site Name]:[Long]],13,FALSE)</f>
        <v>97.418694000000002</v>
      </c>
      <c r="EL226" s="923" t="str">
        <f>VLOOKUP(WWWW[[#This Row],[Site Name]],SiteDB6[[Site Name]:[Pcode]],3,FALSE)</f>
        <v>MMR001CMP008</v>
      </c>
      <c r="EM226" s="928" t="str">
        <f t="shared" si="3"/>
        <v>Covered</v>
      </c>
      <c r="EN226" s="928"/>
      <c r="EO226" s="923">
        <f>VLOOKUP(WWWW[[#This Row],[Site Name]],SiteDB6[[Site Name]:[Pop
(Kachin/Shan-CCCM as of July 2021)]],16,FALSE)</f>
        <v>108</v>
      </c>
      <c r="EP226" s="923">
        <f>VLOOKUP(WWWW[[#This Row],[Site Name]],SiteDB6[[Site Name]:[Pop
(Kachin/Shan-CCCM as of July 2021)]],17,FALSE)</f>
        <v>622</v>
      </c>
    </row>
    <row r="227" spans="1:146">
      <c r="A227" s="921" t="s">
        <v>2786</v>
      </c>
      <c r="B227" s="921" t="s">
        <v>3097</v>
      </c>
      <c r="C227" s="922" t="s">
        <v>141</v>
      </c>
      <c r="D227" s="922" t="s">
        <v>3105</v>
      </c>
      <c r="E227" s="922" t="s">
        <v>37</v>
      </c>
      <c r="F227" s="922" t="s">
        <v>159</v>
      </c>
      <c r="G227" s="594" t="str">
        <f>VLOOKUP(WWWW[[#This Row],[Site Name]],SiteDB6[[Site Name]:[Location Type]],8,FALSE)</f>
        <v>Camp</v>
      </c>
      <c r="H227" s="922" t="s">
        <v>167</v>
      </c>
      <c r="I227" s="924">
        <v>72</v>
      </c>
      <c r="J227" s="924">
        <v>323</v>
      </c>
      <c r="K227" s="925">
        <v>44682</v>
      </c>
      <c r="L227" s="926">
        <v>44865</v>
      </c>
      <c r="M227" s="924"/>
      <c r="N227" s="924">
        <v>1</v>
      </c>
      <c r="O227" s="924"/>
      <c r="P227" s="924"/>
      <c r="Q227" s="927" t="s">
        <v>41</v>
      </c>
      <c r="R227" s="924">
        <v>2</v>
      </c>
      <c r="S227" s="924">
        <v>2</v>
      </c>
      <c r="T227" s="449">
        <v>2</v>
      </c>
      <c r="U227" s="924"/>
      <c r="V227" s="924"/>
      <c r="W227" s="924">
        <v>2</v>
      </c>
      <c r="X227" s="924"/>
      <c r="Y227" s="924"/>
      <c r="Z227" s="924"/>
      <c r="AA227" s="924"/>
      <c r="AB227" s="924"/>
      <c r="AC227" s="924"/>
      <c r="AD227" s="924"/>
      <c r="AE227" s="924"/>
      <c r="AF227" s="924"/>
      <c r="AG227" s="924"/>
      <c r="AH227" s="924">
        <v>3</v>
      </c>
      <c r="AI227" s="924"/>
      <c r="AJ227" s="924"/>
      <c r="AK227" s="924"/>
      <c r="AL227" s="924"/>
      <c r="AM227" s="924"/>
      <c r="AN227" s="924"/>
      <c r="AO227" s="449"/>
      <c r="AP227" s="928"/>
      <c r="AQ227" s="924">
        <v>15</v>
      </c>
      <c r="AR227" s="924"/>
      <c r="AS227" s="929"/>
      <c r="AT227" s="924"/>
      <c r="AU227" s="924"/>
      <c r="AV227" s="924"/>
      <c r="AW227" s="924"/>
      <c r="AX227" s="924">
        <v>15</v>
      </c>
      <c r="AY227" s="923" t="s">
        <v>41</v>
      </c>
      <c r="AZ227" s="928" t="s">
        <v>137</v>
      </c>
      <c r="BA227" s="924"/>
      <c r="BB227" s="924"/>
      <c r="BC227" s="924"/>
      <c r="BD227" s="449"/>
      <c r="BE227" s="449"/>
      <c r="BF227" s="923"/>
      <c r="BG227" s="924">
        <v>1</v>
      </c>
      <c r="BH227" s="924"/>
      <c r="BI227" s="924"/>
      <c r="BJ227" s="924">
        <v>1</v>
      </c>
      <c r="BK227" s="924"/>
      <c r="BL227" s="924"/>
      <c r="BM227" s="924"/>
      <c r="BN227" s="924"/>
      <c r="BO227" s="924"/>
      <c r="BP227" s="923"/>
      <c r="BQ227" s="930"/>
      <c r="BR227" s="929"/>
      <c r="BS227" s="923"/>
      <c r="BT227" s="424"/>
      <c r="BU227" s="424"/>
      <c r="BV227" s="426"/>
      <c r="BW227" s="424"/>
      <c r="BX227" s="449"/>
      <c r="BY227" s="449"/>
      <c r="BZ227" s="449"/>
      <c r="CA227" s="449"/>
      <c r="CB227" s="449"/>
      <c r="CC227" s="807"/>
      <c r="CD227" s="449"/>
      <c r="CE227" s="931" t="str">
        <f>IFERROR(WWWW[[#This Row],['#_Water sources passed]]/WWWW[[#This Row],['#_Water sources tested for fecal coliform ]],"no test")</f>
        <v>no test</v>
      </c>
      <c r="CF227" s="929" t="str">
        <f>IFERROR(WWWW[[#This Row],['#_Household passed]]/WWWW[[#This Row],['#_Household water samples tested for fecal coliform]],"no test")</f>
        <v>no test</v>
      </c>
      <c r="CG227" s="930" t="str">
        <f>IF(AND(WWWW[[#This Row],[% of water sources passed]]="no test",WWWW[[#This Row],[% Household passed]]="no test"),"No Test","Tested")</f>
        <v>No Test</v>
      </c>
      <c r="CH227" s="930">
        <f>WWWW[[#This Row],['#_Constructed/existing protected hand dug well]]-WWWW[[#This Row],['#_Non-functional protected hand dug well]]</f>
        <v>2</v>
      </c>
      <c r="CI227" s="930">
        <f>(WWWW[[#This Row],['#_Constructed/Existing tube wells/boreholes/handpumps_WASH_agency]]+WWWW[[#This Row],['#_Non-Cluster partner water tube-wells/boreholes/handpumps]])-WWWW[[#This Row],['#_Non-functional tube wells/boreholes/handpumps]]</f>
        <v>2</v>
      </c>
      <c r="CJ227" s="930">
        <f>WWWW[[#This Row],['#_Constructed/Existingwater storage tank with gravity fed reticulation system]]-WWWW[[#This Row],['#_Non-functional storage tank gravity fed reticulation system]]</f>
        <v>0</v>
      </c>
      <c r="CK227" s="930">
        <f>(WWWW[[#This Row],['#_Water_Liters_supplied_by_Water boating or water trucking]]/90)/15</f>
        <v>0</v>
      </c>
      <c r="CL227" s="930">
        <f>WWWW[[#This Row],['#_Water_Liters_from_Constructed/Existing water distribution system from river or natural spring]]/90/15</f>
        <v>0</v>
      </c>
      <c r="CM227" s="425">
        <f>IF(WWWW[[#This Row],['#_of water points in TLS/CFS]]*500&gt;WWWW[[#This Row],[Total PoP ]],WWWW[[#This Row],[Total PoP ]],WWWW[[#This Row],['#_of water points in TLS/CFS]]*500)</f>
        <v>0</v>
      </c>
      <c r="CN227" s="425">
        <f>IF(WWWW[[#This Row],['#_of water points in THF]]*500&gt;WWWW[[#This Row],[Total PoP ]],WWWW[[#This Row],[Total PoP ]],WWWW[[#This Row],['#_of water points in THF]]*500)</f>
        <v>0</v>
      </c>
      <c r="CO22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7" s="929">
        <f>IF(WWWW[[#This Row],[Location Type 1]]="Village",WWWW[[#This Row],[Access to safe drinking water for Village]],WWWW[[#This Row],[Access to safe drinking water for Camp]])</f>
        <v>1</v>
      </c>
      <c r="CR227" s="927">
        <f>WWWW[[#This Row],[%Equitable and continuous access to sufficient quantity of safe drinking water]]*WWWW[[#This Row],[Total PoP ]]</f>
        <v>323</v>
      </c>
      <c r="CS227" s="929">
        <f>IF((WWWW[[#This Row],['#_Constructed/Existing protected/fenced ponds]]*250)/WWWW[[#This Row],[Total PoP ]]&gt;1,1,(WWWW[[#This Row],['#_Constructed/Existing protected/fenced ponds]]*250)/WWWW[[#This Row],[Total PoP ]])</f>
        <v>0</v>
      </c>
      <c r="CT227" s="927">
        <f>WWWW[[#This Row],[% Access to unimproved water points]]*WWWW[[#This Row],[Total PoP ]]</f>
        <v>0</v>
      </c>
      <c r="CU22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227" s="927">
        <f>WWWW[[#This Row],[HRP1]]/500</f>
        <v>0.64600000000000002</v>
      </c>
      <c r="CX227" s="932">
        <f>1-WWWW[[#This Row],[% Equitable and continuous access to sufficient quantity of domestic water]]</f>
        <v>0</v>
      </c>
      <c r="CY227" s="927">
        <f>WWWW[[#This Row],[%equitable and continuous access to sufficient quantity of safe drinking and domestic water''s GAP]]*WWWW[[#This Row],[Total PoP ]]</f>
        <v>0</v>
      </c>
      <c r="CZ227" s="930">
        <f>IF(WWWW[[#This Row],[Total required water points]]-WWWW[[#This Row],['#Water points coverage]]&lt;0,0,WWWW[[#This Row],[Total required water points]]-WWWW[[#This Row],['#Water points coverage]])</f>
        <v>0.35399999999999998</v>
      </c>
      <c r="DA227" s="930">
        <f>ROUND(IF(WWWW[[#This Row],[Total PoP ]]&lt;500,1,WWWW[[#This Row],[Total PoP ]]/500),0)</f>
        <v>1</v>
      </c>
      <c r="DB227" s="930">
        <f>(WWWW[[#This Row],['#_Constructed latrines_by_WASHAgencies]]+WWWW[[#This Row],['#_Non Cluster partner latrines]])-WWWW[[#This Row],['#_Non-functional latrines]]</f>
        <v>15</v>
      </c>
      <c r="DC227" s="634">
        <f>WWWW[[#This Row],[HRP2]]/WWWW[[#This Row],[Total PoP ]]</f>
        <v>0.92879256965944268</v>
      </c>
      <c r="DD22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22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7" s="425">
        <f>IF(WWWW[[#This Row],['# of functional latrines in THF supported by WASH partners during the reporting period2]]="",0,WWWW[[#This Row],['# of functional latrines in THF supported by WASH partners during the reporting period2]]*50)</f>
        <v>0</v>
      </c>
      <c r="DH227" s="930">
        <f>ROUND(IF(WWWW[[#This Row],[Location Type 1]]="camp",WWWW[[#This Row],[Total PoP ]]/20,IF(WWWW[[#This Row],[Location Type 1]]="Temporary Location",WWWW[[#This Row],[Total PoP ]]/50,(WWWW[[#This Row],[Total PoP ]]/6))),0)</f>
        <v>16</v>
      </c>
      <c r="DI227" s="930">
        <f>IF(WWWW[[#This Row],[Total required Latrines]]-(WWWW[[#This Row],['#_Constructed latrines_by_WASHAgencies]]+WWWW[[#This Row],['#_Non Cluster partner latrines]])&lt;0,0,WWWW[[#This Row],[Total required Latrines]]-(WWWW[[#This Row],['#_Constructed latrines_by_WASHAgencies]]+WWWW[[#This Row],['#_Non Cluster partner latrines]]))</f>
        <v>1</v>
      </c>
      <c r="DJ227" s="932">
        <f>1-WWWW[[#This Row],[% people access to functioning Latrine]]</f>
        <v>7.1207430340557321E-2</v>
      </c>
      <c r="DK227" s="931">
        <f>IF(OR(WWWW[[#This Row],['#_Non-functional latrines]]="",WWWW[[#This Row],['#_Non-functional latrines]]=0),0,WWWW[[#This Row],['#_Non-functional latrines]]/(WWWW[[#This Row],['#_Constructed latrines_by_WASHAgencies]]+WWWW[[#This Row],['#_Non Cluster partner latrines]]))</f>
        <v>0</v>
      </c>
      <c r="DL227" s="927">
        <f>IF(500*(WWWW[[#This Row],['#_male hygiene promoters]]+WWWW[[#This Row],['#_female hygiene promoters]])&gt;WWWW[[#This Row],[Total PoP ]],WWWW[[#This Row],[Total PoP ]],500*(WWWW[[#This Row],['#_male hygiene promoters]]+WWWW[[#This Row],['#_female hygiene promoters]]))</f>
        <v>0</v>
      </c>
      <c r="DM22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7" s="930">
        <f>IF(WWWW[[#This Row],['# People with access to soap]]&gt;WWWW[[#This Row],['# People with access to Sanity Pads]],WWWW[[#This Row],['# People with access to soap]],WWWW[[#This Row],['# People with access to Sanity Pads]])</f>
        <v>0</v>
      </c>
      <c r="DP22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7" s="932">
        <f>IF(WWWW[[#This Row],[HRP3]]/WWWW[[#This Row],[Total PoP ]]&gt;1,1,WWWW[[#This Row],[HRP3]]/WWWW[[#This Row],[Total PoP ]])</f>
        <v>0</v>
      </c>
      <c r="DR227" s="931">
        <f>1-WWWW[[#This Row],[Hygiene Coverage%]]</f>
        <v>1</v>
      </c>
      <c r="DS227" s="929">
        <f>WWWW[[#This Row],['# people reached by regular dedicated hygiene promotion_5]]/WWWW[[#This Row],[Total PoP ]]</f>
        <v>0</v>
      </c>
      <c r="DT22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7" s="930">
        <f>WWWW[[#This Row],['#_Constructed/Existing hand washing stations]]-WWWW[[#This Row],['#_Non-Functional_hand_washing_stations]]</f>
        <v>1</v>
      </c>
      <c r="DW227" s="927">
        <f>IF(WWWW[[#This Row],['# Functional hand washing stations during reporting period]]*20&gt;WWWW[[#This Row],[Total HH]],WWWW[[#This Row],[Total HH]],WWWW[[#This Row],['# Functional hand washing stations during reporting period]]*20)</f>
        <v>20</v>
      </c>
      <c r="DX227" s="927">
        <f>IF(WWWW[[#This Row],[Is sufficient soap available for TLS? (Yes/No)]]="yes",WWWW[[#This Row],['#_Constructed/Existing hand washing stations at TLS/CFS/THF]],0)</f>
        <v>0</v>
      </c>
      <c r="DY227" s="429">
        <f>IF(WWWW[[#This Row],['# Functional hand washing stations during reporting period]]*100&gt;WWWW[[#This Row],[Total PoP ]],WWWW[[#This Row],[Total PoP ]],WWWW[[#This Row],['# Functional hand washing stations during reporting period]]*100)</f>
        <v>100</v>
      </c>
      <c r="DZ227" s="429" t="str">
        <f>IF(OR(WWWW[[#This Row],['#_students at TLS_CFS]]="",WWWW[[#This Row],['#_students at TLS_CFS]]=0),"No","Yes")</f>
        <v>No</v>
      </c>
      <c r="EA22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7" s="923" t="str">
        <f>VLOOKUP(WWWW[[#This Row],[Site Name]],SiteDB6[[Site Name]:[CCCM Management]],6,FALSE)</f>
        <v>Yes</v>
      </c>
      <c r="EF227" s="923" t="str">
        <f>VLOOKUP(WWWW[[#This Row],[Site Name]],SiteDB6[[Site Name]:[CCCM Focal Agency]],7,FALSE)</f>
        <v>KBC-MYT</v>
      </c>
      <c r="EG227" s="923" t="str">
        <f>VLOOKUP(WWWW[[#This Row],[Site Name]],SiteDB6[[Site Name]:[Location Type 1]],9,FALSE)</f>
        <v>Camp</v>
      </c>
      <c r="EH227" s="923" t="str">
        <f>VLOOKUP(WWWW[[#This Row],[Site Name]],SiteDB6[[Site Name]:[Type of Accommodation]],10,FALSE)</f>
        <v>Camp</v>
      </c>
      <c r="EI227" s="923" t="str">
        <f>VLOOKUP(WWWW[[#This Row],[Site Name]],SiteDB6[[Site Name]:[Ethnic or GCA/NGCA]],11,FALSE)</f>
        <v>GCA</v>
      </c>
      <c r="EJ227" s="923">
        <f>VLOOKUP(WWWW[[#This Row],[Site Name]],SiteDB6[[Site Name]:[Lat]],12,FALSE)</f>
        <v>25.422194000000001</v>
      </c>
      <c r="EK227" s="923">
        <f>VLOOKUP(WWWW[[#This Row],[Site Name]],SiteDB6[[Site Name]:[Long]],13,FALSE)</f>
        <v>97.394547000000003</v>
      </c>
      <c r="EL227" s="923" t="str">
        <f>VLOOKUP(WWWW[[#This Row],[Site Name]],SiteDB6[[Site Name]:[Pcode]],3,FALSE)</f>
        <v>MMR001CMP002</v>
      </c>
      <c r="EM227" s="928" t="str">
        <f t="shared" si="3"/>
        <v>Covered</v>
      </c>
      <c r="EN227" s="928"/>
      <c r="EO227" s="923">
        <f>VLOOKUP(WWWW[[#This Row],[Site Name]],SiteDB6[[Site Name]:[Pop
(Kachin/Shan-CCCM as of July 2021)]],16,FALSE)</f>
        <v>72</v>
      </c>
      <c r="EP227" s="923">
        <f>VLOOKUP(WWWW[[#This Row],[Site Name]],SiteDB6[[Site Name]:[Pop
(Kachin/Shan-CCCM as of July 2021)]],17,FALSE)</f>
        <v>323</v>
      </c>
    </row>
    <row r="228" spans="1:146">
      <c r="A228" s="921" t="s">
        <v>2786</v>
      </c>
      <c r="B228" s="921" t="s">
        <v>3097</v>
      </c>
      <c r="C228" s="922" t="s">
        <v>141</v>
      </c>
      <c r="D228" s="922" t="s">
        <v>3105</v>
      </c>
      <c r="E228" s="922" t="s">
        <v>37</v>
      </c>
      <c r="F228" s="922" t="s">
        <v>159</v>
      </c>
      <c r="G228" s="594" t="str">
        <f>VLOOKUP(WWWW[[#This Row],[Site Name]],SiteDB6[[Site Name]:[Location Type]],8,FALSE)</f>
        <v>Camp</v>
      </c>
      <c r="H228" s="922" t="s">
        <v>168</v>
      </c>
      <c r="I228" s="924">
        <v>110</v>
      </c>
      <c r="J228" s="924">
        <v>563</v>
      </c>
      <c r="K228" s="925">
        <v>44682</v>
      </c>
      <c r="L228" s="926">
        <v>44865</v>
      </c>
      <c r="M228" s="924"/>
      <c r="N228" s="924">
        <v>1</v>
      </c>
      <c r="O228" s="924"/>
      <c r="P228" s="924"/>
      <c r="Q228" s="927" t="s">
        <v>41</v>
      </c>
      <c r="R228" s="924">
        <v>2</v>
      </c>
      <c r="S228" s="924">
        <v>2</v>
      </c>
      <c r="T228" s="449">
        <v>2</v>
      </c>
      <c r="U228" s="924">
        <v>1</v>
      </c>
      <c r="V228" s="924"/>
      <c r="W228" s="924">
        <v>3</v>
      </c>
      <c r="X228" s="924"/>
      <c r="Y228" s="924"/>
      <c r="Z228" s="924"/>
      <c r="AA228" s="924"/>
      <c r="AB228" s="924"/>
      <c r="AC228" s="924"/>
      <c r="AD228" s="924"/>
      <c r="AE228" s="924"/>
      <c r="AF228" s="924"/>
      <c r="AG228" s="924"/>
      <c r="AH228" s="924">
        <v>2</v>
      </c>
      <c r="AI228" s="924"/>
      <c r="AJ228" s="924"/>
      <c r="AK228" s="924"/>
      <c r="AL228" s="924"/>
      <c r="AM228" s="924"/>
      <c r="AN228" s="924"/>
      <c r="AO228" s="449"/>
      <c r="AP228" s="928"/>
      <c r="AQ228" s="924">
        <v>13</v>
      </c>
      <c r="AR228" s="924"/>
      <c r="AS228" s="929"/>
      <c r="AT228" s="924"/>
      <c r="AU228" s="924"/>
      <c r="AV228" s="924"/>
      <c r="AW228" s="924"/>
      <c r="AX228" s="924">
        <v>13</v>
      </c>
      <c r="AY228" s="923" t="s">
        <v>41</v>
      </c>
      <c r="AZ228" s="928" t="s">
        <v>137</v>
      </c>
      <c r="BA228" s="924"/>
      <c r="BB228" s="924"/>
      <c r="BC228" s="924"/>
      <c r="BD228" s="449"/>
      <c r="BE228" s="449"/>
      <c r="BF228" s="923"/>
      <c r="BG228" s="924">
        <v>7</v>
      </c>
      <c r="BH228" s="924"/>
      <c r="BI228" s="924"/>
      <c r="BJ228" s="924">
        <v>4</v>
      </c>
      <c r="BK228" s="924"/>
      <c r="BL228" s="924">
        <v>1</v>
      </c>
      <c r="BM228" s="924"/>
      <c r="BN228" s="924"/>
      <c r="BO228" s="924"/>
      <c r="BP228" s="923"/>
      <c r="BQ228" s="930"/>
      <c r="BR228" s="929"/>
      <c r="BS228" s="923"/>
      <c r="BT228" s="424"/>
      <c r="BU228" s="424"/>
      <c r="BV228" s="426"/>
      <c r="BW228" s="424"/>
      <c r="BX228" s="449"/>
      <c r="BY228" s="449"/>
      <c r="BZ228" s="449"/>
      <c r="CA228" s="449"/>
      <c r="CB228" s="449"/>
      <c r="CC228" s="807"/>
      <c r="CD228" s="449"/>
      <c r="CE228" s="931" t="str">
        <f>IFERROR(WWWW[[#This Row],['#_Water sources passed]]/WWWW[[#This Row],['#_Water sources tested for fecal coliform ]],"no test")</f>
        <v>no test</v>
      </c>
      <c r="CF228" s="929" t="str">
        <f>IFERROR(WWWW[[#This Row],['#_Household passed]]/WWWW[[#This Row],['#_Household water samples tested for fecal coliform]],"no test")</f>
        <v>no test</v>
      </c>
      <c r="CG228" s="930" t="str">
        <f>IF(AND(WWWW[[#This Row],[% of water sources passed]]="no test",WWWW[[#This Row],[% Household passed]]="no test"),"No Test","Tested")</f>
        <v>No Test</v>
      </c>
      <c r="CH228" s="930">
        <f>WWWW[[#This Row],['#_Constructed/existing protected hand dug well]]-WWWW[[#This Row],['#_Non-functional protected hand dug well]]</f>
        <v>1</v>
      </c>
      <c r="CI228" s="930">
        <f>(WWWW[[#This Row],['#_Constructed/Existing tube wells/boreholes/handpumps_WASH_agency]]+WWWW[[#This Row],['#_Non-Cluster partner water tube-wells/boreholes/handpumps]])-WWWW[[#This Row],['#_Non-functional tube wells/boreholes/handpumps]]</f>
        <v>3</v>
      </c>
      <c r="CJ228" s="930">
        <f>WWWW[[#This Row],['#_Constructed/Existingwater storage tank with gravity fed reticulation system]]-WWWW[[#This Row],['#_Non-functional storage tank gravity fed reticulation system]]</f>
        <v>0</v>
      </c>
      <c r="CK228" s="930">
        <f>(WWWW[[#This Row],['#_Water_Liters_supplied_by_Water boating or water trucking]]/90)/15</f>
        <v>0</v>
      </c>
      <c r="CL228" s="930">
        <f>WWWW[[#This Row],['#_Water_Liters_from_Constructed/Existing water distribution system from river or natural spring]]/90/15</f>
        <v>0</v>
      </c>
      <c r="CM228" s="425">
        <f>IF(WWWW[[#This Row],['#_of water points in TLS/CFS]]*500&gt;WWWW[[#This Row],[Total PoP ]],WWWW[[#This Row],[Total PoP ]],WWWW[[#This Row],['#_of water points in TLS/CFS]]*500)</f>
        <v>0</v>
      </c>
      <c r="CN228" s="425">
        <f>IF(WWWW[[#This Row],['#_of water points in THF]]*500&gt;WWWW[[#This Row],[Total PoP ]],WWWW[[#This Row],[Total PoP ]],WWWW[[#This Row],['#_of water points in THF]]*500)</f>
        <v>0</v>
      </c>
      <c r="CO22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8" s="929">
        <f>IF(WWWW[[#This Row],[Location Type 1]]="Village",WWWW[[#This Row],[Access to safe drinking water for Village]],WWWW[[#This Row],[Access to safe drinking water for Camp]])</f>
        <v>1</v>
      </c>
      <c r="CR228" s="927">
        <f>WWWW[[#This Row],[%Equitable and continuous access to sufficient quantity of safe drinking water]]*WWWW[[#This Row],[Total PoP ]]</f>
        <v>563</v>
      </c>
      <c r="CS228" s="929">
        <f>IF((WWWW[[#This Row],['#_Constructed/Existing protected/fenced ponds]]*250)/WWWW[[#This Row],[Total PoP ]]&gt;1,1,(WWWW[[#This Row],['#_Constructed/Existing protected/fenced ponds]]*250)/WWWW[[#This Row],[Total PoP ]])</f>
        <v>0</v>
      </c>
      <c r="CT228" s="927">
        <f>WWWW[[#This Row],[% Access to unimproved water points]]*WWWW[[#This Row],[Total PoP ]]</f>
        <v>0</v>
      </c>
      <c r="CU22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563</v>
      </c>
      <c r="CW228" s="927">
        <f>WWWW[[#This Row],[HRP1]]/500</f>
        <v>1.1259999999999999</v>
      </c>
      <c r="CX228" s="932">
        <f>1-WWWW[[#This Row],[% Equitable and continuous access to sufficient quantity of domestic water]]</f>
        <v>0</v>
      </c>
      <c r="CY228" s="927">
        <f>WWWW[[#This Row],[%equitable and continuous access to sufficient quantity of safe drinking and domestic water''s GAP]]*WWWW[[#This Row],[Total PoP ]]</f>
        <v>0</v>
      </c>
      <c r="CZ228" s="930">
        <f>IF(WWWW[[#This Row],[Total required water points]]-WWWW[[#This Row],['#Water points coverage]]&lt;0,0,WWWW[[#This Row],[Total required water points]]-WWWW[[#This Row],['#Water points coverage]])</f>
        <v>0</v>
      </c>
      <c r="DA228" s="930">
        <f>ROUND(IF(WWWW[[#This Row],[Total PoP ]]&lt;500,1,WWWW[[#This Row],[Total PoP ]]/500),0)</f>
        <v>1</v>
      </c>
      <c r="DB228" s="930">
        <f>(WWWW[[#This Row],['#_Constructed latrines_by_WASHAgencies]]+WWWW[[#This Row],['#_Non Cluster partner latrines]])-WWWW[[#This Row],['#_Non-functional latrines]]</f>
        <v>13</v>
      </c>
      <c r="DC228" s="634">
        <f>WWWW[[#This Row],[HRP2]]/WWWW[[#This Row],[Total PoP ]]</f>
        <v>0.46181172291296624</v>
      </c>
      <c r="DD22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22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8" s="425">
        <f>IF(WWWW[[#This Row],['# of functional latrines in THF supported by WASH partners during the reporting period2]]="",0,WWWW[[#This Row],['# of functional latrines in THF supported by WASH partners during the reporting period2]]*50)</f>
        <v>0</v>
      </c>
      <c r="DH228" s="930">
        <f>ROUND(IF(WWWW[[#This Row],[Location Type 1]]="camp",WWWW[[#This Row],[Total PoP ]]/20,IF(WWWW[[#This Row],[Location Type 1]]="Temporary Location",WWWW[[#This Row],[Total PoP ]]/50,(WWWW[[#This Row],[Total PoP ]]/6))),0)</f>
        <v>28</v>
      </c>
      <c r="DI228" s="930">
        <f>IF(WWWW[[#This Row],[Total required Latrines]]-(WWWW[[#This Row],['#_Constructed latrines_by_WASHAgencies]]+WWWW[[#This Row],['#_Non Cluster partner latrines]])&lt;0,0,WWWW[[#This Row],[Total required Latrines]]-(WWWW[[#This Row],['#_Constructed latrines_by_WASHAgencies]]+WWWW[[#This Row],['#_Non Cluster partner latrines]]))</f>
        <v>15</v>
      </c>
      <c r="DJ228" s="932">
        <f>1-WWWW[[#This Row],[% people access to functioning Latrine]]</f>
        <v>0.53818827708703376</v>
      </c>
      <c r="DK228" s="931">
        <f>IF(OR(WWWW[[#This Row],['#_Non-functional latrines]]="",WWWW[[#This Row],['#_Non-functional latrines]]=0),0,WWWW[[#This Row],['#_Non-functional latrines]]/(WWWW[[#This Row],['#_Constructed latrines_by_WASHAgencies]]+WWWW[[#This Row],['#_Non Cluster partner latrines]]))</f>
        <v>0</v>
      </c>
      <c r="DL228" s="927">
        <f>IF(500*(WWWW[[#This Row],['#_male hygiene promoters]]+WWWW[[#This Row],['#_female hygiene promoters]])&gt;WWWW[[#This Row],[Total PoP ]],WWWW[[#This Row],[Total PoP ]],500*(WWWW[[#This Row],['#_male hygiene promoters]]+WWWW[[#This Row],['#_female hygiene promoters]]))</f>
        <v>500</v>
      </c>
      <c r="DM22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8" s="930">
        <f>IF(WWWW[[#This Row],['# People with access to soap]]&gt;WWWW[[#This Row],['# People with access to Sanity Pads]],WWWW[[#This Row],['# People with access to soap]],WWWW[[#This Row],['# People with access to Sanity Pads]])</f>
        <v>0</v>
      </c>
      <c r="DP228"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28" s="932">
        <f>IF(WWWW[[#This Row],[HRP3]]/WWWW[[#This Row],[Total PoP ]]&gt;1,1,WWWW[[#This Row],[HRP3]]/WWWW[[#This Row],[Total PoP ]])</f>
        <v>0.88809946714031973</v>
      </c>
      <c r="DR228" s="931">
        <f>1-WWWW[[#This Row],[Hygiene Coverage%]]</f>
        <v>0.11190053285968027</v>
      </c>
      <c r="DS228" s="929">
        <f>WWWW[[#This Row],['# people reached by regular dedicated hygiene promotion_5]]/WWWW[[#This Row],[Total PoP ]]</f>
        <v>0.88809946714031973</v>
      </c>
      <c r="DT22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8" s="930">
        <f>WWWW[[#This Row],['#_Constructed/Existing hand washing stations]]-WWWW[[#This Row],['#_Non-Functional_hand_washing_stations]]</f>
        <v>7</v>
      </c>
      <c r="DW228" s="927">
        <f>IF(WWWW[[#This Row],['# Functional hand washing stations during reporting period]]*20&gt;WWWW[[#This Row],[Total HH]],WWWW[[#This Row],[Total HH]],WWWW[[#This Row],['# Functional hand washing stations during reporting period]]*20)</f>
        <v>110</v>
      </c>
      <c r="DX228" s="927">
        <f>IF(WWWW[[#This Row],[Is sufficient soap available for TLS? (Yes/No)]]="yes",WWWW[[#This Row],['#_Constructed/Existing hand washing stations at TLS/CFS/THF]],0)</f>
        <v>0</v>
      </c>
      <c r="DY228" s="429">
        <f>IF(WWWW[[#This Row],['# Functional hand washing stations during reporting period]]*100&gt;WWWW[[#This Row],[Total PoP ]],WWWW[[#This Row],[Total PoP ]],WWWW[[#This Row],['# Functional hand washing stations during reporting period]]*100)</f>
        <v>563</v>
      </c>
      <c r="DZ228" s="429" t="str">
        <f>IF(OR(WWWW[[#This Row],['#_students at TLS_CFS]]="",WWWW[[#This Row],['#_students at TLS_CFS]]=0),"No","Yes")</f>
        <v>No</v>
      </c>
      <c r="EA22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8" s="923" t="str">
        <f>VLOOKUP(WWWW[[#This Row],[Site Name]],SiteDB6[[Site Name]:[CCCM Management]],6,FALSE)</f>
        <v>Yes</v>
      </c>
      <c r="EF228" s="923" t="str">
        <f>VLOOKUP(WWWW[[#This Row],[Site Name]],SiteDB6[[Site Name]:[CCCM Focal Agency]],7,FALSE)</f>
        <v>KBC-MYT</v>
      </c>
      <c r="EG228" s="923" t="str">
        <f>VLOOKUP(WWWW[[#This Row],[Site Name]],SiteDB6[[Site Name]:[Location Type 1]],9,FALSE)</f>
        <v>Camp</v>
      </c>
      <c r="EH228" s="923" t="str">
        <f>VLOOKUP(WWWW[[#This Row],[Site Name]],SiteDB6[[Site Name]:[Type of Accommodation]],10,FALSE)</f>
        <v>Camp</v>
      </c>
      <c r="EI228" s="923" t="str">
        <f>VLOOKUP(WWWW[[#This Row],[Site Name]],SiteDB6[[Site Name]:[Ethnic or GCA/NGCA]],11,FALSE)</f>
        <v>GCA</v>
      </c>
      <c r="EJ228" s="923">
        <f>VLOOKUP(WWWW[[#This Row],[Site Name]],SiteDB6[[Site Name]:[Lat]],12,FALSE)</f>
        <v>25.412313000000001</v>
      </c>
      <c r="EK228" s="923">
        <f>VLOOKUP(WWWW[[#This Row],[Site Name]],SiteDB6[[Site Name]:[Long]],13,FALSE)</f>
        <v>97.399628000000007</v>
      </c>
      <c r="EL228" s="923" t="str">
        <f>VLOOKUP(WWWW[[#This Row],[Site Name]],SiteDB6[[Site Name]:[Pcode]],3,FALSE)</f>
        <v>MMR001CMP006</v>
      </c>
      <c r="EM228" s="928" t="str">
        <f t="shared" si="3"/>
        <v>Covered</v>
      </c>
      <c r="EN228" s="928"/>
      <c r="EO228" s="923">
        <f>VLOOKUP(WWWW[[#This Row],[Site Name]],SiteDB6[[Site Name]:[Pop
(Kachin/Shan-CCCM as of July 2021)]],16,FALSE)</f>
        <v>110</v>
      </c>
      <c r="EP228" s="923">
        <f>VLOOKUP(WWWW[[#This Row],[Site Name]],SiteDB6[[Site Name]:[Pop
(Kachin/Shan-CCCM as of July 2021)]],17,FALSE)</f>
        <v>562</v>
      </c>
    </row>
    <row r="229" spans="1:146">
      <c r="A229" s="921" t="s">
        <v>2786</v>
      </c>
      <c r="B229" s="921" t="s">
        <v>3097</v>
      </c>
      <c r="C229" s="922" t="s">
        <v>141</v>
      </c>
      <c r="D229" s="922" t="s">
        <v>3105</v>
      </c>
      <c r="E229" s="922" t="s">
        <v>37</v>
      </c>
      <c r="F229" s="922" t="s">
        <v>159</v>
      </c>
      <c r="G229" s="594" t="str">
        <f>VLOOKUP(WWWW[[#This Row],[Site Name]],SiteDB6[[Site Name]:[Location Type]],8,FALSE)</f>
        <v>Camp</v>
      </c>
      <c r="H229" s="922" t="s">
        <v>169</v>
      </c>
      <c r="I229" s="924">
        <v>103</v>
      </c>
      <c r="J229" s="924">
        <v>629</v>
      </c>
      <c r="K229" s="925">
        <v>44682</v>
      </c>
      <c r="L229" s="926">
        <v>44865</v>
      </c>
      <c r="M229" s="924"/>
      <c r="N229" s="924">
        <v>1</v>
      </c>
      <c r="O229" s="924"/>
      <c r="P229" s="924"/>
      <c r="Q229" s="927" t="s">
        <v>41</v>
      </c>
      <c r="R229" s="924">
        <v>2</v>
      </c>
      <c r="S229" s="924">
        <v>2</v>
      </c>
      <c r="T229" s="449">
        <v>3</v>
      </c>
      <c r="U229" s="924"/>
      <c r="V229" s="924"/>
      <c r="W229" s="924">
        <v>2</v>
      </c>
      <c r="X229" s="924"/>
      <c r="Y229" s="924"/>
      <c r="Z229" s="924"/>
      <c r="AA229" s="924"/>
      <c r="AB229" s="924"/>
      <c r="AC229" s="924"/>
      <c r="AD229" s="924"/>
      <c r="AE229" s="924"/>
      <c r="AF229" s="924"/>
      <c r="AG229" s="924"/>
      <c r="AH229" s="924">
        <v>2</v>
      </c>
      <c r="AI229" s="924"/>
      <c r="AJ229" s="924"/>
      <c r="AK229" s="924"/>
      <c r="AL229" s="924"/>
      <c r="AM229" s="924"/>
      <c r="AN229" s="924"/>
      <c r="AO229" s="449"/>
      <c r="AP229" s="928"/>
      <c r="AQ229" s="924">
        <v>17</v>
      </c>
      <c r="AR229" s="924"/>
      <c r="AS229" s="929"/>
      <c r="AT229" s="924"/>
      <c r="AU229" s="924"/>
      <c r="AV229" s="924"/>
      <c r="AW229" s="924"/>
      <c r="AX229" s="924">
        <v>17</v>
      </c>
      <c r="AY229" s="923" t="s">
        <v>41</v>
      </c>
      <c r="AZ229" s="928" t="s">
        <v>137</v>
      </c>
      <c r="BA229" s="924"/>
      <c r="BB229" s="924"/>
      <c r="BC229" s="924"/>
      <c r="BD229" s="449"/>
      <c r="BE229" s="449"/>
      <c r="BF229" s="923"/>
      <c r="BG229" s="924">
        <v>3</v>
      </c>
      <c r="BH229" s="924"/>
      <c r="BI229" s="924"/>
      <c r="BJ229" s="924">
        <v>2</v>
      </c>
      <c r="BK229" s="924"/>
      <c r="BL229" s="924"/>
      <c r="BM229" s="924"/>
      <c r="BN229" s="924"/>
      <c r="BO229" s="924"/>
      <c r="BP229" s="923"/>
      <c r="BQ229" s="930"/>
      <c r="BR229" s="929"/>
      <c r="BS229" s="923"/>
      <c r="BT229" s="424"/>
      <c r="BU229" s="424"/>
      <c r="BV229" s="426"/>
      <c r="BW229" s="424"/>
      <c r="BX229" s="449"/>
      <c r="BY229" s="449"/>
      <c r="BZ229" s="449"/>
      <c r="CA229" s="449"/>
      <c r="CB229" s="449"/>
      <c r="CC229" s="807"/>
      <c r="CD229" s="449"/>
      <c r="CE229" s="931" t="str">
        <f>IFERROR(WWWW[[#This Row],['#_Water sources passed]]/WWWW[[#This Row],['#_Water sources tested for fecal coliform ]],"no test")</f>
        <v>no test</v>
      </c>
      <c r="CF229" s="929" t="str">
        <f>IFERROR(WWWW[[#This Row],['#_Household passed]]/WWWW[[#This Row],['#_Household water samples tested for fecal coliform]],"no test")</f>
        <v>no test</v>
      </c>
      <c r="CG229" s="930" t="str">
        <f>IF(AND(WWWW[[#This Row],[% of water sources passed]]="no test",WWWW[[#This Row],[% Household passed]]="no test"),"No Test","Tested")</f>
        <v>No Test</v>
      </c>
      <c r="CH229" s="930">
        <f>WWWW[[#This Row],['#_Constructed/existing protected hand dug well]]-WWWW[[#This Row],['#_Non-functional protected hand dug well]]</f>
        <v>3</v>
      </c>
      <c r="CI229" s="930">
        <f>(WWWW[[#This Row],['#_Constructed/Existing tube wells/boreholes/handpumps_WASH_agency]]+WWWW[[#This Row],['#_Non-Cluster partner water tube-wells/boreholes/handpumps]])-WWWW[[#This Row],['#_Non-functional tube wells/boreholes/handpumps]]</f>
        <v>2</v>
      </c>
      <c r="CJ229" s="930">
        <f>WWWW[[#This Row],['#_Constructed/Existingwater storage tank with gravity fed reticulation system]]-WWWW[[#This Row],['#_Non-functional storage tank gravity fed reticulation system]]</f>
        <v>0</v>
      </c>
      <c r="CK229" s="930">
        <f>(WWWW[[#This Row],['#_Water_Liters_supplied_by_Water boating or water trucking]]/90)/15</f>
        <v>0</v>
      </c>
      <c r="CL229" s="930">
        <f>WWWW[[#This Row],['#_Water_Liters_from_Constructed/Existing water distribution system from river or natural spring]]/90/15</f>
        <v>0</v>
      </c>
      <c r="CM229" s="425">
        <f>IF(WWWW[[#This Row],['#_of water points in TLS/CFS]]*500&gt;WWWW[[#This Row],[Total PoP ]],WWWW[[#This Row],[Total PoP ]],WWWW[[#This Row],['#_of water points in TLS/CFS]]*500)</f>
        <v>0</v>
      </c>
      <c r="CN229" s="425">
        <f>IF(WWWW[[#This Row],['#_of water points in THF]]*500&gt;WWWW[[#This Row],[Total PoP ]],WWWW[[#This Row],[Total PoP ]],WWWW[[#This Row],['#_of water points in THF]]*500)</f>
        <v>0</v>
      </c>
      <c r="CO22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2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29" s="929">
        <f>IF(WWWW[[#This Row],[Location Type 1]]="Village",WWWW[[#This Row],[Access to safe drinking water for Village]],WWWW[[#This Row],[Access to safe drinking water for Camp]])</f>
        <v>1</v>
      </c>
      <c r="CR229" s="927">
        <f>WWWW[[#This Row],[%Equitable and continuous access to sufficient quantity of safe drinking water]]*WWWW[[#This Row],[Total PoP ]]</f>
        <v>629</v>
      </c>
      <c r="CS229" s="929">
        <f>IF((WWWW[[#This Row],['#_Constructed/Existing protected/fenced ponds]]*250)/WWWW[[#This Row],[Total PoP ]]&gt;1,1,(WWWW[[#This Row],['#_Constructed/Existing protected/fenced ponds]]*250)/WWWW[[#This Row],[Total PoP ]])</f>
        <v>0</v>
      </c>
      <c r="CT229" s="927">
        <f>WWWW[[#This Row],[% Access to unimproved water points]]*WWWW[[#This Row],[Total PoP ]]</f>
        <v>0</v>
      </c>
      <c r="CU22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2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W229" s="927">
        <f>WWWW[[#This Row],[HRP1]]/500</f>
        <v>1.258</v>
      </c>
      <c r="CX229" s="932">
        <f>1-WWWW[[#This Row],[% Equitable and continuous access to sufficient quantity of domestic water]]</f>
        <v>0</v>
      </c>
      <c r="CY229" s="927">
        <f>WWWW[[#This Row],[%equitable and continuous access to sufficient quantity of safe drinking and domestic water''s GAP]]*WWWW[[#This Row],[Total PoP ]]</f>
        <v>0</v>
      </c>
      <c r="CZ229" s="930">
        <f>IF(WWWW[[#This Row],[Total required water points]]-WWWW[[#This Row],['#Water points coverage]]&lt;0,0,WWWW[[#This Row],[Total required water points]]-WWWW[[#This Row],['#Water points coverage]])</f>
        <v>0</v>
      </c>
      <c r="DA229" s="930">
        <f>ROUND(IF(WWWW[[#This Row],[Total PoP ]]&lt;500,1,WWWW[[#This Row],[Total PoP ]]/500),0)</f>
        <v>1</v>
      </c>
      <c r="DB229" s="930">
        <f>(WWWW[[#This Row],['#_Constructed latrines_by_WASHAgencies]]+WWWW[[#This Row],['#_Non Cluster partner latrines]])-WWWW[[#This Row],['#_Non-functional latrines]]</f>
        <v>17</v>
      </c>
      <c r="DC229" s="634">
        <f>WWWW[[#This Row],[HRP2]]/WWWW[[#This Row],[Total PoP ]]</f>
        <v>0.54054054054054057</v>
      </c>
      <c r="DD22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340</v>
      </c>
      <c r="DE22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2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29" s="425">
        <f>IF(WWWW[[#This Row],['# of functional latrines in THF supported by WASH partners during the reporting period2]]="",0,WWWW[[#This Row],['# of functional latrines in THF supported by WASH partners during the reporting period2]]*50)</f>
        <v>0</v>
      </c>
      <c r="DH229" s="930">
        <f>ROUND(IF(WWWW[[#This Row],[Location Type 1]]="camp",WWWW[[#This Row],[Total PoP ]]/20,IF(WWWW[[#This Row],[Location Type 1]]="Temporary Location",WWWW[[#This Row],[Total PoP ]]/50,(WWWW[[#This Row],[Total PoP ]]/6))),0)</f>
        <v>31</v>
      </c>
      <c r="DI229" s="930">
        <f>IF(WWWW[[#This Row],[Total required Latrines]]-(WWWW[[#This Row],['#_Constructed latrines_by_WASHAgencies]]+WWWW[[#This Row],['#_Non Cluster partner latrines]])&lt;0,0,WWWW[[#This Row],[Total required Latrines]]-(WWWW[[#This Row],['#_Constructed latrines_by_WASHAgencies]]+WWWW[[#This Row],['#_Non Cluster partner latrines]]))</f>
        <v>14</v>
      </c>
      <c r="DJ229" s="932">
        <f>1-WWWW[[#This Row],[% people access to functioning Latrine]]</f>
        <v>0.45945945945945943</v>
      </c>
      <c r="DK229" s="931">
        <f>IF(OR(WWWW[[#This Row],['#_Non-functional latrines]]="",WWWW[[#This Row],['#_Non-functional latrines]]=0),0,WWWW[[#This Row],['#_Non-functional latrines]]/(WWWW[[#This Row],['#_Constructed latrines_by_WASHAgencies]]+WWWW[[#This Row],['#_Non Cluster partner latrines]]))</f>
        <v>0</v>
      </c>
      <c r="DL229" s="927">
        <f>IF(500*(WWWW[[#This Row],['#_male hygiene promoters]]+WWWW[[#This Row],['#_female hygiene promoters]])&gt;WWWW[[#This Row],[Total PoP ]],WWWW[[#This Row],[Total PoP ]],500*(WWWW[[#This Row],['#_male hygiene promoters]]+WWWW[[#This Row],['#_female hygiene promoters]]))</f>
        <v>0</v>
      </c>
      <c r="DM22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2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29" s="930">
        <f>IF(WWWW[[#This Row],['# People with access to soap]]&gt;WWWW[[#This Row],['# People with access to Sanity Pads]],WWWW[[#This Row],['# People with access to soap]],WWWW[[#This Row],['# People with access to Sanity Pads]])</f>
        <v>0</v>
      </c>
      <c r="DP22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29" s="932">
        <f>IF(WWWW[[#This Row],[HRP3]]/WWWW[[#This Row],[Total PoP ]]&gt;1,1,WWWW[[#This Row],[HRP3]]/WWWW[[#This Row],[Total PoP ]])</f>
        <v>0</v>
      </c>
      <c r="DR229" s="931">
        <f>1-WWWW[[#This Row],[Hygiene Coverage%]]</f>
        <v>1</v>
      </c>
      <c r="DS229" s="929">
        <f>WWWW[[#This Row],['# people reached by regular dedicated hygiene promotion_5]]/WWWW[[#This Row],[Total PoP ]]</f>
        <v>0</v>
      </c>
      <c r="DT22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2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29" s="930">
        <f>WWWW[[#This Row],['#_Constructed/Existing hand washing stations]]-WWWW[[#This Row],['#_Non-Functional_hand_washing_stations]]</f>
        <v>3</v>
      </c>
      <c r="DW229" s="927">
        <f>IF(WWWW[[#This Row],['# Functional hand washing stations during reporting period]]*20&gt;WWWW[[#This Row],[Total HH]],WWWW[[#This Row],[Total HH]],WWWW[[#This Row],['# Functional hand washing stations during reporting period]]*20)</f>
        <v>60</v>
      </c>
      <c r="DX229" s="927">
        <f>IF(WWWW[[#This Row],[Is sufficient soap available for TLS? (Yes/No)]]="yes",WWWW[[#This Row],['#_Constructed/Existing hand washing stations at TLS/CFS/THF]],0)</f>
        <v>0</v>
      </c>
      <c r="DY229" s="429">
        <f>IF(WWWW[[#This Row],['# Functional hand washing stations during reporting period]]*100&gt;WWWW[[#This Row],[Total PoP ]],WWWW[[#This Row],[Total PoP ]],WWWW[[#This Row],['# Functional hand washing stations during reporting period]]*100)</f>
        <v>300</v>
      </c>
      <c r="DZ229" s="429" t="str">
        <f>IF(OR(WWWW[[#This Row],['#_students at TLS_CFS]]="",WWWW[[#This Row],['#_students at TLS_CFS]]=0),"No","Yes")</f>
        <v>No</v>
      </c>
      <c r="EA22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2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2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2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29" s="923" t="str">
        <f>VLOOKUP(WWWW[[#This Row],[Site Name]],SiteDB6[[Site Name]:[CCCM Management]],6,FALSE)</f>
        <v>Yes</v>
      </c>
      <c r="EF229" s="923" t="str">
        <f>VLOOKUP(WWWW[[#This Row],[Site Name]],SiteDB6[[Site Name]:[CCCM Focal Agency]],7,FALSE)</f>
        <v>KBC-MYT</v>
      </c>
      <c r="EG229" s="923" t="str">
        <f>VLOOKUP(WWWW[[#This Row],[Site Name]],SiteDB6[[Site Name]:[Location Type 1]],9,FALSE)</f>
        <v>Camp</v>
      </c>
      <c r="EH229" s="923" t="str">
        <f>VLOOKUP(WWWW[[#This Row],[Site Name]],SiteDB6[[Site Name]:[Type of Accommodation]],10,FALSE)</f>
        <v>Camp</v>
      </c>
      <c r="EI229" s="923" t="str">
        <f>VLOOKUP(WWWW[[#This Row],[Site Name]],SiteDB6[[Site Name]:[Ethnic or GCA/NGCA]],11,FALSE)</f>
        <v>GCA</v>
      </c>
      <c r="EJ229" s="923">
        <f>VLOOKUP(WWWW[[#This Row],[Site Name]],SiteDB6[[Site Name]:[Lat]],12,FALSE)</f>
        <v>25.440928</v>
      </c>
      <c r="EK229" s="923">
        <f>VLOOKUP(WWWW[[#This Row],[Site Name]],SiteDB6[[Site Name]:[Long]],13,FALSE)</f>
        <v>97.419403000000003</v>
      </c>
      <c r="EL229" s="923" t="str">
        <f>VLOOKUP(WWWW[[#This Row],[Site Name]],SiteDB6[[Site Name]:[Pcode]],3,FALSE)</f>
        <v>MMR001CMP009</v>
      </c>
      <c r="EM229" s="928" t="str">
        <f t="shared" si="3"/>
        <v>Covered</v>
      </c>
      <c r="EN229" s="928"/>
      <c r="EO229" s="923">
        <f>VLOOKUP(WWWW[[#This Row],[Site Name]],SiteDB6[[Site Name]:[Pop
(Kachin/Shan-CCCM as of July 2021)]],16,FALSE)</f>
        <v>104</v>
      </c>
      <c r="EP229" s="923">
        <f>VLOOKUP(WWWW[[#This Row],[Site Name]],SiteDB6[[Site Name]:[Pop
(Kachin/Shan-CCCM as of July 2021)]],17,FALSE)</f>
        <v>633</v>
      </c>
    </row>
    <row r="230" spans="1:146">
      <c r="A230" s="921" t="s">
        <v>2786</v>
      </c>
      <c r="B230" s="921" t="s">
        <v>3097</v>
      </c>
      <c r="C230" s="922" t="s">
        <v>141</v>
      </c>
      <c r="D230" s="922" t="s">
        <v>3105</v>
      </c>
      <c r="E230" s="922" t="s">
        <v>37</v>
      </c>
      <c r="F230" s="922" t="s">
        <v>159</v>
      </c>
      <c r="G230" s="594" t="str">
        <f>VLOOKUP(WWWW[[#This Row],[Site Name]],SiteDB6[[Site Name]:[Location Type]],8,FALSE)</f>
        <v>Camp</v>
      </c>
      <c r="H230" s="922" t="s">
        <v>170</v>
      </c>
      <c r="I230" s="924">
        <v>96</v>
      </c>
      <c r="J230" s="924">
        <v>531</v>
      </c>
      <c r="K230" s="925">
        <v>44682</v>
      </c>
      <c r="L230" s="926">
        <v>44865</v>
      </c>
      <c r="M230" s="924"/>
      <c r="N230" s="924">
        <v>1</v>
      </c>
      <c r="O230" s="924"/>
      <c r="P230" s="924"/>
      <c r="Q230" s="927" t="s">
        <v>41</v>
      </c>
      <c r="R230" s="924">
        <v>2</v>
      </c>
      <c r="S230" s="924">
        <v>2</v>
      </c>
      <c r="T230" s="449">
        <v>2</v>
      </c>
      <c r="U230" s="924"/>
      <c r="V230" s="924"/>
      <c r="W230" s="924">
        <v>3</v>
      </c>
      <c r="X230" s="924"/>
      <c r="Y230" s="924"/>
      <c r="Z230" s="924"/>
      <c r="AA230" s="924"/>
      <c r="AB230" s="924"/>
      <c r="AC230" s="924"/>
      <c r="AD230" s="924"/>
      <c r="AE230" s="924"/>
      <c r="AF230" s="924"/>
      <c r="AG230" s="924"/>
      <c r="AH230" s="924">
        <v>2</v>
      </c>
      <c r="AI230" s="924"/>
      <c r="AJ230" s="924"/>
      <c r="AK230" s="924"/>
      <c r="AL230" s="924"/>
      <c r="AM230" s="924"/>
      <c r="AN230" s="924"/>
      <c r="AO230" s="449"/>
      <c r="AP230" s="928"/>
      <c r="AQ230" s="924">
        <v>11</v>
      </c>
      <c r="AR230" s="924"/>
      <c r="AS230" s="929"/>
      <c r="AT230" s="924"/>
      <c r="AU230" s="924"/>
      <c r="AV230" s="924"/>
      <c r="AW230" s="924"/>
      <c r="AX230" s="924">
        <v>11</v>
      </c>
      <c r="AY230" s="923" t="s">
        <v>41</v>
      </c>
      <c r="AZ230" s="928" t="s">
        <v>137</v>
      </c>
      <c r="BA230" s="924"/>
      <c r="BB230" s="924"/>
      <c r="BC230" s="924"/>
      <c r="BD230" s="449"/>
      <c r="BE230" s="449"/>
      <c r="BF230" s="923"/>
      <c r="BG230" s="924">
        <v>3</v>
      </c>
      <c r="BH230" s="924"/>
      <c r="BI230" s="924"/>
      <c r="BJ230" s="924">
        <v>2</v>
      </c>
      <c r="BK230" s="924"/>
      <c r="BL230" s="924">
        <v>1</v>
      </c>
      <c r="BM230" s="924"/>
      <c r="BN230" s="924"/>
      <c r="BO230" s="924"/>
      <c r="BP230" s="923"/>
      <c r="BQ230" s="930"/>
      <c r="BR230" s="929"/>
      <c r="BS230" s="923"/>
      <c r="BT230" s="424"/>
      <c r="BU230" s="424"/>
      <c r="BV230" s="426"/>
      <c r="BW230" s="424"/>
      <c r="BX230" s="449"/>
      <c r="BY230" s="449"/>
      <c r="BZ230" s="449"/>
      <c r="CA230" s="449"/>
      <c r="CB230" s="449"/>
      <c r="CC230" s="807"/>
      <c r="CD230" s="449"/>
      <c r="CE230" s="931" t="str">
        <f>IFERROR(WWWW[[#This Row],['#_Water sources passed]]/WWWW[[#This Row],['#_Water sources tested for fecal coliform ]],"no test")</f>
        <v>no test</v>
      </c>
      <c r="CF230" s="929" t="str">
        <f>IFERROR(WWWW[[#This Row],['#_Household passed]]/WWWW[[#This Row],['#_Household water samples tested for fecal coliform]],"no test")</f>
        <v>no test</v>
      </c>
      <c r="CG230" s="930" t="str">
        <f>IF(AND(WWWW[[#This Row],[% of water sources passed]]="no test",WWWW[[#This Row],[% Household passed]]="no test"),"No Test","Tested")</f>
        <v>No Test</v>
      </c>
      <c r="CH230" s="930">
        <f>WWWW[[#This Row],['#_Constructed/existing protected hand dug well]]-WWWW[[#This Row],['#_Non-functional protected hand dug well]]</f>
        <v>2</v>
      </c>
      <c r="CI230" s="930">
        <f>(WWWW[[#This Row],['#_Constructed/Existing tube wells/boreholes/handpumps_WASH_agency]]+WWWW[[#This Row],['#_Non-Cluster partner water tube-wells/boreholes/handpumps]])-WWWW[[#This Row],['#_Non-functional tube wells/boreholes/handpumps]]</f>
        <v>3</v>
      </c>
      <c r="CJ230" s="930">
        <f>WWWW[[#This Row],['#_Constructed/Existingwater storage tank with gravity fed reticulation system]]-WWWW[[#This Row],['#_Non-functional storage tank gravity fed reticulation system]]</f>
        <v>0</v>
      </c>
      <c r="CK230" s="930">
        <f>(WWWW[[#This Row],['#_Water_Liters_supplied_by_Water boating or water trucking]]/90)/15</f>
        <v>0</v>
      </c>
      <c r="CL230" s="930">
        <f>WWWW[[#This Row],['#_Water_Liters_from_Constructed/Existing water distribution system from river or natural spring]]/90/15</f>
        <v>0</v>
      </c>
      <c r="CM230" s="425">
        <f>IF(WWWW[[#This Row],['#_of water points in TLS/CFS]]*500&gt;WWWW[[#This Row],[Total PoP ]],WWWW[[#This Row],[Total PoP ]],WWWW[[#This Row],['#_of water points in TLS/CFS]]*500)</f>
        <v>0</v>
      </c>
      <c r="CN230" s="425">
        <f>IF(WWWW[[#This Row],['#_of water points in THF]]*500&gt;WWWW[[#This Row],[Total PoP ]],WWWW[[#This Row],[Total PoP ]],WWWW[[#This Row],['#_of water points in THF]]*500)</f>
        <v>0</v>
      </c>
      <c r="CO23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0" s="929">
        <f>IF(WWWW[[#This Row],[Location Type 1]]="Village",WWWW[[#This Row],[Access to safe drinking water for Village]],WWWW[[#This Row],[Access to safe drinking water for Camp]])</f>
        <v>1</v>
      </c>
      <c r="CR230" s="927">
        <f>WWWW[[#This Row],[%Equitable and continuous access to sufficient quantity of safe drinking water]]*WWWW[[#This Row],[Total PoP ]]</f>
        <v>531</v>
      </c>
      <c r="CS230" s="929">
        <f>IF((WWWW[[#This Row],['#_Constructed/Existing protected/fenced ponds]]*250)/WWWW[[#This Row],[Total PoP ]]&gt;1,1,(WWWW[[#This Row],['#_Constructed/Existing protected/fenced ponds]]*250)/WWWW[[#This Row],[Total PoP ]])</f>
        <v>0</v>
      </c>
      <c r="CT230" s="927">
        <f>WWWW[[#This Row],[% Access to unimproved water points]]*WWWW[[#This Row],[Total PoP ]]</f>
        <v>0</v>
      </c>
      <c r="CU23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531</v>
      </c>
      <c r="CW230" s="927">
        <f>WWWW[[#This Row],[HRP1]]/500</f>
        <v>1.0620000000000001</v>
      </c>
      <c r="CX230" s="932">
        <f>1-WWWW[[#This Row],[% Equitable and continuous access to sufficient quantity of domestic water]]</f>
        <v>0</v>
      </c>
      <c r="CY230" s="927">
        <f>WWWW[[#This Row],[%equitable and continuous access to sufficient quantity of safe drinking and domestic water''s GAP]]*WWWW[[#This Row],[Total PoP ]]</f>
        <v>0</v>
      </c>
      <c r="CZ230" s="930">
        <f>IF(WWWW[[#This Row],[Total required water points]]-WWWW[[#This Row],['#Water points coverage]]&lt;0,0,WWWW[[#This Row],[Total required water points]]-WWWW[[#This Row],['#Water points coverage]])</f>
        <v>0</v>
      </c>
      <c r="DA230" s="930">
        <f>ROUND(IF(WWWW[[#This Row],[Total PoP ]]&lt;500,1,WWWW[[#This Row],[Total PoP ]]/500),0)</f>
        <v>1</v>
      </c>
      <c r="DB230" s="930">
        <f>(WWWW[[#This Row],['#_Constructed latrines_by_WASHAgencies]]+WWWW[[#This Row],['#_Non Cluster partner latrines]])-WWWW[[#This Row],['#_Non-functional latrines]]</f>
        <v>11</v>
      </c>
      <c r="DC230" s="634">
        <f>WWWW[[#This Row],[HRP2]]/WWWW[[#This Row],[Total PoP ]]</f>
        <v>0.4143126177024482</v>
      </c>
      <c r="DD23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23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0" s="425">
        <f>IF(WWWW[[#This Row],['# of functional latrines in THF supported by WASH partners during the reporting period2]]="",0,WWWW[[#This Row],['# of functional latrines in THF supported by WASH partners during the reporting period2]]*50)</f>
        <v>0</v>
      </c>
      <c r="DH230" s="930">
        <f>ROUND(IF(WWWW[[#This Row],[Location Type 1]]="camp",WWWW[[#This Row],[Total PoP ]]/20,IF(WWWW[[#This Row],[Location Type 1]]="Temporary Location",WWWW[[#This Row],[Total PoP ]]/50,(WWWW[[#This Row],[Total PoP ]]/6))),0)</f>
        <v>27</v>
      </c>
      <c r="DI230" s="930">
        <f>IF(WWWW[[#This Row],[Total required Latrines]]-(WWWW[[#This Row],['#_Constructed latrines_by_WASHAgencies]]+WWWW[[#This Row],['#_Non Cluster partner latrines]])&lt;0,0,WWWW[[#This Row],[Total required Latrines]]-(WWWW[[#This Row],['#_Constructed latrines_by_WASHAgencies]]+WWWW[[#This Row],['#_Non Cluster partner latrines]]))</f>
        <v>16</v>
      </c>
      <c r="DJ230" s="932">
        <f>1-WWWW[[#This Row],[% people access to functioning Latrine]]</f>
        <v>0.5856873822975518</v>
      </c>
      <c r="DK230" s="931">
        <f>IF(OR(WWWW[[#This Row],['#_Non-functional latrines]]="",WWWW[[#This Row],['#_Non-functional latrines]]=0),0,WWWW[[#This Row],['#_Non-functional latrines]]/(WWWW[[#This Row],['#_Constructed latrines_by_WASHAgencies]]+WWWW[[#This Row],['#_Non Cluster partner latrines]]))</f>
        <v>0</v>
      </c>
      <c r="DL230" s="927">
        <f>IF(500*(WWWW[[#This Row],['#_male hygiene promoters]]+WWWW[[#This Row],['#_female hygiene promoters]])&gt;WWWW[[#This Row],[Total PoP ]],WWWW[[#This Row],[Total PoP ]],500*(WWWW[[#This Row],['#_male hygiene promoters]]+WWWW[[#This Row],['#_female hygiene promoters]]))</f>
        <v>500</v>
      </c>
      <c r="DM23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0" s="930">
        <f>IF(WWWW[[#This Row],['# People with access to soap]]&gt;WWWW[[#This Row],['# People with access to Sanity Pads]],WWWW[[#This Row],['# People with access to soap]],WWWW[[#This Row],['# People with access to Sanity Pads]])</f>
        <v>0</v>
      </c>
      <c r="DP230"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30" s="932">
        <f>IF(WWWW[[#This Row],[HRP3]]/WWWW[[#This Row],[Total PoP ]]&gt;1,1,WWWW[[#This Row],[HRP3]]/WWWW[[#This Row],[Total PoP ]])</f>
        <v>0.94161958568738224</v>
      </c>
      <c r="DR230" s="931">
        <f>1-WWWW[[#This Row],[Hygiene Coverage%]]</f>
        <v>5.8380414312617757E-2</v>
      </c>
      <c r="DS230" s="929">
        <f>WWWW[[#This Row],['# people reached by regular dedicated hygiene promotion_5]]/WWWW[[#This Row],[Total PoP ]]</f>
        <v>0.94161958568738224</v>
      </c>
      <c r="DT23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0" s="930">
        <f>WWWW[[#This Row],['#_Constructed/Existing hand washing stations]]-WWWW[[#This Row],['#_Non-Functional_hand_washing_stations]]</f>
        <v>3</v>
      </c>
      <c r="DW230" s="927">
        <f>IF(WWWW[[#This Row],['# Functional hand washing stations during reporting period]]*20&gt;WWWW[[#This Row],[Total HH]],WWWW[[#This Row],[Total HH]],WWWW[[#This Row],['# Functional hand washing stations during reporting period]]*20)</f>
        <v>60</v>
      </c>
      <c r="DX230" s="927">
        <f>IF(WWWW[[#This Row],[Is sufficient soap available for TLS? (Yes/No)]]="yes",WWWW[[#This Row],['#_Constructed/Existing hand washing stations at TLS/CFS/THF]],0)</f>
        <v>0</v>
      </c>
      <c r="DY230" s="429">
        <f>IF(WWWW[[#This Row],['# Functional hand washing stations during reporting period]]*100&gt;WWWW[[#This Row],[Total PoP ]],WWWW[[#This Row],[Total PoP ]],WWWW[[#This Row],['# Functional hand washing stations during reporting period]]*100)</f>
        <v>300</v>
      </c>
      <c r="DZ230" s="429" t="str">
        <f>IF(OR(WWWW[[#This Row],['#_students at TLS_CFS]]="",WWWW[[#This Row],['#_students at TLS_CFS]]=0),"No","Yes")</f>
        <v>No</v>
      </c>
      <c r="EA23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0" s="923" t="str">
        <f>VLOOKUP(WWWW[[#This Row],[Site Name]],SiteDB6[[Site Name]:[CCCM Management]],6,FALSE)</f>
        <v>Yes</v>
      </c>
      <c r="EF230" s="923" t="str">
        <f>VLOOKUP(WWWW[[#This Row],[Site Name]],SiteDB6[[Site Name]:[CCCM Focal Agency]],7,FALSE)</f>
        <v>KBC-MYT</v>
      </c>
      <c r="EG230" s="923" t="str">
        <f>VLOOKUP(WWWW[[#This Row],[Site Name]],SiteDB6[[Site Name]:[Location Type 1]],9,FALSE)</f>
        <v>Camp</v>
      </c>
      <c r="EH230" s="923" t="str">
        <f>VLOOKUP(WWWW[[#This Row],[Site Name]],SiteDB6[[Site Name]:[Type of Accommodation]],10,FALSE)</f>
        <v>Camp</v>
      </c>
      <c r="EI230" s="923" t="str">
        <f>VLOOKUP(WWWW[[#This Row],[Site Name]],SiteDB6[[Site Name]:[Ethnic or GCA/NGCA]],11,FALSE)</f>
        <v>GCA</v>
      </c>
      <c r="EJ230" s="923">
        <f>VLOOKUP(WWWW[[#This Row],[Site Name]],SiteDB6[[Site Name]:[Lat]],12,FALSE)</f>
        <v>25.415482000000001</v>
      </c>
      <c r="EK230" s="923">
        <f>VLOOKUP(WWWW[[#This Row],[Site Name]],SiteDB6[[Site Name]:[Long]],13,FALSE)</f>
        <v>97.386718999999999</v>
      </c>
      <c r="EL230" s="923" t="str">
        <f>VLOOKUP(WWWW[[#This Row],[Site Name]],SiteDB6[[Site Name]:[Pcode]],3,FALSE)</f>
        <v>MMR001CMP001</v>
      </c>
      <c r="EM230" s="928" t="str">
        <f t="shared" si="3"/>
        <v>Covered</v>
      </c>
      <c r="EN230" s="928"/>
      <c r="EO230" s="923">
        <f>VLOOKUP(WWWW[[#This Row],[Site Name]],SiteDB6[[Site Name]:[Pop
(Kachin/Shan-CCCM as of July 2021)]],16,FALSE)</f>
        <v>98</v>
      </c>
      <c r="EP230" s="923">
        <f>VLOOKUP(WWWW[[#This Row],[Site Name]],SiteDB6[[Site Name]:[Pop
(Kachin/Shan-CCCM as of July 2021)]],17,FALSE)</f>
        <v>540</v>
      </c>
    </row>
    <row r="231" spans="1:146">
      <c r="A231" s="921" t="s">
        <v>2786</v>
      </c>
      <c r="B231" s="921" t="s">
        <v>3097</v>
      </c>
      <c r="C231" s="922" t="s">
        <v>141</v>
      </c>
      <c r="D231" s="922" t="s">
        <v>3105</v>
      </c>
      <c r="E231" s="922" t="s">
        <v>37</v>
      </c>
      <c r="F231" s="922" t="s">
        <v>159</v>
      </c>
      <c r="G231" s="594" t="str">
        <f>VLOOKUP(WWWW[[#This Row],[Site Name]],SiteDB6[[Site Name]:[Location Type]],8,FALSE)</f>
        <v>Camp</v>
      </c>
      <c r="H231" s="922" t="s">
        <v>171</v>
      </c>
      <c r="I231" s="924">
        <v>35</v>
      </c>
      <c r="J231" s="924">
        <v>197</v>
      </c>
      <c r="K231" s="925">
        <v>44682</v>
      </c>
      <c r="L231" s="926">
        <v>44865</v>
      </c>
      <c r="M231" s="924"/>
      <c r="N231" s="924">
        <v>1</v>
      </c>
      <c r="O231" s="924"/>
      <c r="P231" s="924"/>
      <c r="Q231" s="927" t="s">
        <v>41</v>
      </c>
      <c r="R231" s="924">
        <v>2</v>
      </c>
      <c r="S231" s="924">
        <v>2</v>
      </c>
      <c r="T231" s="449">
        <v>3</v>
      </c>
      <c r="U231" s="924"/>
      <c r="V231" s="924"/>
      <c r="W231" s="924">
        <v>4</v>
      </c>
      <c r="X231" s="924"/>
      <c r="Y231" s="924"/>
      <c r="Z231" s="924"/>
      <c r="AA231" s="924"/>
      <c r="AB231" s="924"/>
      <c r="AC231" s="924"/>
      <c r="AD231" s="924"/>
      <c r="AE231" s="924"/>
      <c r="AF231" s="924"/>
      <c r="AG231" s="924"/>
      <c r="AH231" s="924">
        <v>3</v>
      </c>
      <c r="AI231" s="924"/>
      <c r="AJ231" s="924"/>
      <c r="AK231" s="924"/>
      <c r="AL231" s="924"/>
      <c r="AM231" s="924"/>
      <c r="AN231" s="924"/>
      <c r="AO231" s="449"/>
      <c r="AP231" s="928"/>
      <c r="AQ231" s="924">
        <v>5</v>
      </c>
      <c r="AR231" s="924"/>
      <c r="AS231" s="929"/>
      <c r="AT231" s="924"/>
      <c r="AU231" s="924"/>
      <c r="AV231" s="924"/>
      <c r="AW231" s="924"/>
      <c r="AX231" s="924">
        <v>5</v>
      </c>
      <c r="AY231" s="923" t="s">
        <v>41</v>
      </c>
      <c r="AZ231" s="928" t="s">
        <v>137</v>
      </c>
      <c r="BA231" s="924"/>
      <c r="BB231" s="924"/>
      <c r="BC231" s="924"/>
      <c r="BD231" s="449"/>
      <c r="BE231" s="449"/>
      <c r="BF231" s="923"/>
      <c r="BG231" s="924">
        <v>1</v>
      </c>
      <c r="BH231" s="924"/>
      <c r="BI231" s="924"/>
      <c r="BJ231" s="924">
        <v>3</v>
      </c>
      <c r="BK231" s="924"/>
      <c r="BL231" s="924"/>
      <c r="BM231" s="924"/>
      <c r="BN231" s="924"/>
      <c r="BO231" s="924"/>
      <c r="BP231" s="923"/>
      <c r="BQ231" s="930"/>
      <c r="BR231" s="929"/>
      <c r="BS231" s="923"/>
      <c r="BT231" s="424"/>
      <c r="BU231" s="424"/>
      <c r="BV231" s="426"/>
      <c r="BW231" s="424"/>
      <c r="BX231" s="449"/>
      <c r="BY231" s="449"/>
      <c r="BZ231" s="449"/>
      <c r="CA231" s="449"/>
      <c r="CB231" s="449"/>
      <c r="CC231" s="807"/>
      <c r="CD231" s="449"/>
      <c r="CE231" s="931" t="str">
        <f>IFERROR(WWWW[[#This Row],['#_Water sources passed]]/WWWW[[#This Row],['#_Water sources tested for fecal coliform ]],"no test")</f>
        <v>no test</v>
      </c>
      <c r="CF231" s="929" t="str">
        <f>IFERROR(WWWW[[#This Row],['#_Household passed]]/WWWW[[#This Row],['#_Household water samples tested for fecal coliform]],"no test")</f>
        <v>no test</v>
      </c>
      <c r="CG231" s="930" t="str">
        <f>IF(AND(WWWW[[#This Row],[% of water sources passed]]="no test",WWWW[[#This Row],[% Household passed]]="no test"),"No Test","Tested")</f>
        <v>No Test</v>
      </c>
      <c r="CH231" s="930">
        <f>WWWW[[#This Row],['#_Constructed/existing protected hand dug well]]-WWWW[[#This Row],['#_Non-functional protected hand dug well]]</f>
        <v>3</v>
      </c>
      <c r="CI231" s="930">
        <f>(WWWW[[#This Row],['#_Constructed/Existing tube wells/boreholes/handpumps_WASH_agency]]+WWWW[[#This Row],['#_Non-Cluster partner water tube-wells/boreholes/handpumps]])-WWWW[[#This Row],['#_Non-functional tube wells/boreholes/handpumps]]</f>
        <v>4</v>
      </c>
      <c r="CJ231" s="930">
        <f>WWWW[[#This Row],['#_Constructed/Existingwater storage tank with gravity fed reticulation system]]-WWWW[[#This Row],['#_Non-functional storage tank gravity fed reticulation system]]</f>
        <v>0</v>
      </c>
      <c r="CK231" s="930">
        <f>(WWWW[[#This Row],['#_Water_Liters_supplied_by_Water boating or water trucking]]/90)/15</f>
        <v>0</v>
      </c>
      <c r="CL231" s="930">
        <f>WWWW[[#This Row],['#_Water_Liters_from_Constructed/Existing water distribution system from river or natural spring]]/90/15</f>
        <v>0</v>
      </c>
      <c r="CM231" s="425">
        <f>IF(WWWW[[#This Row],['#_of water points in TLS/CFS]]*500&gt;WWWW[[#This Row],[Total PoP ]],WWWW[[#This Row],[Total PoP ]],WWWW[[#This Row],['#_of water points in TLS/CFS]]*500)</f>
        <v>0</v>
      </c>
      <c r="CN231" s="425">
        <f>IF(WWWW[[#This Row],['#_of water points in THF]]*500&gt;WWWW[[#This Row],[Total PoP ]],WWWW[[#This Row],[Total PoP ]],WWWW[[#This Row],['#_of water points in THF]]*500)</f>
        <v>0</v>
      </c>
      <c r="CO23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1" s="929">
        <f>IF(WWWW[[#This Row],[Location Type 1]]="Village",WWWW[[#This Row],[Access to safe drinking water for Village]],WWWW[[#This Row],[Access to safe drinking water for Camp]])</f>
        <v>1</v>
      </c>
      <c r="CR231" s="927">
        <f>WWWW[[#This Row],[%Equitable and continuous access to sufficient quantity of safe drinking water]]*WWWW[[#This Row],[Total PoP ]]</f>
        <v>197</v>
      </c>
      <c r="CS231" s="929">
        <f>IF((WWWW[[#This Row],['#_Constructed/Existing protected/fenced ponds]]*250)/WWWW[[#This Row],[Total PoP ]]&gt;1,1,(WWWW[[#This Row],['#_Constructed/Existing protected/fenced ponds]]*250)/WWWW[[#This Row],[Total PoP ]])</f>
        <v>0</v>
      </c>
      <c r="CT231" s="927">
        <f>WWWW[[#This Row],[% Access to unimproved water points]]*WWWW[[#This Row],[Total PoP ]]</f>
        <v>0</v>
      </c>
      <c r="CU23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197</v>
      </c>
      <c r="CW231" s="927">
        <f>WWWW[[#This Row],[HRP1]]/500</f>
        <v>0.39400000000000002</v>
      </c>
      <c r="CX231" s="932">
        <f>1-WWWW[[#This Row],[% Equitable and continuous access to sufficient quantity of domestic water]]</f>
        <v>0</v>
      </c>
      <c r="CY231" s="927">
        <f>WWWW[[#This Row],[%equitable and continuous access to sufficient quantity of safe drinking and domestic water''s GAP]]*WWWW[[#This Row],[Total PoP ]]</f>
        <v>0</v>
      </c>
      <c r="CZ231" s="930">
        <f>IF(WWWW[[#This Row],[Total required water points]]-WWWW[[#This Row],['#Water points coverage]]&lt;0,0,WWWW[[#This Row],[Total required water points]]-WWWW[[#This Row],['#Water points coverage]])</f>
        <v>0.60599999999999998</v>
      </c>
      <c r="DA231" s="930">
        <f>ROUND(IF(WWWW[[#This Row],[Total PoP ]]&lt;500,1,WWWW[[#This Row],[Total PoP ]]/500),0)</f>
        <v>1</v>
      </c>
      <c r="DB231" s="930">
        <f>(WWWW[[#This Row],['#_Constructed latrines_by_WASHAgencies]]+WWWW[[#This Row],['#_Non Cluster partner latrines]])-WWWW[[#This Row],['#_Non-functional latrines]]</f>
        <v>5</v>
      </c>
      <c r="DC231" s="634">
        <f>WWWW[[#This Row],[HRP2]]/WWWW[[#This Row],[Total PoP ]]</f>
        <v>0.50761421319796951</v>
      </c>
      <c r="DD23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3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1" s="425">
        <f>IF(WWWW[[#This Row],['# of functional latrines in THF supported by WASH partners during the reporting period2]]="",0,WWWW[[#This Row],['# of functional latrines in THF supported by WASH partners during the reporting period2]]*50)</f>
        <v>0</v>
      </c>
      <c r="DH231" s="930">
        <f>ROUND(IF(WWWW[[#This Row],[Location Type 1]]="camp",WWWW[[#This Row],[Total PoP ]]/20,IF(WWWW[[#This Row],[Location Type 1]]="Temporary Location",WWWW[[#This Row],[Total PoP ]]/50,(WWWW[[#This Row],[Total PoP ]]/6))),0)</f>
        <v>10</v>
      </c>
      <c r="DI231" s="930">
        <f>IF(WWWW[[#This Row],[Total required Latrines]]-(WWWW[[#This Row],['#_Constructed latrines_by_WASHAgencies]]+WWWW[[#This Row],['#_Non Cluster partner latrines]])&lt;0,0,WWWW[[#This Row],[Total required Latrines]]-(WWWW[[#This Row],['#_Constructed latrines_by_WASHAgencies]]+WWWW[[#This Row],['#_Non Cluster partner latrines]]))</f>
        <v>5</v>
      </c>
      <c r="DJ231" s="932">
        <f>1-WWWW[[#This Row],[% people access to functioning Latrine]]</f>
        <v>0.49238578680203049</v>
      </c>
      <c r="DK231" s="931">
        <f>IF(OR(WWWW[[#This Row],['#_Non-functional latrines]]="",WWWW[[#This Row],['#_Non-functional latrines]]=0),0,WWWW[[#This Row],['#_Non-functional latrines]]/(WWWW[[#This Row],['#_Constructed latrines_by_WASHAgencies]]+WWWW[[#This Row],['#_Non Cluster partner latrines]]))</f>
        <v>0</v>
      </c>
      <c r="DL231" s="927">
        <f>IF(500*(WWWW[[#This Row],['#_male hygiene promoters]]+WWWW[[#This Row],['#_female hygiene promoters]])&gt;WWWW[[#This Row],[Total PoP ]],WWWW[[#This Row],[Total PoP ]],500*(WWWW[[#This Row],['#_male hygiene promoters]]+WWWW[[#This Row],['#_female hygiene promoters]]))</f>
        <v>0</v>
      </c>
      <c r="DM23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1" s="930">
        <f>IF(WWWW[[#This Row],['# People with access to soap]]&gt;WWWW[[#This Row],['# People with access to Sanity Pads]],WWWW[[#This Row],['# People with access to soap]],WWWW[[#This Row],['# People with access to Sanity Pads]])</f>
        <v>0</v>
      </c>
      <c r="DP23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1" s="932">
        <f>IF(WWWW[[#This Row],[HRP3]]/WWWW[[#This Row],[Total PoP ]]&gt;1,1,WWWW[[#This Row],[HRP3]]/WWWW[[#This Row],[Total PoP ]])</f>
        <v>0</v>
      </c>
      <c r="DR231" s="931">
        <f>1-WWWW[[#This Row],[Hygiene Coverage%]]</f>
        <v>1</v>
      </c>
      <c r="DS231" s="929">
        <f>WWWW[[#This Row],['# people reached by regular dedicated hygiene promotion_5]]/WWWW[[#This Row],[Total PoP ]]</f>
        <v>0</v>
      </c>
      <c r="DT23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1" s="930">
        <f>WWWW[[#This Row],['#_Constructed/Existing hand washing stations]]-WWWW[[#This Row],['#_Non-Functional_hand_washing_stations]]</f>
        <v>1</v>
      </c>
      <c r="DW231" s="927">
        <f>IF(WWWW[[#This Row],['# Functional hand washing stations during reporting period]]*20&gt;WWWW[[#This Row],[Total HH]],WWWW[[#This Row],[Total HH]],WWWW[[#This Row],['# Functional hand washing stations during reporting period]]*20)</f>
        <v>20</v>
      </c>
      <c r="DX231" s="927">
        <f>IF(WWWW[[#This Row],[Is sufficient soap available for TLS? (Yes/No)]]="yes",WWWW[[#This Row],['#_Constructed/Existing hand washing stations at TLS/CFS/THF]],0)</f>
        <v>0</v>
      </c>
      <c r="DY231" s="429">
        <f>IF(WWWW[[#This Row],['# Functional hand washing stations during reporting period]]*100&gt;WWWW[[#This Row],[Total PoP ]],WWWW[[#This Row],[Total PoP ]],WWWW[[#This Row],['# Functional hand washing stations during reporting period]]*100)</f>
        <v>100</v>
      </c>
      <c r="DZ231" s="429" t="str">
        <f>IF(OR(WWWW[[#This Row],['#_students at TLS_CFS]]="",WWWW[[#This Row],['#_students at TLS_CFS]]=0),"No","Yes")</f>
        <v>No</v>
      </c>
      <c r="EA23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1" s="923" t="str">
        <f>VLOOKUP(WWWW[[#This Row],[Site Name]],SiteDB6[[Site Name]:[CCCM Management]],6,FALSE)</f>
        <v>Yes</v>
      </c>
      <c r="EF231" s="923" t="str">
        <f>VLOOKUP(WWWW[[#This Row],[Site Name]],SiteDB6[[Site Name]:[CCCM Focal Agency]],7,FALSE)</f>
        <v>KBC-MYT</v>
      </c>
      <c r="EG231" s="923" t="str">
        <f>VLOOKUP(WWWW[[#This Row],[Site Name]],SiteDB6[[Site Name]:[Location Type 1]],9,FALSE)</f>
        <v>Camp</v>
      </c>
      <c r="EH231" s="923" t="str">
        <f>VLOOKUP(WWWW[[#This Row],[Site Name]],SiteDB6[[Site Name]:[Type of Accommodation]],10,FALSE)</f>
        <v>Camp</v>
      </c>
      <c r="EI231" s="923" t="str">
        <f>VLOOKUP(WWWW[[#This Row],[Site Name]],SiteDB6[[Site Name]:[Ethnic or GCA/NGCA]],11,FALSE)</f>
        <v>GCA</v>
      </c>
      <c r="EJ231" s="923">
        <f>VLOOKUP(WWWW[[#This Row],[Site Name]],SiteDB6[[Site Name]:[Lat]],12,FALSE)</f>
        <v>25.404752999999999</v>
      </c>
      <c r="EK231" s="923">
        <f>VLOOKUP(WWWW[[#This Row],[Site Name]],SiteDB6[[Site Name]:[Long]],13,FALSE)</f>
        <v>97.377662999999998</v>
      </c>
      <c r="EL231" s="923" t="str">
        <f>VLOOKUP(WWWW[[#This Row],[Site Name]],SiteDB6[[Site Name]:[Pcode]],3,FALSE)</f>
        <v>MMR001CMP003</v>
      </c>
      <c r="EM231" s="928" t="str">
        <f t="shared" si="3"/>
        <v>Covered</v>
      </c>
      <c r="EN231" s="928"/>
      <c r="EO231" s="923">
        <f>VLOOKUP(WWWW[[#This Row],[Site Name]],SiteDB6[[Site Name]:[Pop
(Kachin/Shan-CCCM as of July 2021)]],16,FALSE)</f>
        <v>35</v>
      </c>
      <c r="EP231" s="923">
        <f>VLOOKUP(WWWW[[#This Row],[Site Name]],SiteDB6[[Site Name]:[Pop
(Kachin/Shan-CCCM as of July 2021)]],17,FALSE)</f>
        <v>189</v>
      </c>
    </row>
    <row r="232" spans="1:146">
      <c r="A232" s="921" t="s">
        <v>2786</v>
      </c>
      <c r="B232" s="921" t="s">
        <v>3097</v>
      </c>
      <c r="C232" s="922" t="s">
        <v>141</v>
      </c>
      <c r="D232" s="922" t="s">
        <v>3105</v>
      </c>
      <c r="E232" s="922" t="s">
        <v>37</v>
      </c>
      <c r="F232" s="922" t="s">
        <v>159</v>
      </c>
      <c r="G232" s="594" t="str">
        <f>VLOOKUP(WWWW[[#This Row],[Site Name]],SiteDB6[[Site Name]:[Location Type]],8,FALSE)</f>
        <v>Camp</v>
      </c>
      <c r="H232" s="922" t="s">
        <v>172</v>
      </c>
      <c r="I232" s="924">
        <v>47</v>
      </c>
      <c r="J232" s="924">
        <v>239</v>
      </c>
      <c r="K232" s="925">
        <v>44682</v>
      </c>
      <c r="L232" s="926">
        <v>44865</v>
      </c>
      <c r="M232" s="924"/>
      <c r="N232" s="924">
        <v>1</v>
      </c>
      <c r="O232" s="924"/>
      <c r="P232" s="924"/>
      <c r="Q232" s="927" t="s">
        <v>41</v>
      </c>
      <c r="R232" s="924">
        <v>2</v>
      </c>
      <c r="S232" s="924">
        <v>3</v>
      </c>
      <c r="T232" s="449">
        <v>2</v>
      </c>
      <c r="U232" s="924"/>
      <c r="V232" s="924"/>
      <c r="W232" s="924">
        <v>1</v>
      </c>
      <c r="X232" s="924"/>
      <c r="Y232" s="924"/>
      <c r="Z232" s="924"/>
      <c r="AA232" s="924"/>
      <c r="AB232" s="924"/>
      <c r="AC232" s="924"/>
      <c r="AD232" s="924"/>
      <c r="AE232" s="924"/>
      <c r="AF232" s="924"/>
      <c r="AG232" s="924"/>
      <c r="AH232" s="924">
        <v>3</v>
      </c>
      <c r="AI232" s="924"/>
      <c r="AJ232" s="924"/>
      <c r="AK232" s="924"/>
      <c r="AL232" s="924"/>
      <c r="AM232" s="924"/>
      <c r="AN232" s="924"/>
      <c r="AO232" s="449"/>
      <c r="AP232" s="928"/>
      <c r="AQ232" s="924">
        <v>13</v>
      </c>
      <c r="AR232" s="924"/>
      <c r="AS232" s="929"/>
      <c r="AT232" s="924"/>
      <c r="AU232" s="924"/>
      <c r="AV232" s="924"/>
      <c r="AW232" s="924"/>
      <c r="AX232" s="924">
        <v>13</v>
      </c>
      <c r="AY232" s="923" t="s">
        <v>41</v>
      </c>
      <c r="AZ232" s="928" t="s">
        <v>137</v>
      </c>
      <c r="BA232" s="924"/>
      <c r="BB232" s="924"/>
      <c r="BC232" s="924"/>
      <c r="BD232" s="449"/>
      <c r="BE232" s="449"/>
      <c r="BF232" s="923"/>
      <c r="BG232" s="924">
        <v>1</v>
      </c>
      <c r="BH232" s="924"/>
      <c r="BI232" s="924"/>
      <c r="BJ232" s="924">
        <v>1</v>
      </c>
      <c r="BK232" s="924"/>
      <c r="BL232" s="924"/>
      <c r="BM232" s="924"/>
      <c r="BN232" s="924"/>
      <c r="BO232" s="924"/>
      <c r="BP232" s="923"/>
      <c r="BQ232" s="930"/>
      <c r="BR232" s="929"/>
      <c r="BS232" s="923"/>
      <c r="BT232" s="424"/>
      <c r="BU232" s="424"/>
      <c r="BV232" s="426"/>
      <c r="BW232" s="424"/>
      <c r="BX232" s="449"/>
      <c r="BY232" s="449"/>
      <c r="BZ232" s="449"/>
      <c r="CA232" s="449"/>
      <c r="CB232" s="449"/>
      <c r="CC232" s="807"/>
      <c r="CD232" s="449"/>
      <c r="CE232" s="931" t="str">
        <f>IFERROR(WWWW[[#This Row],['#_Water sources passed]]/WWWW[[#This Row],['#_Water sources tested for fecal coliform ]],"no test")</f>
        <v>no test</v>
      </c>
      <c r="CF232" s="929" t="str">
        <f>IFERROR(WWWW[[#This Row],['#_Household passed]]/WWWW[[#This Row],['#_Household water samples tested for fecal coliform]],"no test")</f>
        <v>no test</v>
      </c>
      <c r="CG232" s="930" t="str">
        <f>IF(AND(WWWW[[#This Row],[% of water sources passed]]="no test",WWWW[[#This Row],[% Household passed]]="no test"),"No Test","Tested")</f>
        <v>No Test</v>
      </c>
      <c r="CH232" s="930">
        <f>WWWW[[#This Row],['#_Constructed/existing protected hand dug well]]-WWWW[[#This Row],['#_Non-functional protected hand dug well]]</f>
        <v>2</v>
      </c>
      <c r="CI232" s="930">
        <f>(WWWW[[#This Row],['#_Constructed/Existing tube wells/boreholes/handpumps_WASH_agency]]+WWWW[[#This Row],['#_Non-Cluster partner water tube-wells/boreholes/handpumps]])-WWWW[[#This Row],['#_Non-functional tube wells/boreholes/handpumps]]</f>
        <v>1</v>
      </c>
      <c r="CJ232" s="930">
        <f>WWWW[[#This Row],['#_Constructed/Existingwater storage tank with gravity fed reticulation system]]-WWWW[[#This Row],['#_Non-functional storage tank gravity fed reticulation system]]</f>
        <v>0</v>
      </c>
      <c r="CK232" s="930">
        <f>(WWWW[[#This Row],['#_Water_Liters_supplied_by_Water boating or water trucking]]/90)/15</f>
        <v>0</v>
      </c>
      <c r="CL232" s="930">
        <f>WWWW[[#This Row],['#_Water_Liters_from_Constructed/Existing water distribution system from river or natural spring]]/90/15</f>
        <v>0</v>
      </c>
      <c r="CM232" s="425">
        <f>IF(WWWW[[#This Row],['#_of water points in TLS/CFS]]*500&gt;WWWW[[#This Row],[Total PoP ]],WWWW[[#This Row],[Total PoP ]],WWWW[[#This Row],['#_of water points in TLS/CFS]]*500)</f>
        <v>0</v>
      </c>
      <c r="CN232" s="425">
        <f>IF(WWWW[[#This Row],['#_of water points in THF]]*500&gt;WWWW[[#This Row],[Total PoP ]],WWWW[[#This Row],[Total PoP ]],WWWW[[#This Row],['#_of water points in THF]]*500)</f>
        <v>0</v>
      </c>
      <c r="CO23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2" s="929">
        <f>IF(WWWW[[#This Row],[Location Type 1]]="Village",WWWW[[#This Row],[Access to safe drinking water for Village]],WWWW[[#This Row],[Access to safe drinking water for Camp]])</f>
        <v>1</v>
      </c>
      <c r="CR232" s="927">
        <f>WWWW[[#This Row],[%Equitable and continuous access to sufficient quantity of safe drinking water]]*WWWW[[#This Row],[Total PoP ]]</f>
        <v>239</v>
      </c>
      <c r="CS232" s="929">
        <f>IF((WWWW[[#This Row],['#_Constructed/Existing protected/fenced ponds]]*250)/WWWW[[#This Row],[Total PoP ]]&gt;1,1,(WWWW[[#This Row],['#_Constructed/Existing protected/fenced ponds]]*250)/WWWW[[#This Row],[Total PoP ]])</f>
        <v>0</v>
      </c>
      <c r="CT232" s="927">
        <f>WWWW[[#This Row],[% Access to unimproved water points]]*WWWW[[#This Row],[Total PoP ]]</f>
        <v>0</v>
      </c>
      <c r="CU23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232" s="927">
        <f>WWWW[[#This Row],[HRP1]]/500</f>
        <v>0.47799999999999998</v>
      </c>
      <c r="CX232" s="932">
        <f>1-WWWW[[#This Row],[% Equitable and continuous access to sufficient quantity of domestic water]]</f>
        <v>0</v>
      </c>
      <c r="CY232" s="927">
        <f>WWWW[[#This Row],[%equitable and continuous access to sufficient quantity of safe drinking and domestic water''s GAP]]*WWWW[[#This Row],[Total PoP ]]</f>
        <v>0</v>
      </c>
      <c r="CZ232" s="930">
        <f>IF(WWWW[[#This Row],[Total required water points]]-WWWW[[#This Row],['#Water points coverage]]&lt;0,0,WWWW[[#This Row],[Total required water points]]-WWWW[[#This Row],['#Water points coverage]])</f>
        <v>0.52200000000000002</v>
      </c>
      <c r="DA232" s="930">
        <f>ROUND(IF(WWWW[[#This Row],[Total PoP ]]&lt;500,1,WWWW[[#This Row],[Total PoP ]]/500),0)</f>
        <v>1</v>
      </c>
      <c r="DB232" s="930">
        <f>(WWWW[[#This Row],['#_Constructed latrines_by_WASHAgencies]]+WWWW[[#This Row],['#_Non Cluster partner latrines]])-WWWW[[#This Row],['#_Non-functional latrines]]</f>
        <v>13</v>
      </c>
      <c r="DC232" s="634">
        <f>WWWW[[#This Row],[HRP2]]/WWWW[[#This Row],[Total PoP ]]</f>
        <v>1</v>
      </c>
      <c r="DD23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239</v>
      </c>
      <c r="DE23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2" s="425">
        <f>IF(WWWW[[#This Row],['# of functional latrines in THF supported by WASH partners during the reporting period2]]="",0,WWWW[[#This Row],['# of functional latrines in THF supported by WASH partners during the reporting period2]]*50)</f>
        <v>0</v>
      </c>
      <c r="DH232" s="930">
        <f>ROUND(IF(WWWW[[#This Row],[Location Type 1]]="camp",WWWW[[#This Row],[Total PoP ]]/20,IF(WWWW[[#This Row],[Location Type 1]]="Temporary Location",WWWW[[#This Row],[Total PoP ]]/50,(WWWW[[#This Row],[Total PoP ]]/6))),0)</f>
        <v>12</v>
      </c>
      <c r="DI232" s="930">
        <f>IF(WWWW[[#This Row],[Total required Latrines]]-(WWWW[[#This Row],['#_Constructed latrines_by_WASHAgencies]]+WWWW[[#This Row],['#_Non Cluster partner latrines]])&lt;0,0,WWWW[[#This Row],[Total required Latrines]]-(WWWW[[#This Row],['#_Constructed latrines_by_WASHAgencies]]+WWWW[[#This Row],['#_Non Cluster partner latrines]]))</f>
        <v>0</v>
      </c>
      <c r="DJ232" s="932">
        <f>1-WWWW[[#This Row],[% people access to functioning Latrine]]</f>
        <v>0</v>
      </c>
      <c r="DK232" s="931">
        <f>IF(OR(WWWW[[#This Row],['#_Non-functional latrines]]="",WWWW[[#This Row],['#_Non-functional latrines]]=0),0,WWWW[[#This Row],['#_Non-functional latrines]]/(WWWW[[#This Row],['#_Constructed latrines_by_WASHAgencies]]+WWWW[[#This Row],['#_Non Cluster partner latrines]]))</f>
        <v>0</v>
      </c>
      <c r="DL232" s="927">
        <f>IF(500*(WWWW[[#This Row],['#_male hygiene promoters]]+WWWW[[#This Row],['#_female hygiene promoters]])&gt;WWWW[[#This Row],[Total PoP ]],WWWW[[#This Row],[Total PoP ]],500*(WWWW[[#This Row],['#_male hygiene promoters]]+WWWW[[#This Row],['#_female hygiene promoters]]))</f>
        <v>0</v>
      </c>
      <c r="DM23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2" s="930">
        <f>IF(WWWW[[#This Row],['# People with access to soap]]&gt;WWWW[[#This Row],['# People with access to Sanity Pads]],WWWW[[#This Row],['# People with access to soap]],WWWW[[#This Row],['# People with access to Sanity Pads]])</f>
        <v>0</v>
      </c>
      <c r="DP232"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2" s="932">
        <f>IF(WWWW[[#This Row],[HRP3]]/WWWW[[#This Row],[Total PoP ]]&gt;1,1,WWWW[[#This Row],[HRP3]]/WWWW[[#This Row],[Total PoP ]])</f>
        <v>0</v>
      </c>
      <c r="DR232" s="931">
        <f>1-WWWW[[#This Row],[Hygiene Coverage%]]</f>
        <v>1</v>
      </c>
      <c r="DS232" s="929">
        <f>WWWW[[#This Row],['# people reached by regular dedicated hygiene promotion_5]]/WWWW[[#This Row],[Total PoP ]]</f>
        <v>0</v>
      </c>
      <c r="DT23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2" s="930">
        <f>WWWW[[#This Row],['#_Constructed/Existing hand washing stations]]-WWWW[[#This Row],['#_Non-Functional_hand_washing_stations]]</f>
        <v>1</v>
      </c>
      <c r="DW232" s="927">
        <f>IF(WWWW[[#This Row],['# Functional hand washing stations during reporting period]]*20&gt;WWWW[[#This Row],[Total HH]],WWWW[[#This Row],[Total HH]],WWWW[[#This Row],['# Functional hand washing stations during reporting period]]*20)</f>
        <v>20</v>
      </c>
      <c r="DX232" s="927">
        <f>IF(WWWW[[#This Row],[Is sufficient soap available for TLS? (Yes/No)]]="yes",WWWW[[#This Row],['#_Constructed/Existing hand washing stations at TLS/CFS/THF]],0)</f>
        <v>0</v>
      </c>
      <c r="DY232" s="429">
        <f>IF(WWWW[[#This Row],['# Functional hand washing stations during reporting period]]*100&gt;WWWW[[#This Row],[Total PoP ]],WWWW[[#This Row],[Total PoP ]],WWWW[[#This Row],['# Functional hand washing stations during reporting period]]*100)</f>
        <v>100</v>
      </c>
      <c r="DZ232" s="429" t="str">
        <f>IF(OR(WWWW[[#This Row],['#_students at TLS_CFS]]="",WWWW[[#This Row],['#_students at TLS_CFS]]=0),"No","Yes")</f>
        <v>No</v>
      </c>
      <c r="EA23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2" s="923" t="str">
        <f>VLOOKUP(WWWW[[#This Row],[Site Name]],SiteDB6[[Site Name]:[CCCM Management]],6,FALSE)</f>
        <v>Yes</v>
      </c>
      <c r="EF232" s="923" t="str">
        <f>VLOOKUP(WWWW[[#This Row],[Site Name]],SiteDB6[[Site Name]:[CCCM Focal Agency]],7,FALSE)</f>
        <v>KBC-MYT</v>
      </c>
      <c r="EG232" s="923" t="str">
        <f>VLOOKUP(WWWW[[#This Row],[Site Name]],SiteDB6[[Site Name]:[Location Type 1]],9,FALSE)</f>
        <v>Camp</v>
      </c>
      <c r="EH232" s="923" t="str">
        <f>VLOOKUP(WWWW[[#This Row],[Site Name]],SiteDB6[[Site Name]:[Type of Accommodation]],10,FALSE)</f>
        <v>Camp</v>
      </c>
      <c r="EI232" s="923" t="str">
        <f>VLOOKUP(WWWW[[#This Row],[Site Name]],SiteDB6[[Site Name]:[Ethnic or GCA/NGCA]],11,FALSE)</f>
        <v>GCA</v>
      </c>
      <c r="EJ232" s="923">
        <f>VLOOKUP(WWWW[[#This Row],[Site Name]],SiteDB6[[Site Name]:[Lat]],12,FALSE)</f>
        <v>25.437125999999999</v>
      </c>
      <c r="EK232" s="923">
        <f>VLOOKUP(WWWW[[#This Row],[Site Name]],SiteDB6[[Site Name]:[Long]],13,FALSE)</f>
        <v>97.387276</v>
      </c>
      <c r="EL232" s="923" t="str">
        <f>VLOOKUP(WWWW[[#This Row],[Site Name]],SiteDB6[[Site Name]:[Pcode]],3,FALSE)</f>
        <v>MMR001CMP005</v>
      </c>
      <c r="EM232" s="928" t="str">
        <f t="shared" si="3"/>
        <v>Covered</v>
      </c>
      <c r="EN232" s="928"/>
      <c r="EO232" s="923">
        <f>VLOOKUP(WWWW[[#This Row],[Site Name]],SiteDB6[[Site Name]:[Pop
(Kachin/Shan-CCCM as of July 2021)]],16,FALSE)</f>
        <v>47</v>
      </c>
      <c r="EP232" s="923">
        <f>VLOOKUP(WWWW[[#This Row],[Site Name]],SiteDB6[[Site Name]:[Pop
(Kachin/Shan-CCCM as of July 2021)]],17,FALSE)</f>
        <v>239</v>
      </c>
    </row>
    <row r="233" spans="1:146">
      <c r="A233" s="921" t="s">
        <v>2786</v>
      </c>
      <c r="B233" s="921" t="s">
        <v>3106</v>
      </c>
      <c r="C233" s="922" t="s">
        <v>141</v>
      </c>
      <c r="D233" s="370" t="s">
        <v>3107</v>
      </c>
      <c r="E233" s="922" t="s">
        <v>37</v>
      </c>
      <c r="F233" s="922" t="s">
        <v>159</v>
      </c>
      <c r="G233" s="594" t="str">
        <f>VLOOKUP(WWWW[[#This Row],[Site Name]],SiteDB6[[Site Name]:[Location Type]],8,FALSE)</f>
        <v>Camp</v>
      </c>
      <c r="H233" s="922" t="s">
        <v>1615</v>
      </c>
      <c r="I233" s="924">
        <v>197</v>
      </c>
      <c r="J233" s="924">
        <v>975</v>
      </c>
      <c r="K233" s="830" t="s">
        <v>3108</v>
      </c>
      <c r="L233" s="56" t="s">
        <v>3104</v>
      </c>
      <c r="M233" s="924"/>
      <c r="N233" s="924">
        <v>3</v>
      </c>
      <c r="O233" s="924"/>
      <c r="P233" s="924"/>
      <c r="Q233" s="429" t="s">
        <v>41</v>
      </c>
      <c r="R233" s="924">
        <v>2</v>
      </c>
      <c r="S233" s="924">
        <v>3</v>
      </c>
      <c r="T233" s="449">
        <v>2</v>
      </c>
      <c r="U233" s="924"/>
      <c r="V233" s="924"/>
      <c r="W233" s="924">
        <v>3</v>
      </c>
      <c r="X233" s="924"/>
      <c r="Y233" s="924"/>
      <c r="Z233" s="924"/>
      <c r="AA233" s="924"/>
      <c r="AB233" s="924"/>
      <c r="AC233" s="924"/>
      <c r="AD233" s="924"/>
      <c r="AE233" s="924"/>
      <c r="AF233" s="924"/>
      <c r="AG233" s="924"/>
      <c r="AH233" s="924">
        <v>4</v>
      </c>
      <c r="AI233" s="924"/>
      <c r="AJ233" s="924"/>
      <c r="AK233" s="924"/>
      <c r="AL233" s="924"/>
      <c r="AM233" s="924"/>
      <c r="AN233" s="924"/>
      <c r="AO233" s="449"/>
      <c r="AP233" s="928"/>
      <c r="AQ233" s="924">
        <v>28</v>
      </c>
      <c r="AR233" s="924"/>
      <c r="AS233" s="929"/>
      <c r="AT233" s="924"/>
      <c r="AU233" s="924"/>
      <c r="AV233" s="924"/>
      <c r="AW233" s="924"/>
      <c r="AX233" s="924">
        <v>10</v>
      </c>
      <c r="AY233" s="923" t="s">
        <v>41</v>
      </c>
      <c r="AZ233" s="928" t="s">
        <v>137</v>
      </c>
      <c r="BA233" s="924"/>
      <c r="BB233" s="924"/>
      <c r="BC233" s="924"/>
      <c r="BD233" s="449"/>
      <c r="BE233" s="449"/>
      <c r="BF233" s="923"/>
      <c r="BG233" s="924">
        <v>3</v>
      </c>
      <c r="BH233" s="924"/>
      <c r="BI233" s="924"/>
      <c r="BJ233" s="924">
        <v>2</v>
      </c>
      <c r="BK233" s="924"/>
      <c r="BL233" s="924">
        <v>1</v>
      </c>
      <c r="BM233" s="924"/>
      <c r="BN233" s="449">
        <v>46</v>
      </c>
      <c r="BO233" s="449">
        <v>60</v>
      </c>
      <c r="BP233" s="923"/>
      <c r="BQ233" s="930"/>
      <c r="BR233" s="929"/>
      <c r="BS233" s="426" t="s">
        <v>3077</v>
      </c>
      <c r="BT233" s="424"/>
      <c r="BU233" s="424"/>
      <c r="BV233" s="426"/>
      <c r="BW233" s="424"/>
      <c r="BX233" s="449"/>
      <c r="BY233" s="449"/>
      <c r="BZ233" s="449"/>
      <c r="CA233" s="449"/>
      <c r="CB233" s="449"/>
      <c r="CC233" s="807"/>
      <c r="CD233" s="449"/>
      <c r="CE233" s="931" t="str">
        <f>IFERROR(WWWW[[#This Row],['#_Water sources passed]]/WWWW[[#This Row],['#_Water sources tested for fecal coliform ]],"no test")</f>
        <v>no test</v>
      </c>
      <c r="CF233" s="929" t="str">
        <f>IFERROR(WWWW[[#This Row],['#_Household passed]]/WWWW[[#This Row],['#_Household water samples tested for fecal coliform]],"no test")</f>
        <v>no test</v>
      </c>
      <c r="CG233" s="930" t="str">
        <f>IF(AND(WWWW[[#This Row],[% of water sources passed]]="no test",WWWW[[#This Row],[% Household passed]]="no test"),"No Test","Tested")</f>
        <v>No Test</v>
      </c>
      <c r="CH233" s="930">
        <f>WWWW[[#This Row],['#_Constructed/existing protected hand dug well]]-WWWW[[#This Row],['#_Non-functional protected hand dug well]]</f>
        <v>2</v>
      </c>
      <c r="CI233" s="930">
        <f>(WWWW[[#This Row],['#_Constructed/Existing tube wells/boreholes/handpumps_WASH_agency]]+WWWW[[#This Row],['#_Non-Cluster partner water tube-wells/boreholes/handpumps]])-WWWW[[#This Row],['#_Non-functional tube wells/boreholes/handpumps]]</f>
        <v>3</v>
      </c>
      <c r="CJ233" s="930">
        <f>WWWW[[#This Row],['#_Constructed/Existingwater storage tank with gravity fed reticulation system]]-WWWW[[#This Row],['#_Non-functional storage tank gravity fed reticulation system]]</f>
        <v>0</v>
      </c>
      <c r="CK233" s="930">
        <f>(WWWW[[#This Row],['#_Water_Liters_supplied_by_Water boating or water trucking]]/90)/15</f>
        <v>0</v>
      </c>
      <c r="CL233" s="930">
        <f>WWWW[[#This Row],['#_Water_Liters_from_Constructed/Existing water distribution system from river or natural spring]]/90/15</f>
        <v>0</v>
      </c>
      <c r="CM233" s="425">
        <f>IF(WWWW[[#This Row],['#_of water points in TLS/CFS]]*500&gt;WWWW[[#This Row],[Total PoP ]],WWWW[[#This Row],[Total PoP ]],WWWW[[#This Row],['#_of water points in TLS/CFS]]*500)</f>
        <v>0</v>
      </c>
      <c r="CN233" s="425">
        <f>IF(WWWW[[#This Row],['#_of water points in THF]]*500&gt;WWWW[[#This Row],[Total PoP ]],WWWW[[#This Row],[Total PoP ]],WWWW[[#This Row],['#_of water points in THF]]*500)</f>
        <v>0</v>
      </c>
      <c r="CO23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3" s="929">
        <f>IF(WWWW[[#This Row],[Location Type 1]]="Village",WWWW[[#This Row],[Access to safe drinking water for Village]],WWWW[[#This Row],[Access to safe drinking water for Camp]])</f>
        <v>1</v>
      </c>
      <c r="CR233" s="927">
        <f>WWWW[[#This Row],[%Equitable and continuous access to sufficient quantity of safe drinking water]]*WWWW[[#This Row],[Total PoP ]]</f>
        <v>975</v>
      </c>
      <c r="CS233" s="929">
        <f>IF((WWWW[[#This Row],['#_Constructed/Existing protected/fenced ponds]]*250)/WWWW[[#This Row],[Total PoP ]]&gt;1,1,(WWWW[[#This Row],['#_Constructed/Existing protected/fenced ponds]]*250)/WWWW[[#This Row],[Total PoP ]])</f>
        <v>0</v>
      </c>
      <c r="CT233" s="927">
        <f>WWWW[[#This Row],[% Access to unimproved water points]]*WWWW[[#This Row],[Total PoP ]]</f>
        <v>0</v>
      </c>
      <c r="CU23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975</v>
      </c>
      <c r="CW233" s="927">
        <f>WWWW[[#This Row],[HRP1]]/500</f>
        <v>1.95</v>
      </c>
      <c r="CX233" s="932">
        <f>1-WWWW[[#This Row],[% Equitable and continuous access to sufficient quantity of domestic water]]</f>
        <v>0</v>
      </c>
      <c r="CY233" s="927">
        <f>WWWW[[#This Row],[%equitable and continuous access to sufficient quantity of safe drinking and domestic water''s GAP]]*WWWW[[#This Row],[Total PoP ]]</f>
        <v>0</v>
      </c>
      <c r="CZ233" s="930">
        <f>IF(WWWW[[#This Row],[Total required water points]]-WWWW[[#This Row],['#Water points coverage]]&lt;0,0,WWWW[[#This Row],[Total required water points]]-WWWW[[#This Row],['#Water points coverage]])</f>
        <v>5.0000000000000044E-2</v>
      </c>
      <c r="DA233" s="930">
        <f>ROUND(IF(WWWW[[#This Row],[Total PoP ]]&lt;500,1,WWWW[[#This Row],[Total PoP ]]/500),0)</f>
        <v>2</v>
      </c>
      <c r="DB233" s="930">
        <f>(WWWW[[#This Row],['#_Constructed latrines_by_WASHAgencies]]+WWWW[[#This Row],['#_Non Cluster partner latrines]])-WWWW[[#This Row],['#_Non-functional latrines]]</f>
        <v>28</v>
      </c>
      <c r="DC233" s="634">
        <f>WWWW[[#This Row],[HRP2]]/WWWW[[#This Row],[Total PoP ]]</f>
        <v>0.57435897435897432</v>
      </c>
      <c r="DD23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560</v>
      </c>
      <c r="DE23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3" s="425">
        <f>IF(WWWW[[#This Row],['# of functional latrines in THF supported by WASH partners during the reporting period2]]="",0,WWWW[[#This Row],['# of functional latrines in THF supported by WASH partners during the reporting period2]]*50)</f>
        <v>0</v>
      </c>
      <c r="DH233" s="930">
        <f>ROUND(IF(WWWW[[#This Row],[Location Type 1]]="camp",WWWW[[#This Row],[Total PoP ]]/20,IF(WWWW[[#This Row],[Location Type 1]]="Temporary Location",WWWW[[#This Row],[Total PoP ]]/50,(WWWW[[#This Row],[Total PoP ]]/6))),0)</f>
        <v>49</v>
      </c>
      <c r="DI233" s="930">
        <f>IF(WWWW[[#This Row],[Total required Latrines]]-(WWWW[[#This Row],['#_Constructed latrines_by_WASHAgencies]]+WWWW[[#This Row],['#_Non Cluster partner latrines]])&lt;0,0,WWWW[[#This Row],[Total required Latrines]]-(WWWW[[#This Row],['#_Constructed latrines_by_WASHAgencies]]+WWWW[[#This Row],['#_Non Cluster partner latrines]]))</f>
        <v>21</v>
      </c>
      <c r="DJ233" s="932">
        <f>1-WWWW[[#This Row],[% people access to functioning Latrine]]</f>
        <v>0.42564102564102568</v>
      </c>
      <c r="DK233" s="931">
        <f>IF(OR(WWWW[[#This Row],['#_Non-functional latrines]]="",WWWW[[#This Row],['#_Non-functional latrines]]=0),0,WWWW[[#This Row],['#_Non-functional latrines]]/(WWWW[[#This Row],['#_Constructed latrines_by_WASHAgencies]]+WWWW[[#This Row],['#_Non Cluster partner latrines]]))</f>
        <v>0</v>
      </c>
      <c r="DL233" s="927">
        <f>IF(500*(WWWW[[#This Row],['#_male hygiene promoters]]+WWWW[[#This Row],['#_female hygiene promoters]])&gt;WWWW[[#This Row],[Total PoP ]],WWWW[[#This Row],[Total PoP ]],500*(WWWW[[#This Row],['#_male hygiene promoters]]+WWWW[[#This Row],['#_female hygiene promoters]]))</f>
        <v>500</v>
      </c>
      <c r="DM23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23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60</v>
      </c>
      <c r="DO233" s="930">
        <f>IF(WWWW[[#This Row],['# People with access to soap]]&gt;WWWW[[#This Row],['# People with access to Sanity Pads]],WWWW[[#This Row],['# People with access to soap]],WWWW[[#This Row],['# People with access to Sanity Pads]])</f>
        <v>230</v>
      </c>
      <c r="DP233"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33" s="932">
        <f>IF(WWWW[[#This Row],[HRP3]]/WWWW[[#This Row],[Total PoP ]]&gt;1,1,WWWW[[#This Row],[HRP3]]/WWWW[[#This Row],[Total PoP ]])</f>
        <v>0.51282051282051277</v>
      </c>
      <c r="DR233" s="931">
        <f>1-WWWW[[#This Row],[Hygiene Coverage%]]</f>
        <v>0.48717948717948723</v>
      </c>
      <c r="DS233" s="929">
        <f>WWWW[[#This Row],['# people reached by regular dedicated hygiene promotion_5]]/WWWW[[#This Row],[Total PoP ]]</f>
        <v>0.51282051282051277</v>
      </c>
      <c r="DT23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0.93401015228426398</v>
      </c>
      <c r="DU23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0.30456852791878175</v>
      </c>
      <c r="DV233" s="930">
        <f>WWWW[[#This Row],['#_Constructed/Existing hand washing stations]]-WWWW[[#This Row],['#_Non-Functional_hand_washing_stations]]</f>
        <v>3</v>
      </c>
      <c r="DW233" s="927">
        <f>IF(WWWW[[#This Row],['# Functional hand washing stations during reporting period]]*20&gt;WWWW[[#This Row],[Total HH]],WWWW[[#This Row],[Total HH]],WWWW[[#This Row],['# Functional hand washing stations during reporting period]]*20)</f>
        <v>60</v>
      </c>
      <c r="DX233" s="927">
        <f>IF(WWWW[[#This Row],[Is sufficient soap available for TLS? (Yes/No)]]="yes",WWWW[[#This Row],['#_Constructed/Existing hand washing stations at TLS/CFS/THF]],0)</f>
        <v>0</v>
      </c>
      <c r="DY233" s="429">
        <f>IF(WWWW[[#This Row],['# Functional hand washing stations during reporting period]]*100&gt;WWWW[[#This Row],[Total PoP ]],WWWW[[#This Row],[Total PoP ]],WWWW[[#This Row],['# Functional hand washing stations during reporting period]]*100)</f>
        <v>300</v>
      </c>
      <c r="DZ233" s="429" t="str">
        <f>IF(OR(WWWW[[#This Row],['#_students at TLS_CFS]]="",WWWW[[#This Row],['#_students at TLS_CFS]]=0),"No","Yes")</f>
        <v>No</v>
      </c>
      <c r="EA23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3" s="923" t="str">
        <f>VLOOKUP(WWWW[[#This Row],[Site Name]],SiteDB6[[Site Name]:[CCCM Management]],6,FALSE)</f>
        <v>Yes</v>
      </c>
      <c r="EF233" s="923" t="str">
        <f>VLOOKUP(WWWW[[#This Row],[Site Name]],SiteDB6[[Site Name]:[CCCM Focal Agency]],7,FALSE)</f>
        <v>KBC-MYT</v>
      </c>
      <c r="EG233" s="923" t="str">
        <f>VLOOKUP(WWWW[[#This Row],[Site Name]],SiteDB6[[Site Name]:[Location Type 1]],9,FALSE)</f>
        <v>Camp</v>
      </c>
      <c r="EH233" s="923" t="str">
        <f>VLOOKUP(WWWW[[#This Row],[Site Name]],SiteDB6[[Site Name]:[Type of Accommodation]],10,FALSE)</f>
        <v>Camp</v>
      </c>
      <c r="EI233" s="923" t="str">
        <f>VLOOKUP(WWWW[[#This Row],[Site Name]],SiteDB6[[Site Name]:[Ethnic or GCA/NGCA]],11,FALSE)</f>
        <v>GCA</v>
      </c>
      <c r="EJ233" s="923">
        <f>VLOOKUP(WWWW[[#This Row],[Site Name]],SiteDB6[[Site Name]:[Lat]],12,FALSE)</f>
        <v>25.480989999999998</v>
      </c>
      <c r="EK233" s="923">
        <f>VLOOKUP(WWWW[[#This Row],[Site Name]],SiteDB6[[Site Name]:[Long]],13,FALSE)</f>
        <v>97.431079999999994</v>
      </c>
      <c r="EL233" s="923" t="str">
        <f>VLOOKUP(WWWW[[#This Row],[Site Name]],SiteDB6[[Site Name]:[Pcode]],3,FALSE)</f>
        <v>MMR001CMP263</v>
      </c>
      <c r="EM233" s="928" t="str">
        <f t="shared" si="3"/>
        <v>Covered</v>
      </c>
      <c r="EN233" s="928"/>
      <c r="EO233" s="923">
        <f>VLOOKUP(WWWW[[#This Row],[Site Name]],SiteDB6[[Site Name]:[Pop
(Kachin/Shan-CCCM as of July 2021)]],16,FALSE)</f>
        <v>197</v>
      </c>
      <c r="EP233" s="923">
        <f>VLOOKUP(WWWW[[#This Row],[Site Name]],SiteDB6[[Site Name]:[Pop
(Kachin/Shan-CCCM as of July 2021)]],17,FALSE)</f>
        <v>981</v>
      </c>
    </row>
    <row r="234" spans="1:146">
      <c r="A234" s="921" t="s">
        <v>2786</v>
      </c>
      <c r="B234" s="921" t="s">
        <v>2831</v>
      </c>
      <c r="C234" s="922" t="s">
        <v>141</v>
      </c>
      <c r="D234" s="922" t="s">
        <v>299</v>
      </c>
      <c r="E234" s="922" t="s">
        <v>37</v>
      </c>
      <c r="F234" s="922" t="s">
        <v>214</v>
      </c>
      <c r="G234" s="594" t="str">
        <f>VLOOKUP(WWWW[[#This Row],[Site Name]],SiteDB6[[Site Name]:[Location Type]],8,FALSE)</f>
        <v>Camp</v>
      </c>
      <c r="H234" s="922" t="s">
        <v>1591</v>
      </c>
      <c r="I234" s="924">
        <v>386</v>
      </c>
      <c r="J234" s="924">
        <v>1397</v>
      </c>
      <c r="K234" s="591">
        <v>44501</v>
      </c>
      <c r="L234" s="592">
        <v>44865</v>
      </c>
      <c r="M234" s="924"/>
      <c r="N234" s="924"/>
      <c r="O234" s="924"/>
      <c r="P234" s="924"/>
      <c r="Q234" s="927"/>
      <c r="R234" s="924">
        <v>19</v>
      </c>
      <c r="S234" s="924">
        <v>55</v>
      </c>
      <c r="T234" s="449">
        <v>13</v>
      </c>
      <c r="U234" s="924"/>
      <c r="V234" s="924"/>
      <c r="W234" s="924">
        <v>1</v>
      </c>
      <c r="X234" s="924"/>
      <c r="Y234" s="924"/>
      <c r="Z234" s="924"/>
      <c r="AA234" s="924"/>
      <c r="AB234" s="924"/>
      <c r="AC234" s="924"/>
      <c r="AD234" s="924"/>
      <c r="AE234" s="924"/>
      <c r="AF234" s="924"/>
      <c r="AG234" s="924">
        <v>7</v>
      </c>
      <c r="AH234" s="924"/>
      <c r="AI234" s="924"/>
      <c r="AJ234" s="924"/>
      <c r="AK234" s="924"/>
      <c r="AL234" s="924"/>
      <c r="AM234" s="924"/>
      <c r="AN234" s="924"/>
      <c r="AO234" s="449"/>
      <c r="AP234" s="928"/>
      <c r="AQ234" s="924">
        <v>5</v>
      </c>
      <c r="AR234" s="924"/>
      <c r="AS234" s="929"/>
      <c r="AT234" s="924"/>
      <c r="AU234" s="924"/>
      <c r="AV234" s="924"/>
      <c r="AW234" s="924"/>
      <c r="AX234" s="924"/>
      <c r="AY234" s="923" t="s">
        <v>41</v>
      </c>
      <c r="AZ234" s="928" t="s">
        <v>140</v>
      </c>
      <c r="BA234" s="924"/>
      <c r="BB234" s="924"/>
      <c r="BC234" s="924">
        <v>50</v>
      </c>
      <c r="BD234" s="449"/>
      <c r="BE234" s="449"/>
      <c r="BF234" s="923"/>
      <c r="BG234" s="924">
        <v>1</v>
      </c>
      <c r="BH234" s="924"/>
      <c r="BI234" s="924"/>
      <c r="BJ234" s="924">
        <v>3</v>
      </c>
      <c r="BK234" s="924"/>
      <c r="BL234" s="924"/>
      <c r="BM234" s="924"/>
      <c r="BN234" s="924"/>
      <c r="BO234" s="924"/>
      <c r="BP234" s="923"/>
      <c r="BQ234" s="930"/>
      <c r="BR234" s="929"/>
      <c r="BS234" s="923"/>
      <c r="BT234" s="424"/>
      <c r="BU234" s="424"/>
      <c r="BV234" s="426"/>
      <c r="BW234" s="424"/>
      <c r="BX234" s="449"/>
      <c r="BY234" s="449"/>
      <c r="BZ234" s="449"/>
      <c r="CA234" s="449"/>
      <c r="CB234" s="449"/>
      <c r="CC234" s="807"/>
      <c r="CD234" s="449"/>
      <c r="CE234" s="931" t="str">
        <f>IFERROR(WWWW[[#This Row],['#_Water sources passed]]/WWWW[[#This Row],['#_Water sources tested for fecal coliform ]],"no test")</f>
        <v>no test</v>
      </c>
      <c r="CF234" s="929" t="str">
        <f>IFERROR(WWWW[[#This Row],['#_Household passed]]/WWWW[[#This Row],['#_Household water samples tested for fecal coliform]],"no test")</f>
        <v>no test</v>
      </c>
      <c r="CG234" s="930" t="str">
        <f>IF(AND(WWWW[[#This Row],[% of water sources passed]]="no test",WWWW[[#This Row],[% Household passed]]="no test"),"No Test","Tested")</f>
        <v>No Test</v>
      </c>
      <c r="CH234" s="930">
        <f>WWWW[[#This Row],['#_Constructed/existing protected hand dug well]]-WWWW[[#This Row],['#_Non-functional protected hand dug well]]</f>
        <v>13</v>
      </c>
      <c r="CI234" s="930">
        <f>(WWWW[[#This Row],['#_Constructed/Existing tube wells/boreholes/handpumps_WASH_agency]]+WWWW[[#This Row],['#_Non-Cluster partner water tube-wells/boreholes/handpumps]])-WWWW[[#This Row],['#_Non-functional tube wells/boreholes/handpumps]]</f>
        <v>1</v>
      </c>
      <c r="CJ234" s="930">
        <f>WWWW[[#This Row],['#_Constructed/Existingwater storage tank with gravity fed reticulation system]]-WWWW[[#This Row],['#_Non-functional storage tank gravity fed reticulation system]]</f>
        <v>0</v>
      </c>
      <c r="CK234" s="930">
        <f>(WWWW[[#This Row],['#_Water_Liters_supplied_by_Water boating or water trucking]]/90)/15</f>
        <v>0</v>
      </c>
      <c r="CL234" s="930">
        <f>WWWW[[#This Row],['#_Water_Liters_from_Constructed/Existing water distribution system from river or natural spring]]/90/15</f>
        <v>0</v>
      </c>
      <c r="CM234" s="425">
        <f>IF(WWWW[[#This Row],['#_of water points in TLS/CFS]]*500&gt;WWWW[[#This Row],[Total PoP ]],WWWW[[#This Row],[Total PoP ]],WWWW[[#This Row],['#_of water points in TLS/CFS]]*500)</f>
        <v>0</v>
      </c>
      <c r="CN234" s="425">
        <f>IF(WWWW[[#This Row],['#_of water points in THF]]*500&gt;WWWW[[#This Row],[Total PoP ]],WWWW[[#This Row],[Total PoP ]],WWWW[[#This Row],['#_of water points in THF]]*500)</f>
        <v>0</v>
      </c>
      <c r="CO23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4" s="929">
        <f>IF(WWWW[[#This Row],[Location Type 1]]="Village",WWWW[[#This Row],[Access to safe drinking water for Village]],WWWW[[#This Row],[Access to safe drinking water for Camp]])</f>
        <v>1</v>
      </c>
      <c r="CR234" s="927">
        <f>WWWW[[#This Row],[%Equitable and continuous access to sufficient quantity of safe drinking water]]*WWWW[[#This Row],[Total PoP ]]</f>
        <v>1397</v>
      </c>
      <c r="CS234" s="929">
        <f>IF((WWWW[[#This Row],['#_Constructed/Existing protected/fenced ponds]]*250)/WWWW[[#This Row],[Total PoP ]]&gt;1,1,(WWWW[[#This Row],['#_Constructed/Existing protected/fenced ponds]]*250)/WWWW[[#This Row],[Total PoP ]])</f>
        <v>0</v>
      </c>
      <c r="CT234" s="927">
        <f>WWWW[[#This Row],[% Access to unimproved water points]]*WWWW[[#This Row],[Total PoP ]]</f>
        <v>0</v>
      </c>
      <c r="CU23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W234" s="927">
        <f>WWWW[[#This Row],[HRP1]]/500</f>
        <v>2.794</v>
      </c>
      <c r="CX234" s="932">
        <f>1-WWWW[[#This Row],[% Equitable and continuous access to sufficient quantity of domestic water]]</f>
        <v>0</v>
      </c>
      <c r="CY234" s="927">
        <f>WWWW[[#This Row],[%equitable and continuous access to sufficient quantity of safe drinking and domestic water''s GAP]]*WWWW[[#This Row],[Total PoP ]]</f>
        <v>0</v>
      </c>
      <c r="CZ234" s="930">
        <f>IF(WWWW[[#This Row],[Total required water points]]-WWWW[[#This Row],['#Water points coverage]]&lt;0,0,WWWW[[#This Row],[Total required water points]]-WWWW[[#This Row],['#Water points coverage]])</f>
        <v>0.20599999999999996</v>
      </c>
      <c r="DA234" s="930">
        <f>ROUND(IF(WWWW[[#This Row],[Total PoP ]]&lt;500,1,WWWW[[#This Row],[Total PoP ]]/500),0)</f>
        <v>3</v>
      </c>
      <c r="DB234" s="930">
        <f>(WWWW[[#This Row],['#_Constructed latrines_by_WASHAgencies]]+WWWW[[#This Row],['#_Non Cluster partner latrines]])-WWWW[[#This Row],['#_Non-functional latrines]]</f>
        <v>5</v>
      </c>
      <c r="DC234" s="634">
        <f>WWWW[[#This Row],[HRP2]]/WWWW[[#This Row],[Total PoP ]]</f>
        <v>7.158196134574088E-2</v>
      </c>
      <c r="DD23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3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4" s="425">
        <f>IF(WWWW[[#This Row],['# of functional latrines in THF supported by WASH partners during the reporting period2]]="",0,WWWW[[#This Row],['# of functional latrines in THF supported by WASH partners during the reporting period2]]*50)</f>
        <v>0</v>
      </c>
      <c r="DH234" s="930">
        <f>ROUND(IF(WWWW[[#This Row],[Location Type 1]]="camp",WWWW[[#This Row],[Total PoP ]]/20,IF(WWWW[[#This Row],[Location Type 1]]="Temporary Location",WWWW[[#This Row],[Total PoP ]]/50,(WWWW[[#This Row],[Total PoP ]]/6))),0)</f>
        <v>70</v>
      </c>
      <c r="DI234" s="930">
        <f>IF(WWWW[[#This Row],[Total required Latrines]]-(WWWW[[#This Row],['#_Constructed latrines_by_WASHAgencies]]+WWWW[[#This Row],['#_Non Cluster partner latrines]])&lt;0,0,WWWW[[#This Row],[Total required Latrines]]-(WWWW[[#This Row],['#_Constructed latrines_by_WASHAgencies]]+WWWW[[#This Row],['#_Non Cluster partner latrines]]))</f>
        <v>65</v>
      </c>
      <c r="DJ234" s="932">
        <f>1-WWWW[[#This Row],[% people access to functioning Latrine]]</f>
        <v>0.92841803865425909</v>
      </c>
      <c r="DK234" s="931">
        <f>IF(OR(WWWW[[#This Row],['#_Non-functional latrines]]="",WWWW[[#This Row],['#_Non-functional latrines]]=0),0,WWWW[[#This Row],['#_Non-functional latrines]]/(WWWW[[#This Row],['#_Constructed latrines_by_WASHAgencies]]+WWWW[[#This Row],['#_Non Cluster partner latrines]]))</f>
        <v>0</v>
      </c>
      <c r="DL234" s="927">
        <f>IF(500*(WWWW[[#This Row],['#_male hygiene promoters]]+WWWW[[#This Row],['#_female hygiene promoters]])&gt;WWWW[[#This Row],[Total PoP ]],WWWW[[#This Row],[Total PoP ]],500*(WWWW[[#This Row],['#_male hygiene promoters]]+WWWW[[#This Row],['#_female hygiene promoters]]))</f>
        <v>0</v>
      </c>
      <c r="DM23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4" s="930">
        <f>IF(WWWW[[#This Row],['# People with access to soap]]&gt;WWWW[[#This Row],['# People with access to Sanity Pads]],WWWW[[#This Row],['# People with access to soap]],WWWW[[#This Row],['# People with access to Sanity Pads]])</f>
        <v>0</v>
      </c>
      <c r="DP23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4" s="932">
        <f>IF(WWWW[[#This Row],[HRP3]]/WWWW[[#This Row],[Total PoP ]]&gt;1,1,WWWW[[#This Row],[HRP3]]/WWWW[[#This Row],[Total PoP ]])</f>
        <v>0</v>
      </c>
      <c r="DR234" s="931">
        <f>1-WWWW[[#This Row],[Hygiene Coverage%]]</f>
        <v>1</v>
      </c>
      <c r="DS234" s="929">
        <f>WWWW[[#This Row],['# people reached by regular dedicated hygiene promotion_5]]/WWWW[[#This Row],[Total PoP ]]</f>
        <v>0</v>
      </c>
      <c r="DT23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4" s="930">
        <f>WWWW[[#This Row],['#_Constructed/Existing hand washing stations]]-WWWW[[#This Row],['#_Non-Functional_hand_washing_stations]]</f>
        <v>1</v>
      </c>
      <c r="DW234" s="927">
        <f>IF(WWWW[[#This Row],['# Functional hand washing stations during reporting period]]*20&gt;WWWW[[#This Row],[Total HH]],WWWW[[#This Row],[Total HH]],WWWW[[#This Row],['# Functional hand washing stations during reporting period]]*20)</f>
        <v>20</v>
      </c>
      <c r="DX234" s="927">
        <f>IF(WWWW[[#This Row],[Is sufficient soap available for TLS? (Yes/No)]]="yes",WWWW[[#This Row],['#_Constructed/Existing hand washing stations at TLS/CFS/THF]],0)</f>
        <v>0</v>
      </c>
      <c r="DY234" s="429">
        <f>IF(WWWW[[#This Row],['# Functional hand washing stations during reporting period]]*100&gt;WWWW[[#This Row],[Total PoP ]],WWWW[[#This Row],[Total PoP ]],WWWW[[#This Row],['# Functional hand washing stations during reporting period]]*100)</f>
        <v>100</v>
      </c>
      <c r="DZ234" s="429" t="str">
        <f>IF(OR(WWWW[[#This Row],['#_students at TLS_CFS]]="",WWWW[[#This Row],['#_students at TLS_CFS]]=0),"No","Yes")</f>
        <v>No</v>
      </c>
      <c r="EA23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4" s="923">
        <f>VLOOKUP(WWWW[[#This Row],[Site Name]],SiteDB6[[Site Name]:[CCCM Management]],6,FALSE)</f>
        <v>0</v>
      </c>
      <c r="EF234" s="923" t="str">
        <f>VLOOKUP(WWWW[[#This Row],[Site Name]],SiteDB6[[Site Name]:[CCCM Focal Agency]],7,FALSE)</f>
        <v>uncovered</v>
      </c>
      <c r="EG234" s="923" t="str">
        <f>VLOOKUP(WWWW[[#This Row],[Site Name]],SiteDB6[[Site Name]:[Location Type 1]],9,FALSE)</f>
        <v>Camp</v>
      </c>
      <c r="EH234" s="923" t="str">
        <f>VLOOKUP(WWWW[[#This Row],[Site Name]],SiteDB6[[Site Name]:[Type of Accommodation]],10,FALSE)</f>
        <v>Camp like setting</v>
      </c>
      <c r="EI234" s="923" t="str">
        <f>VLOOKUP(WWWW[[#This Row],[Site Name]],SiteDB6[[Site Name]:[Ethnic or GCA/NGCA]],11,FALSE)</f>
        <v>NGCA</v>
      </c>
      <c r="EJ234" s="923">
        <f>VLOOKUP(WWWW[[#This Row],[Site Name]],SiteDB6[[Site Name]:[Lat]],12,FALSE)</f>
        <v>24.590350000000001</v>
      </c>
      <c r="EK234" s="923">
        <f>VLOOKUP(WWWW[[#This Row],[Site Name]],SiteDB6[[Site Name]:[Long]],13,FALSE)</f>
        <v>96.95626</v>
      </c>
      <c r="EL234" s="923" t="str">
        <f>VLOOKUP(WWWW[[#This Row],[Site Name]],SiteDB6[[Site Name]:[Pcode]],3,FALSE)</f>
        <v>MMR001CMP273</v>
      </c>
      <c r="EM234" s="928" t="str">
        <f t="shared" si="3"/>
        <v>Covered</v>
      </c>
      <c r="EN234" s="928"/>
      <c r="EO234" s="923">
        <f>VLOOKUP(WWWW[[#This Row],[Site Name]],SiteDB6[[Site Name]:[Pop
(Kachin/Shan-CCCM as of July 2021)]],16,FALSE)</f>
        <v>318</v>
      </c>
      <c r="EP234" s="923">
        <f>VLOOKUP(WWWW[[#This Row],[Site Name]],SiteDB6[[Site Name]:[Pop
(Kachin/Shan-CCCM as of July 2021)]],17,FALSE)</f>
        <v>1329</v>
      </c>
    </row>
    <row r="235" spans="1:146">
      <c r="A235" s="921" t="s">
        <v>2786</v>
      </c>
      <c r="B235" s="921" t="s">
        <v>2082</v>
      </c>
      <c r="C235" s="922" t="s">
        <v>141</v>
      </c>
      <c r="D235" s="922" t="s">
        <v>299</v>
      </c>
      <c r="E235" s="922" t="s">
        <v>37</v>
      </c>
      <c r="F235" s="922" t="s">
        <v>184</v>
      </c>
      <c r="G235" s="594" t="str">
        <f>VLOOKUP(WWWW[[#This Row],[Site Name]],SiteDB6[[Site Name]:[Location Type]],8,FALSE)</f>
        <v>Camp</v>
      </c>
      <c r="H235" s="922" t="s">
        <v>185</v>
      </c>
      <c r="I235" s="924">
        <v>72</v>
      </c>
      <c r="J235" s="924">
        <v>323</v>
      </c>
      <c r="K235" s="925">
        <v>44682</v>
      </c>
      <c r="L235" s="926">
        <v>44865</v>
      </c>
      <c r="M235" s="924"/>
      <c r="N235" s="924">
        <v>1</v>
      </c>
      <c r="O235" s="924"/>
      <c r="P235" s="924"/>
      <c r="Q235" s="927" t="s">
        <v>41</v>
      </c>
      <c r="R235" s="924">
        <v>3</v>
      </c>
      <c r="S235" s="924">
        <v>1</v>
      </c>
      <c r="T235" s="449">
        <v>27</v>
      </c>
      <c r="U235" s="924">
        <v>15</v>
      </c>
      <c r="V235" s="924"/>
      <c r="W235" s="924">
        <v>0</v>
      </c>
      <c r="X235" s="924"/>
      <c r="Y235" s="924"/>
      <c r="Z235" s="924"/>
      <c r="AA235" s="924"/>
      <c r="AB235" s="924"/>
      <c r="AC235" s="924"/>
      <c r="AD235" s="924"/>
      <c r="AE235" s="924"/>
      <c r="AF235" s="924"/>
      <c r="AG235" s="924"/>
      <c r="AH235" s="924"/>
      <c r="AI235" s="924"/>
      <c r="AJ235" s="924"/>
      <c r="AK235" s="924"/>
      <c r="AL235" s="924"/>
      <c r="AM235" s="924"/>
      <c r="AN235" s="924"/>
      <c r="AO235" s="449"/>
      <c r="AP235" s="928"/>
      <c r="AQ235" s="449">
        <v>65</v>
      </c>
      <c r="AR235" s="449">
        <v>15</v>
      </c>
      <c r="AS235" s="929"/>
      <c r="AT235" s="924"/>
      <c r="AU235" s="924"/>
      <c r="AV235" s="924"/>
      <c r="AW235" s="924"/>
      <c r="AX235" s="924"/>
      <c r="AY235" s="923" t="s">
        <v>41</v>
      </c>
      <c r="AZ235" s="928" t="s">
        <v>137</v>
      </c>
      <c r="BA235" s="924"/>
      <c r="BB235" s="924">
        <v>2</v>
      </c>
      <c r="BC235" s="924"/>
      <c r="BD235" s="449"/>
      <c r="BE235" s="449"/>
      <c r="BF235" s="923"/>
      <c r="BG235" s="924">
        <v>3</v>
      </c>
      <c r="BH235" s="924"/>
      <c r="BI235" s="924"/>
      <c r="BJ235" s="924">
        <v>2</v>
      </c>
      <c r="BK235" s="924"/>
      <c r="BL235" s="924">
        <v>1</v>
      </c>
      <c r="BM235" s="924"/>
      <c r="BN235" s="924"/>
      <c r="BO235" s="924"/>
      <c r="BP235" s="923"/>
      <c r="BQ235" s="930"/>
      <c r="BR235" s="929"/>
      <c r="BS235" s="923"/>
      <c r="BT235" s="424"/>
      <c r="BU235" s="424"/>
      <c r="BV235" s="426"/>
      <c r="BW235" s="424"/>
      <c r="BX235" s="449"/>
      <c r="BY235" s="449"/>
      <c r="BZ235" s="449"/>
      <c r="CA235" s="449"/>
      <c r="CB235" s="449"/>
      <c r="CC235" s="807"/>
      <c r="CD235" s="449"/>
      <c r="CE235" s="931" t="str">
        <f>IFERROR(WWWW[[#This Row],['#_Water sources passed]]/WWWW[[#This Row],['#_Water sources tested for fecal coliform ]],"no test")</f>
        <v>no test</v>
      </c>
      <c r="CF235" s="929" t="str">
        <f>IFERROR(WWWW[[#This Row],['#_Household passed]]/WWWW[[#This Row],['#_Household water samples tested for fecal coliform]],"no test")</f>
        <v>no test</v>
      </c>
      <c r="CG235" s="930" t="str">
        <f>IF(AND(WWWW[[#This Row],[% of water sources passed]]="no test",WWWW[[#This Row],[% Household passed]]="no test"),"No Test","Tested")</f>
        <v>No Test</v>
      </c>
      <c r="CH235" s="930">
        <f>WWWW[[#This Row],['#_Constructed/existing protected hand dug well]]-WWWW[[#This Row],['#_Non-functional protected hand dug well]]</f>
        <v>12</v>
      </c>
      <c r="CI235" s="930">
        <f>(WWWW[[#This Row],['#_Constructed/Existing tube wells/boreholes/handpumps_WASH_agency]]+WWWW[[#This Row],['#_Non-Cluster partner water tube-wells/boreholes/handpumps]])-WWWW[[#This Row],['#_Non-functional tube wells/boreholes/handpumps]]</f>
        <v>0</v>
      </c>
      <c r="CJ235" s="930">
        <f>WWWW[[#This Row],['#_Constructed/Existingwater storage tank with gravity fed reticulation system]]-WWWW[[#This Row],['#_Non-functional storage tank gravity fed reticulation system]]</f>
        <v>0</v>
      </c>
      <c r="CK235" s="930">
        <f>(WWWW[[#This Row],['#_Water_Liters_supplied_by_Water boating or water trucking]]/90)/15</f>
        <v>0</v>
      </c>
      <c r="CL235" s="930">
        <f>WWWW[[#This Row],['#_Water_Liters_from_Constructed/Existing water distribution system from river or natural spring]]/90/15</f>
        <v>0</v>
      </c>
      <c r="CM235" s="425">
        <f>IF(WWWW[[#This Row],['#_of water points in TLS/CFS]]*500&gt;WWWW[[#This Row],[Total PoP ]],WWWW[[#This Row],[Total PoP ]],WWWW[[#This Row],['#_of water points in TLS/CFS]]*500)</f>
        <v>0</v>
      </c>
      <c r="CN235" s="425">
        <f>IF(WWWW[[#This Row],['#_of water points in THF]]*500&gt;WWWW[[#This Row],[Total PoP ]],WWWW[[#This Row],[Total PoP ]],WWWW[[#This Row],['#_of water points in THF]]*500)</f>
        <v>0</v>
      </c>
      <c r="CO23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5" s="929">
        <f>IF(WWWW[[#This Row],[Location Type 1]]="Village",WWWW[[#This Row],[Access to safe drinking water for Village]],WWWW[[#This Row],[Access to safe drinking water for Camp]])</f>
        <v>1</v>
      </c>
      <c r="CR235" s="927">
        <f>WWWW[[#This Row],[%Equitable and continuous access to sufficient quantity of safe drinking water]]*WWWW[[#This Row],[Total PoP ]]</f>
        <v>323</v>
      </c>
      <c r="CS235" s="929">
        <f>IF((WWWW[[#This Row],['#_Constructed/Existing protected/fenced ponds]]*250)/WWWW[[#This Row],[Total PoP ]]&gt;1,1,(WWWW[[#This Row],['#_Constructed/Existing protected/fenced ponds]]*250)/WWWW[[#This Row],[Total PoP ]])</f>
        <v>0</v>
      </c>
      <c r="CT235" s="927">
        <f>WWWW[[#This Row],[% Access to unimproved water points]]*WWWW[[#This Row],[Total PoP ]]</f>
        <v>0</v>
      </c>
      <c r="CU23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235" s="927">
        <f>WWWW[[#This Row],[HRP1]]/500</f>
        <v>0.64600000000000002</v>
      </c>
      <c r="CX235" s="932">
        <f>1-WWWW[[#This Row],[% Equitable and continuous access to sufficient quantity of domestic water]]</f>
        <v>0</v>
      </c>
      <c r="CY235" s="927">
        <f>WWWW[[#This Row],[%equitable and continuous access to sufficient quantity of safe drinking and domestic water''s GAP]]*WWWW[[#This Row],[Total PoP ]]</f>
        <v>0</v>
      </c>
      <c r="CZ235" s="930">
        <f>IF(WWWW[[#This Row],[Total required water points]]-WWWW[[#This Row],['#Water points coverage]]&lt;0,0,WWWW[[#This Row],[Total required water points]]-WWWW[[#This Row],['#Water points coverage]])</f>
        <v>0.35399999999999998</v>
      </c>
      <c r="DA235" s="930">
        <f>ROUND(IF(WWWW[[#This Row],[Total PoP ]]&lt;500,1,WWWW[[#This Row],[Total PoP ]]/500),0)</f>
        <v>1</v>
      </c>
      <c r="DB235" s="930">
        <f>(WWWW[[#This Row],['#_Constructed latrines_by_WASHAgencies]]+WWWW[[#This Row],['#_Non Cluster partner latrines]])-WWWW[[#This Row],['#_Non-functional latrines]]</f>
        <v>80</v>
      </c>
      <c r="DC235" s="634">
        <f>WWWW[[#This Row],[HRP2]]/WWWW[[#This Row],[Total PoP ]]</f>
        <v>1</v>
      </c>
      <c r="DD23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323</v>
      </c>
      <c r="DE23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5" s="425">
        <f>IF(WWWW[[#This Row],['# of functional latrines in THF supported by WASH partners during the reporting period2]]="",0,WWWW[[#This Row],['# of functional latrines in THF supported by WASH partners during the reporting period2]]*50)</f>
        <v>0</v>
      </c>
      <c r="DH235" s="930">
        <f>ROUND(IF(WWWW[[#This Row],[Location Type 1]]="camp",WWWW[[#This Row],[Total PoP ]]/20,IF(WWWW[[#This Row],[Location Type 1]]="Temporary Location",WWWW[[#This Row],[Total PoP ]]/50,(WWWW[[#This Row],[Total PoP ]]/6))),0)</f>
        <v>16</v>
      </c>
      <c r="DI235" s="930">
        <f>IF(WWWW[[#This Row],[Total required Latrines]]-(WWWW[[#This Row],['#_Constructed latrines_by_WASHAgencies]]+WWWW[[#This Row],['#_Non Cluster partner latrines]])&lt;0,0,WWWW[[#This Row],[Total required Latrines]]-(WWWW[[#This Row],['#_Constructed latrines_by_WASHAgencies]]+WWWW[[#This Row],['#_Non Cluster partner latrines]]))</f>
        <v>0</v>
      </c>
      <c r="DJ235" s="932">
        <f>1-WWWW[[#This Row],[% people access to functioning Latrine]]</f>
        <v>0</v>
      </c>
      <c r="DK235" s="931">
        <f>IF(OR(WWWW[[#This Row],['#_Non-functional latrines]]="",WWWW[[#This Row],['#_Non-functional latrines]]=0),0,WWWW[[#This Row],['#_Non-functional latrines]]/(WWWW[[#This Row],['#_Constructed latrines_by_WASHAgencies]]+WWWW[[#This Row],['#_Non Cluster partner latrines]]))</f>
        <v>0</v>
      </c>
      <c r="DL235" s="927">
        <f>IF(500*(WWWW[[#This Row],['#_male hygiene promoters]]+WWWW[[#This Row],['#_female hygiene promoters]])&gt;WWWW[[#This Row],[Total PoP ]],WWWW[[#This Row],[Total PoP ]],500*(WWWW[[#This Row],['#_male hygiene promoters]]+WWWW[[#This Row],['#_female hygiene promoters]]))</f>
        <v>323</v>
      </c>
      <c r="DM23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5" s="930">
        <f>IF(WWWW[[#This Row],['# People with access to soap]]&gt;WWWW[[#This Row],['# People with access to Sanity Pads]],WWWW[[#This Row],['# People with access to soap]],WWWW[[#This Row],['# People with access to Sanity Pads]])</f>
        <v>0</v>
      </c>
      <c r="DP235" s="930">
        <f>IF(WWWW[[#This Row],['# people reached by regular dedicated hygiene promotion_5]]&gt;WWWW[[#This Row],['# People received regular supply of hygiene items_6]],WWWW[[#This Row],['# people reached by regular dedicated hygiene promotion_5]],WWWW[[#This Row],['# People received regular supply of hygiene items_6]])</f>
        <v>323</v>
      </c>
      <c r="DQ235" s="932">
        <f>IF(WWWW[[#This Row],[HRP3]]/WWWW[[#This Row],[Total PoP ]]&gt;1,1,WWWW[[#This Row],[HRP3]]/WWWW[[#This Row],[Total PoP ]])</f>
        <v>1</v>
      </c>
      <c r="DR235" s="931">
        <f>1-WWWW[[#This Row],[Hygiene Coverage%]]</f>
        <v>0</v>
      </c>
      <c r="DS235" s="929">
        <f>WWWW[[#This Row],['# people reached by regular dedicated hygiene promotion_5]]/WWWW[[#This Row],[Total PoP ]]</f>
        <v>1</v>
      </c>
      <c r="DT23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5" s="930">
        <f>WWWW[[#This Row],['#_Constructed/Existing hand washing stations]]-WWWW[[#This Row],['#_Non-Functional_hand_washing_stations]]</f>
        <v>3</v>
      </c>
      <c r="DW235" s="927">
        <f>IF(WWWW[[#This Row],['# Functional hand washing stations during reporting period]]*20&gt;WWWW[[#This Row],[Total HH]],WWWW[[#This Row],[Total HH]],WWWW[[#This Row],['# Functional hand washing stations during reporting period]]*20)</f>
        <v>60</v>
      </c>
      <c r="DX235" s="927">
        <f>IF(WWWW[[#This Row],[Is sufficient soap available for TLS? (Yes/No)]]="yes",WWWW[[#This Row],['#_Constructed/Existing hand washing stations at TLS/CFS/THF]],0)</f>
        <v>0</v>
      </c>
      <c r="DY235" s="429">
        <f>IF(WWWW[[#This Row],['# Functional hand washing stations during reporting period]]*100&gt;WWWW[[#This Row],[Total PoP ]],WWWW[[#This Row],[Total PoP ]],WWWW[[#This Row],['# Functional hand washing stations during reporting period]]*100)</f>
        <v>300</v>
      </c>
      <c r="DZ235" s="429" t="str">
        <f>IF(OR(WWWW[[#This Row],['#_students at TLS_CFS]]="",WWWW[[#This Row],['#_students at TLS_CFS]]=0),"No","Yes")</f>
        <v>No</v>
      </c>
      <c r="EA23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5" s="923" t="str">
        <f>VLOOKUP(WWWW[[#This Row],[Site Name]],SiteDB6[[Site Name]:[CCCM Management]],6,FALSE)</f>
        <v>Yes</v>
      </c>
      <c r="EF235" s="923" t="str">
        <f>VLOOKUP(WWWW[[#This Row],[Site Name]],SiteDB6[[Site Name]:[CCCM Focal Agency]],7,FALSE)</f>
        <v>KBC-MYT</v>
      </c>
      <c r="EG235" s="923" t="str">
        <f>VLOOKUP(WWWW[[#This Row],[Site Name]],SiteDB6[[Site Name]:[Location Type 1]],9,FALSE)</f>
        <v>Camp</v>
      </c>
      <c r="EH235" s="923" t="str">
        <f>VLOOKUP(WWWW[[#This Row],[Site Name]],SiteDB6[[Site Name]:[Type of Accommodation]],10,FALSE)</f>
        <v>Camp</v>
      </c>
      <c r="EI235" s="923" t="str">
        <f>VLOOKUP(WWWW[[#This Row],[Site Name]],SiteDB6[[Site Name]:[Ethnic or GCA/NGCA]],11,FALSE)</f>
        <v>NGCA</v>
      </c>
      <c r="EJ235" s="923">
        <f>VLOOKUP(WWWW[[#This Row],[Site Name]],SiteDB6[[Site Name]:[Lat]],12,FALSE)</f>
        <v>26.569633</v>
      </c>
      <c r="EK235" s="923">
        <f>VLOOKUP(WWWW[[#This Row],[Site Name]],SiteDB6[[Site Name]:[Long]],13,FALSE)</f>
        <v>97.745480999999998</v>
      </c>
      <c r="EL235" s="923" t="str">
        <f>VLOOKUP(WWWW[[#This Row],[Site Name]],SiteDB6[[Site Name]:[Pcode]],3,FALSE)</f>
        <v>MMR001CMP238</v>
      </c>
      <c r="EM235" s="928" t="str">
        <f t="shared" si="3"/>
        <v>Covered</v>
      </c>
      <c r="EN235" s="928"/>
      <c r="EO235" s="923">
        <f>VLOOKUP(WWWW[[#This Row],[Site Name]],SiteDB6[[Site Name]:[Pop
(Kachin/Shan-CCCM as of July 2021)]],16,FALSE)</f>
        <v>123</v>
      </c>
      <c r="EP235" s="923">
        <f>VLOOKUP(WWWW[[#This Row],[Site Name]],SiteDB6[[Site Name]:[Pop
(Kachin/Shan-CCCM as of July 2021)]],17,FALSE)</f>
        <v>646</v>
      </c>
    </row>
    <row r="236" spans="1:146">
      <c r="A236" s="921" t="s">
        <v>2786</v>
      </c>
      <c r="B236" s="921" t="s">
        <v>2082</v>
      </c>
      <c r="C236" s="922" t="s">
        <v>141</v>
      </c>
      <c r="D236" s="922" t="s">
        <v>299</v>
      </c>
      <c r="E236" s="922" t="s">
        <v>37</v>
      </c>
      <c r="F236" s="922" t="s">
        <v>184</v>
      </c>
      <c r="G236" s="594" t="str">
        <f>VLOOKUP(WWWW[[#This Row],[Site Name]],SiteDB6[[Site Name]:[Location Type]],8,FALSE)</f>
        <v>Camp</v>
      </c>
      <c r="H236" s="922" t="s">
        <v>187</v>
      </c>
      <c r="I236" s="924">
        <v>68</v>
      </c>
      <c r="J236" s="924">
        <v>353</v>
      </c>
      <c r="K236" s="925">
        <v>44682</v>
      </c>
      <c r="L236" s="926">
        <v>44865</v>
      </c>
      <c r="M236" s="924"/>
      <c r="N236" s="924">
        <v>1</v>
      </c>
      <c r="O236" s="924"/>
      <c r="P236" s="924"/>
      <c r="Q236" s="927" t="s">
        <v>41</v>
      </c>
      <c r="R236" s="924">
        <v>3</v>
      </c>
      <c r="S236" s="924">
        <v>2</v>
      </c>
      <c r="T236" s="449">
        <v>16</v>
      </c>
      <c r="U236" s="924">
        <v>5</v>
      </c>
      <c r="V236" s="924"/>
      <c r="W236" s="924">
        <v>0</v>
      </c>
      <c r="X236" s="924"/>
      <c r="Y236" s="924"/>
      <c r="Z236" s="924"/>
      <c r="AA236" s="924"/>
      <c r="AB236" s="924"/>
      <c r="AC236" s="924"/>
      <c r="AD236" s="924"/>
      <c r="AE236" s="924"/>
      <c r="AF236" s="924"/>
      <c r="AG236" s="924"/>
      <c r="AH236" s="924"/>
      <c r="AI236" s="924"/>
      <c r="AJ236" s="924"/>
      <c r="AK236" s="924"/>
      <c r="AL236" s="924"/>
      <c r="AM236" s="924"/>
      <c r="AN236" s="924"/>
      <c r="AO236" s="449"/>
      <c r="AP236" s="928"/>
      <c r="AQ236" s="449">
        <v>73</v>
      </c>
      <c r="AR236" s="449">
        <v>23</v>
      </c>
      <c r="AS236" s="929"/>
      <c r="AT236" s="924"/>
      <c r="AU236" s="924"/>
      <c r="AV236" s="924"/>
      <c r="AW236" s="924"/>
      <c r="AX236" s="924"/>
      <c r="AY236" s="923" t="s">
        <v>41</v>
      </c>
      <c r="AZ236" s="928" t="s">
        <v>137</v>
      </c>
      <c r="BA236" s="924"/>
      <c r="BB236" s="924">
        <v>24</v>
      </c>
      <c r="BC236" s="924">
        <v>5</v>
      </c>
      <c r="BD236" s="449">
        <v>5</v>
      </c>
      <c r="BE236" s="449"/>
      <c r="BF236" s="923"/>
      <c r="BG236" s="924">
        <v>1</v>
      </c>
      <c r="BH236" s="924"/>
      <c r="BI236" s="924"/>
      <c r="BJ236" s="924">
        <v>1</v>
      </c>
      <c r="BK236" s="924"/>
      <c r="BL236" s="924"/>
      <c r="BM236" s="924"/>
      <c r="BN236" s="924"/>
      <c r="BO236" s="924"/>
      <c r="BP236" s="923"/>
      <c r="BQ236" s="930"/>
      <c r="BR236" s="929"/>
      <c r="BS236" s="923"/>
      <c r="BT236" s="424"/>
      <c r="BU236" s="424"/>
      <c r="BV236" s="426"/>
      <c r="BW236" s="424"/>
      <c r="BX236" s="449"/>
      <c r="BY236" s="449"/>
      <c r="BZ236" s="449"/>
      <c r="CA236" s="449"/>
      <c r="CB236" s="449"/>
      <c r="CC236" s="807"/>
      <c r="CD236" s="449"/>
      <c r="CE236" s="931" t="str">
        <f>IFERROR(WWWW[[#This Row],['#_Water sources passed]]/WWWW[[#This Row],['#_Water sources tested for fecal coliform ]],"no test")</f>
        <v>no test</v>
      </c>
      <c r="CF236" s="929" t="str">
        <f>IFERROR(WWWW[[#This Row],['#_Household passed]]/WWWW[[#This Row],['#_Household water samples tested for fecal coliform]],"no test")</f>
        <v>no test</v>
      </c>
      <c r="CG236" s="930" t="str">
        <f>IF(AND(WWWW[[#This Row],[% of water sources passed]]="no test",WWWW[[#This Row],[% Household passed]]="no test"),"No Test","Tested")</f>
        <v>No Test</v>
      </c>
      <c r="CH236" s="930">
        <f>WWWW[[#This Row],['#_Constructed/existing protected hand dug well]]-WWWW[[#This Row],['#_Non-functional protected hand dug well]]</f>
        <v>11</v>
      </c>
      <c r="CI236" s="930">
        <f>(WWWW[[#This Row],['#_Constructed/Existing tube wells/boreholes/handpumps_WASH_agency]]+WWWW[[#This Row],['#_Non-Cluster partner water tube-wells/boreholes/handpumps]])-WWWW[[#This Row],['#_Non-functional tube wells/boreholes/handpumps]]</f>
        <v>0</v>
      </c>
      <c r="CJ236" s="930">
        <f>WWWW[[#This Row],['#_Constructed/Existingwater storage tank with gravity fed reticulation system]]-WWWW[[#This Row],['#_Non-functional storage tank gravity fed reticulation system]]</f>
        <v>0</v>
      </c>
      <c r="CK236" s="930">
        <f>(WWWW[[#This Row],['#_Water_Liters_supplied_by_Water boating or water trucking]]/90)/15</f>
        <v>0</v>
      </c>
      <c r="CL236" s="930">
        <f>WWWW[[#This Row],['#_Water_Liters_from_Constructed/Existing water distribution system from river or natural spring]]/90/15</f>
        <v>0</v>
      </c>
      <c r="CM236" s="425">
        <f>IF(WWWW[[#This Row],['#_of water points in TLS/CFS]]*500&gt;WWWW[[#This Row],[Total PoP ]],WWWW[[#This Row],[Total PoP ]],WWWW[[#This Row],['#_of water points in TLS/CFS]]*500)</f>
        <v>0</v>
      </c>
      <c r="CN236" s="425">
        <f>IF(WWWW[[#This Row],['#_of water points in THF]]*500&gt;WWWW[[#This Row],[Total PoP ]],WWWW[[#This Row],[Total PoP ]],WWWW[[#This Row],['#_of water points in THF]]*500)</f>
        <v>0</v>
      </c>
      <c r="CO23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6" s="929">
        <f>IF(WWWW[[#This Row],[Location Type 1]]="Village",WWWW[[#This Row],[Access to safe drinking water for Village]],WWWW[[#This Row],[Access to safe drinking water for Camp]])</f>
        <v>1</v>
      </c>
      <c r="CR236" s="927">
        <f>WWWW[[#This Row],[%Equitable and continuous access to sufficient quantity of safe drinking water]]*WWWW[[#This Row],[Total PoP ]]</f>
        <v>353</v>
      </c>
      <c r="CS236" s="929">
        <f>IF((WWWW[[#This Row],['#_Constructed/Existing protected/fenced ponds]]*250)/WWWW[[#This Row],[Total PoP ]]&gt;1,1,(WWWW[[#This Row],['#_Constructed/Existing protected/fenced ponds]]*250)/WWWW[[#This Row],[Total PoP ]])</f>
        <v>0</v>
      </c>
      <c r="CT236" s="927">
        <f>WWWW[[#This Row],[% Access to unimproved water points]]*WWWW[[#This Row],[Total PoP ]]</f>
        <v>0</v>
      </c>
      <c r="CU23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CW236" s="927">
        <f>WWWW[[#This Row],[HRP1]]/500</f>
        <v>0.70599999999999996</v>
      </c>
      <c r="CX236" s="932">
        <f>1-WWWW[[#This Row],[% Equitable and continuous access to sufficient quantity of domestic water]]</f>
        <v>0</v>
      </c>
      <c r="CY236" s="927">
        <f>WWWW[[#This Row],[%equitable and continuous access to sufficient quantity of safe drinking and domestic water''s GAP]]*WWWW[[#This Row],[Total PoP ]]</f>
        <v>0</v>
      </c>
      <c r="CZ236" s="930">
        <f>IF(WWWW[[#This Row],[Total required water points]]-WWWW[[#This Row],['#Water points coverage]]&lt;0,0,WWWW[[#This Row],[Total required water points]]-WWWW[[#This Row],['#Water points coverage]])</f>
        <v>0.29400000000000004</v>
      </c>
      <c r="DA236" s="930">
        <f>ROUND(IF(WWWW[[#This Row],[Total PoP ]]&lt;500,1,WWWW[[#This Row],[Total PoP ]]/500),0)</f>
        <v>1</v>
      </c>
      <c r="DB236" s="930">
        <f>(WWWW[[#This Row],['#_Constructed latrines_by_WASHAgencies]]+WWWW[[#This Row],['#_Non Cluster partner latrines]])-WWWW[[#This Row],['#_Non-functional latrines]]</f>
        <v>96</v>
      </c>
      <c r="DC236" s="634">
        <f>WWWW[[#This Row],[HRP2]]/WWWW[[#This Row],[Total PoP ]]</f>
        <v>1</v>
      </c>
      <c r="DD23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353</v>
      </c>
      <c r="DE23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6" s="425">
        <f>IF(WWWW[[#This Row],['# of functional latrines in THF supported by WASH partners during the reporting period2]]="",0,WWWW[[#This Row],['# of functional latrines in THF supported by WASH partners during the reporting period2]]*50)</f>
        <v>250</v>
      </c>
      <c r="DH236" s="930">
        <f>ROUND(IF(WWWW[[#This Row],[Location Type 1]]="camp",WWWW[[#This Row],[Total PoP ]]/20,IF(WWWW[[#This Row],[Location Type 1]]="Temporary Location",WWWW[[#This Row],[Total PoP ]]/50,(WWWW[[#This Row],[Total PoP ]]/6))),0)</f>
        <v>18</v>
      </c>
      <c r="DI236" s="930">
        <f>IF(WWWW[[#This Row],[Total required Latrines]]-(WWWW[[#This Row],['#_Constructed latrines_by_WASHAgencies]]+WWWW[[#This Row],['#_Non Cluster partner latrines]])&lt;0,0,WWWW[[#This Row],[Total required Latrines]]-(WWWW[[#This Row],['#_Constructed latrines_by_WASHAgencies]]+WWWW[[#This Row],['#_Non Cluster partner latrines]]))</f>
        <v>0</v>
      </c>
      <c r="DJ236" s="932">
        <f>1-WWWW[[#This Row],[% people access to functioning Latrine]]</f>
        <v>0</v>
      </c>
      <c r="DK236" s="931">
        <f>IF(OR(WWWW[[#This Row],['#_Non-functional latrines]]="",WWWW[[#This Row],['#_Non-functional latrines]]=0),0,WWWW[[#This Row],['#_Non-functional latrines]]/(WWWW[[#This Row],['#_Constructed latrines_by_WASHAgencies]]+WWWW[[#This Row],['#_Non Cluster partner latrines]]))</f>
        <v>0</v>
      </c>
      <c r="DL236" s="927">
        <f>IF(500*(WWWW[[#This Row],['#_male hygiene promoters]]+WWWW[[#This Row],['#_female hygiene promoters]])&gt;WWWW[[#This Row],[Total PoP ]],WWWW[[#This Row],[Total PoP ]],500*(WWWW[[#This Row],['#_male hygiene promoters]]+WWWW[[#This Row],['#_female hygiene promoters]]))</f>
        <v>0</v>
      </c>
      <c r="DM23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6" s="930">
        <f>IF(WWWW[[#This Row],['# People with access to soap]]&gt;WWWW[[#This Row],['# People with access to Sanity Pads]],WWWW[[#This Row],['# People with access to soap]],WWWW[[#This Row],['# People with access to Sanity Pads]])</f>
        <v>0</v>
      </c>
      <c r="DP23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6" s="932">
        <f>IF(WWWW[[#This Row],[HRP3]]/WWWW[[#This Row],[Total PoP ]]&gt;1,1,WWWW[[#This Row],[HRP3]]/WWWW[[#This Row],[Total PoP ]])</f>
        <v>0</v>
      </c>
      <c r="DR236" s="931">
        <f>1-WWWW[[#This Row],[Hygiene Coverage%]]</f>
        <v>1</v>
      </c>
      <c r="DS236" s="929">
        <f>WWWW[[#This Row],['# people reached by regular dedicated hygiene promotion_5]]/WWWW[[#This Row],[Total PoP ]]</f>
        <v>0</v>
      </c>
      <c r="DT23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6" s="930">
        <f>WWWW[[#This Row],['#_Constructed/Existing hand washing stations]]-WWWW[[#This Row],['#_Non-Functional_hand_washing_stations]]</f>
        <v>1</v>
      </c>
      <c r="DW236" s="927">
        <f>IF(WWWW[[#This Row],['# Functional hand washing stations during reporting period]]*20&gt;WWWW[[#This Row],[Total HH]],WWWW[[#This Row],[Total HH]],WWWW[[#This Row],['# Functional hand washing stations during reporting period]]*20)</f>
        <v>20</v>
      </c>
      <c r="DX236" s="927">
        <f>IF(WWWW[[#This Row],[Is sufficient soap available for TLS? (Yes/No)]]="yes",WWWW[[#This Row],['#_Constructed/Existing hand washing stations at TLS/CFS/THF]],0)</f>
        <v>0</v>
      </c>
      <c r="DY236" s="429">
        <f>IF(WWWW[[#This Row],['# Functional hand washing stations during reporting period]]*100&gt;WWWW[[#This Row],[Total PoP ]],WWWW[[#This Row],[Total PoP ]],WWWW[[#This Row],['# Functional hand washing stations during reporting period]]*100)</f>
        <v>100</v>
      </c>
      <c r="DZ236" s="429" t="str">
        <f>IF(OR(WWWW[[#This Row],['#_students at TLS_CFS]]="",WWWW[[#This Row],['#_students at TLS_CFS]]=0),"No","Yes")</f>
        <v>No</v>
      </c>
      <c r="EA23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236" s="923" t="str">
        <f>VLOOKUP(WWWW[[#This Row],[Site Name]],SiteDB6[[Site Name]:[CCCM Management]],6,FALSE)</f>
        <v>Yes</v>
      </c>
      <c r="EF236" s="923" t="str">
        <f>VLOOKUP(WWWW[[#This Row],[Site Name]],SiteDB6[[Site Name]:[CCCM Focal Agency]],7,FALSE)</f>
        <v>KBC-MYT</v>
      </c>
      <c r="EG236" s="923" t="str">
        <f>VLOOKUP(WWWW[[#This Row],[Site Name]],SiteDB6[[Site Name]:[Location Type 1]],9,FALSE)</f>
        <v>Camp</v>
      </c>
      <c r="EH236" s="923" t="str">
        <f>VLOOKUP(WWWW[[#This Row],[Site Name]],SiteDB6[[Site Name]:[Type of Accommodation]],10,FALSE)</f>
        <v>Camp</v>
      </c>
      <c r="EI236" s="923" t="str">
        <f>VLOOKUP(WWWW[[#This Row],[Site Name]],SiteDB6[[Site Name]:[Ethnic or GCA/NGCA]],11,FALSE)</f>
        <v>NGCA</v>
      </c>
      <c r="EJ236" s="923">
        <f>VLOOKUP(WWWW[[#This Row],[Site Name]],SiteDB6[[Site Name]:[Lat]],12,FALSE)</f>
        <v>26.548506</v>
      </c>
      <c r="EK236" s="923">
        <f>VLOOKUP(WWWW[[#This Row],[Site Name]],SiteDB6[[Site Name]:[Long]],13,FALSE)</f>
        <v>97.75609</v>
      </c>
      <c r="EL236" s="923" t="str">
        <f>VLOOKUP(WWWW[[#This Row],[Site Name]],SiteDB6[[Site Name]:[Pcode]],3,FALSE)</f>
        <v>MMR001CMP239</v>
      </c>
      <c r="EM236" s="928" t="str">
        <f t="shared" si="3"/>
        <v>Covered</v>
      </c>
      <c r="EN236" s="928"/>
      <c r="EO236" s="923">
        <f>VLOOKUP(WWWW[[#This Row],[Site Name]],SiteDB6[[Site Name]:[Pop
(Kachin/Shan-CCCM as of July 2021)]],16,FALSE)</f>
        <v>68</v>
      </c>
      <c r="EP236" s="923">
        <f>VLOOKUP(WWWW[[#This Row],[Site Name]],SiteDB6[[Site Name]:[Pop
(Kachin/Shan-CCCM as of July 2021)]],17,FALSE)</f>
        <v>353</v>
      </c>
    </row>
    <row r="237" spans="1:146">
      <c r="A237" s="921" t="s">
        <v>2786</v>
      </c>
      <c r="B237" s="921" t="s">
        <v>2082</v>
      </c>
      <c r="C237" s="922" t="s">
        <v>141</v>
      </c>
      <c r="D237" s="922" t="s">
        <v>299</v>
      </c>
      <c r="E237" s="922" t="s">
        <v>37</v>
      </c>
      <c r="F237" s="922" t="s">
        <v>863</v>
      </c>
      <c r="G237" s="594" t="str">
        <f>VLOOKUP(WWWW[[#This Row],[Site Name]],SiteDB6[[Site Name]:[Location Type]],8,FALSE)</f>
        <v>Camp</v>
      </c>
      <c r="H237" s="922" t="s">
        <v>1616</v>
      </c>
      <c r="I237" s="924">
        <v>109</v>
      </c>
      <c r="J237" s="924">
        <v>483</v>
      </c>
      <c r="K237" s="925">
        <v>44501</v>
      </c>
      <c r="L237" s="926">
        <v>44865</v>
      </c>
      <c r="M237" s="924"/>
      <c r="N237" s="924">
        <v>2</v>
      </c>
      <c r="O237" s="924"/>
      <c r="P237" s="924"/>
      <c r="Q237" s="927" t="s">
        <v>136</v>
      </c>
      <c r="R237" s="924">
        <v>2</v>
      </c>
      <c r="S237" s="924">
        <v>2</v>
      </c>
      <c r="T237" s="449">
        <v>4</v>
      </c>
      <c r="U237" s="924">
        <v>1</v>
      </c>
      <c r="V237" s="924">
        <v>1</v>
      </c>
      <c r="W237" s="924">
        <v>3</v>
      </c>
      <c r="X237" s="924"/>
      <c r="Y237" s="924"/>
      <c r="Z237" s="924">
        <v>1</v>
      </c>
      <c r="AA237" s="924"/>
      <c r="AB237" s="924"/>
      <c r="AC237" s="924"/>
      <c r="AD237" s="924"/>
      <c r="AE237" s="924"/>
      <c r="AF237" s="924"/>
      <c r="AG237" s="924"/>
      <c r="AH237" s="924"/>
      <c r="AI237" s="924"/>
      <c r="AJ237" s="924"/>
      <c r="AK237" s="924"/>
      <c r="AL237" s="924"/>
      <c r="AM237" s="924"/>
      <c r="AN237" s="924"/>
      <c r="AO237" s="449"/>
      <c r="AP237" s="928"/>
      <c r="AQ237" s="449">
        <v>30</v>
      </c>
      <c r="AR237" s="449">
        <v>30</v>
      </c>
      <c r="AS237" s="929"/>
      <c r="AT237" s="924"/>
      <c r="AU237" s="924">
        <v>7</v>
      </c>
      <c r="AV237" s="924"/>
      <c r="AW237" s="924"/>
      <c r="AX237" s="924"/>
      <c r="AY237" s="923" t="s">
        <v>140</v>
      </c>
      <c r="AZ237" s="928" t="s">
        <v>140</v>
      </c>
      <c r="BA237" s="924"/>
      <c r="BB237" s="924"/>
      <c r="BC237" s="924"/>
      <c r="BD237" s="449"/>
      <c r="BE237" s="449"/>
      <c r="BF237" s="923"/>
      <c r="BG237" s="924">
        <v>3</v>
      </c>
      <c r="BH237" s="924">
        <v>2</v>
      </c>
      <c r="BI237" s="924">
        <v>5</v>
      </c>
      <c r="BJ237" s="924">
        <v>3</v>
      </c>
      <c r="BK237" s="924"/>
      <c r="BL237" s="924"/>
      <c r="BM237" s="924"/>
      <c r="BN237" s="924"/>
      <c r="BO237" s="924"/>
      <c r="BP237" s="923"/>
      <c r="BQ237" s="930"/>
      <c r="BR237" s="929"/>
      <c r="BS237" s="923"/>
      <c r="BT237" s="424"/>
      <c r="BU237" s="424"/>
      <c r="BV237" s="426"/>
      <c r="BW237" s="424"/>
      <c r="BX237" s="449"/>
      <c r="BY237" s="449"/>
      <c r="BZ237" s="449"/>
      <c r="CA237" s="449"/>
      <c r="CB237" s="449"/>
      <c r="CC237" s="807"/>
      <c r="CD237" s="449"/>
      <c r="CE237" s="931" t="str">
        <f>IFERROR(WWWW[[#This Row],['#_Water sources passed]]/WWWW[[#This Row],['#_Water sources tested for fecal coliform ]],"no test")</f>
        <v>no test</v>
      </c>
      <c r="CF237" s="929" t="str">
        <f>IFERROR(WWWW[[#This Row],['#_Household passed]]/WWWW[[#This Row],['#_Household water samples tested for fecal coliform]],"no test")</f>
        <v>no test</v>
      </c>
      <c r="CG237" s="930" t="str">
        <f>IF(AND(WWWW[[#This Row],[% of water sources passed]]="no test",WWWW[[#This Row],[% Household passed]]="no test"),"No Test","Tested")</f>
        <v>No Test</v>
      </c>
      <c r="CH237" s="930">
        <f>WWWW[[#This Row],['#_Constructed/existing protected hand dug well]]-WWWW[[#This Row],['#_Non-functional protected hand dug well]]</f>
        <v>3</v>
      </c>
      <c r="CI237" s="930">
        <f>(WWWW[[#This Row],['#_Constructed/Existing tube wells/boreholes/handpumps_WASH_agency]]+WWWW[[#This Row],['#_Non-Cluster partner water tube-wells/boreholes/handpumps]])-WWWW[[#This Row],['#_Non-functional tube wells/boreholes/handpumps]]</f>
        <v>3</v>
      </c>
      <c r="CJ237" s="930">
        <f>WWWW[[#This Row],['#_Constructed/Existingwater storage tank with gravity fed reticulation system]]-WWWW[[#This Row],['#_Non-functional storage tank gravity fed reticulation system]]</f>
        <v>0</v>
      </c>
      <c r="CK237" s="930">
        <f>(WWWW[[#This Row],['#_Water_Liters_supplied_by_Water boating or water trucking]]/90)/15</f>
        <v>0</v>
      </c>
      <c r="CL237" s="930">
        <f>WWWW[[#This Row],['#_Water_Liters_from_Constructed/Existing water distribution system from river or natural spring]]/90/15</f>
        <v>0</v>
      </c>
      <c r="CM237" s="425">
        <f>IF(WWWW[[#This Row],['#_of water points in TLS/CFS]]*500&gt;WWWW[[#This Row],[Total PoP ]],WWWW[[#This Row],[Total PoP ]],WWWW[[#This Row],['#_of water points in TLS/CFS]]*500)</f>
        <v>0</v>
      </c>
      <c r="CN237" s="425">
        <f>IF(WWWW[[#This Row],['#_of water points in THF]]*500&gt;WWWW[[#This Row],[Total PoP ]],WWWW[[#This Row],[Total PoP ]],WWWW[[#This Row],['#_of water points in THF]]*500)</f>
        <v>0</v>
      </c>
      <c r="CO23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7" s="929">
        <f>IF(WWWW[[#This Row],[Location Type 1]]="Village",WWWW[[#This Row],[Access to safe drinking water for Village]],WWWW[[#This Row],[Access to safe drinking water for Camp]])</f>
        <v>1</v>
      </c>
      <c r="CR237" s="927">
        <f>WWWW[[#This Row],[%Equitable and continuous access to sufficient quantity of safe drinking water]]*WWWW[[#This Row],[Total PoP ]]</f>
        <v>483</v>
      </c>
      <c r="CS237" s="929">
        <f>IF((WWWW[[#This Row],['#_Constructed/Existing protected/fenced ponds]]*250)/WWWW[[#This Row],[Total PoP ]]&gt;1,1,(WWWW[[#This Row],['#_Constructed/Existing protected/fenced ponds]]*250)/WWWW[[#This Row],[Total PoP ]])</f>
        <v>0</v>
      </c>
      <c r="CT237" s="927">
        <f>WWWW[[#This Row],[% Access to unimproved water points]]*WWWW[[#This Row],[Total PoP ]]</f>
        <v>0</v>
      </c>
      <c r="CU23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483</v>
      </c>
      <c r="CW237" s="927">
        <f>WWWW[[#This Row],[HRP1]]/500</f>
        <v>0.96599999999999997</v>
      </c>
      <c r="CX237" s="932">
        <f>1-WWWW[[#This Row],[% Equitable and continuous access to sufficient quantity of domestic water]]</f>
        <v>0</v>
      </c>
      <c r="CY237" s="927">
        <f>WWWW[[#This Row],[%equitable and continuous access to sufficient quantity of safe drinking and domestic water''s GAP]]*WWWW[[#This Row],[Total PoP ]]</f>
        <v>0</v>
      </c>
      <c r="CZ237" s="930">
        <f>IF(WWWW[[#This Row],[Total required water points]]-WWWW[[#This Row],['#Water points coverage]]&lt;0,0,WWWW[[#This Row],[Total required water points]]-WWWW[[#This Row],['#Water points coverage]])</f>
        <v>3.400000000000003E-2</v>
      </c>
      <c r="DA237" s="930">
        <f>ROUND(IF(WWWW[[#This Row],[Total PoP ]]&lt;500,1,WWWW[[#This Row],[Total PoP ]]/500),0)</f>
        <v>1</v>
      </c>
      <c r="DB237" s="930">
        <f>(WWWW[[#This Row],['#_Constructed latrines_by_WASHAgencies]]+WWWW[[#This Row],['#_Non Cluster partner latrines]])-WWWW[[#This Row],['#_Non-functional latrines]]</f>
        <v>60</v>
      </c>
      <c r="DC237" s="634">
        <f>WWWW[[#This Row],[HRP2]]/WWWW[[#This Row],[Total PoP ]]</f>
        <v>1</v>
      </c>
      <c r="DD23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483</v>
      </c>
      <c r="DE23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7" s="425">
        <f>IF(WWWW[[#This Row],['# of functional latrines in THF supported by WASH partners during the reporting period2]]="",0,WWWW[[#This Row],['# of functional latrines in THF supported by WASH partners during the reporting period2]]*50)</f>
        <v>0</v>
      </c>
      <c r="DH237" s="930">
        <f>ROUND(IF(WWWW[[#This Row],[Location Type 1]]="camp",WWWW[[#This Row],[Total PoP ]]/20,IF(WWWW[[#This Row],[Location Type 1]]="Temporary Location",WWWW[[#This Row],[Total PoP ]]/50,(WWWW[[#This Row],[Total PoP ]]/6))),0)</f>
        <v>24</v>
      </c>
      <c r="DI237" s="930">
        <f>IF(WWWW[[#This Row],[Total required Latrines]]-(WWWW[[#This Row],['#_Constructed latrines_by_WASHAgencies]]+WWWW[[#This Row],['#_Non Cluster partner latrines]])&lt;0,0,WWWW[[#This Row],[Total required Latrines]]-(WWWW[[#This Row],['#_Constructed latrines_by_WASHAgencies]]+WWWW[[#This Row],['#_Non Cluster partner latrines]]))</f>
        <v>0</v>
      </c>
      <c r="DJ237" s="932">
        <f>1-WWWW[[#This Row],[% people access to functioning Latrine]]</f>
        <v>0</v>
      </c>
      <c r="DK237" s="931">
        <f>IF(OR(WWWW[[#This Row],['#_Non-functional latrines]]="",WWWW[[#This Row],['#_Non-functional latrines]]=0),0,WWWW[[#This Row],['#_Non-functional latrines]]/(WWWW[[#This Row],['#_Constructed latrines_by_WASHAgencies]]+WWWW[[#This Row],['#_Non Cluster partner latrines]]))</f>
        <v>0</v>
      </c>
      <c r="DL237" s="927">
        <f>IF(500*(WWWW[[#This Row],['#_male hygiene promoters]]+WWWW[[#This Row],['#_female hygiene promoters]])&gt;WWWW[[#This Row],[Total PoP ]],WWWW[[#This Row],[Total PoP ]],500*(WWWW[[#This Row],['#_male hygiene promoters]]+WWWW[[#This Row],['#_female hygiene promoters]]))</f>
        <v>0</v>
      </c>
      <c r="DM23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7" s="930">
        <f>IF(WWWW[[#This Row],['# People with access to soap]]&gt;WWWW[[#This Row],['# People with access to Sanity Pads]],WWWW[[#This Row],['# People with access to soap]],WWWW[[#This Row],['# People with access to Sanity Pads]])</f>
        <v>0</v>
      </c>
      <c r="DP23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37" s="932">
        <f>IF(WWWW[[#This Row],[HRP3]]/WWWW[[#This Row],[Total PoP ]]&gt;1,1,WWWW[[#This Row],[HRP3]]/WWWW[[#This Row],[Total PoP ]])</f>
        <v>0</v>
      </c>
      <c r="DR237" s="931">
        <f>1-WWWW[[#This Row],[Hygiene Coverage%]]</f>
        <v>1</v>
      </c>
      <c r="DS237" s="929">
        <f>WWWW[[#This Row],['# people reached by regular dedicated hygiene promotion_5]]/WWWW[[#This Row],[Total PoP ]]</f>
        <v>0</v>
      </c>
      <c r="DT23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7" s="930">
        <f>WWWW[[#This Row],['#_Constructed/Existing hand washing stations]]-WWWW[[#This Row],['#_Non-Functional_hand_washing_stations]]</f>
        <v>1</v>
      </c>
      <c r="DW237" s="927">
        <f>IF(WWWW[[#This Row],['# Functional hand washing stations during reporting period]]*20&gt;WWWW[[#This Row],[Total HH]],WWWW[[#This Row],[Total HH]],WWWW[[#This Row],['# Functional hand washing stations during reporting period]]*20)</f>
        <v>20</v>
      </c>
      <c r="DX237" s="927">
        <f>IF(WWWW[[#This Row],[Is sufficient soap available for TLS? (Yes/No)]]="yes",WWWW[[#This Row],['#_Constructed/Existing hand washing stations at TLS/CFS/THF]],0)</f>
        <v>0</v>
      </c>
      <c r="DY237" s="429">
        <f>IF(WWWW[[#This Row],['# Functional hand washing stations during reporting period]]*100&gt;WWWW[[#This Row],[Total PoP ]],WWWW[[#This Row],[Total PoP ]],WWWW[[#This Row],['# Functional hand washing stations during reporting period]]*100)</f>
        <v>100</v>
      </c>
      <c r="DZ237" s="429" t="str">
        <f>IF(OR(WWWW[[#This Row],['#_students at TLS_CFS]]="",WWWW[[#This Row],['#_students at TLS_CFS]]=0),"No","Yes")</f>
        <v>No</v>
      </c>
      <c r="EA23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7" s="923" t="str">
        <f>VLOOKUP(WWWW[[#This Row],[Site Name]],SiteDB6[[Site Name]:[CCCM Management]],6,FALSE)</f>
        <v>Yes</v>
      </c>
      <c r="EF237" s="923" t="str">
        <f>VLOOKUP(WWWW[[#This Row],[Site Name]],SiteDB6[[Site Name]:[CCCM Focal Agency]],7,FALSE)</f>
        <v>KBC-MYT</v>
      </c>
      <c r="EG237" s="923" t="str">
        <f>VLOOKUP(WWWW[[#This Row],[Site Name]],SiteDB6[[Site Name]:[Location Type 1]],9,FALSE)</f>
        <v>Camp</v>
      </c>
      <c r="EH237" s="923" t="str">
        <f>VLOOKUP(WWWW[[#This Row],[Site Name]],SiteDB6[[Site Name]:[Type of Accommodation]],10,FALSE)</f>
        <v>Camp</v>
      </c>
      <c r="EI237" s="923" t="str">
        <f>VLOOKUP(WWWW[[#This Row],[Site Name]],SiteDB6[[Site Name]:[Ethnic or GCA/NGCA]],11,FALSE)</f>
        <v>GCA</v>
      </c>
      <c r="EJ237" s="923">
        <f>VLOOKUP(WWWW[[#This Row],[Site Name]],SiteDB6[[Site Name]:[Lat]],12,FALSE)</f>
        <v>26.356223</v>
      </c>
      <c r="EK237" s="923">
        <f>VLOOKUP(WWWW[[#This Row],[Site Name]],SiteDB6[[Site Name]:[Long]],13,FALSE)</f>
        <v>96.721439000000004</v>
      </c>
      <c r="EL237" s="923" t="str">
        <f>VLOOKUP(WWWW[[#This Row],[Site Name]],SiteDB6[[Site Name]:[Pcode]],3,FALSE)</f>
        <v>MMR001CMP253</v>
      </c>
      <c r="EM237" s="928" t="str">
        <f t="shared" si="3"/>
        <v>Covered</v>
      </c>
      <c r="EN237" s="928"/>
      <c r="EO237" s="923">
        <f>VLOOKUP(WWWW[[#This Row],[Site Name]],SiteDB6[[Site Name]:[Pop
(Kachin/Shan-CCCM as of July 2021)]],16,FALSE)</f>
        <v>110</v>
      </c>
      <c r="EP237" s="923">
        <f>VLOOKUP(WWWW[[#This Row],[Site Name]],SiteDB6[[Site Name]:[Pop
(Kachin/Shan-CCCM as of July 2021)]],17,FALSE)</f>
        <v>486</v>
      </c>
    </row>
    <row r="238" spans="1:146">
      <c r="A238" s="921" t="s">
        <v>2786</v>
      </c>
      <c r="B238" s="921" t="s">
        <v>2082</v>
      </c>
      <c r="C238" s="922" t="s">
        <v>141</v>
      </c>
      <c r="D238" s="922" t="s">
        <v>299</v>
      </c>
      <c r="E238" s="922" t="s">
        <v>37</v>
      </c>
      <c r="F238" s="922" t="s">
        <v>142</v>
      </c>
      <c r="G238" s="594" t="str">
        <f>VLOOKUP(WWWW[[#This Row],[Site Name]],SiteDB6[[Site Name]:[Location Type]],8,FALSE)</f>
        <v>Camp</v>
      </c>
      <c r="H238" s="922" t="s">
        <v>175</v>
      </c>
      <c r="I238" s="924">
        <v>138</v>
      </c>
      <c r="J238" s="924">
        <v>966</v>
      </c>
      <c r="K238" s="925">
        <v>44682</v>
      </c>
      <c r="L238" s="926">
        <v>44865</v>
      </c>
      <c r="M238" s="924"/>
      <c r="N238" s="924">
        <v>1</v>
      </c>
      <c r="O238" s="924"/>
      <c r="P238" s="924"/>
      <c r="Q238" s="927" t="s">
        <v>41</v>
      </c>
      <c r="R238" s="924">
        <v>2</v>
      </c>
      <c r="S238" s="924">
        <v>3</v>
      </c>
      <c r="T238" s="449">
        <v>2</v>
      </c>
      <c r="U238" s="924"/>
      <c r="V238" s="924"/>
      <c r="W238" s="924"/>
      <c r="X238" s="924"/>
      <c r="Y238" s="924"/>
      <c r="Z238" s="924"/>
      <c r="AA238" s="924">
        <v>2</v>
      </c>
      <c r="AB238" s="924"/>
      <c r="AC238" s="924">
        <v>2</v>
      </c>
      <c r="AD238" s="924"/>
      <c r="AE238" s="924"/>
      <c r="AF238" s="924"/>
      <c r="AG238" s="924"/>
      <c r="AH238" s="924"/>
      <c r="AI238" s="924"/>
      <c r="AJ238" s="924"/>
      <c r="AK238" s="924"/>
      <c r="AL238" s="924"/>
      <c r="AM238" s="924"/>
      <c r="AN238" s="924"/>
      <c r="AO238" s="449"/>
      <c r="AP238" s="928"/>
      <c r="AQ238" s="924">
        <v>50</v>
      </c>
      <c r="AR238" s="924">
        <v>62</v>
      </c>
      <c r="AS238" s="929"/>
      <c r="AT238" s="924">
        <v>50</v>
      </c>
      <c r="AU238" s="924"/>
      <c r="AV238" s="924"/>
      <c r="AW238" s="924"/>
      <c r="AX238" s="924">
        <v>50</v>
      </c>
      <c r="AY238" s="923" t="s">
        <v>41</v>
      </c>
      <c r="AZ238" s="928" t="s">
        <v>137</v>
      </c>
      <c r="BA238" s="924"/>
      <c r="BB238" s="924"/>
      <c r="BC238" s="924"/>
      <c r="BD238" s="449"/>
      <c r="BE238" s="449"/>
      <c r="BF238" s="923"/>
      <c r="BG238" s="924">
        <v>8</v>
      </c>
      <c r="BH238" s="924"/>
      <c r="BI238" s="924"/>
      <c r="BJ238" s="924">
        <v>2</v>
      </c>
      <c r="BK238" s="924">
        <v>2</v>
      </c>
      <c r="BL238" s="924"/>
      <c r="BM238" s="924">
        <v>2</v>
      </c>
      <c r="BN238" s="924"/>
      <c r="BO238" s="924"/>
      <c r="BP238" s="923"/>
      <c r="BQ238" s="930"/>
      <c r="BR238" s="929"/>
      <c r="BS238" s="923"/>
      <c r="BT238" s="424"/>
      <c r="BU238" s="424"/>
      <c r="BV238" s="426"/>
      <c r="BW238" s="424"/>
      <c r="BX238" s="449"/>
      <c r="BY238" s="449"/>
      <c r="BZ238" s="449"/>
      <c r="CA238" s="449"/>
      <c r="CB238" s="449"/>
      <c r="CC238" s="807"/>
      <c r="CD238" s="449"/>
      <c r="CE238" s="931" t="str">
        <f>IFERROR(WWWW[[#This Row],['#_Water sources passed]]/WWWW[[#This Row],['#_Water sources tested for fecal coliform ]],"no test")</f>
        <v>no test</v>
      </c>
      <c r="CF238" s="929" t="str">
        <f>IFERROR(WWWW[[#This Row],['#_Household passed]]/WWWW[[#This Row],['#_Household water samples tested for fecal coliform]],"no test")</f>
        <v>no test</v>
      </c>
      <c r="CG238" s="930" t="str">
        <f>IF(AND(WWWW[[#This Row],[% of water sources passed]]="no test",WWWW[[#This Row],[% Household passed]]="no test"),"No Test","Tested")</f>
        <v>No Test</v>
      </c>
      <c r="CH238" s="930">
        <f>WWWW[[#This Row],['#_Constructed/existing protected hand dug well]]-WWWW[[#This Row],['#_Non-functional protected hand dug well]]</f>
        <v>2</v>
      </c>
      <c r="CI238" s="930">
        <f>(WWWW[[#This Row],['#_Constructed/Existing tube wells/boreholes/handpumps_WASH_agency]]+WWWW[[#This Row],['#_Non-Cluster partner water tube-wells/boreholes/handpumps]])-WWWW[[#This Row],['#_Non-functional tube wells/boreholes/handpumps]]</f>
        <v>0</v>
      </c>
      <c r="CJ238" s="930">
        <f>WWWW[[#This Row],['#_Constructed/Existingwater storage tank with gravity fed reticulation system]]-WWWW[[#This Row],['#_Non-functional storage tank gravity fed reticulation system]]</f>
        <v>2</v>
      </c>
      <c r="CK238" s="930">
        <f>(WWWW[[#This Row],['#_Water_Liters_supplied_by_Water boating or water trucking]]/90)/15</f>
        <v>0</v>
      </c>
      <c r="CL238" s="930">
        <f>WWWW[[#This Row],['#_Water_Liters_from_Constructed/Existing water distribution system from river or natural spring]]/90/15</f>
        <v>0</v>
      </c>
      <c r="CM238" s="425">
        <f>IF(WWWW[[#This Row],['#_of water points in TLS/CFS]]*500&gt;WWWW[[#This Row],[Total PoP ]],WWWW[[#This Row],[Total PoP ]],WWWW[[#This Row],['#_of water points in TLS/CFS]]*500)</f>
        <v>0</v>
      </c>
      <c r="CN238" s="425">
        <f>IF(WWWW[[#This Row],['#_of water points in THF]]*500&gt;WWWW[[#This Row],[Total PoP ]],WWWW[[#This Row],[Total PoP ]],WWWW[[#This Row],['#_of water points in THF]]*500)</f>
        <v>0</v>
      </c>
      <c r="CO23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0.96618357487922713</v>
      </c>
      <c r="CP23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0.65562456866804697</v>
      </c>
      <c r="CQ238" s="929">
        <f>IF(WWWW[[#This Row],[Location Type 1]]="Village",WWWW[[#This Row],[Access to safe drinking water for Village]],WWWW[[#This Row],[Access to safe drinking water for Camp]])</f>
        <v>0.96618357487922713</v>
      </c>
      <c r="CR238" s="927">
        <f>WWWW[[#This Row],[%Equitable and continuous access to sufficient quantity of safe drinking water]]*WWWW[[#This Row],[Total PoP ]]</f>
        <v>933.33333333333337</v>
      </c>
      <c r="CS238" s="929">
        <f>IF((WWWW[[#This Row],['#_Constructed/Existing protected/fenced ponds]]*250)/WWWW[[#This Row],[Total PoP ]]&gt;1,1,(WWWW[[#This Row],['#_Constructed/Existing protected/fenced ponds]]*250)/WWWW[[#This Row],[Total PoP ]])</f>
        <v>0</v>
      </c>
      <c r="CT238" s="927">
        <f>WWWW[[#This Row],[% Access to unimproved water points]]*WWWW[[#This Row],[Total PoP ]]</f>
        <v>0</v>
      </c>
      <c r="CU23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0.96618357487922713</v>
      </c>
      <c r="CV23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W238" s="927">
        <f>WWWW[[#This Row],[HRP1]]/500</f>
        <v>1.8666666666666667</v>
      </c>
      <c r="CX238" s="932">
        <f>1-WWWW[[#This Row],[% Equitable and continuous access to sufficient quantity of domestic water]]</f>
        <v>3.3816425120772875E-2</v>
      </c>
      <c r="CY238" s="927">
        <f>WWWW[[#This Row],[%equitable and continuous access to sufficient quantity of safe drinking and domestic water''s GAP]]*WWWW[[#This Row],[Total PoP ]]</f>
        <v>32.6666666666666</v>
      </c>
      <c r="CZ238" s="930">
        <f>IF(WWWW[[#This Row],[Total required water points]]-WWWW[[#This Row],['#Water points coverage]]&lt;0,0,WWWW[[#This Row],[Total required water points]]-WWWW[[#This Row],['#Water points coverage]])</f>
        <v>0.1333333333333333</v>
      </c>
      <c r="DA238" s="930">
        <f>ROUND(IF(WWWW[[#This Row],[Total PoP ]]&lt;500,1,WWWW[[#This Row],[Total PoP ]]/500),0)</f>
        <v>2</v>
      </c>
      <c r="DB238" s="930">
        <f>(WWWW[[#This Row],['#_Constructed latrines_by_WASHAgencies]]+WWWW[[#This Row],['#_Non Cluster partner latrines]])-WWWW[[#This Row],['#_Non-functional latrines]]</f>
        <v>62</v>
      </c>
      <c r="DC238" s="634">
        <f>WWWW[[#This Row],[HRP2]]/WWWW[[#This Row],[Total PoP ]]</f>
        <v>1</v>
      </c>
      <c r="DD23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966</v>
      </c>
      <c r="DE23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8" s="425">
        <f>IF(WWWW[[#This Row],['# of functional latrines in THF supported by WASH partners during the reporting period2]]="",0,WWWW[[#This Row],['# of functional latrines in THF supported by WASH partners during the reporting period2]]*50)</f>
        <v>0</v>
      </c>
      <c r="DH238" s="930">
        <f>ROUND(IF(WWWW[[#This Row],[Location Type 1]]="camp",WWWW[[#This Row],[Total PoP ]]/20,IF(WWWW[[#This Row],[Location Type 1]]="Temporary Location",WWWW[[#This Row],[Total PoP ]]/50,(WWWW[[#This Row],[Total PoP ]]/6))),0)</f>
        <v>48</v>
      </c>
      <c r="DI238" s="930">
        <f>IF(WWWW[[#This Row],[Total required Latrines]]-(WWWW[[#This Row],['#_Constructed latrines_by_WASHAgencies]]+WWWW[[#This Row],['#_Non Cluster partner latrines]])&lt;0,0,WWWW[[#This Row],[Total required Latrines]]-(WWWW[[#This Row],['#_Constructed latrines_by_WASHAgencies]]+WWWW[[#This Row],['#_Non Cluster partner latrines]]))</f>
        <v>0</v>
      </c>
      <c r="DJ238" s="932">
        <f>1-WWWW[[#This Row],[% people access to functioning Latrine]]</f>
        <v>0</v>
      </c>
      <c r="DK238" s="931">
        <f>IF(OR(WWWW[[#This Row],['#_Non-functional latrines]]="",WWWW[[#This Row],['#_Non-functional latrines]]=0),0,WWWW[[#This Row],['#_Non-functional latrines]]/(WWWW[[#This Row],['#_Constructed latrines_by_WASHAgencies]]+WWWW[[#This Row],['#_Non Cluster partner latrines]]))</f>
        <v>0.44642857142857145</v>
      </c>
      <c r="DL238" s="927">
        <f>IF(500*(WWWW[[#This Row],['#_male hygiene promoters]]+WWWW[[#This Row],['#_female hygiene promoters]])&gt;WWWW[[#This Row],[Total PoP ]],WWWW[[#This Row],[Total PoP ]],500*(WWWW[[#This Row],['#_male hygiene promoters]]+WWWW[[#This Row],['#_female hygiene promoters]]))</f>
        <v>966</v>
      </c>
      <c r="DM23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8" s="930">
        <f>IF(WWWW[[#This Row],['# People with access to soap]]&gt;WWWW[[#This Row],['# People with access to Sanity Pads]],WWWW[[#This Row],['# People with access to soap]],WWWW[[#This Row],['# People with access to Sanity Pads]])</f>
        <v>0</v>
      </c>
      <c r="DP238" s="930">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238" s="932">
        <f>IF(WWWW[[#This Row],[HRP3]]/WWWW[[#This Row],[Total PoP ]]&gt;1,1,WWWW[[#This Row],[HRP3]]/WWWW[[#This Row],[Total PoP ]])</f>
        <v>1</v>
      </c>
      <c r="DR238" s="931">
        <f>1-WWWW[[#This Row],[Hygiene Coverage%]]</f>
        <v>0</v>
      </c>
      <c r="DS238" s="929">
        <f>WWWW[[#This Row],['# people reached by regular dedicated hygiene promotion_5]]/WWWW[[#This Row],[Total PoP ]]</f>
        <v>1</v>
      </c>
      <c r="DT23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8" s="930">
        <f>WWWW[[#This Row],['#_Constructed/Existing hand washing stations]]-WWWW[[#This Row],['#_Non-Functional_hand_washing_stations]]</f>
        <v>8</v>
      </c>
      <c r="DW238" s="927">
        <f>IF(WWWW[[#This Row],['# Functional hand washing stations during reporting period]]*20&gt;WWWW[[#This Row],[Total HH]],WWWW[[#This Row],[Total HH]],WWWW[[#This Row],['# Functional hand washing stations during reporting period]]*20)</f>
        <v>138</v>
      </c>
      <c r="DX238" s="927">
        <f>IF(WWWW[[#This Row],[Is sufficient soap available for TLS? (Yes/No)]]="yes",WWWW[[#This Row],['#_Constructed/Existing hand washing stations at TLS/CFS/THF]],0)</f>
        <v>0</v>
      </c>
      <c r="DY238" s="429">
        <f>IF(WWWW[[#This Row],['# Functional hand washing stations during reporting period]]*100&gt;WWWW[[#This Row],[Total PoP ]],WWWW[[#This Row],[Total PoP ]],WWWW[[#This Row],['# Functional hand washing stations during reporting period]]*100)</f>
        <v>800</v>
      </c>
      <c r="DZ238" s="429" t="str">
        <f>IF(OR(WWWW[[#This Row],['#_students at TLS_CFS]]="",WWWW[[#This Row],['#_students at TLS_CFS]]=0),"No","Yes")</f>
        <v>No</v>
      </c>
      <c r="EA23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8" s="923" t="str">
        <f>VLOOKUP(WWWW[[#This Row],[Site Name]],SiteDB6[[Site Name]:[CCCM Management]],6,FALSE)</f>
        <v>Yes</v>
      </c>
      <c r="EF238" s="923" t="str">
        <f>VLOOKUP(WWWW[[#This Row],[Site Name]],SiteDB6[[Site Name]:[CCCM Focal Agency]],7,FALSE)</f>
        <v>KBC-MYT</v>
      </c>
      <c r="EG238" s="923" t="str">
        <f>VLOOKUP(WWWW[[#This Row],[Site Name]],SiteDB6[[Site Name]:[Location Type 1]],9,FALSE)</f>
        <v>Camp</v>
      </c>
      <c r="EH238" s="923" t="str">
        <f>VLOOKUP(WWWW[[#This Row],[Site Name]],SiteDB6[[Site Name]:[Type of Accommodation]],10,FALSE)</f>
        <v>Camp</v>
      </c>
      <c r="EI238" s="923" t="str">
        <f>VLOOKUP(WWWW[[#This Row],[Site Name]],SiteDB6[[Site Name]:[Ethnic or GCA/NGCA]],11,FALSE)</f>
        <v>NGCA</v>
      </c>
      <c r="EJ238" s="923">
        <f>VLOOKUP(WWWW[[#This Row],[Site Name]],SiteDB6[[Site Name]:[Lat]],12,FALSE)</f>
        <v>25.200333000000001</v>
      </c>
      <c r="EK238" s="923">
        <f>VLOOKUP(WWWW[[#This Row],[Site Name]],SiteDB6[[Site Name]:[Long]],13,FALSE)</f>
        <v>97.807182999999995</v>
      </c>
      <c r="EL238" s="923" t="str">
        <f>VLOOKUP(WWWW[[#This Row],[Site Name]],SiteDB6[[Site Name]:[Pcode]],3,FALSE)</f>
        <v>MMR001CMP115</v>
      </c>
      <c r="EM238" s="928" t="str">
        <f t="shared" si="3"/>
        <v>Covered</v>
      </c>
      <c r="EN238" s="928"/>
      <c r="EO238" s="923">
        <f>VLOOKUP(WWWW[[#This Row],[Site Name]],SiteDB6[[Site Name]:[Pop
(Kachin/Shan-CCCM as of July 2021)]],16,FALSE)</f>
        <v>138</v>
      </c>
      <c r="EP238" s="923">
        <f>VLOOKUP(WWWW[[#This Row],[Site Name]],SiteDB6[[Site Name]:[Pop
(Kachin/Shan-CCCM as of July 2021)]],17,FALSE)</f>
        <v>966</v>
      </c>
    </row>
    <row r="239" spans="1:146">
      <c r="A239" s="921" t="s">
        <v>2786</v>
      </c>
      <c r="B239" s="921" t="s">
        <v>3097</v>
      </c>
      <c r="C239" s="922" t="s">
        <v>141</v>
      </c>
      <c r="D239" s="922" t="s">
        <v>3105</v>
      </c>
      <c r="E239" s="922" t="s">
        <v>37</v>
      </c>
      <c r="F239" s="922" t="s">
        <v>142</v>
      </c>
      <c r="G239" s="594" t="str">
        <f>VLOOKUP(WWWW[[#This Row],[Site Name]],SiteDB6[[Site Name]:[Location Type]],8,FALSE)</f>
        <v>Camp</v>
      </c>
      <c r="H239" s="922" t="s">
        <v>176</v>
      </c>
      <c r="I239" s="924">
        <v>39</v>
      </c>
      <c r="J239" s="924">
        <v>238</v>
      </c>
      <c r="K239" s="925">
        <v>44682</v>
      </c>
      <c r="L239" s="926">
        <v>44865</v>
      </c>
      <c r="M239" s="924"/>
      <c r="N239" s="924">
        <v>1</v>
      </c>
      <c r="O239" s="924"/>
      <c r="P239" s="924"/>
      <c r="Q239" s="927" t="s">
        <v>41</v>
      </c>
      <c r="R239" s="924">
        <v>3</v>
      </c>
      <c r="S239" s="924">
        <v>4</v>
      </c>
      <c r="T239" s="449">
        <v>2</v>
      </c>
      <c r="U239" s="924"/>
      <c r="V239" s="924"/>
      <c r="W239" s="924">
        <v>1</v>
      </c>
      <c r="X239" s="924"/>
      <c r="Y239" s="924"/>
      <c r="Z239" s="924"/>
      <c r="AA239" s="924"/>
      <c r="AB239" s="924"/>
      <c r="AC239" s="924"/>
      <c r="AD239" s="924"/>
      <c r="AE239" s="924"/>
      <c r="AF239" s="924"/>
      <c r="AG239" s="924"/>
      <c r="AH239" s="924">
        <v>3</v>
      </c>
      <c r="AI239" s="924"/>
      <c r="AJ239" s="924"/>
      <c r="AK239" s="924"/>
      <c r="AL239" s="924"/>
      <c r="AM239" s="924"/>
      <c r="AN239" s="924"/>
      <c r="AO239" s="449"/>
      <c r="AP239" s="928"/>
      <c r="AQ239" s="924">
        <v>6</v>
      </c>
      <c r="AR239" s="924"/>
      <c r="AS239" s="929"/>
      <c r="AT239" s="924"/>
      <c r="AU239" s="924"/>
      <c r="AV239" s="924"/>
      <c r="AW239" s="924"/>
      <c r="AX239" s="924">
        <v>6</v>
      </c>
      <c r="AY239" s="923" t="s">
        <v>41</v>
      </c>
      <c r="AZ239" s="928" t="s">
        <v>137</v>
      </c>
      <c r="BA239" s="924"/>
      <c r="BB239" s="924"/>
      <c r="BC239" s="924"/>
      <c r="BD239" s="449"/>
      <c r="BE239" s="449"/>
      <c r="BF239" s="923"/>
      <c r="BG239" s="924">
        <v>8</v>
      </c>
      <c r="BH239" s="924"/>
      <c r="BI239" s="924"/>
      <c r="BJ239" s="924">
        <v>3</v>
      </c>
      <c r="BK239" s="924"/>
      <c r="BL239" s="924"/>
      <c r="BM239" s="924">
        <v>1</v>
      </c>
      <c r="BN239" s="924"/>
      <c r="BO239" s="924"/>
      <c r="BP239" s="923"/>
      <c r="BQ239" s="930"/>
      <c r="BR239" s="929"/>
      <c r="BS239" s="923"/>
      <c r="BT239" s="424"/>
      <c r="BU239" s="424"/>
      <c r="BV239" s="426"/>
      <c r="BW239" s="424"/>
      <c r="BX239" s="449"/>
      <c r="BY239" s="449"/>
      <c r="BZ239" s="449"/>
      <c r="CA239" s="449"/>
      <c r="CB239" s="449"/>
      <c r="CC239" s="807"/>
      <c r="CD239" s="449"/>
      <c r="CE239" s="931" t="str">
        <f>IFERROR(WWWW[[#This Row],['#_Water sources passed]]/WWWW[[#This Row],['#_Water sources tested for fecal coliform ]],"no test")</f>
        <v>no test</v>
      </c>
      <c r="CF239" s="929" t="str">
        <f>IFERROR(WWWW[[#This Row],['#_Household passed]]/WWWW[[#This Row],['#_Household water samples tested for fecal coliform]],"no test")</f>
        <v>no test</v>
      </c>
      <c r="CG239" s="930" t="str">
        <f>IF(AND(WWWW[[#This Row],[% of water sources passed]]="no test",WWWW[[#This Row],[% Household passed]]="no test"),"No Test","Tested")</f>
        <v>No Test</v>
      </c>
      <c r="CH239" s="930">
        <f>WWWW[[#This Row],['#_Constructed/existing protected hand dug well]]-WWWW[[#This Row],['#_Non-functional protected hand dug well]]</f>
        <v>2</v>
      </c>
      <c r="CI239" s="930">
        <f>(WWWW[[#This Row],['#_Constructed/Existing tube wells/boreholes/handpumps_WASH_agency]]+WWWW[[#This Row],['#_Non-Cluster partner water tube-wells/boreholes/handpumps]])-WWWW[[#This Row],['#_Non-functional tube wells/boreholes/handpumps]]</f>
        <v>1</v>
      </c>
      <c r="CJ239" s="930">
        <f>WWWW[[#This Row],['#_Constructed/Existingwater storage tank with gravity fed reticulation system]]-WWWW[[#This Row],['#_Non-functional storage tank gravity fed reticulation system]]</f>
        <v>0</v>
      </c>
      <c r="CK239" s="930">
        <f>(WWWW[[#This Row],['#_Water_Liters_supplied_by_Water boating or water trucking]]/90)/15</f>
        <v>0</v>
      </c>
      <c r="CL239" s="930">
        <f>WWWW[[#This Row],['#_Water_Liters_from_Constructed/Existing water distribution system from river or natural spring]]/90/15</f>
        <v>0</v>
      </c>
      <c r="CM239" s="425">
        <f>IF(WWWW[[#This Row],['#_of water points in TLS/CFS]]*500&gt;WWWW[[#This Row],[Total PoP ]],WWWW[[#This Row],[Total PoP ]],WWWW[[#This Row],['#_of water points in TLS/CFS]]*500)</f>
        <v>0</v>
      </c>
      <c r="CN239" s="425">
        <f>IF(WWWW[[#This Row],['#_of water points in THF]]*500&gt;WWWW[[#This Row],[Total PoP ]],WWWW[[#This Row],[Total PoP ]],WWWW[[#This Row],['#_of water points in THF]]*500)</f>
        <v>0</v>
      </c>
      <c r="CO23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3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39" s="929">
        <f>IF(WWWW[[#This Row],[Location Type 1]]="Village",WWWW[[#This Row],[Access to safe drinking water for Village]],WWWW[[#This Row],[Access to safe drinking water for Camp]])</f>
        <v>1</v>
      </c>
      <c r="CR239" s="927">
        <f>WWWW[[#This Row],[%Equitable and continuous access to sufficient quantity of safe drinking water]]*WWWW[[#This Row],[Total PoP ]]</f>
        <v>238</v>
      </c>
      <c r="CS239" s="929">
        <f>IF((WWWW[[#This Row],['#_Constructed/Existing protected/fenced ponds]]*250)/WWWW[[#This Row],[Total PoP ]]&gt;1,1,(WWWW[[#This Row],['#_Constructed/Existing protected/fenced ponds]]*250)/WWWW[[#This Row],[Total PoP ]])</f>
        <v>0</v>
      </c>
      <c r="CT239" s="927">
        <f>WWWW[[#This Row],[% Access to unimproved water points]]*WWWW[[#This Row],[Total PoP ]]</f>
        <v>0</v>
      </c>
      <c r="CU23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3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238</v>
      </c>
      <c r="CW239" s="927">
        <f>WWWW[[#This Row],[HRP1]]/500</f>
        <v>0.47599999999999998</v>
      </c>
      <c r="CX239" s="932">
        <f>1-WWWW[[#This Row],[% Equitable and continuous access to sufficient quantity of domestic water]]</f>
        <v>0</v>
      </c>
      <c r="CY239" s="927">
        <f>WWWW[[#This Row],[%equitable and continuous access to sufficient quantity of safe drinking and domestic water''s GAP]]*WWWW[[#This Row],[Total PoP ]]</f>
        <v>0</v>
      </c>
      <c r="CZ239" s="930">
        <f>IF(WWWW[[#This Row],[Total required water points]]-WWWW[[#This Row],['#Water points coverage]]&lt;0,0,WWWW[[#This Row],[Total required water points]]-WWWW[[#This Row],['#Water points coverage]])</f>
        <v>0.52400000000000002</v>
      </c>
      <c r="DA239" s="930">
        <f>ROUND(IF(WWWW[[#This Row],[Total PoP ]]&lt;500,1,WWWW[[#This Row],[Total PoP ]]/500),0)</f>
        <v>1</v>
      </c>
      <c r="DB239" s="930">
        <f>(WWWW[[#This Row],['#_Constructed latrines_by_WASHAgencies]]+WWWW[[#This Row],['#_Non Cluster partner latrines]])-WWWW[[#This Row],['#_Non-functional latrines]]</f>
        <v>6</v>
      </c>
      <c r="DC239" s="634">
        <f>WWWW[[#This Row],[HRP2]]/WWWW[[#This Row],[Total PoP ]]</f>
        <v>0.50420168067226889</v>
      </c>
      <c r="DD23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3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3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39" s="425">
        <f>IF(WWWW[[#This Row],['# of functional latrines in THF supported by WASH partners during the reporting period2]]="",0,WWWW[[#This Row],['# of functional latrines in THF supported by WASH partners during the reporting period2]]*50)</f>
        <v>0</v>
      </c>
      <c r="DH239" s="930">
        <f>ROUND(IF(WWWW[[#This Row],[Location Type 1]]="camp",WWWW[[#This Row],[Total PoP ]]/20,IF(WWWW[[#This Row],[Location Type 1]]="Temporary Location",WWWW[[#This Row],[Total PoP ]]/50,(WWWW[[#This Row],[Total PoP ]]/6))),0)</f>
        <v>12</v>
      </c>
      <c r="DI239" s="930">
        <f>IF(WWWW[[#This Row],[Total required Latrines]]-(WWWW[[#This Row],['#_Constructed latrines_by_WASHAgencies]]+WWWW[[#This Row],['#_Non Cluster partner latrines]])&lt;0,0,WWWW[[#This Row],[Total required Latrines]]-(WWWW[[#This Row],['#_Constructed latrines_by_WASHAgencies]]+WWWW[[#This Row],['#_Non Cluster partner latrines]]))</f>
        <v>6</v>
      </c>
      <c r="DJ239" s="932">
        <f>1-WWWW[[#This Row],[% people access to functioning Latrine]]</f>
        <v>0.49579831932773111</v>
      </c>
      <c r="DK239" s="931">
        <f>IF(OR(WWWW[[#This Row],['#_Non-functional latrines]]="",WWWW[[#This Row],['#_Non-functional latrines]]=0),0,WWWW[[#This Row],['#_Non-functional latrines]]/(WWWW[[#This Row],['#_Constructed latrines_by_WASHAgencies]]+WWWW[[#This Row],['#_Non Cluster partner latrines]]))</f>
        <v>0</v>
      </c>
      <c r="DL239" s="927">
        <f>IF(500*(WWWW[[#This Row],['#_male hygiene promoters]]+WWWW[[#This Row],['#_female hygiene promoters]])&gt;WWWW[[#This Row],[Total PoP ]],WWWW[[#This Row],[Total PoP ]],500*(WWWW[[#This Row],['#_male hygiene promoters]]+WWWW[[#This Row],['#_female hygiene promoters]]))</f>
        <v>238</v>
      </c>
      <c r="DM23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3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39" s="930">
        <f>IF(WWWW[[#This Row],['# People with access to soap]]&gt;WWWW[[#This Row],['# People with access to Sanity Pads]],WWWW[[#This Row],['# People with access to soap]],WWWW[[#This Row],['# People with access to Sanity Pads]])</f>
        <v>0</v>
      </c>
      <c r="DP239" s="930">
        <f>IF(WWWW[[#This Row],['# people reached by regular dedicated hygiene promotion_5]]&gt;WWWW[[#This Row],['# People received regular supply of hygiene items_6]],WWWW[[#This Row],['# people reached by regular dedicated hygiene promotion_5]],WWWW[[#This Row],['# People received regular supply of hygiene items_6]])</f>
        <v>238</v>
      </c>
      <c r="DQ239" s="932">
        <f>IF(WWWW[[#This Row],[HRP3]]/WWWW[[#This Row],[Total PoP ]]&gt;1,1,WWWW[[#This Row],[HRP3]]/WWWW[[#This Row],[Total PoP ]])</f>
        <v>1</v>
      </c>
      <c r="DR239" s="931">
        <f>1-WWWW[[#This Row],[Hygiene Coverage%]]</f>
        <v>0</v>
      </c>
      <c r="DS239" s="929">
        <f>WWWW[[#This Row],['# people reached by regular dedicated hygiene promotion_5]]/WWWW[[#This Row],[Total PoP ]]</f>
        <v>1</v>
      </c>
      <c r="DT23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3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39" s="930">
        <f>WWWW[[#This Row],['#_Constructed/Existing hand washing stations]]-WWWW[[#This Row],['#_Non-Functional_hand_washing_stations]]</f>
        <v>8</v>
      </c>
      <c r="DW239" s="927">
        <f>IF(WWWW[[#This Row],['# Functional hand washing stations during reporting period]]*20&gt;WWWW[[#This Row],[Total HH]],WWWW[[#This Row],[Total HH]],WWWW[[#This Row],['# Functional hand washing stations during reporting period]]*20)</f>
        <v>39</v>
      </c>
      <c r="DX239" s="927">
        <f>IF(WWWW[[#This Row],[Is sufficient soap available for TLS? (Yes/No)]]="yes",WWWW[[#This Row],['#_Constructed/Existing hand washing stations at TLS/CFS/THF]],0)</f>
        <v>0</v>
      </c>
      <c r="DY239" s="429">
        <f>IF(WWWW[[#This Row],['# Functional hand washing stations during reporting period]]*100&gt;WWWW[[#This Row],[Total PoP ]],WWWW[[#This Row],[Total PoP ]],WWWW[[#This Row],['# Functional hand washing stations during reporting period]]*100)</f>
        <v>238</v>
      </c>
      <c r="DZ239" s="429" t="str">
        <f>IF(OR(WWWW[[#This Row],['#_students at TLS_CFS]]="",WWWW[[#This Row],['#_students at TLS_CFS]]=0),"No","Yes")</f>
        <v>No</v>
      </c>
      <c r="EA23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3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3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3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39" s="923" t="str">
        <f>VLOOKUP(WWWW[[#This Row],[Site Name]],SiteDB6[[Site Name]:[CCCM Management]],6,FALSE)</f>
        <v>Yes</v>
      </c>
      <c r="EF239" s="923" t="str">
        <f>VLOOKUP(WWWW[[#This Row],[Site Name]],SiteDB6[[Site Name]:[CCCM Focal Agency]],7,FALSE)</f>
        <v>KBC-MYT</v>
      </c>
      <c r="EG239" s="923" t="str">
        <f>VLOOKUP(WWWW[[#This Row],[Site Name]],SiteDB6[[Site Name]:[Location Type 1]],9,FALSE)</f>
        <v>Camp</v>
      </c>
      <c r="EH239" s="923" t="str">
        <f>VLOOKUP(WWWW[[#This Row],[Site Name]],SiteDB6[[Site Name]:[Type of Accommodation]],10,FALSE)</f>
        <v>Camp</v>
      </c>
      <c r="EI239" s="923" t="str">
        <f>VLOOKUP(WWWW[[#This Row],[Site Name]],SiteDB6[[Site Name]:[Ethnic or GCA/NGCA]],11,FALSE)</f>
        <v>GCA</v>
      </c>
      <c r="EJ239" s="923">
        <f>VLOOKUP(WWWW[[#This Row],[Site Name]],SiteDB6[[Site Name]:[Lat]],12,FALSE)</f>
        <v>25.356632000000001</v>
      </c>
      <c r="EK239" s="923">
        <f>VLOOKUP(WWWW[[#This Row],[Site Name]],SiteDB6[[Site Name]:[Long]],13,FALSE)</f>
        <v>97.451965000000001</v>
      </c>
      <c r="EL239" s="923" t="str">
        <f>VLOOKUP(WWWW[[#This Row],[Site Name]],SiteDB6[[Site Name]:[Pcode]],3,FALSE)</f>
        <v>MMR001CMP027</v>
      </c>
      <c r="EM239" s="928" t="str">
        <f t="shared" si="3"/>
        <v>Covered</v>
      </c>
      <c r="EN239" s="928"/>
      <c r="EO239" s="923">
        <f>VLOOKUP(WWWW[[#This Row],[Site Name]],SiteDB6[[Site Name]:[Pop
(Kachin/Shan-CCCM as of July 2021)]],16,FALSE)</f>
        <v>39</v>
      </c>
      <c r="EP239" s="923">
        <f>VLOOKUP(WWWW[[#This Row],[Site Name]],SiteDB6[[Site Name]:[Pop
(Kachin/Shan-CCCM as of July 2021)]],17,FALSE)</f>
        <v>238</v>
      </c>
    </row>
    <row r="240" spans="1:146">
      <c r="A240" s="921" t="s">
        <v>2786</v>
      </c>
      <c r="B240" s="921" t="s">
        <v>2082</v>
      </c>
      <c r="C240" s="922" t="s">
        <v>141</v>
      </c>
      <c r="D240" s="922" t="s">
        <v>299</v>
      </c>
      <c r="E240" s="922" t="s">
        <v>37</v>
      </c>
      <c r="F240" s="922" t="s">
        <v>142</v>
      </c>
      <c r="G240" s="594" t="str">
        <f>VLOOKUP(WWWW[[#This Row],[Site Name]],SiteDB6[[Site Name]:[Location Type]],8,FALSE)</f>
        <v>Camp</v>
      </c>
      <c r="H240" s="922" t="s">
        <v>177</v>
      </c>
      <c r="I240" s="924">
        <v>417</v>
      </c>
      <c r="J240" s="924">
        <v>1469</v>
      </c>
      <c r="K240" s="925">
        <v>44682</v>
      </c>
      <c r="L240" s="926">
        <v>44865</v>
      </c>
      <c r="M240" s="924"/>
      <c r="N240" s="924">
        <v>1</v>
      </c>
      <c r="O240" s="924"/>
      <c r="P240" s="924"/>
      <c r="Q240" s="927" t="s">
        <v>41</v>
      </c>
      <c r="R240" s="924">
        <v>3</v>
      </c>
      <c r="S240" s="924">
        <v>2</v>
      </c>
      <c r="T240" s="449">
        <v>1</v>
      </c>
      <c r="U240" s="924"/>
      <c r="V240" s="924">
        <v>23</v>
      </c>
      <c r="W240" s="924"/>
      <c r="X240" s="924"/>
      <c r="Y240" s="924"/>
      <c r="Z240" s="924"/>
      <c r="AA240" s="924"/>
      <c r="AB240" s="924"/>
      <c r="AC240" s="924"/>
      <c r="AD240" s="924"/>
      <c r="AE240" s="924"/>
      <c r="AF240" s="924"/>
      <c r="AG240" s="924"/>
      <c r="AH240" s="924"/>
      <c r="AI240" s="924"/>
      <c r="AJ240" s="924"/>
      <c r="AK240" s="924"/>
      <c r="AL240" s="924"/>
      <c r="AM240" s="924"/>
      <c r="AN240" s="924"/>
      <c r="AO240" s="449"/>
      <c r="AP240" s="928"/>
      <c r="AQ240" s="924">
        <v>407</v>
      </c>
      <c r="AR240" s="924"/>
      <c r="AS240" s="929"/>
      <c r="AT240" s="924"/>
      <c r="AU240" s="924"/>
      <c r="AV240" s="924"/>
      <c r="AW240" s="924"/>
      <c r="AX240" s="924"/>
      <c r="AY240" s="923" t="s">
        <v>41</v>
      </c>
      <c r="AZ240" s="928" t="s">
        <v>137</v>
      </c>
      <c r="BA240" s="924">
        <v>3</v>
      </c>
      <c r="BB240" s="924"/>
      <c r="BC240" s="924"/>
      <c r="BD240" s="449"/>
      <c r="BE240" s="449"/>
      <c r="BF240" s="923"/>
      <c r="BG240" s="449">
        <v>177</v>
      </c>
      <c r="BH240" s="924"/>
      <c r="BI240" s="924">
        <v>12</v>
      </c>
      <c r="BJ240" s="924">
        <v>6</v>
      </c>
      <c r="BK240" s="924"/>
      <c r="BL240" s="924">
        <v>1</v>
      </c>
      <c r="BM240" s="924">
        <v>5</v>
      </c>
      <c r="BN240" s="924"/>
      <c r="BO240" s="924"/>
      <c r="BP240" s="923"/>
      <c r="BQ240" s="930"/>
      <c r="BR240" s="929"/>
      <c r="BS240" s="923"/>
      <c r="BT240" s="424"/>
      <c r="BU240" s="424"/>
      <c r="BV240" s="426"/>
      <c r="BW240" s="424"/>
      <c r="BX240" s="449"/>
      <c r="BY240" s="449"/>
      <c r="BZ240" s="449"/>
      <c r="CA240" s="449"/>
      <c r="CB240" s="449"/>
      <c r="CC240" s="807"/>
      <c r="CD240" s="449"/>
      <c r="CE240" s="931" t="str">
        <f>IFERROR(WWWW[[#This Row],['#_Water sources passed]]/WWWW[[#This Row],['#_Water sources tested for fecal coliform ]],"no test")</f>
        <v>no test</v>
      </c>
      <c r="CF240" s="929" t="str">
        <f>IFERROR(WWWW[[#This Row],['#_Household passed]]/WWWW[[#This Row],['#_Household water samples tested for fecal coliform]],"no test")</f>
        <v>no test</v>
      </c>
      <c r="CG240" s="930" t="str">
        <f>IF(AND(WWWW[[#This Row],[% of water sources passed]]="no test",WWWW[[#This Row],[% Household passed]]="no test"),"No Test","Tested")</f>
        <v>No Test</v>
      </c>
      <c r="CH240" s="930">
        <f>WWWW[[#This Row],['#_Constructed/existing protected hand dug well]]-WWWW[[#This Row],['#_Non-functional protected hand dug well]]</f>
        <v>1</v>
      </c>
      <c r="CI240" s="930">
        <f>(WWWW[[#This Row],['#_Constructed/Existing tube wells/boreholes/handpumps_WASH_agency]]+WWWW[[#This Row],['#_Non-Cluster partner water tube-wells/boreholes/handpumps]])-WWWW[[#This Row],['#_Non-functional tube wells/boreholes/handpumps]]</f>
        <v>0</v>
      </c>
      <c r="CJ240" s="930">
        <f>WWWW[[#This Row],['#_Constructed/Existingwater storage tank with gravity fed reticulation system]]-WWWW[[#This Row],['#_Non-functional storage tank gravity fed reticulation system]]</f>
        <v>0</v>
      </c>
      <c r="CK240" s="930">
        <f>(WWWW[[#This Row],['#_Water_Liters_supplied_by_Water boating or water trucking]]/90)/15</f>
        <v>0</v>
      </c>
      <c r="CL240" s="930">
        <f>WWWW[[#This Row],['#_Water_Liters_from_Constructed/Existing water distribution system from river or natural spring]]/90/15</f>
        <v>0</v>
      </c>
      <c r="CM240" s="425">
        <f>IF(WWWW[[#This Row],['#_of water points in TLS/CFS]]*500&gt;WWWW[[#This Row],[Total PoP ]],WWWW[[#This Row],[Total PoP ]],WWWW[[#This Row],['#_of water points in TLS/CFS]]*500)</f>
        <v>0</v>
      </c>
      <c r="CN240" s="425">
        <f>IF(WWWW[[#This Row],['#_of water points in THF]]*500&gt;WWWW[[#This Row],[Total PoP ]],WWWW[[#This Row],[Total PoP ]],WWWW[[#This Row],['#_of water points in THF]]*500)</f>
        <v>0</v>
      </c>
      <c r="CO24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0.27229407760381213</v>
      </c>
      <c r="CP24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0.17018379850238258</v>
      </c>
      <c r="CQ240" s="929">
        <f>IF(WWWW[[#This Row],[Location Type 1]]="Village",WWWW[[#This Row],[Access to safe drinking water for Village]],WWWW[[#This Row],[Access to safe drinking water for Camp]])</f>
        <v>0.27229407760381213</v>
      </c>
      <c r="CR240" s="927">
        <f>WWWW[[#This Row],[%Equitable and continuous access to sufficient quantity of safe drinking water]]*WWWW[[#This Row],[Total PoP ]]</f>
        <v>400</v>
      </c>
      <c r="CS240" s="929">
        <f>IF((WWWW[[#This Row],['#_Constructed/Existing protected/fenced ponds]]*250)/WWWW[[#This Row],[Total PoP ]]&gt;1,1,(WWWW[[#This Row],['#_Constructed/Existing protected/fenced ponds]]*250)/WWWW[[#This Row],[Total PoP ]])</f>
        <v>0</v>
      </c>
      <c r="CT240" s="927">
        <f>WWWW[[#This Row],[% Access to unimproved water points]]*WWWW[[#This Row],[Total PoP ]]</f>
        <v>0</v>
      </c>
      <c r="CU24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0.27229407760381213</v>
      </c>
      <c r="CV24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240" s="927">
        <f>WWWW[[#This Row],[HRP1]]/500</f>
        <v>0.8</v>
      </c>
      <c r="CX240" s="932">
        <f>1-WWWW[[#This Row],[% Equitable and continuous access to sufficient quantity of domestic water]]</f>
        <v>0.72770592239618792</v>
      </c>
      <c r="CY240" s="927">
        <f>WWWW[[#This Row],[%equitable and continuous access to sufficient quantity of safe drinking and domestic water''s GAP]]*WWWW[[#This Row],[Total PoP ]]</f>
        <v>1069</v>
      </c>
      <c r="CZ240" s="930">
        <f>IF(WWWW[[#This Row],[Total required water points]]-WWWW[[#This Row],['#Water points coverage]]&lt;0,0,WWWW[[#This Row],[Total required water points]]-WWWW[[#This Row],['#Water points coverage]])</f>
        <v>2.2000000000000002</v>
      </c>
      <c r="DA240" s="930">
        <f>ROUND(IF(WWWW[[#This Row],[Total PoP ]]&lt;500,1,WWWW[[#This Row],[Total PoP ]]/500),0)</f>
        <v>3</v>
      </c>
      <c r="DB240" s="930">
        <f>(WWWW[[#This Row],['#_Constructed latrines_by_WASHAgencies]]+WWWW[[#This Row],['#_Non Cluster partner latrines]])-WWWW[[#This Row],['#_Non-functional latrines]]</f>
        <v>407</v>
      </c>
      <c r="DC240" s="634">
        <f>WWWW[[#This Row],[HRP2]]/WWWW[[#This Row],[Total PoP ]]</f>
        <v>1</v>
      </c>
      <c r="DD24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1469</v>
      </c>
      <c r="DE24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0" s="425">
        <f>IF(WWWW[[#This Row],['# of functional latrines in THF supported by WASH partners during the reporting period2]]="",0,WWWW[[#This Row],['# of functional latrines in THF supported by WASH partners during the reporting period2]]*50)</f>
        <v>0</v>
      </c>
      <c r="DH240" s="930">
        <f>ROUND(IF(WWWW[[#This Row],[Location Type 1]]="camp",WWWW[[#This Row],[Total PoP ]]/20,IF(WWWW[[#This Row],[Location Type 1]]="Temporary Location",WWWW[[#This Row],[Total PoP ]]/50,(WWWW[[#This Row],[Total PoP ]]/6))),0)</f>
        <v>245</v>
      </c>
      <c r="DI240" s="930">
        <f>IF(WWWW[[#This Row],[Total required Latrines]]-(WWWW[[#This Row],['#_Constructed latrines_by_WASHAgencies]]+WWWW[[#This Row],['#_Non Cluster partner latrines]])&lt;0,0,WWWW[[#This Row],[Total required Latrines]]-(WWWW[[#This Row],['#_Constructed latrines_by_WASHAgencies]]+WWWW[[#This Row],['#_Non Cluster partner latrines]]))</f>
        <v>0</v>
      </c>
      <c r="DJ240" s="932">
        <f>1-WWWW[[#This Row],[% people access to functioning Latrine]]</f>
        <v>0</v>
      </c>
      <c r="DK240" s="931">
        <f>IF(OR(WWWW[[#This Row],['#_Non-functional latrines]]="",WWWW[[#This Row],['#_Non-functional latrines]]=0),0,WWWW[[#This Row],['#_Non-functional latrines]]/(WWWW[[#This Row],['#_Constructed latrines_by_WASHAgencies]]+WWWW[[#This Row],['#_Non Cluster partner latrines]]))</f>
        <v>0</v>
      </c>
      <c r="DL240" s="927">
        <f>IF(500*(WWWW[[#This Row],['#_male hygiene promoters]]+WWWW[[#This Row],['#_female hygiene promoters]])&gt;WWWW[[#This Row],[Total PoP ]],WWWW[[#This Row],[Total PoP ]],500*(WWWW[[#This Row],['#_male hygiene promoters]]+WWWW[[#This Row],['#_female hygiene promoters]]))</f>
        <v>1469</v>
      </c>
      <c r="DM24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0" s="930">
        <f>IF(WWWW[[#This Row],['# People with access to soap]]&gt;WWWW[[#This Row],['# People with access to Sanity Pads]],WWWW[[#This Row],['# People with access to soap]],WWWW[[#This Row],['# People with access to Sanity Pads]])</f>
        <v>0</v>
      </c>
      <c r="DP240" s="930">
        <f>IF(WWWW[[#This Row],['# people reached by regular dedicated hygiene promotion_5]]&gt;WWWW[[#This Row],['# People received regular supply of hygiene items_6]],WWWW[[#This Row],['# people reached by regular dedicated hygiene promotion_5]],WWWW[[#This Row],['# People received regular supply of hygiene items_6]])</f>
        <v>1469</v>
      </c>
      <c r="DQ240" s="932">
        <f>IF(WWWW[[#This Row],[HRP3]]/WWWW[[#This Row],[Total PoP ]]&gt;1,1,WWWW[[#This Row],[HRP3]]/WWWW[[#This Row],[Total PoP ]])</f>
        <v>1</v>
      </c>
      <c r="DR240" s="931">
        <f>1-WWWW[[#This Row],[Hygiene Coverage%]]</f>
        <v>0</v>
      </c>
      <c r="DS240" s="929">
        <f>WWWW[[#This Row],['# people reached by regular dedicated hygiene promotion_5]]/WWWW[[#This Row],[Total PoP ]]</f>
        <v>1</v>
      </c>
      <c r="DT24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0" s="930">
        <f>WWWW[[#This Row],['#_Constructed/Existing hand washing stations]]-WWWW[[#This Row],['#_Non-Functional_hand_washing_stations]]</f>
        <v>177</v>
      </c>
      <c r="DW240" s="927">
        <f>IF(WWWW[[#This Row],['# Functional hand washing stations during reporting period]]*20&gt;WWWW[[#This Row],[Total HH]],WWWW[[#This Row],[Total HH]],WWWW[[#This Row],['# Functional hand washing stations during reporting period]]*20)</f>
        <v>417</v>
      </c>
      <c r="DX240" s="927">
        <f>IF(WWWW[[#This Row],[Is sufficient soap available for TLS? (Yes/No)]]="yes",WWWW[[#This Row],['#_Constructed/Existing hand washing stations at TLS/CFS/THF]],0)</f>
        <v>0</v>
      </c>
      <c r="DY240" s="429">
        <f>IF(WWWW[[#This Row],['# Functional hand washing stations during reporting period]]*100&gt;WWWW[[#This Row],[Total PoP ]],WWWW[[#This Row],[Total PoP ]],WWWW[[#This Row],['# Functional hand washing stations during reporting period]]*100)</f>
        <v>1469</v>
      </c>
      <c r="DZ240" s="429" t="str">
        <f>IF(OR(WWWW[[#This Row],['#_students at TLS_CFS]]="",WWWW[[#This Row],['#_students at TLS_CFS]]=0),"No","Yes")</f>
        <v>No</v>
      </c>
      <c r="EA24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0" s="923" t="str">
        <f>VLOOKUP(WWWW[[#This Row],[Site Name]],SiteDB6[[Site Name]:[CCCM Management]],6,FALSE)</f>
        <v>Yes</v>
      </c>
      <c r="EF240" s="923" t="str">
        <f>VLOOKUP(WWWW[[#This Row],[Site Name]],SiteDB6[[Site Name]:[CCCM Focal Agency]],7,FALSE)</f>
        <v>KMSS-MYT</v>
      </c>
      <c r="EG240" s="923" t="str">
        <f>VLOOKUP(WWWW[[#This Row],[Site Name]],SiteDB6[[Site Name]:[Location Type 1]],9,FALSE)</f>
        <v>Village Type Camp</v>
      </c>
      <c r="EH240" s="923" t="str">
        <f>VLOOKUP(WWWW[[#This Row],[Site Name]],SiteDB6[[Site Name]:[Type of Accommodation]],10,FALSE)</f>
        <v>Camp</v>
      </c>
      <c r="EI240" s="923" t="str">
        <f>VLOOKUP(WWWW[[#This Row],[Site Name]],SiteDB6[[Site Name]:[Ethnic or GCA/NGCA]],11,FALSE)</f>
        <v>NGCA</v>
      </c>
      <c r="EJ240" s="923">
        <f>VLOOKUP(WWWW[[#This Row],[Site Name]],SiteDB6[[Site Name]:[Lat]],12,FALSE)</f>
        <v>24.980250000000002</v>
      </c>
      <c r="EK240" s="923">
        <f>VLOOKUP(WWWW[[#This Row],[Site Name]],SiteDB6[[Site Name]:[Long]],13,FALSE)</f>
        <v>97.715230000000005</v>
      </c>
      <c r="EL240" s="923" t="str">
        <f>VLOOKUP(WWWW[[#This Row],[Site Name]],SiteDB6[[Site Name]:[Pcode]],3,FALSE)</f>
        <v>MMR001CMP119</v>
      </c>
      <c r="EM240" s="928" t="str">
        <f t="shared" si="3"/>
        <v>Covered</v>
      </c>
      <c r="EN240" s="928"/>
      <c r="EO240" s="923">
        <f>VLOOKUP(WWWW[[#This Row],[Site Name]],SiteDB6[[Site Name]:[Pop
(Kachin/Shan-CCCM as of July 2021)]],16,FALSE)</f>
        <v>417</v>
      </c>
      <c r="EP240" s="923">
        <f>VLOOKUP(WWWW[[#This Row],[Site Name]],SiteDB6[[Site Name]:[Pop
(Kachin/Shan-CCCM as of July 2021)]],17,FALSE)</f>
        <v>1608</v>
      </c>
    </row>
    <row r="241" spans="1:146">
      <c r="A241" s="921" t="s">
        <v>2786</v>
      </c>
      <c r="B241" s="921" t="s">
        <v>3097</v>
      </c>
      <c r="C241" s="922" t="s">
        <v>141</v>
      </c>
      <c r="D241" s="922" t="s">
        <v>3105</v>
      </c>
      <c r="E241" s="922" t="s">
        <v>37</v>
      </c>
      <c r="F241" s="922" t="s">
        <v>142</v>
      </c>
      <c r="G241" s="594" t="str">
        <f>VLOOKUP(WWWW[[#This Row],[Site Name]],SiteDB6[[Site Name]:[Location Type]],8,FALSE)</f>
        <v>Camp</v>
      </c>
      <c r="H241" s="922" t="s">
        <v>178</v>
      </c>
      <c r="I241" s="924">
        <v>531</v>
      </c>
      <c r="J241" s="924">
        <v>2920</v>
      </c>
      <c r="K241" s="925">
        <v>44682</v>
      </c>
      <c r="L241" s="926">
        <v>44865</v>
      </c>
      <c r="M241" s="924"/>
      <c r="N241" s="924">
        <v>1</v>
      </c>
      <c r="O241" s="924"/>
      <c r="P241" s="924"/>
      <c r="Q241" s="927" t="s">
        <v>41</v>
      </c>
      <c r="R241" s="924">
        <v>3</v>
      </c>
      <c r="S241" s="924">
        <v>4</v>
      </c>
      <c r="T241" s="449">
        <v>13</v>
      </c>
      <c r="U241" s="924"/>
      <c r="V241" s="924"/>
      <c r="W241" s="924">
        <v>2</v>
      </c>
      <c r="X241" s="924"/>
      <c r="Y241" s="924"/>
      <c r="Z241" s="924"/>
      <c r="AA241" s="924"/>
      <c r="AB241" s="924"/>
      <c r="AC241" s="924"/>
      <c r="AD241" s="924"/>
      <c r="AE241" s="924"/>
      <c r="AF241" s="924"/>
      <c r="AG241" s="924"/>
      <c r="AH241" s="924">
        <v>9</v>
      </c>
      <c r="AI241" s="924"/>
      <c r="AJ241" s="924"/>
      <c r="AK241" s="924"/>
      <c r="AL241" s="924"/>
      <c r="AM241" s="924"/>
      <c r="AN241" s="924"/>
      <c r="AO241" s="449"/>
      <c r="AP241" s="928"/>
      <c r="AQ241" s="924">
        <v>130</v>
      </c>
      <c r="AR241" s="924"/>
      <c r="AS241" s="929"/>
      <c r="AT241" s="924"/>
      <c r="AU241" s="924"/>
      <c r="AV241" s="924"/>
      <c r="AW241" s="924"/>
      <c r="AX241" s="924">
        <v>130</v>
      </c>
      <c r="AY241" s="923" t="s">
        <v>41</v>
      </c>
      <c r="AZ241" s="928" t="s">
        <v>137</v>
      </c>
      <c r="BA241" s="924"/>
      <c r="BB241" s="924"/>
      <c r="BC241" s="924"/>
      <c r="BD241" s="449"/>
      <c r="BE241" s="449"/>
      <c r="BF241" s="923"/>
      <c r="BG241" s="924">
        <v>7</v>
      </c>
      <c r="BH241" s="924"/>
      <c r="BI241" s="924"/>
      <c r="BJ241" s="924">
        <v>7</v>
      </c>
      <c r="BK241" s="924"/>
      <c r="BL241" s="924">
        <v>2</v>
      </c>
      <c r="BM241" s="924">
        <v>4</v>
      </c>
      <c r="BN241" s="924"/>
      <c r="BO241" s="924"/>
      <c r="BP241" s="923"/>
      <c r="BQ241" s="930"/>
      <c r="BR241" s="929"/>
      <c r="BS241" s="923"/>
      <c r="BT241" s="424"/>
      <c r="BU241" s="424"/>
      <c r="BV241" s="426"/>
      <c r="BW241" s="424"/>
      <c r="BX241" s="449"/>
      <c r="BY241" s="449"/>
      <c r="BZ241" s="449"/>
      <c r="CA241" s="449"/>
      <c r="CB241" s="449"/>
      <c r="CC241" s="807"/>
      <c r="CD241" s="449"/>
      <c r="CE241" s="931" t="str">
        <f>IFERROR(WWWW[[#This Row],['#_Water sources passed]]/WWWW[[#This Row],['#_Water sources tested for fecal coliform ]],"no test")</f>
        <v>no test</v>
      </c>
      <c r="CF241" s="929" t="str">
        <f>IFERROR(WWWW[[#This Row],['#_Household passed]]/WWWW[[#This Row],['#_Household water samples tested for fecal coliform]],"no test")</f>
        <v>no test</v>
      </c>
      <c r="CG241" s="930" t="str">
        <f>IF(AND(WWWW[[#This Row],[% of water sources passed]]="no test",WWWW[[#This Row],[% Household passed]]="no test"),"No Test","Tested")</f>
        <v>No Test</v>
      </c>
      <c r="CH241" s="930">
        <f>WWWW[[#This Row],['#_Constructed/existing protected hand dug well]]-WWWW[[#This Row],['#_Non-functional protected hand dug well]]</f>
        <v>13</v>
      </c>
      <c r="CI241" s="930">
        <f>(WWWW[[#This Row],['#_Constructed/Existing tube wells/boreholes/handpumps_WASH_agency]]+WWWW[[#This Row],['#_Non-Cluster partner water tube-wells/boreholes/handpumps]])-WWWW[[#This Row],['#_Non-functional tube wells/boreholes/handpumps]]</f>
        <v>2</v>
      </c>
      <c r="CJ241" s="930">
        <f>WWWW[[#This Row],['#_Constructed/Existingwater storage tank with gravity fed reticulation system]]-WWWW[[#This Row],['#_Non-functional storage tank gravity fed reticulation system]]</f>
        <v>0</v>
      </c>
      <c r="CK241" s="930">
        <f>(WWWW[[#This Row],['#_Water_Liters_supplied_by_Water boating or water trucking]]/90)/15</f>
        <v>0</v>
      </c>
      <c r="CL241" s="930">
        <f>WWWW[[#This Row],['#_Water_Liters_from_Constructed/Existing water distribution system from river or natural spring]]/90/15</f>
        <v>0</v>
      </c>
      <c r="CM241" s="425">
        <f>IF(WWWW[[#This Row],['#_of water points in TLS/CFS]]*500&gt;WWWW[[#This Row],[Total PoP ]],WWWW[[#This Row],[Total PoP ]],WWWW[[#This Row],['#_of water points in TLS/CFS]]*500)</f>
        <v>0</v>
      </c>
      <c r="CN241" s="425">
        <f>IF(WWWW[[#This Row],['#_of water points in THF]]*500&gt;WWWW[[#This Row],[Total PoP ]],WWWW[[#This Row],[Total PoP ]],WWWW[[#This Row],['#_of water points in THF]]*500)</f>
        <v>0</v>
      </c>
      <c r="CO24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1" s="929">
        <f>IF(WWWW[[#This Row],[Location Type 1]]="Village",WWWW[[#This Row],[Access to safe drinking water for Village]],WWWW[[#This Row],[Access to safe drinking water for Camp]])</f>
        <v>1</v>
      </c>
      <c r="CR241" s="927">
        <f>WWWW[[#This Row],[%Equitable and continuous access to sufficient quantity of safe drinking water]]*WWWW[[#This Row],[Total PoP ]]</f>
        <v>2920</v>
      </c>
      <c r="CS241" s="929">
        <f>IF((WWWW[[#This Row],['#_Constructed/Existing protected/fenced ponds]]*250)/WWWW[[#This Row],[Total PoP ]]&gt;1,1,(WWWW[[#This Row],['#_Constructed/Existing protected/fenced ponds]]*250)/WWWW[[#This Row],[Total PoP ]])</f>
        <v>0</v>
      </c>
      <c r="CT241" s="927">
        <f>WWWW[[#This Row],[% Access to unimproved water points]]*WWWW[[#This Row],[Total PoP ]]</f>
        <v>0</v>
      </c>
      <c r="CU24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2920</v>
      </c>
      <c r="CW241" s="927">
        <f>WWWW[[#This Row],[HRP1]]/500</f>
        <v>5.84</v>
      </c>
      <c r="CX241" s="932">
        <f>1-WWWW[[#This Row],[% Equitable and continuous access to sufficient quantity of domestic water]]</f>
        <v>0</v>
      </c>
      <c r="CY241" s="927">
        <f>WWWW[[#This Row],[%equitable and continuous access to sufficient quantity of safe drinking and domestic water''s GAP]]*WWWW[[#This Row],[Total PoP ]]</f>
        <v>0</v>
      </c>
      <c r="CZ241" s="930">
        <f>IF(WWWW[[#This Row],[Total required water points]]-WWWW[[#This Row],['#Water points coverage]]&lt;0,0,WWWW[[#This Row],[Total required water points]]-WWWW[[#This Row],['#Water points coverage]])</f>
        <v>0.16000000000000014</v>
      </c>
      <c r="DA241" s="930">
        <f>ROUND(IF(WWWW[[#This Row],[Total PoP ]]&lt;500,1,WWWW[[#This Row],[Total PoP ]]/500),0)</f>
        <v>6</v>
      </c>
      <c r="DB241" s="930">
        <f>(WWWW[[#This Row],['#_Constructed latrines_by_WASHAgencies]]+WWWW[[#This Row],['#_Non Cluster partner latrines]])-WWWW[[#This Row],['#_Non-functional latrines]]</f>
        <v>130</v>
      </c>
      <c r="DC241" s="634">
        <f>WWWW[[#This Row],[HRP2]]/WWWW[[#This Row],[Total PoP ]]</f>
        <v>0.8904109589041096</v>
      </c>
      <c r="DD24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2600</v>
      </c>
      <c r="DE24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1" s="425">
        <f>IF(WWWW[[#This Row],['# of functional latrines in THF supported by WASH partners during the reporting period2]]="",0,WWWW[[#This Row],['# of functional latrines in THF supported by WASH partners during the reporting period2]]*50)</f>
        <v>0</v>
      </c>
      <c r="DH241" s="930">
        <f>ROUND(IF(WWWW[[#This Row],[Location Type 1]]="camp",WWWW[[#This Row],[Total PoP ]]/20,IF(WWWW[[#This Row],[Location Type 1]]="Temporary Location",WWWW[[#This Row],[Total PoP ]]/50,(WWWW[[#This Row],[Total PoP ]]/6))),0)</f>
        <v>146</v>
      </c>
      <c r="DI241" s="930">
        <f>IF(WWWW[[#This Row],[Total required Latrines]]-(WWWW[[#This Row],['#_Constructed latrines_by_WASHAgencies]]+WWWW[[#This Row],['#_Non Cluster partner latrines]])&lt;0,0,WWWW[[#This Row],[Total required Latrines]]-(WWWW[[#This Row],['#_Constructed latrines_by_WASHAgencies]]+WWWW[[#This Row],['#_Non Cluster partner latrines]]))</f>
        <v>16</v>
      </c>
      <c r="DJ241" s="932">
        <f>1-WWWW[[#This Row],[% people access to functioning Latrine]]</f>
        <v>0.1095890410958904</v>
      </c>
      <c r="DK241" s="931">
        <f>IF(OR(WWWW[[#This Row],['#_Non-functional latrines]]="",WWWW[[#This Row],['#_Non-functional latrines]]=0),0,WWWW[[#This Row],['#_Non-functional latrines]]/(WWWW[[#This Row],['#_Constructed latrines_by_WASHAgencies]]+WWWW[[#This Row],['#_Non Cluster partner latrines]]))</f>
        <v>0</v>
      </c>
      <c r="DL241" s="927">
        <f>IF(500*(WWWW[[#This Row],['#_male hygiene promoters]]+WWWW[[#This Row],['#_female hygiene promoters]])&gt;WWWW[[#This Row],[Total PoP ]],WWWW[[#This Row],[Total PoP ]],500*(WWWW[[#This Row],['#_male hygiene promoters]]+WWWW[[#This Row],['#_female hygiene promoters]]))</f>
        <v>2920</v>
      </c>
      <c r="DM24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1" s="930">
        <f>IF(WWWW[[#This Row],['# People with access to soap]]&gt;WWWW[[#This Row],['# People with access to Sanity Pads]],WWWW[[#This Row],['# People with access to soap]],WWWW[[#This Row],['# People with access to Sanity Pads]])</f>
        <v>0</v>
      </c>
      <c r="DP241" s="930">
        <f>IF(WWWW[[#This Row],['# people reached by regular dedicated hygiene promotion_5]]&gt;WWWW[[#This Row],['# People received regular supply of hygiene items_6]],WWWW[[#This Row],['# people reached by regular dedicated hygiene promotion_5]],WWWW[[#This Row],['# People received regular supply of hygiene items_6]])</f>
        <v>2920</v>
      </c>
      <c r="DQ241" s="932">
        <f>IF(WWWW[[#This Row],[HRP3]]/WWWW[[#This Row],[Total PoP ]]&gt;1,1,WWWW[[#This Row],[HRP3]]/WWWW[[#This Row],[Total PoP ]])</f>
        <v>1</v>
      </c>
      <c r="DR241" s="931">
        <f>1-WWWW[[#This Row],[Hygiene Coverage%]]</f>
        <v>0</v>
      </c>
      <c r="DS241" s="929">
        <f>WWWW[[#This Row],['# people reached by regular dedicated hygiene promotion_5]]/WWWW[[#This Row],[Total PoP ]]</f>
        <v>1</v>
      </c>
      <c r="DT24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1" s="930">
        <f>WWWW[[#This Row],['#_Constructed/Existing hand washing stations]]-WWWW[[#This Row],['#_Non-Functional_hand_washing_stations]]</f>
        <v>7</v>
      </c>
      <c r="DW241" s="927">
        <f>IF(WWWW[[#This Row],['# Functional hand washing stations during reporting period]]*20&gt;WWWW[[#This Row],[Total HH]],WWWW[[#This Row],[Total HH]],WWWW[[#This Row],['# Functional hand washing stations during reporting period]]*20)</f>
        <v>140</v>
      </c>
      <c r="DX241" s="927">
        <f>IF(WWWW[[#This Row],[Is sufficient soap available for TLS? (Yes/No)]]="yes",WWWW[[#This Row],['#_Constructed/Existing hand washing stations at TLS/CFS/THF]],0)</f>
        <v>0</v>
      </c>
      <c r="DY241" s="429">
        <f>IF(WWWW[[#This Row],['# Functional hand washing stations during reporting period]]*100&gt;WWWW[[#This Row],[Total PoP ]],WWWW[[#This Row],[Total PoP ]],WWWW[[#This Row],['# Functional hand washing stations during reporting period]]*100)</f>
        <v>700</v>
      </c>
      <c r="DZ241" s="429" t="str">
        <f>IF(OR(WWWW[[#This Row],['#_students at TLS_CFS]]="",WWWW[[#This Row],['#_students at TLS_CFS]]=0),"No","Yes")</f>
        <v>No</v>
      </c>
      <c r="EA24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1" s="923" t="str">
        <f>VLOOKUP(WWWW[[#This Row],[Site Name]],SiteDB6[[Site Name]:[CCCM Management]],6,FALSE)</f>
        <v>Yes</v>
      </c>
      <c r="EF241" s="923" t="str">
        <f>VLOOKUP(WWWW[[#This Row],[Site Name]],SiteDB6[[Site Name]:[CCCM Focal Agency]],7,FALSE)</f>
        <v>KBC-MYT</v>
      </c>
      <c r="EG241" s="923" t="str">
        <f>VLOOKUP(WWWW[[#This Row],[Site Name]],SiteDB6[[Site Name]:[Location Type 1]],9,FALSE)</f>
        <v>Camp</v>
      </c>
      <c r="EH241" s="923" t="str">
        <f>VLOOKUP(WWWW[[#This Row],[Site Name]],SiteDB6[[Site Name]:[Type of Accommodation]],10,FALSE)</f>
        <v>Camp</v>
      </c>
      <c r="EI241" s="923" t="str">
        <f>VLOOKUP(WWWW[[#This Row],[Site Name]],SiteDB6[[Site Name]:[Ethnic or GCA/NGCA]],11,FALSE)</f>
        <v>GCA</v>
      </c>
      <c r="EJ241" s="923">
        <f>VLOOKUP(WWWW[[#This Row],[Site Name]],SiteDB6[[Site Name]:[Lat]],12,FALSE)</f>
        <v>25.4118005797101</v>
      </c>
      <c r="EK241" s="923">
        <f>VLOOKUP(WWWW[[#This Row],[Site Name]],SiteDB6[[Site Name]:[Long]],13,FALSE)</f>
        <v>97.434855869565197</v>
      </c>
      <c r="EL241" s="923" t="str">
        <f>VLOOKUP(WWWW[[#This Row],[Site Name]],SiteDB6[[Site Name]:[Pcode]],3,FALSE)</f>
        <v>MMR001CMP040</v>
      </c>
      <c r="EM241" s="928" t="str">
        <f t="shared" si="3"/>
        <v>Covered</v>
      </c>
      <c r="EN241" s="928"/>
      <c r="EO241" s="923">
        <f>VLOOKUP(WWWW[[#This Row],[Site Name]],SiteDB6[[Site Name]:[Pop
(Kachin/Shan-CCCM as of July 2021)]],16,FALSE)</f>
        <v>531</v>
      </c>
      <c r="EP241" s="923">
        <f>VLOOKUP(WWWW[[#This Row],[Site Name]],SiteDB6[[Site Name]:[Pop
(Kachin/Shan-CCCM as of July 2021)]],17,FALSE)</f>
        <v>2920</v>
      </c>
    </row>
    <row r="242" spans="1:146">
      <c r="A242" s="921" t="s">
        <v>2786</v>
      </c>
      <c r="B242" s="921" t="s">
        <v>3097</v>
      </c>
      <c r="C242" s="922" t="s">
        <v>141</v>
      </c>
      <c r="D242" s="922" t="s">
        <v>3105</v>
      </c>
      <c r="E242" s="922" t="s">
        <v>37</v>
      </c>
      <c r="F242" s="922" t="s">
        <v>142</v>
      </c>
      <c r="G242" s="594" t="str">
        <f>VLOOKUP(WWWW[[#This Row],[Site Name]],SiteDB6[[Site Name]:[Location Type]],8,FALSE)</f>
        <v>Camp</v>
      </c>
      <c r="H242" s="922" t="s">
        <v>179</v>
      </c>
      <c r="I242" s="924">
        <v>55</v>
      </c>
      <c r="J242" s="924">
        <v>283</v>
      </c>
      <c r="K242" s="925">
        <v>44682</v>
      </c>
      <c r="L242" s="926">
        <v>44865</v>
      </c>
      <c r="M242" s="924"/>
      <c r="N242" s="924">
        <v>1</v>
      </c>
      <c r="O242" s="924"/>
      <c r="P242" s="924"/>
      <c r="Q242" s="927" t="s">
        <v>41</v>
      </c>
      <c r="R242" s="924">
        <v>1</v>
      </c>
      <c r="S242" s="924">
        <v>3</v>
      </c>
      <c r="T242" s="449">
        <v>1</v>
      </c>
      <c r="U242" s="924"/>
      <c r="V242" s="924"/>
      <c r="W242" s="924"/>
      <c r="X242" s="924"/>
      <c r="Y242" s="924"/>
      <c r="Z242" s="924"/>
      <c r="AA242" s="924"/>
      <c r="AB242" s="924"/>
      <c r="AC242" s="924"/>
      <c r="AD242" s="924"/>
      <c r="AE242" s="924"/>
      <c r="AF242" s="924"/>
      <c r="AG242" s="924"/>
      <c r="AH242" s="924">
        <v>2</v>
      </c>
      <c r="AI242" s="924"/>
      <c r="AJ242" s="924"/>
      <c r="AK242" s="924"/>
      <c r="AL242" s="924"/>
      <c r="AM242" s="924"/>
      <c r="AN242" s="924"/>
      <c r="AO242" s="449"/>
      <c r="AP242" s="928"/>
      <c r="AQ242" s="924">
        <v>10</v>
      </c>
      <c r="AR242" s="924"/>
      <c r="AS242" s="929"/>
      <c r="AT242" s="924"/>
      <c r="AU242" s="924"/>
      <c r="AV242" s="924"/>
      <c r="AW242" s="924"/>
      <c r="AX242" s="924">
        <v>10</v>
      </c>
      <c r="AY242" s="923" t="s">
        <v>41</v>
      </c>
      <c r="AZ242" s="928" t="s">
        <v>137</v>
      </c>
      <c r="BA242" s="924"/>
      <c r="BB242" s="924"/>
      <c r="BC242" s="924"/>
      <c r="BD242" s="449"/>
      <c r="BE242" s="449"/>
      <c r="BF242" s="923"/>
      <c r="BG242" s="924">
        <v>7</v>
      </c>
      <c r="BH242" s="924"/>
      <c r="BI242" s="924"/>
      <c r="BJ242" s="924">
        <v>4</v>
      </c>
      <c r="BK242" s="924"/>
      <c r="BL242" s="924">
        <v>1</v>
      </c>
      <c r="BM242" s="924"/>
      <c r="BN242" s="924"/>
      <c r="BO242" s="924"/>
      <c r="BP242" s="923"/>
      <c r="BQ242" s="930"/>
      <c r="BR242" s="929"/>
      <c r="BS242" s="923"/>
      <c r="BT242" s="424"/>
      <c r="BU242" s="424"/>
      <c r="BV242" s="426"/>
      <c r="BW242" s="424"/>
      <c r="BX242" s="449"/>
      <c r="BY242" s="449"/>
      <c r="BZ242" s="449"/>
      <c r="CA242" s="449"/>
      <c r="CB242" s="449"/>
      <c r="CC242" s="807"/>
      <c r="CD242" s="449"/>
      <c r="CE242" s="931" t="str">
        <f>IFERROR(WWWW[[#This Row],['#_Water sources passed]]/WWWW[[#This Row],['#_Water sources tested for fecal coliform ]],"no test")</f>
        <v>no test</v>
      </c>
      <c r="CF242" s="929" t="str">
        <f>IFERROR(WWWW[[#This Row],['#_Household passed]]/WWWW[[#This Row],['#_Household water samples tested for fecal coliform]],"no test")</f>
        <v>no test</v>
      </c>
      <c r="CG242" s="930" t="str">
        <f>IF(AND(WWWW[[#This Row],[% of water sources passed]]="no test",WWWW[[#This Row],[% Household passed]]="no test"),"No Test","Tested")</f>
        <v>No Test</v>
      </c>
      <c r="CH242" s="930">
        <f>WWWW[[#This Row],['#_Constructed/existing protected hand dug well]]-WWWW[[#This Row],['#_Non-functional protected hand dug well]]</f>
        <v>1</v>
      </c>
      <c r="CI242" s="930">
        <f>(WWWW[[#This Row],['#_Constructed/Existing tube wells/boreholes/handpumps_WASH_agency]]+WWWW[[#This Row],['#_Non-Cluster partner water tube-wells/boreholes/handpumps]])-WWWW[[#This Row],['#_Non-functional tube wells/boreholes/handpumps]]</f>
        <v>0</v>
      </c>
      <c r="CJ242" s="930">
        <f>WWWW[[#This Row],['#_Constructed/Existingwater storage tank with gravity fed reticulation system]]-WWWW[[#This Row],['#_Non-functional storage tank gravity fed reticulation system]]</f>
        <v>0</v>
      </c>
      <c r="CK242" s="930">
        <f>(WWWW[[#This Row],['#_Water_Liters_supplied_by_Water boating or water trucking]]/90)/15</f>
        <v>0</v>
      </c>
      <c r="CL242" s="930">
        <f>WWWW[[#This Row],['#_Water_Liters_from_Constructed/Existing water distribution system from river or natural spring]]/90/15</f>
        <v>0</v>
      </c>
      <c r="CM242" s="425">
        <f>IF(WWWW[[#This Row],['#_of water points in TLS/CFS]]*500&gt;WWWW[[#This Row],[Total PoP ]],WWWW[[#This Row],[Total PoP ]],WWWW[[#This Row],['#_of water points in TLS/CFS]]*500)</f>
        <v>0</v>
      </c>
      <c r="CN242" s="425">
        <f>IF(WWWW[[#This Row],['#_of water points in THF]]*500&gt;WWWW[[#This Row],[Total PoP ]],WWWW[[#This Row],[Total PoP ]],WWWW[[#This Row],['#_of water points in THF]]*500)</f>
        <v>0</v>
      </c>
      <c r="CO24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0.88339222614840984</v>
      </c>
      <c r="CQ242" s="929">
        <f>IF(WWWW[[#This Row],[Location Type 1]]="Village",WWWW[[#This Row],[Access to safe drinking water for Village]],WWWW[[#This Row],[Access to safe drinking water for Camp]])</f>
        <v>1</v>
      </c>
      <c r="CR242" s="927">
        <f>WWWW[[#This Row],[%Equitable and continuous access to sufficient quantity of safe drinking water]]*WWWW[[#This Row],[Total PoP ]]</f>
        <v>283</v>
      </c>
      <c r="CS242" s="929">
        <f>IF((WWWW[[#This Row],['#_Constructed/Existing protected/fenced ponds]]*250)/WWWW[[#This Row],[Total PoP ]]&gt;1,1,(WWWW[[#This Row],['#_Constructed/Existing protected/fenced ponds]]*250)/WWWW[[#This Row],[Total PoP ]])</f>
        <v>0</v>
      </c>
      <c r="CT242" s="927">
        <f>WWWW[[#This Row],[% Access to unimproved water points]]*WWWW[[#This Row],[Total PoP ]]</f>
        <v>0</v>
      </c>
      <c r="CU24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283</v>
      </c>
      <c r="CW242" s="927">
        <f>WWWW[[#This Row],[HRP1]]/500</f>
        <v>0.56599999999999995</v>
      </c>
      <c r="CX242" s="932">
        <f>1-WWWW[[#This Row],[% Equitable and continuous access to sufficient quantity of domestic water]]</f>
        <v>0</v>
      </c>
      <c r="CY242" s="927">
        <f>WWWW[[#This Row],[%equitable and continuous access to sufficient quantity of safe drinking and domestic water''s GAP]]*WWWW[[#This Row],[Total PoP ]]</f>
        <v>0</v>
      </c>
      <c r="CZ242" s="930">
        <f>IF(WWWW[[#This Row],[Total required water points]]-WWWW[[#This Row],['#Water points coverage]]&lt;0,0,WWWW[[#This Row],[Total required water points]]-WWWW[[#This Row],['#Water points coverage]])</f>
        <v>0.43400000000000005</v>
      </c>
      <c r="DA242" s="930">
        <f>ROUND(IF(WWWW[[#This Row],[Total PoP ]]&lt;500,1,WWWW[[#This Row],[Total PoP ]]/500),0)</f>
        <v>1</v>
      </c>
      <c r="DB242" s="930">
        <f>(WWWW[[#This Row],['#_Constructed latrines_by_WASHAgencies]]+WWWW[[#This Row],['#_Non Cluster partner latrines]])-WWWW[[#This Row],['#_Non-functional latrines]]</f>
        <v>10</v>
      </c>
      <c r="DC242" s="634">
        <f>WWWW[[#This Row],[HRP2]]/WWWW[[#This Row],[Total PoP ]]</f>
        <v>0.70671378091872794</v>
      </c>
      <c r="DD24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24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2" s="425">
        <f>IF(WWWW[[#This Row],['# of functional latrines in THF supported by WASH partners during the reporting period2]]="",0,WWWW[[#This Row],['# of functional latrines in THF supported by WASH partners during the reporting period2]]*50)</f>
        <v>0</v>
      </c>
      <c r="DH242" s="930">
        <f>ROUND(IF(WWWW[[#This Row],[Location Type 1]]="camp",WWWW[[#This Row],[Total PoP ]]/20,IF(WWWW[[#This Row],[Location Type 1]]="Temporary Location",WWWW[[#This Row],[Total PoP ]]/50,(WWWW[[#This Row],[Total PoP ]]/6))),0)</f>
        <v>14</v>
      </c>
      <c r="DI242" s="930">
        <f>IF(WWWW[[#This Row],[Total required Latrines]]-(WWWW[[#This Row],['#_Constructed latrines_by_WASHAgencies]]+WWWW[[#This Row],['#_Non Cluster partner latrines]])&lt;0,0,WWWW[[#This Row],[Total required Latrines]]-(WWWW[[#This Row],['#_Constructed latrines_by_WASHAgencies]]+WWWW[[#This Row],['#_Non Cluster partner latrines]]))</f>
        <v>4</v>
      </c>
      <c r="DJ242" s="932">
        <f>1-WWWW[[#This Row],[% people access to functioning Latrine]]</f>
        <v>0.29328621908127206</v>
      </c>
      <c r="DK242" s="931">
        <f>IF(OR(WWWW[[#This Row],['#_Non-functional latrines]]="",WWWW[[#This Row],['#_Non-functional latrines]]=0),0,WWWW[[#This Row],['#_Non-functional latrines]]/(WWWW[[#This Row],['#_Constructed latrines_by_WASHAgencies]]+WWWW[[#This Row],['#_Non Cluster partner latrines]]))</f>
        <v>0</v>
      </c>
      <c r="DL242" s="927">
        <f>IF(500*(WWWW[[#This Row],['#_male hygiene promoters]]+WWWW[[#This Row],['#_female hygiene promoters]])&gt;WWWW[[#This Row],[Total PoP ]],WWWW[[#This Row],[Total PoP ]],500*(WWWW[[#This Row],['#_male hygiene promoters]]+WWWW[[#This Row],['#_female hygiene promoters]]))</f>
        <v>283</v>
      </c>
      <c r="DM24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2" s="930">
        <f>IF(WWWW[[#This Row],['# People with access to soap]]&gt;WWWW[[#This Row],['# People with access to Sanity Pads]],WWWW[[#This Row],['# People with access to soap]],WWWW[[#This Row],['# People with access to Sanity Pads]])</f>
        <v>0</v>
      </c>
      <c r="DP242" s="930">
        <f>IF(WWWW[[#This Row],['# people reached by regular dedicated hygiene promotion_5]]&gt;WWWW[[#This Row],['# People received regular supply of hygiene items_6]],WWWW[[#This Row],['# people reached by regular dedicated hygiene promotion_5]],WWWW[[#This Row],['# People received regular supply of hygiene items_6]])</f>
        <v>283</v>
      </c>
      <c r="DQ242" s="932">
        <f>IF(WWWW[[#This Row],[HRP3]]/WWWW[[#This Row],[Total PoP ]]&gt;1,1,WWWW[[#This Row],[HRP3]]/WWWW[[#This Row],[Total PoP ]])</f>
        <v>1</v>
      </c>
      <c r="DR242" s="931">
        <f>1-WWWW[[#This Row],[Hygiene Coverage%]]</f>
        <v>0</v>
      </c>
      <c r="DS242" s="929">
        <f>WWWW[[#This Row],['# people reached by regular dedicated hygiene promotion_5]]/WWWW[[#This Row],[Total PoP ]]</f>
        <v>1</v>
      </c>
      <c r="DT24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2" s="930">
        <f>WWWW[[#This Row],['#_Constructed/Existing hand washing stations]]-WWWW[[#This Row],['#_Non-Functional_hand_washing_stations]]</f>
        <v>7</v>
      </c>
      <c r="DW242" s="927">
        <f>IF(WWWW[[#This Row],['# Functional hand washing stations during reporting period]]*20&gt;WWWW[[#This Row],[Total HH]],WWWW[[#This Row],[Total HH]],WWWW[[#This Row],['# Functional hand washing stations during reporting period]]*20)</f>
        <v>55</v>
      </c>
      <c r="DX242" s="927">
        <f>IF(WWWW[[#This Row],[Is sufficient soap available for TLS? (Yes/No)]]="yes",WWWW[[#This Row],['#_Constructed/Existing hand washing stations at TLS/CFS/THF]],0)</f>
        <v>0</v>
      </c>
      <c r="DY242" s="429">
        <f>IF(WWWW[[#This Row],['# Functional hand washing stations during reporting period]]*100&gt;WWWW[[#This Row],[Total PoP ]],WWWW[[#This Row],[Total PoP ]],WWWW[[#This Row],['# Functional hand washing stations during reporting period]]*100)</f>
        <v>283</v>
      </c>
      <c r="DZ242" s="429" t="str">
        <f>IF(OR(WWWW[[#This Row],['#_students at TLS_CFS]]="",WWWW[[#This Row],['#_students at TLS_CFS]]=0),"No","Yes")</f>
        <v>No</v>
      </c>
      <c r="EA24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2" s="923" t="str">
        <f>VLOOKUP(WWWW[[#This Row],[Site Name]],SiteDB6[[Site Name]:[CCCM Management]],6,FALSE)</f>
        <v>Yes</v>
      </c>
      <c r="EF242" s="923" t="str">
        <f>VLOOKUP(WWWW[[#This Row],[Site Name]],SiteDB6[[Site Name]:[CCCM Focal Agency]],7,FALSE)</f>
        <v>KBC-MYT</v>
      </c>
      <c r="EG242" s="923" t="str">
        <f>VLOOKUP(WWWW[[#This Row],[Site Name]],SiteDB6[[Site Name]:[Location Type 1]],9,FALSE)</f>
        <v>Camp</v>
      </c>
      <c r="EH242" s="923" t="str">
        <f>VLOOKUP(WWWW[[#This Row],[Site Name]],SiteDB6[[Site Name]:[Type of Accommodation]],10,FALSE)</f>
        <v>Camp</v>
      </c>
      <c r="EI242" s="923" t="str">
        <f>VLOOKUP(WWWW[[#This Row],[Site Name]],SiteDB6[[Site Name]:[Ethnic or GCA/NGCA]],11,FALSE)</f>
        <v>GCA</v>
      </c>
      <c r="EJ242" s="923">
        <f>VLOOKUP(WWWW[[#This Row],[Site Name]],SiteDB6[[Site Name]:[Lat]],12,FALSE)</f>
        <v>25.409612685185198</v>
      </c>
      <c r="EK242" s="923">
        <f>VLOOKUP(WWWW[[#This Row],[Site Name]],SiteDB6[[Site Name]:[Long]],13,FALSE)</f>
        <v>97.426536944444507</v>
      </c>
      <c r="EL242" s="923" t="str">
        <f>VLOOKUP(WWWW[[#This Row],[Site Name]],SiteDB6[[Site Name]:[Pcode]],3,FALSE)</f>
        <v>MMR001CMP039</v>
      </c>
      <c r="EM242" s="928" t="str">
        <f t="shared" si="3"/>
        <v>Covered</v>
      </c>
      <c r="EN242" s="928"/>
      <c r="EO242" s="923">
        <f>VLOOKUP(WWWW[[#This Row],[Site Name]],SiteDB6[[Site Name]:[Pop
(Kachin/Shan-CCCM as of July 2021)]],16,FALSE)</f>
        <v>55</v>
      </c>
      <c r="EP242" s="923">
        <f>VLOOKUP(WWWW[[#This Row],[Site Name]],SiteDB6[[Site Name]:[Pop
(Kachin/Shan-CCCM as of July 2021)]],17,FALSE)</f>
        <v>283</v>
      </c>
    </row>
    <row r="243" spans="1:146">
      <c r="A243" s="921" t="s">
        <v>2786</v>
      </c>
      <c r="B243" s="921" t="s">
        <v>2082</v>
      </c>
      <c r="C243" s="922" t="s">
        <v>141</v>
      </c>
      <c r="D243" s="922" t="s">
        <v>299</v>
      </c>
      <c r="E243" s="922" t="s">
        <v>37</v>
      </c>
      <c r="F243" s="922" t="s">
        <v>142</v>
      </c>
      <c r="G243" s="594" t="str">
        <f>VLOOKUP(WWWW[[#This Row],[Site Name]],SiteDB6[[Site Name]:[Location Type]],8,FALSE)</f>
        <v>Camp</v>
      </c>
      <c r="H243" s="922" t="s">
        <v>180</v>
      </c>
      <c r="I243" s="924">
        <v>166</v>
      </c>
      <c r="J243" s="924">
        <v>966</v>
      </c>
      <c r="K243" s="925">
        <v>44682</v>
      </c>
      <c r="L243" s="926">
        <v>44865</v>
      </c>
      <c r="M243" s="924"/>
      <c r="N243" s="924">
        <v>1</v>
      </c>
      <c r="O243" s="924"/>
      <c r="P243" s="924"/>
      <c r="Q243" s="927" t="s">
        <v>41</v>
      </c>
      <c r="R243" s="924">
        <v>3</v>
      </c>
      <c r="S243" s="924">
        <v>2</v>
      </c>
      <c r="T243" s="449">
        <v>3</v>
      </c>
      <c r="U243" s="924">
        <v>1</v>
      </c>
      <c r="V243" s="924"/>
      <c r="W243" s="924"/>
      <c r="X243" s="924"/>
      <c r="Y243" s="924"/>
      <c r="Z243" s="924"/>
      <c r="AA243" s="924">
        <v>4</v>
      </c>
      <c r="AB243" s="924">
        <v>2</v>
      </c>
      <c r="AC243" s="924"/>
      <c r="AD243" s="924"/>
      <c r="AE243" s="924"/>
      <c r="AF243" s="924"/>
      <c r="AG243" s="924"/>
      <c r="AH243" s="924"/>
      <c r="AI243" s="924"/>
      <c r="AJ243" s="924"/>
      <c r="AK243" s="924"/>
      <c r="AL243" s="924"/>
      <c r="AM243" s="924"/>
      <c r="AN243" s="924"/>
      <c r="AO243" s="449"/>
      <c r="AP243" s="928"/>
      <c r="AQ243" s="449">
        <v>170</v>
      </c>
      <c r="AR243" s="924"/>
      <c r="AS243" s="929"/>
      <c r="AT243" s="924"/>
      <c r="AU243" s="924"/>
      <c r="AV243" s="924"/>
      <c r="AW243" s="924"/>
      <c r="AX243" s="924">
        <v>150</v>
      </c>
      <c r="AY243" s="923" t="s">
        <v>41</v>
      </c>
      <c r="AZ243" s="928" t="s">
        <v>137</v>
      </c>
      <c r="BA243" s="924"/>
      <c r="BB243" s="924"/>
      <c r="BC243" s="924"/>
      <c r="BD243" s="449"/>
      <c r="BE243" s="449"/>
      <c r="BF243" s="923"/>
      <c r="BG243" s="924">
        <v>25</v>
      </c>
      <c r="BH243" s="924">
        <v>5</v>
      </c>
      <c r="BI243" s="924">
        <v>5</v>
      </c>
      <c r="BJ243" s="924"/>
      <c r="BK243" s="924"/>
      <c r="BL243" s="924">
        <v>1</v>
      </c>
      <c r="BM243" s="924">
        <v>2</v>
      </c>
      <c r="BN243" s="924"/>
      <c r="BO243" s="924"/>
      <c r="BP243" s="923"/>
      <c r="BQ243" s="930"/>
      <c r="BR243" s="929"/>
      <c r="BS243" s="923"/>
      <c r="BT243" s="424"/>
      <c r="BU243" s="424"/>
      <c r="BV243" s="426"/>
      <c r="BW243" s="424"/>
      <c r="BX243" s="449"/>
      <c r="BY243" s="449"/>
      <c r="BZ243" s="449"/>
      <c r="CA243" s="449"/>
      <c r="CB243" s="449"/>
      <c r="CC243" s="807"/>
      <c r="CD243" s="449"/>
      <c r="CE243" s="931" t="str">
        <f>IFERROR(WWWW[[#This Row],['#_Water sources passed]]/WWWW[[#This Row],['#_Water sources tested for fecal coliform ]],"no test")</f>
        <v>no test</v>
      </c>
      <c r="CF243" s="929" t="str">
        <f>IFERROR(WWWW[[#This Row],['#_Household passed]]/WWWW[[#This Row],['#_Household water samples tested for fecal coliform]],"no test")</f>
        <v>no test</v>
      </c>
      <c r="CG243" s="930" t="str">
        <f>IF(AND(WWWW[[#This Row],[% of water sources passed]]="no test",WWWW[[#This Row],[% Household passed]]="no test"),"No Test","Tested")</f>
        <v>No Test</v>
      </c>
      <c r="CH243" s="930">
        <f>WWWW[[#This Row],['#_Constructed/existing protected hand dug well]]-WWWW[[#This Row],['#_Non-functional protected hand dug well]]</f>
        <v>2</v>
      </c>
      <c r="CI243" s="930">
        <f>(WWWW[[#This Row],['#_Constructed/Existing tube wells/boreholes/handpumps_WASH_agency]]+WWWW[[#This Row],['#_Non-Cluster partner water tube-wells/boreholes/handpumps]])-WWWW[[#This Row],['#_Non-functional tube wells/boreholes/handpumps]]</f>
        <v>0</v>
      </c>
      <c r="CJ243" s="930">
        <f>WWWW[[#This Row],['#_Constructed/Existingwater storage tank with gravity fed reticulation system]]-WWWW[[#This Row],['#_Non-functional storage tank gravity fed reticulation system]]</f>
        <v>2</v>
      </c>
      <c r="CK243" s="930">
        <f>(WWWW[[#This Row],['#_Water_Liters_supplied_by_Water boating or water trucking]]/90)/15</f>
        <v>0</v>
      </c>
      <c r="CL243" s="930">
        <f>WWWW[[#This Row],['#_Water_Liters_from_Constructed/Existing water distribution system from river or natural spring]]/90/15</f>
        <v>0</v>
      </c>
      <c r="CM243" s="425">
        <f>IF(WWWW[[#This Row],['#_of water points in TLS/CFS]]*500&gt;WWWW[[#This Row],[Total PoP ]],WWWW[[#This Row],[Total PoP ]],WWWW[[#This Row],['#_of water points in TLS/CFS]]*500)</f>
        <v>0</v>
      </c>
      <c r="CN243" s="425">
        <f>IF(WWWW[[#This Row],['#_of water points in THF]]*500&gt;WWWW[[#This Row],[Total PoP ]],WWWW[[#This Row],[Total PoP ]],WWWW[[#This Row],['#_of water points in THF]]*500)</f>
        <v>0</v>
      </c>
      <c r="CO24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0.96618357487922713</v>
      </c>
      <c r="CP24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0.65562456866804697</v>
      </c>
      <c r="CQ243" s="929">
        <f>IF(WWWW[[#This Row],[Location Type 1]]="Village",WWWW[[#This Row],[Access to safe drinking water for Village]],WWWW[[#This Row],[Access to safe drinking water for Camp]])</f>
        <v>0.96618357487922713</v>
      </c>
      <c r="CR243" s="927">
        <f>WWWW[[#This Row],[%Equitable and continuous access to sufficient quantity of safe drinking water]]*WWWW[[#This Row],[Total PoP ]]</f>
        <v>933.33333333333337</v>
      </c>
      <c r="CS243" s="929">
        <f>IF((WWWW[[#This Row],['#_Constructed/Existing protected/fenced ponds]]*250)/WWWW[[#This Row],[Total PoP ]]&gt;1,1,(WWWW[[#This Row],['#_Constructed/Existing protected/fenced ponds]]*250)/WWWW[[#This Row],[Total PoP ]])</f>
        <v>0</v>
      </c>
      <c r="CT243" s="927">
        <f>WWWW[[#This Row],[% Access to unimproved water points]]*WWWW[[#This Row],[Total PoP ]]</f>
        <v>0</v>
      </c>
      <c r="CU24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0.96618357487922713</v>
      </c>
      <c r="CV24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933.33333333333337</v>
      </c>
      <c r="CW243" s="927">
        <f>WWWW[[#This Row],[HRP1]]/500</f>
        <v>1.8666666666666667</v>
      </c>
      <c r="CX243" s="932">
        <f>1-WWWW[[#This Row],[% Equitable and continuous access to sufficient quantity of domestic water]]</f>
        <v>3.3816425120772875E-2</v>
      </c>
      <c r="CY243" s="927">
        <f>WWWW[[#This Row],[%equitable and continuous access to sufficient quantity of safe drinking and domestic water''s GAP]]*WWWW[[#This Row],[Total PoP ]]</f>
        <v>32.6666666666666</v>
      </c>
      <c r="CZ243" s="930">
        <f>IF(WWWW[[#This Row],[Total required water points]]-WWWW[[#This Row],['#Water points coverage]]&lt;0,0,WWWW[[#This Row],[Total required water points]]-WWWW[[#This Row],['#Water points coverage]])</f>
        <v>0.1333333333333333</v>
      </c>
      <c r="DA243" s="930">
        <f>ROUND(IF(WWWW[[#This Row],[Total PoP ]]&lt;500,1,WWWW[[#This Row],[Total PoP ]]/500),0)</f>
        <v>2</v>
      </c>
      <c r="DB243" s="930">
        <f>(WWWW[[#This Row],['#_Constructed latrines_by_WASHAgencies]]+WWWW[[#This Row],['#_Non Cluster partner latrines]])-WWWW[[#This Row],['#_Non-functional latrines]]</f>
        <v>170</v>
      </c>
      <c r="DC243" s="634">
        <f>WWWW[[#This Row],[HRP2]]/WWWW[[#This Row],[Total PoP ]]</f>
        <v>0.87991718426501031</v>
      </c>
      <c r="DD24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850</v>
      </c>
      <c r="DE24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3" s="425">
        <f>IF(WWWW[[#This Row],['# of functional latrines in THF supported by WASH partners during the reporting period2]]="",0,WWWW[[#This Row],['# of functional latrines in THF supported by WASH partners during the reporting period2]]*50)</f>
        <v>0</v>
      </c>
      <c r="DH243" s="930">
        <f>ROUND(IF(WWWW[[#This Row],[Location Type 1]]="camp",WWWW[[#This Row],[Total PoP ]]/20,IF(WWWW[[#This Row],[Location Type 1]]="Temporary Location",WWWW[[#This Row],[Total PoP ]]/50,(WWWW[[#This Row],[Total PoP ]]/6))),0)</f>
        <v>161</v>
      </c>
      <c r="DI243" s="930">
        <f>IF(WWWW[[#This Row],[Total required Latrines]]-(WWWW[[#This Row],['#_Constructed latrines_by_WASHAgencies]]+WWWW[[#This Row],['#_Non Cluster partner latrines]])&lt;0,0,WWWW[[#This Row],[Total required Latrines]]-(WWWW[[#This Row],['#_Constructed latrines_by_WASHAgencies]]+WWWW[[#This Row],['#_Non Cluster partner latrines]]))</f>
        <v>0</v>
      </c>
      <c r="DJ243" s="932">
        <f>1-WWWW[[#This Row],[% people access to functioning Latrine]]</f>
        <v>0.12008281573498969</v>
      </c>
      <c r="DK243" s="931">
        <f>IF(OR(WWWW[[#This Row],['#_Non-functional latrines]]="",WWWW[[#This Row],['#_Non-functional latrines]]=0),0,WWWW[[#This Row],['#_Non-functional latrines]]/(WWWW[[#This Row],['#_Constructed latrines_by_WASHAgencies]]+WWWW[[#This Row],['#_Non Cluster partner latrines]]))</f>
        <v>0</v>
      </c>
      <c r="DL243" s="927">
        <f>IF(500*(WWWW[[#This Row],['#_male hygiene promoters]]+WWWW[[#This Row],['#_female hygiene promoters]])&gt;WWWW[[#This Row],[Total PoP ]],WWWW[[#This Row],[Total PoP ]],500*(WWWW[[#This Row],['#_male hygiene promoters]]+WWWW[[#This Row],['#_female hygiene promoters]]))</f>
        <v>966</v>
      </c>
      <c r="DM24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3" s="930">
        <f>IF(WWWW[[#This Row],['# People with access to soap]]&gt;WWWW[[#This Row],['# People with access to Sanity Pads]],WWWW[[#This Row],['# People with access to soap]],WWWW[[#This Row],['# People with access to Sanity Pads]])</f>
        <v>0</v>
      </c>
      <c r="DP243" s="930">
        <f>IF(WWWW[[#This Row],['# people reached by regular dedicated hygiene promotion_5]]&gt;WWWW[[#This Row],['# People received regular supply of hygiene items_6]],WWWW[[#This Row],['# people reached by regular dedicated hygiene promotion_5]],WWWW[[#This Row],['# People received regular supply of hygiene items_6]])</f>
        <v>966</v>
      </c>
      <c r="DQ243" s="932">
        <f>IF(WWWW[[#This Row],[HRP3]]/WWWW[[#This Row],[Total PoP ]]&gt;1,1,WWWW[[#This Row],[HRP3]]/WWWW[[#This Row],[Total PoP ]])</f>
        <v>1</v>
      </c>
      <c r="DR243" s="931">
        <f>1-WWWW[[#This Row],[Hygiene Coverage%]]</f>
        <v>0</v>
      </c>
      <c r="DS243" s="929">
        <f>WWWW[[#This Row],['# people reached by regular dedicated hygiene promotion_5]]/WWWW[[#This Row],[Total PoP ]]</f>
        <v>1</v>
      </c>
      <c r="DT24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3" s="930">
        <f>WWWW[[#This Row],['#_Constructed/Existing hand washing stations]]-WWWW[[#This Row],['#_Non-Functional_hand_washing_stations]]</f>
        <v>20</v>
      </c>
      <c r="DW243" s="927">
        <f>IF(WWWW[[#This Row],['# Functional hand washing stations during reporting period]]*20&gt;WWWW[[#This Row],[Total HH]],WWWW[[#This Row],[Total HH]],WWWW[[#This Row],['# Functional hand washing stations during reporting period]]*20)</f>
        <v>166</v>
      </c>
      <c r="DX243" s="927">
        <f>IF(WWWW[[#This Row],[Is sufficient soap available for TLS? (Yes/No)]]="yes",WWWW[[#This Row],['#_Constructed/Existing hand washing stations at TLS/CFS/THF]],0)</f>
        <v>0</v>
      </c>
      <c r="DY243" s="429">
        <f>IF(WWWW[[#This Row],['# Functional hand washing stations during reporting period]]*100&gt;WWWW[[#This Row],[Total PoP ]],WWWW[[#This Row],[Total PoP ]],WWWW[[#This Row],['# Functional hand washing stations during reporting period]]*100)</f>
        <v>966</v>
      </c>
      <c r="DZ243" s="429" t="str">
        <f>IF(OR(WWWW[[#This Row],['#_students at TLS_CFS]]="",WWWW[[#This Row],['#_students at TLS_CFS]]=0),"No","Yes")</f>
        <v>No</v>
      </c>
      <c r="EA24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3" s="923" t="str">
        <f>VLOOKUP(WWWW[[#This Row],[Site Name]],SiteDB6[[Site Name]:[CCCM Management]],6,FALSE)</f>
        <v>Yes</v>
      </c>
      <c r="EF243" s="923" t="str">
        <f>VLOOKUP(WWWW[[#This Row],[Site Name]],SiteDB6[[Site Name]:[CCCM Focal Agency]],7,FALSE)</f>
        <v>KBC-MYT</v>
      </c>
      <c r="EG243" s="923" t="str">
        <f>VLOOKUP(WWWW[[#This Row],[Site Name]],SiteDB6[[Site Name]:[Location Type 1]],9,FALSE)</f>
        <v>Village Type Camp</v>
      </c>
      <c r="EH243" s="923" t="str">
        <f>VLOOKUP(WWWW[[#This Row],[Site Name]],SiteDB6[[Site Name]:[Type of Accommodation]],10,FALSE)</f>
        <v>Camp</v>
      </c>
      <c r="EI243" s="923" t="str">
        <f>VLOOKUP(WWWW[[#This Row],[Site Name]],SiteDB6[[Site Name]:[Ethnic or GCA/NGCA]],11,FALSE)</f>
        <v>NGCA</v>
      </c>
      <c r="EJ243" s="923">
        <f>VLOOKUP(WWWW[[#This Row],[Site Name]],SiteDB6[[Site Name]:[Lat]],12,FALSE)</f>
        <v>24.831944</v>
      </c>
      <c r="EK243" s="923">
        <f>VLOOKUP(WWWW[[#This Row],[Site Name]],SiteDB6[[Site Name]:[Long]],13,FALSE)</f>
        <v>97.751389000000003</v>
      </c>
      <c r="EL243" s="923" t="str">
        <f>VLOOKUP(WWWW[[#This Row],[Site Name]],SiteDB6[[Site Name]:[Pcode]],3,FALSE)</f>
        <v>MMR001CMP120</v>
      </c>
      <c r="EM243" s="928" t="str">
        <f t="shared" si="3"/>
        <v>Covered</v>
      </c>
      <c r="EN243" s="928"/>
      <c r="EO243" s="923">
        <f>VLOOKUP(WWWW[[#This Row],[Site Name]],SiteDB6[[Site Name]:[Pop
(Kachin/Shan-CCCM as of July 2021)]],16,FALSE)</f>
        <v>166</v>
      </c>
      <c r="EP243" s="923">
        <f>VLOOKUP(WWWW[[#This Row],[Site Name]],SiteDB6[[Site Name]:[Pop
(Kachin/Shan-CCCM as of July 2021)]],17,FALSE)</f>
        <v>966</v>
      </c>
    </row>
    <row r="244" spans="1:146">
      <c r="A244" s="921" t="s">
        <v>2786</v>
      </c>
      <c r="B244" s="921" t="s">
        <v>3106</v>
      </c>
      <c r="C244" s="922" t="s">
        <v>141</v>
      </c>
      <c r="D244" s="370" t="s">
        <v>3107</v>
      </c>
      <c r="E244" s="922" t="s">
        <v>37</v>
      </c>
      <c r="F244" s="922" t="s">
        <v>142</v>
      </c>
      <c r="G244" s="594" t="str">
        <f>VLOOKUP(WWWW[[#This Row],[Site Name]],SiteDB6[[Site Name]:[Location Type]],8,FALSE)</f>
        <v>Camp</v>
      </c>
      <c r="H244" s="922" t="s">
        <v>181</v>
      </c>
      <c r="I244" s="924">
        <v>81</v>
      </c>
      <c r="J244" s="924">
        <v>396</v>
      </c>
      <c r="K244" s="830" t="s">
        <v>3108</v>
      </c>
      <c r="L244" s="56" t="s">
        <v>3104</v>
      </c>
      <c r="M244" s="924"/>
      <c r="N244" s="924">
        <v>2</v>
      </c>
      <c r="O244" s="924"/>
      <c r="P244" s="924"/>
      <c r="Q244" s="927" t="s">
        <v>41</v>
      </c>
      <c r="R244" s="924">
        <v>3</v>
      </c>
      <c r="S244" s="924">
        <v>3</v>
      </c>
      <c r="T244" s="449">
        <v>2</v>
      </c>
      <c r="U244" s="924"/>
      <c r="V244" s="924"/>
      <c r="W244" s="924"/>
      <c r="X244" s="924"/>
      <c r="Y244" s="924"/>
      <c r="Z244" s="924"/>
      <c r="AA244" s="924"/>
      <c r="AB244" s="924"/>
      <c r="AC244" s="924"/>
      <c r="AD244" s="924"/>
      <c r="AE244" s="924"/>
      <c r="AF244" s="924"/>
      <c r="AG244" s="924"/>
      <c r="AH244" s="924">
        <v>1</v>
      </c>
      <c r="AI244" s="924"/>
      <c r="AJ244" s="924"/>
      <c r="AK244" s="924"/>
      <c r="AL244" s="924"/>
      <c r="AM244" s="924"/>
      <c r="AN244" s="924"/>
      <c r="AO244" s="449"/>
      <c r="AP244" s="928"/>
      <c r="AQ244" s="924">
        <v>14</v>
      </c>
      <c r="AR244" s="924"/>
      <c r="AS244" s="929"/>
      <c r="AT244" s="924"/>
      <c r="AU244" s="924"/>
      <c r="AV244" s="924"/>
      <c r="AW244" s="924"/>
      <c r="AX244" s="924">
        <v>10</v>
      </c>
      <c r="AY244" s="923" t="s">
        <v>41</v>
      </c>
      <c r="AZ244" s="928" t="s">
        <v>137</v>
      </c>
      <c r="BA244" s="924"/>
      <c r="BB244" s="924"/>
      <c r="BC244" s="924"/>
      <c r="BD244" s="449"/>
      <c r="BE244" s="449"/>
      <c r="BF244" s="923"/>
      <c r="BG244" s="924">
        <v>1</v>
      </c>
      <c r="BH244" s="924"/>
      <c r="BI244" s="924"/>
      <c r="BJ244" s="924">
        <v>3</v>
      </c>
      <c r="BK244" s="924"/>
      <c r="BL244" s="924">
        <v>1</v>
      </c>
      <c r="BM244" s="924">
        <v>1</v>
      </c>
      <c r="BN244" s="449">
        <v>19</v>
      </c>
      <c r="BO244" s="449">
        <v>20</v>
      </c>
      <c r="BP244" s="923"/>
      <c r="BQ244" s="930"/>
      <c r="BR244" s="929"/>
      <c r="BS244" s="426" t="s">
        <v>3077</v>
      </c>
      <c r="BT244" s="424"/>
      <c r="BU244" s="424"/>
      <c r="BV244" s="426"/>
      <c r="BW244" s="424"/>
      <c r="BX244" s="449"/>
      <c r="BY244" s="449"/>
      <c r="BZ244" s="449"/>
      <c r="CA244" s="449"/>
      <c r="CB244" s="449"/>
      <c r="CC244" s="807"/>
      <c r="CD244" s="449"/>
      <c r="CE244" s="931" t="str">
        <f>IFERROR(WWWW[[#This Row],['#_Water sources passed]]/WWWW[[#This Row],['#_Water sources tested for fecal coliform ]],"no test")</f>
        <v>no test</v>
      </c>
      <c r="CF244" s="929" t="str">
        <f>IFERROR(WWWW[[#This Row],['#_Household passed]]/WWWW[[#This Row],['#_Household water samples tested for fecal coliform]],"no test")</f>
        <v>no test</v>
      </c>
      <c r="CG244" s="930" t="str">
        <f>IF(AND(WWWW[[#This Row],[% of water sources passed]]="no test",WWWW[[#This Row],[% Household passed]]="no test"),"No Test","Tested")</f>
        <v>No Test</v>
      </c>
      <c r="CH244" s="930">
        <f>WWWW[[#This Row],['#_Constructed/existing protected hand dug well]]-WWWW[[#This Row],['#_Non-functional protected hand dug well]]</f>
        <v>2</v>
      </c>
      <c r="CI244" s="930">
        <f>(WWWW[[#This Row],['#_Constructed/Existing tube wells/boreholes/handpumps_WASH_agency]]+WWWW[[#This Row],['#_Non-Cluster partner water tube-wells/boreholes/handpumps]])-WWWW[[#This Row],['#_Non-functional tube wells/boreholes/handpumps]]</f>
        <v>0</v>
      </c>
      <c r="CJ244" s="930">
        <f>WWWW[[#This Row],['#_Constructed/Existingwater storage tank with gravity fed reticulation system]]-WWWW[[#This Row],['#_Non-functional storage tank gravity fed reticulation system]]</f>
        <v>0</v>
      </c>
      <c r="CK244" s="930">
        <f>(WWWW[[#This Row],['#_Water_Liters_supplied_by_Water boating or water trucking]]/90)/15</f>
        <v>0</v>
      </c>
      <c r="CL244" s="930">
        <f>WWWW[[#This Row],['#_Water_Liters_from_Constructed/Existing water distribution system from river or natural spring]]/90/15</f>
        <v>0</v>
      </c>
      <c r="CM244" s="425">
        <f>IF(WWWW[[#This Row],['#_of water points in TLS/CFS]]*500&gt;WWWW[[#This Row],[Total PoP ]],WWWW[[#This Row],[Total PoP ]],WWWW[[#This Row],['#_of water points in TLS/CFS]]*500)</f>
        <v>0</v>
      </c>
      <c r="CN244" s="425">
        <f>IF(WWWW[[#This Row],['#_of water points in THF]]*500&gt;WWWW[[#This Row],[Total PoP ]],WWWW[[#This Row],[Total PoP ]],WWWW[[#This Row],['#_of water points in THF]]*500)</f>
        <v>0</v>
      </c>
      <c r="CO24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4" s="929">
        <f>IF(WWWW[[#This Row],[Location Type 1]]="Village",WWWW[[#This Row],[Access to safe drinking water for Village]],WWWW[[#This Row],[Access to safe drinking water for Camp]])</f>
        <v>1</v>
      </c>
      <c r="CR244" s="927">
        <f>WWWW[[#This Row],[%Equitable and continuous access to sufficient quantity of safe drinking water]]*WWWW[[#This Row],[Total PoP ]]</f>
        <v>396</v>
      </c>
      <c r="CS244" s="929">
        <f>IF((WWWW[[#This Row],['#_Constructed/Existing protected/fenced ponds]]*250)/WWWW[[#This Row],[Total PoP ]]&gt;1,1,(WWWW[[#This Row],['#_Constructed/Existing protected/fenced ponds]]*250)/WWWW[[#This Row],[Total PoP ]])</f>
        <v>0</v>
      </c>
      <c r="CT244" s="927">
        <f>WWWW[[#This Row],[% Access to unimproved water points]]*WWWW[[#This Row],[Total PoP ]]</f>
        <v>0</v>
      </c>
      <c r="CU24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244" s="927">
        <f>WWWW[[#This Row],[HRP1]]/500</f>
        <v>0.79200000000000004</v>
      </c>
      <c r="CX244" s="932">
        <f>1-WWWW[[#This Row],[% Equitable and continuous access to sufficient quantity of domestic water]]</f>
        <v>0</v>
      </c>
      <c r="CY244" s="927">
        <f>WWWW[[#This Row],[%equitable and continuous access to sufficient quantity of safe drinking and domestic water''s GAP]]*WWWW[[#This Row],[Total PoP ]]</f>
        <v>0</v>
      </c>
      <c r="CZ244" s="930">
        <f>IF(WWWW[[#This Row],[Total required water points]]-WWWW[[#This Row],['#Water points coverage]]&lt;0,0,WWWW[[#This Row],[Total required water points]]-WWWW[[#This Row],['#Water points coverage]])</f>
        <v>0.20799999999999996</v>
      </c>
      <c r="DA244" s="930">
        <f>ROUND(IF(WWWW[[#This Row],[Total PoP ]]&lt;500,1,WWWW[[#This Row],[Total PoP ]]/500),0)</f>
        <v>1</v>
      </c>
      <c r="DB244" s="930">
        <f>(WWWW[[#This Row],['#_Constructed latrines_by_WASHAgencies]]+WWWW[[#This Row],['#_Non Cluster partner latrines]])-WWWW[[#This Row],['#_Non-functional latrines]]</f>
        <v>14</v>
      </c>
      <c r="DC244" s="634">
        <f>WWWW[[#This Row],[HRP2]]/WWWW[[#This Row],[Total PoP ]]</f>
        <v>0.70707070707070707</v>
      </c>
      <c r="DD24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280</v>
      </c>
      <c r="DE24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4" s="425">
        <f>IF(WWWW[[#This Row],['# of functional latrines in THF supported by WASH partners during the reporting period2]]="",0,WWWW[[#This Row],['# of functional latrines in THF supported by WASH partners during the reporting period2]]*50)</f>
        <v>0</v>
      </c>
      <c r="DH244" s="930">
        <f>ROUND(IF(WWWW[[#This Row],[Location Type 1]]="camp",WWWW[[#This Row],[Total PoP ]]/20,IF(WWWW[[#This Row],[Location Type 1]]="Temporary Location",WWWW[[#This Row],[Total PoP ]]/50,(WWWW[[#This Row],[Total PoP ]]/6))),0)</f>
        <v>20</v>
      </c>
      <c r="DI244" s="930">
        <f>IF(WWWW[[#This Row],[Total required Latrines]]-(WWWW[[#This Row],['#_Constructed latrines_by_WASHAgencies]]+WWWW[[#This Row],['#_Non Cluster partner latrines]])&lt;0,0,WWWW[[#This Row],[Total required Latrines]]-(WWWW[[#This Row],['#_Constructed latrines_by_WASHAgencies]]+WWWW[[#This Row],['#_Non Cluster partner latrines]]))</f>
        <v>6</v>
      </c>
      <c r="DJ244" s="932">
        <f>1-WWWW[[#This Row],[% people access to functioning Latrine]]</f>
        <v>0.29292929292929293</v>
      </c>
      <c r="DK244" s="931">
        <f>IF(OR(WWWW[[#This Row],['#_Non-functional latrines]]="",WWWW[[#This Row],['#_Non-functional latrines]]=0),0,WWWW[[#This Row],['#_Non-functional latrines]]/(WWWW[[#This Row],['#_Constructed latrines_by_WASHAgencies]]+WWWW[[#This Row],['#_Non Cluster partner latrines]]))</f>
        <v>0</v>
      </c>
      <c r="DL244" s="927">
        <f>IF(500*(WWWW[[#This Row],['#_male hygiene promoters]]+WWWW[[#This Row],['#_female hygiene promoters]])&gt;WWWW[[#This Row],[Total PoP ]],WWWW[[#This Row],[Total PoP ]],500*(WWWW[[#This Row],['#_male hygiene promoters]]+WWWW[[#This Row],['#_female hygiene promoters]]))</f>
        <v>396</v>
      </c>
      <c r="DM24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95</v>
      </c>
      <c r="DN24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v>
      </c>
      <c r="DO244" s="930">
        <f>IF(WWWW[[#This Row],['# People with access to soap]]&gt;WWWW[[#This Row],['# People with access to Sanity Pads]],WWWW[[#This Row],['# People with access to soap]],WWWW[[#This Row],['# People with access to Sanity Pads]])</f>
        <v>95</v>
      </c>
      <c r="DP244" s="930">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244" s="932">
        <f>IF(WWWW[[#This Row],[HRP3]]/WWWW[[#This Row],[Total PoP ]]&gt;1,1,WWWW[[#This Row],[HRP3]]/WWWW[[#This Row],[Total PoP ]])</f>
        <v>1</v>
      </c>
      <c r="DR244" s="931">
        <f>1-WWWW[[#This Row],[Hygiene Coverage%]]</f>
        <v>0</v>
      </c>
      <c r="DS244" s="929">
        <f>WWWW[[#This Row],['# people reached by regular dedicated hygiene promotion_5]]/WWWW[[#This Row],[Total PoP ]]</f>
        <v>1</v>
      </c>
      <c r="DT24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0.93827160493827155</v>
      </c>
      <c r="DU24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0.24691358024691357</v>
      </c>
      <c r="DV244" s="930">
        <f>WWWW[[#This Row],['#_Constructed/Existing hand washing stations]]-WWWW[[#This Row],['#_Non-Functional_hand_washing_stations]]</f>
        <v>1</v>
      </c>
      <c r="DW244" s="927">
        <f>IF(WWWW[[#This Row],['# Functional hand washing stations during reporting period]]*20&gt;WWWW[[#This Row],[Total HH]],WWWW[[#This Row],[Total HH]],WWWW[[#This Row],['# Functional hand washing stations during reporting period]]*20)</f>
        <v>20</v>
      </c>
      <c r="DX244" s="927">
        <f>IF(WWWW[[#This Row],[Is sufficient soap available for TLS? (Yes/No)]]="yes",WWWW[[#This Row],['#_Constructed/Existing hand washing stations at TLS/CFS/THF]],0)</f>
        <v>0</v>
      </c>
      <c r="DY244" s="429">
        <f>IF(WWWW[[#This Row],['# Functional hand washing stations during reporting period]]*100&gt;WWWW[[#This Row],[Total PoP ]],WWWW[[#This Row],[Total PoP ]],WWWW[[#This Row],['# Functional hand washing stations during reporting period]]*100)</f>
        <v>100</v>
      </c>
      <c r="DZ244" s="429" t="str">
        <f>IF(OR(WWWW[[#This Row],['#_students at TLS_CFS]]="",WWWW[[#This Row],['#_students at TLS_CFS]]=0),"No","Yes")</f>
        <v>No</v>
      </c>
      <c r="EA24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4" s="923" t="str">
        <f>VLOOKUP(WWWW[[#This Row],[Site Name]],SiteDB6[[Site Name]:[CCCM Management]],6,FALSE)</f>
        <v>Yes</v>
      </c>
      <c r="EF244" s="923" t="str">
        <f>VLOOKUP(WWWW[[#This Row],[Site Name]],SiteDB6[[Site Name]:[CCCM Focal Agency]],7,FALSE)</f>
        <v>KBC-MYT</v>
      </c>
      <c r="EG244" s="923" t="str">
        <f>VLOOKUP(WWWW[[#This Row],[Site Name]],SiteDB6[[Site Name]:[Location Type 1]],9,FALSE)</f>
        <v>Camp</v>
      </c>
      <c r="EH244" s="923" t="str">
        <f>VLOOKUP(WWWW[[#This Row],[Site Name]],SiteDB6[[Site Name]:[Type of Accommodation]],10,FALSE)</f>
        <v>Camp</v>
      </c>
      <c r="EI244" s="923" t="str">
        <f>VLOOKUP(WWWW[[#This Row],[Site Name]],SiteDB6[[Site Name]:[Ethnic or GCA/NGCA]],11,FALSE)</f>
        <v>GCA</v>
      </c>
      <c r="EJ244" s="923">
        <f>VLOOKUP(WWWW[[#This Row],[Site Name]],SiteDB6[[Site Name]:[Lat]],12,FALSE)</f>
        <v>25.351724999999998</v>
      </c>
      <c r="EK244" s="923">
        <f>VLOOKUP(WWWW[[#This Row],[Site Name]],SiteDB6[[Site Name]:[Long]],13,FALSE)</f>
        <v>97.438432380952406</v>
      </c>
      <c r="EL244" s="923" t="str">
        <f>VLOOKUP(WWWW[[#This Row],[Site Name]],SiteDB6[[Site Name]:[Pcode]],3,FALSE)</f>
        <v>MMR001CMP025</v>
      </c>
      <c r="EM244" s="928" t="str">
        <f t="shared" si="3"/>
        <v>Covered</v>
      </c>
      <c r="EN244" s="928"/>
      <c r="EO244" s="923">
        <f>VLOOKUP(WWWW[[#This Row],[Site Name]],SiteDB6[[Site Name]:[Pop
(Kachin/Shan-CCCM as of July 2021)]],16,FALSE)</f>
        <v>72</v>
      </c>
      <c r="EP244" s="923">
        <f>VLOOKUP(WWWW[[#This Row],[Site Name]],SiteDB6[[Site Name]:[Pop
(Kachin/Shan-CCCM as of July 2021)]],17,FALSE)</f>
        <v>360</v>
      </c>
    </row>
    <row r="245" spans="1:146">
      <c r="A245" s="921" t="s">
        <v>2786</v>
      </c>
      <c r="B245" s="921" t="s">
        <v>2082</v>
      </c>
      <c r="C245" s="922" t="s">
        <v>141</v>
      </c>
      <c r="D245" s="922" t="s">
        <v>299</v>
      </c>
      <c r="E245" s="922" t="s">
        <v>37</v>
      </c>
      <c r="F245" s="922" t="s">
        <v>142</v>
      </c>
      <c r="G245" s="594" t="str">
        <f>VLOOKUP(WWWW[[#This Row],[Site Name]],SiteDB6[[Site Name]:[Location Type]],8,FALSE)</f>
        <v>Camp</v>
      </c>
      <c r="H245" s="922" t="s">
        <v>143</v>
      </c>
      <c r="I245" s="924">
        <v>380</v>
      </c>
      <c r="J245" s="924">
        <v>1881</v>
      </c>
      <c r="K245" s="925">
        <v>44682</v>
      </c>
      <c r="L245" s="926">
        <v>44865</v>
      </c>
      <c r="M245" s="924"/>
      <c r="N245" s="924">
        <v>1</v>
      </c>
      <c r="O245" s="924"/>
      <c r="P245" s="924"/>
      <c r="Q245" s="927" t="s">
        <v>41</v>
      </c>
      <c r="R245" s="924">
        <v>9</v>
      </c>
      <c r="S245" s="924">
        <v>6</v>
      </c>
      <c r="T245" s="449"/>
      <c r="U245" s="924"/>
      <c r="V245" s="924">
        <v>15</v>
      </c>
      <c r="W245" s="924">
        <v>5</v>
      </c>
      <c r="X245" s="924"/>
      <c r="Y245" s="924"/>
      <c r="Z245" s="924"/>
      <c r="AA245" s="924"/>
      <c r="AB245" s="924"/>
      <c r="AC245" s="924"/>
      <c r="AD245" s="924"/>
      <c r="AE245" s="924"/>
      <c r="AF245" s="924"/>
      <c r="AG245" s="924"/>
      <c r="AH245" s="924"/>
      <c r="AI245" s="924"/>
      <c r="AJ245" s="924"/>
      <c r="AK245" s="924"/>
      <c r="AL245" s="924"/>
      <c r="AM245" s="924"/>
      <c r="AN245" s="924"/>
      <c r="AO245" s="449"/>
      <c r="AP245" s="928"/>
      <c r="AQ245" s="449">
        <v>413</v>
      </c>
      <c r="AR245" s="924"/>
      <c r="AS245" s="929"/>
      <c r="AT245" s="924"/>
      <c r="AU245" s="924"/>
      <c r="AV245" s="924"/>
      <c r="AW245" s="924"/>
      <c r="AX245" s="924">
        <v>413</v>
      </c>
      <c r="AY245" s="923" t="s">
        <v>41</v>
      </c>
      <c r="AZ245" s="928" t="s">
        <v>137</v>
      </c>
      <c r="BA245" s="924"/>
      <c r="BB245" s="924"/>
      <c r="BC245" s="924"/>
      <c r="BD245" s="449"/>
      <c r="BE245" s="449"/>
      <c r="BF245" s="923"/>
      <c r="BG245" s="924">
        <v>315</v>
      </c>
      <c r="BH245" s="924">
        <v>315</v>
      </c>
      <c r="BI245" s="924">
        <v>5</v>
      </c>
      <c r="BJ245" s="924">
        <v>1</v>
      </c>
      <c r="BK245" s="924"/>
      <c r="BL245" s="924">
        <v>1</v>
      </c>
      <c r="BM245" s="924">
        <v>3</v>
      </c>
      <c r="BN245" s="924"/>
      <c r="BO245" s="924"/>
      <c r="BP245" s="923"/>
      <c r="BQ245" s="930"/>
      <c r="BR245" s="929"/>
      <c r="BS245" s="923"/>
      <c r="BT245" s="424"/>
      <c r="BU245" s="424"/>
      <c r="BV245" s="426"/>
      <c r="BW245" s="424"/>
      <c r="BX245" s="449"/>
      <c r="BY245" s="449"/>
      <c r="BZ245" s="449"/>
      <c r="CA245" s="449"/>
      <c r="CB245" s="449"/>
      <c r="CC245" s="807"/>
      <c r="CD245" s="449"/>
      <c r="CE245" s="931" t="str">
        <f>IFERROR(WWWW[[#This Row],['#_Water sources passed]]/WWWW[[#This Row],['#_Water sources tested for fecal coliform ]],"no test")</f>
        <v>no test</v>
      </c>
      <c r="CF245" s="929" t="str">
        <f>IFERROR(WWWW[[#This Row],['#_Household passed]]/WWWW[[#This Row],['#_Household water samples tested for fecal coliform]],"no test")</f>
        <v>no test</v>
      </c>
      <c r="CG245" s="930" t="str">
        <f>IF(AND(WWWW[[#This Row],[% of water sources passed]]="no test",WWWW[[#This Row],[% Household passed]]="no test"),"No Test","Tested")</f>
        <v>No Test</v>
      </c>
      <c r="CH245" s="930">
        <f>WWWW[[#This Row],['#_Constructed/existing protected hand dug well]]-WWWW[[#This Row],['#_Non-functional protected hand dug well]]</f>
        <v>0</v>
      </c>
      <c r="CI245" s="930">
        <f>(WWWW[[#This Row],['#_Constructed/Existing tube wells/boreholes/handpumps_WASH_agency]]+WWWW[[#This Row],['#_Non-Cluster partner water tube-wells/boreholes/handpumps]])-WWWW[[#This Row],['#_Non-functional tube wells/boreholes/handpumps]]</f>
        <v>5</v>
      </c>
      <c r="CJ245" s="930">
        <f>WWWW[[#This Row],['#_Constructed/Existingwater storage tank with gravity fed reticulation system]]-WWWW[[#This Row],['#_Non-functional storage tank gravity fed reticulation system]]</f>
        <v>0</v>
      </c>
      <c r="CK245" s="930">
        <f>(WWWW[[#This Row],['#_Water_Liters_supplied_by_Water boating or water trucking]]/90)/15</f>
        <v>0</v>
      </c>
      <c r="CL245" s="930">
        <f>WWWW[[#This Row],['#_Water_Liters_from_Constructed/Existing water distribution system from river or natural spring]]/90/15</f>
        <v>0</v>
      </c>
      <c r="CM245" s="425">
        <f>IF(WWWW[[#This Row],['#_of water points in TLS/CFS]]*500&gt;WWWW[[#This Row],[Total PoP ]],WWWW[[#This Row],[Total PoP ]],WWWW[[#This Row],['#_of water points in TLS/CFS]]*500)</f>
        <v>0</v>
      </c>
      <c r="CN245" s="425">
        <f>IF(WWWW[[#This Row],['#_of water points in THF]]*500&gt;WWWW[[#This Row],[Total PoP ]],WWWW[[#This Row],[Total PoP ]],WWWW[[#This Row],['#_of water points in THF]]*500)</f>
        <v>0</v>
      </c>
      <c r="CO24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0.66454013822434876</v>
      </c>
      <c r="CQ245" s="929">
        <f>IF(WWWW[[#This Row],[Location Type 1]]="Village",WWWW[[#This Row],[Access to safe drinking water for Village]],WWWW[[#This Row],[Access to safe drinking water for Camp]])</f>
        <v>1</v>
      </c>
      <c r="CR245" s="927">
        <f>WWWW[[#This Row],[%Equitable and continuous access to sufficient quantity of safe drinking water]]*WWWW[[#This Row],[Total PoP ]]</f>
        <v>1881</v>
      </c>
      <c r="CS245" s="929">
        <f>IF((WWWW[[#This Row],['#_Constructed/Existing protected/fenced ponds]]*250)/WWWW[[#This Row],[Total PoP ]]&gt;1,1,(WWWW[[#This Row],['#_Constructed/Existing protected/fenced ponds]]*250)/WWWW[[#This Row],[Total PoP ]])</f>
        <v>0</v>
      </c>
      <c r="CT245" s="927">
        <f>WWWW[[#This Row],[% Access to unimproved water points]]*WWWW[[#This Row],[Total PoP ]]</f>
        <v>0</v>
      </c>
      <c r="CU24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1881</v>
      </c>
      <c r="CW245" s="927">
        <f>WWWW[[#This Row],[HRP1]]/500</f>
        <v>3.762</v>
      </c>
      <c r="CX245" s="932">
        <f>1-WWWW[[#This Row],[% Equitable and continuous access to sufficient quantity of domestic water]]</f>
        <v>0</v>
      </c>
      <c r="CY245" s="927">
        <f>WWWW[[#This Row],[%equitable and continuous access to sufficient quantity of safe drinking and domestic water''s GAP]]*WWWW[[#This Row],[Total PoP ]]</f>
        <v>0</v>
      </c>
      <c r="CZ245" s="930">
        <f>IF(WWWW[[#This Row],[Total required water points]]-WWWW[[#This Row],['#Water points coverage]]&lt;0,0,WWWW[[#This Row],[Total required water points]]-WWWW[[#This Row],['#Water points coverage]])</f>
        <v>0.23799999999999999</v>
      </c>
      <c r="DA245" s="930">
        <f>ROUND(IF(WWWW[[#This Row],[Total PoP ]]&lt;500,1,WWWW[[#This Row],[Total PoP ]]/500),0)</f>
        <v>4</v>
      </c>
      <c r="DB245" s="930">
        <f>(WWWW[[#This Row],['#_Constructed latrines_by_WASHAgencies]]+WWWW[[#This Row],['#_Non Cluster partner latrines]])-WWWW[[#This Row],['#_Non-functional latrines]]</f>
        <v>413</v>
      </c>
      <c r="DC245" s="634">
        <f>WWWW[[#This Row],[HRP2]]/WWWW[[#This Row],[Total PoP ]]</f>
        <v>1</v>
      </c>
      <c r="DD24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1881</v>
      </c>
      <c r="DE24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5" s="425">
        <f>IF(WWWW[[#This Row],['# of functional latrines in THF supported by WASH partners during the reporting period2]]="",0,WWWW[[#This Row],['# of functional latrines in THF supported by WASH partners during the reporting period2]]*50)</f>
        <v>0</v>
      </c>
      <c r="DH245" s="930">
        <f>ROUND(IF(WWWW[[#This Row],[Location Type 1]]="camp",WWWW[[#This Row],[Total PoP ]]/20,IF(WWWW[[#This Row],[Location Type 1]]="Temporary Location",WWWW[[#This Row],[Total PoP ]]/50,(WWWW[[#This Row],[Total PoP ]]/6))),0)</f>
        <v>94</v>
      </c>
      <c r="DI245" s="930">
        <f>IF(WWWW[[#This Row],[Total required Latrines]]-(WWWW[[#This Row],['#_Constructed latrines_by_WASHAgencies]]+WWWW[[#This Row],['#_Non Cluster partner latrines]])&lt;0,0,WWWW[[#This Row],[Total required Latrines]]-(WWWW[[#This Row],['#_Constructed latrines_by_WASHAgencies]]+WWWW[[#This Row],['#_Non Cluster partner latrines]]))</f>
        <v>0</v>
      </c>
      <c r="DJ245" s="932">
        <f>1-WWWW[[#This Row],[% people access to functioning Latrine]]</f>
        <v>0</v>
      </c>
      <c r="DK245" s="931">
        <f>IF(OR(WWWW[[#This Row],['#_Non-functional latrines]]="",WWWW[[#This Row],['#_Non-functional latrines]]=0),0,WWWW[[#This Row],['#_Non-functional latrines]]/(WWWW[[#This Row],['#_Constructed latrines_by_WASHAgencies]]+WWWW[[#This Row],['#_Non Cluster partner latrines]]))</f>
        <v>0</v>
      </c>
      <c r="DL245" s="927">
        <f>IF(500*(WWWW[[#This Row],['#_male hygiene promoters]]+WWWW[[#This Row],['#_female hygiene promoters]])&gt;WWWW[[#This Row],[Total PoP ]],WWWW[[#This Row],[Total PoP ]],500*(WWWW[[#This Row],['#_male hygiene promoters]]+WWWW[[#This Row],['#_female hygiene promoters]]))</f>
        <v>1881</v>
      </c>
      <c r="DM24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5" s="930">
        <f>IF(WWWW[[#This Row],['# People with access to soap]]&gt;WWWW[[#This Row],['# People with access to Sanity Pads]],WWWW[[#This Row],['# People with access to soap]],WWWW[[#This Row],['# People with access to Sanity Pads]])</f>
        <v>0</v>
      </c>
      <c r="DP245" s="930">
        <f>IF(WWWW[[#This Row],['# people reached by regular dedicated hygiene promotion_5]]&gt;WWWW[[#This Row],['# People received regular supply of hygiene items_6]],WWWW[[#This Row],['# people reached by regular dedicated hygiene promotion_5]],WWWW[[#This Row],['# People received regular supply of hygiene items_6]])</f>
        <v>1881</v>
      </c>
      <c r="DQ245" s="932">
        <f>IF(WWWW[[#This Row],[HRP3]]/WWWW[[#This Row],[Total PoP ]]&gt;1,1,WWWW[[#This Row],[HRP3]]/WWWW[[#This Row],[Total PoP ]])</f>
        <v>1</v>
      </c>
      <c r="DR245" s="931">
        <f>1-WWWW[[#This Row],[Hygiene Coverage%]]</f>
        <v>0</v>
      </c>
      <c r="DS245" s="929">
        <f>WWWW[[#This Row],['# people reached by regular dedicated hygiene promotion_5]]/WWWW[[#This Row],[Total PoP ]]</f>
        <v>1</v>
      </c>
      <c r="DT24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5" s="930">
        <f>WWWW[[#This Row],['#_Constructed/Existing hand washing stations]]-WWWW[[#This Row],['#_Non-Functional_hand_washing_stations]]</f>
        <v>0</v>
      </c>
      <c r="DW245" s="927">
        <f>IF(WWWW[[#This Row],['# Functional hand washing stations during reporting period]]*20&gt;WWWW[[#This Row],[Total HH]],WWWW[[#This Row],[Total HH]],WWWW[[#This Row],['# Functional hand washing stations during reporting period]]*20)</f>
        <v>0</v>
      </c>
      <c r="DX245" s="927">
        <f>IF(WWWW[[#This Row],[Is sufficient soap available for TLS? (Yes/No)]]="yes",WWWW[[#This Row],['#_Constructed/Existing hand washing stations at TLS/CFS/THF]],0)</f>
        <v>0</v>
      </c>
      <c r="DY245" s="429">
        <f>IF(WWWW[[#This Row],['# Functional hand washing stations during reporting period]]*100&gt;WWWW[[#This Row],[Total PoP ]],WWWW[[#This Row],[Total PoP ]],WWWW[[#This Row],['# Functional hand washing stations during reporting period]]*100)</f>
        <v>0</v>
      </c>
      <c r="DZ245" s="429" t="str">
        <f>IF(OR(WWWW[[#This Row],['#_students at TLS_CFS]]="",WWWW[[#This Row],['#_students at TLS_CFS]]=0),"No","Yes")</f>
        <v>No</v>
      </c>
      <c r="EA24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5" s="923" t="str">
        <f>VLOOKUP(WWWW[[#This Row],[Site Name]],SiteDB6[[Site Name]:[CCCM Management]],6,FALSE)</f>
        <v>Yes</v>
      </c>
      <c r="EF245" s="923" t="str">
        <f>VLOOKUP(WWWW[[#This Row],[Site Name]],SiteDB6[[Site Name]:[CCCM Focal Agency]],7,FALSE)</f>
        <v>KBC-MYT</v>
      </c>
      <c r="EG245" s="923" t="str">
        <f>VLOOKUP(WWWW[[#This Row],[Site Name]],SiteDB6[[Site Name]:[Location Type 1]],9,FALSE)</f>
        <v>Camp</v>
      </c>
      <c r="EH245" s="923" t="str">
        <f>VLOOKUP(WWWW[[#This Row],[Site Name]],SiteDB6[[Site Name]:[Type of Accommodation]],10,FALSE)</f>
        <v>Camp</v>
      </c>
      <c r="EI245" s="923" t="str">
        <f>VLOOKUP(WWWW[[#This Row],[Site Name]],SiteDB6[[Site Name]:[Ethnic or GCA/NGCA]],11,FALSE)</f>
        <v>NGCA</v>
      </c>
      <c r="EJ245" s="923">
        <f>VLOOKUP(WWWW[[#This Row],[Site Name]],SiteDB6[[Site Name]:[Lat]],12,FALSE)</f>
        <v>25.418084</v>
      </c>
      <c r="EK245" s="923">
        <f>VLOOKUP(WWWW[[#This Row],[Site Name]],SiteDB6[[Site Name]:[Long]],13,FALSE)</f>
        <v>98.025662999999994</v>
      </c>
      <c r="EL245" s="923" t="str">
        <f>VLOOKUP(WWWW[[#This Row],[Site Name]],SiteDB6[[Site Name]:[Pcode]],3,FALSE)</f>
        <v>MMR001CMP249</v>
      </c>
      <c r="EM245" s="928" t="str">
        <f t="shared" si="3"/>
        <v>Covered</v>
      </c>
      <c r="EN245" s="928"/>
      <c r="EO245" s="923">
        <f>VLOOKUP(WWWW[[#This Row],[Site Name]],SiteDB6[[Site Name]:[Pop
(Kachin/Shan-CCCM as of July 2021)]],16,FALSE)</f>
        <v>380</v>
      </c>
      <c r="EP245" s="923">
        <f>VLOOKUP(WWWW[[#This Row],[Site Name]],SiteDB6[[Site Name]:[Pop
(Kachin/Shan-CCCM as of July 2021)]],17,FALSE)</f>
        <v>1877</v>
      </c>
    </row>
    <row r="246" spans="1:146">
      <c r="A246" s="921" t="s">
        <v>2786</v>
      </c>
      <c r="B246" s="921" t="s">
        <v>2082</v>
      </c>
      <c r="C246" s="922" t="s">
        <v>141</v>
      </c>
      <c r="D246" s="922" t="s">
        <v>3105</v>
      </c>
      <c r="E246" s="922" t="s">
        <v>37</v>
      </c>
      <c r="F246" s="922" t="s">
        <v>142</v>
      </c>
      <c r="G246" s="594" t="str">
        <f>VLOOKUP(WWWW[[#This Row],[Site Name]],SiteDB6[[Site Name]:[Location Type]],8,FALSE)</f>
        <v>Camp</v>
      </c>
      <c r="H246" s="922" t="s">
        <v>182</v>
      </c>
      <c r="I246" s="924">
        <v>214</v>
      </c>
      <c r="J246" s="924">
        <v>1176</v>
      </c>
      <c r="K246" s="925">
        <v>44682</v>
      </c>
      <c r="L246" s="926">
        <v>44865</v>
      </c>
      <c r="M246" s="924"/>
      <c r="N246" s="924">
        <v>1</v>
      </c>
      <c r="O246" s="924"/>
      <c r="P246" s="924"/>
      <c r="Q246" s="927" t="s">
        <v>41</v>
      </c>
      <c r="R246" s="924">
        <v>2</v>
      </c>
      <c r="S246" s="924">
        <v>3</v>
      </c>
      <c r="T246" s="449"/>
      <c r="U246" s="924"/>
      <c r="V246" s="924"/>
      <c r="W246" s="924"/>
      <c r="X246" s="924"/>
      <c r="Y246" s="924"/>
      <c r="Z246" s="924"/>
      <c r="AA246" s="924"/>
      <c r="AB246" s="924"/>
      <c r="AC246" s="924"/>
      <c r="AD246" s="924"/>
      <c r="AE246" s="924"/>
      <c r="AF246" s="924"/>
      <c r="AG246" s="924"/>
      <c r="AH246" s="924"/>
      <c r="AI246" s="924"/>
      <c r="AJ246" s="924"/>
      <c r="AK246" s="924"/>
      <c r="AL246" s="924"/>
      <c r="AM246" s="924"/>
      <c r="AN246" s="924"/>
      <c r="AO246" s="449"/>
      <c r="AP246" s="928"/>
      <c r="AQ246" s="924">
        <v>158</v>
      </c>
      <c r="AR246" s="924"/>
      <c r="AS246" s="929"/>
      <c r="AT246" s="924"/>
      <c r="AU246" s="924"/>
      <c r="AV246" s="924"/>
      <c r="AW246" s="924"/>
      <c r="AX246" s="924">
        <v>158</v>
      </c>
      <c r="AY246" s="923" t="s">
        <v>41</v>
      </c>
      <c r="AZ246" s="928" t="s">
        <v>137</v>
      </c>
      <c r="BA246" s="924"/>
      <c r="BB246" s="924"/>
      <c r="BC246" s="924"/>
      <c r="BD246" s="449"/>
      <c r="BE246" s="449"/>
      <c r="BF246" s="923"/>
      <c r="BG246" s="924">
        <v>7</v>
      </c>
      <c r="BH246" s="924"/>
      <c r="BI246" s="924"/>
      <c r="BJ246" s="924">
        <v>4</v>
      </c>
      <c r="BK246" s="924"/>
      <c r="BL246" s="924">
        <v>2</v>
      </c>
      <c r="BM246" s="924">
        <v>1</v>
      </c>
      <c r="BN246" s="924"/>
      <c r="BO246" s="924"/>
      <c r="BP246" s="923"/>
      <c r="BQ246" s="930"/>
      <c r="BR246" s="929"/>
      <c r="BS246" s="923"/>
      <c r="BT246" s="424"/>
      <c r="BU246" s="424"/>
      <c r="BV246" s="426"/>
      <c r="BW246" s="424"/>
      <c r="BX246" s="449"/>
      <c r="BY246" s="449"/>
      <c r="BZ246" s="449"/>
      <c r="CA246" s="449"/>
      <c r="CB246" s="449"/>
      <c r="CC246" s="807"/>
      <c r="CD246" s="449"/>
      <c r="CE246" s="931" t="str">
        <f>IFERROR(WWWW[[#This Row],['#_Water sources passed]]/WWWW[[#This Row],['#_Water sources tested for fecal coliform ]],"no test")</f>
        <v>no test</v>
      </c>
      <c r="CF246" s="929" t="str">
        <f>IFERROR(WWWW[[#This Row],['#_Household passed]]/WWWW[[#This Row],['#_Household water samples tested for fecal coliform]],"no test")</f>
        <v>no test</v>
      </c>
      <c r="CG246" s="930" t="str">
        <f>IF(AND(WWWW[[#This Row],[% of water sources passed]]="no test",WWWW[[#This Row],[% Household passed]]="no test"),"No Test","Tested")</f>
        <v>No Test</v>
      </c>
      <c r="CH246" s="930">
        <f>WWWW[[#This Row],['#_Constructed/existing protected hand dug well]]-WWWW[[#This Row],['#_Non-functional protected hand dug well]]</f>
        <v>0</v>
      </c>
      <c r="CI246" s="930">
        <f>(WWWW[[#This Row],['#_Constructed/Existing tube wells/boreholes/handpumps_WASH_agency]]+WWWW[[#This Row],['#_Non-Cluster partner water tube-wells/boreholes/handpumps]])-WWWW[[#This Row],['#_Non-functional tube wells/boreholes/handpumps]]</f>
        <v>0</v>
      </c>
      <c r="CJ246" s="930">
        <f>WWWW[[#This Row],['#_Constructed/Existingwater storage tank with gravity fed reticulation system]]-WWWW[[#This Row],['#_Non-functional storage tank gravity fed reticulation system]]</f>
        <v>0</v>
      </c>
      <c r="CK246" s="930">
        <f>(WWWW[[#This Row],['#_Water_Liters_supplied_by_Water boating or water trucking]]/90)/15</f>
        <v>0</v>
      </c>
      <c r="CL246" s="930">
        <f>WWWW[[#This Row],['#_Water_Liters_from_Constructed/Existing water distribution system from river or natural spring]]/90/15</f>
        <v>0</v>
      </c>
      <c r="CM246" s="425">
        <f>IF(WWWW[[#This Row],['#_of water points in TLS/CFS]]*500&gt;WWWW[[#This Row],[Total PoP ]],WWWW[[#This Row],[Total PoP ]],WWWW[[#This Row],['#_of water points in TLS/CFS]]*500)</f>
        <v>0</v>
      </c>
      <c r="CN246" s="425">
        <f>IF(WWWW[[#This Row],['#_of water points in THF]]*500&gt;WWWW[[#This Row],[Total PoP ]],WWWW[[#This Row],[Total PoP ]],WWWW[[#This Row],['#_of water points in THF]]*500)</f>
        <v>0</v>
      </c>
      <c r="CO24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4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46" s="929">
        <f>IF(WWWW[[#This Row],[Location Type 1]]="Village",WWWW[[#This Row],[Access to safe drinking water for Village]],WWWW[[#This Row],[Access to safe drinking water for Camp]])</f>
        <v>0</v>
      </c>
      <c r="CR246" s="927">
        <f>WWWW[[#This Row],[%Equitable and continuous access to sufficient quantity of safe drinking water]]*WWWW[[#This Row],[Total PoP ]]</f>
        <v>0</v>
      </c>
      <c r="CS246" s="929">
        <f>IF((WWWW[[#This Row],['#_Constructed/Existing protected/fenced ponds]]*250)/WWWW[[#This Row],[Total PoP ]]&gt;1,1,(WWWW[[#This Row],['#_Constructed/Existing protected/fenced ponds]]*250)/WWWW[[#This Row],[Total PoP ]])</f>
        <v>0</v>
      </c>
      <c r="CT246" s="927">
        <f>WWWW[[#This Row],[% Access to unimproved water points]]*WWWW[[#This Row],[Total PoP ]]</f>
        <v>0</v>
      </c>
      <c r="CU24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4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46" s="927">
        <f>WWWW[[#This Row],[HRP1]]/500</f>
        <v>0</v>
      </c>
      <c r="CX246" s="932">
        <f>1-WWWW[[#This Row],[% Equitable and continuous access to sufficient quantity of domestic water]]</f>
        <v>1</v>
      </c>
      <c r="CY246" s="927">
        <f>WWWW[[#This Row],[%equitable and continuous access to sufficient quantity of safe drinking and domestic water''s GAP]]*WWWW[[#This Row],[Total PoP ]]</f>
        <v>1176</v>
      </c>
      <c r="CZ246" s="930">
        <f>IF(WWWW[[#This Row],[Total required water points]]-WWWW[[#This Row],['#Water points coverage]]&lt;0,0,WWWW[[#This Row],[Total required water points]]-WWWW[[#This Row],['#Water points coverage]])</f>
        <v>2</v>
      </c>
      <c r="DA246" s="930">
        <f>ROUND(IF(WWWW[[#This Row],[Total PoP ]]&lt;500,1,WWWW[[#This Row],[Total PoP ]]/500),0)</f>
        <v>2</v>
      </c>
      <c r="DB246" s="930">
        <f>(WWWW[[#This Row],['#_Constructed latrines_by_WASHAgencies]]+WWWW[[#This Row],['#_Non Cluster partner latrines]])-WWWW[[#This Row],['#_Non-functional latrines]]</f>
        <v>158</v>
      </c>
      <c r="DC246" s="634">
        <f>WWWW[[#This Row],[HRP2]]/WWWW[[#This Row],[Total PoP ]]</f>
        <v>1</v>
      </c>
      <c r="DD24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1176</v>
      </c>
      <c r="DE24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6" s="425">
        <f>IF(WWWW[[#This Row],['# of functional latrines in THF supported by WASH partners during the reporting period2]]="",0,WWWW[[#This Row],['# of functional latrines in THF supported by WASH partners during the reporting period2]]*50)</f>
        <v>0</v>
      </c>
      <c r="DH246" s="930">
        <f>ROUND(IF(WWWW[[#This Row],[Location Type 1]]="camp",WWWW[[#This Row],[Total PoP ]]/20,IF(WWWW[[#This Row],[Location Type 1]]="Temporary Location",WWWW[[#This Row],[Total PoP ]]/50,(WWWW[[#This Row],[Total PoP ]]/6))),0)</f>
        <v>59</v>
      </c>
      <c r="DI246" s="930">
        <f>IF(WWWW[[#This Row],[Total required Latrines]]-(WWWW[[#This Row],['#_Constructed latrines_by_WASHAgencies]]+WWWW[[#This Row],['#_Non Cluster partner latrines]])&lt;0,0,WWWW[[#This Row],[Total required Latrines]]-(WWWW[[#This Row],['#_Constructed latrines_by_WASHAgencies]]+WWWW[[#This Row],['#_Non Cluster partner latrines]]))</f>
        <v>0</v>
      </c>
      <c r="DJ246" s="932">
        <f>1-WWWW[[#This Row],[% people access to functioning Latrine]]</f>
        <v>0</v>
      </c>
      <c r="DK246" s="931">
        <f>IF(OR(WWWW[[#This Row],['#_Non-functional latrines]]="",WWWW[[#This Row],['#_Non-functional latrines]]=0),0,WWWW[[#This Row],['#_Non-functional latrines]]/(WWWW[[#This Row],['#_Constructed latrines_by_WASHAgencies]]+WWWW[[#This Row],['#_Non Cluster partner latrines]]))</f>
        <v>0</v>
      </c>
      <c r="DL246" s="927">
        <f>IF(500*(WWWW[[#This Row],['#_male hygiene promoters]]+WWWW[[#This Row],['#_female hygiene promoters]])&gt;WWWW[[#This Row],[Total PoP ]],WWWW[[#This Row],[Total PoP ]],500*(WWWW[[#This Row],['#_male hygiene promoters]]+WWWW[[#This Row],['#_female hygiene promoters]]))</f>
        <v>1176</v>
      </c>
      <c r="DM24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6" s="930">
        <f>IF(WWWW[[#This Row],['# People with access to soap]]&gt;WWWW[[#This Row],['# People with access to Sanity Pads]],WWWW[[#This Row],['# People with access to soap]],WWWW[[#This Row],['# People with access to Sanity Pads]])</f>
        <v>0</v>
      </c>
      <c r="DP246" s="930">
        <f>IF(WWWW[[#This Row],['# people reached by regular dedicated hygiene promotion_5]]&gt;WWWW[[#This Row],['# People received regular supply of hygiene items_6]],WWWW[[#This Row],['# people reached by regular dedicated hygiene promotion_5]],WWWW[[#This Row],['# People received regular supply of hygiene items_6]])</f>
        <v>1176</v>
      </c>
      <c r="DQ246" s="932">
        <f>IF(WWWW[[#This Row],[HRP3]]/WWWW[[#This Row],[Total PoP ]]&gt;1,1,WWWW[[#This Row],[HRP3]]/WWWW[[#This Row],[Total PoP ]])</f>
        <v>1</v>
      </c>
      <c r="DR246" s="931">
        <f>1-WWWW[[#This Row],[Hygiene Coverage%]]</f>
        <v>0</v>
      </c>
      <c r="DS246" s="929">
        <f>WWWW[[#This Row],['# people reached by regular dedicated hygiene promotion_5]]/WWWW[[#This Row],[Total PoP ]]</f>
        <v>1</v>
      </c>
      <c r="DT24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6" s="930">
        <f>WWWW[[#This Row],['#_Constructed/Existing hand washing stations]]-WWWW[[#This Row],['#_Non-Functional_hand_washing_stations]]</f>
        <v>7</v>
      </c>
      <c r="DW246" s="927">
        <f>IF(WWWW[[#This Row],['# Functional hand washing stations during reporting period]]*20&gt;WWWW[[#This Row],[Total HH]],WWWW[[#This Row],[Total HH]],WWWW[[#This Row],['# Functional hand washing stations during reporting period]]*20)</f>
        <v>140</v>
      </c>
      <c r="DX246" s="927">
        <f>IF(WWWW[[#This Row],[Is sufficient soap available for TLS? (Yes/No)]]="yes",WWWW[[#This Row],['#_Constructed/Existing hand washing stations at TLS/CFS/THF]],0)</f>
        <v>0</v>
      </c>
      <c r="DY246" s="429">
        <f>IF(WWWW[[#This Row],['# Functional hand washing stations during reporting period]]*100&gt;WWWW[[#This Row],[Total PoP ]],WWWW[[#This Row],[Total PoP ]],WWWW[[#This Row],['# Functional hand washing stations during reporting period]]*100)</f>
        <v>700</v>
      </c>
      <c r="DZ246" s="429" t="str">
        <f>IF(OR(WWWW[[#This Row],['#_students at TLS_CFS]]="",WWWW[[#This Row],['#_students at TLS_CFS]]=0),"No","Yes")</f>
        <v>No</v>
      </c>
      <c r="EA24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6" s="923" t="str">
        <f>VLOOKUP(WWWW[[#This Row],[Site Name]],SiteDB6[[Site Name]:[CCCM Management]],6,FALSE)</f>
        <v>Yes</v>
      </c>
      <c r="EF246" s="923" t="str">
        <f>VLOOKUP(WWWW[[#This Row],[Site Name]],SiteDB6[[Site Name]:[CCCM Focal Agency]],7,FALSE)</f>
        <v>KBC-MYT</v>
      </c>
      <c r="EG246" s="923" t="str">
        <f>VLOOKUP(WWWW[[#This Row],[Site Name]],SiteDB6[[Site Name]:[Location Type 1]],9,FALSE)</f>
        <v>Camp</v>
      </c>
      <c r="EH246" s="923" t="str">
        <f>VLOOKUP(WWWW[[#This Row],[Site Name]],SiteDB6[[Site Name]:[Type of Accommodation]],10,FALSE)</f>
        <v>Camp</v>
      </c>
      <c r="EI246" s="923" t="str">
        <f>VLOOKUP(WWWW[[#This Row],[Site Name]],SiteDB6[[Site Name]:[Ethnic or GCA/NGCA]],11,FALSE)</f>
        <v>GCA</v>
      </c>
      <c r="EJ246" s="923">
        <f>VLOOKUP(WWWW[[#This Row],[Site Name]],SiteDB6[[Site Name]:[Lat]],12,FALSE)</f>
        <v>25.418084</v>
      </c>
      <c r="EK246" s="923">
        <f>VLOOKUP(WWWW[[#This Row],[Site Name]],SiteDB6[[Site Name]:[Long]],13,FALSE)</f>
        <v>98.025662999999994</v>
      </c>
      <c r="EL246" s="923" t="str">
        <f>VLOOKUP(WWWW[[#This Row],[Site Name]],SiteDB6[[Site Name]:[Pcode]],3,FALSE)</f>
        <v>MMR001CMP041</v>
      </c>
      <c r="EM246" s="928" t="str">
        <f t="shared" si="3"/>
        <v>Covered</v>
      </c>
      <c r="EN246" s="928"/>
      <c r="EO246" s="923">
        <f>VLOOKUP(WWWW[[#This Row],[Site Name]],SiteDB6[[Site Name]:[Pop
(Kachin/Shan-CCCM as of July 2021)]],16,FALSE)</f>
        <v>213</v>
      </c>
      <c r="EP246" s="923">
        <f>VLOOKUP(WWWW[[#This Row],[Site Name]],SiteDB6[[Site Name]:[Pop
(Kachin/Shan-CCCM as of July 2021)]],17,FALSE)</f>
        <v>1172</v>
      </c>
    </row>
    <row r="247" spans="1:146">
      <c r="A247" s="921" t="s">
        <v>2786</v>
      </c>
      <c r="B247" s="921" t="s">
        <v>3097</v>
      </c>
      <c r="C247" s="922" t="s">
        <v>141</v>
      </c>
      <c r="D247" s="922" t="s">
        <v>299</v>
      </c>
      <c r="E247" s="922" t="s">
        <v>37</v>
      </c>
      <c r="F247" s="922" t="s">
        <v>142</v>
      </c>
      <c r="G247" s="594" t="str">
        <f>VLOOKUP(WWWW[[#This Row],[Site Name]],SiteDB6[[Site Name]:[Location Type]],8,FALSE)</f>
        <v>Camp</v>
      </c>
      <c r="H247" s="370" t="s">
        <v>1612</v>
      </c>
      <c r="I247" s="924">
        <v>81</v>
      </c>
      <c r="J247" s="924">
        <v>387</v>
      </c>
      <c r="K247" s="925">
        <v>44682</v>
      </c>
      <c r="L247" s="926">
        <v>44865</v>
      </c>
      <c r="M247" s="924"/>
      <c r="N247" s="924">
        <v>1</v>
      </c>
      <c r="O247" s="924"/>
      <c r="P247" s="924"/>
      <c r="Q247" s="927" t="s">
        <v>41</v>
      </c>
      <c r="R247" s="924">
        <v>2</v>
      </c>
      <c r="S247" s="924">
        <v>2</v>
      </c>
      <c r="T247" s="449">
        <v>2</v>
      </c>
      <c r="U247" s="924">
        <v>2</v>
      </c>
      <c r="V247" s="924">
        <v>1</v>
      </c>
      <c r="W247" s="924">
        <v>1</v>
      </c>
      <c r="X247" s="924"/>
      <c r="Y247" s="924"/>
      <c r="Z247" s="924"/>
      <c r="AA247" s="924"/>
      <c r="AB247" s="924"/>
      <c r="AC247" s="924"/>
      <c r="AD247" s="924"/>
      <c r="AE247" s="924"/>
      <c r="AF247" s="924"/>
      <c r="AG247" s="924"/>
      <c r="AH247" s="924">
        <v>3</v>
      </c>
      <c r="AI247" s="924"/>
      <c r="AJ247" s="924"/>
      <c r="AK247" s="924"/>
      <c r="AL247" s="924"/>
      <c r="AM247" s="924"/>
      <c r="AN247" s="924"/>
      <c r="AO247" s="449"/>
      <c r="AP247" s="928"/>
      <c r="AQ247" s="924">
        <v>8</v>
      </c>
      <c r="AR247" s="924"/>
      <c r="AS247" s="929"/>
      <c r="AT247" s="924"/>
      <c r="AU247" s="924"/>
      <c r="AV247" s="924"/>
      <c r="AW247" s="924"/>
      <c r="AX247" s="924">
        <v>6</v>
      </c>
      <c r="AY247" s="923" t="s">
        <v>41</v>
      </c>
      <c r="AZ247" s="928" t="s">
        <v>137</v>
      </c>
      <c r="BA247" s="924"/>
      <c r="BB247" s="924"/>
      <c r="BC247" s="924"/>
      <c r="BD247" s="449"/>
      <c r="BE247" s="449"/>
      <c r="BF247" s="923"/>
      <c r="BG247" s="924">
        <v>3</v>
      </c>
      <c r="BH247" s="924"/>
      <c r="BI247" s="924"/>
      <c r="BJ247" s="924">
        <v>2</v>
      </c>
      <c r="BK247" s="924"/>
      <c r="BL247" s="924">
        <v>1</v>
      </c>
      <c r="BM247" s="924">
        <v>1</v>
      </c>
      <c r="BN247" s="924"/>
      <c r="BO247" s="924"/>
      <c r="BP247" s="923"/>
      <c r="BQ247" s="930"/>
      <c r="BR247" s="929"/>
      <c r="BS247" s="923"/>
      <c r="BT247" s="424"/>
      <c r="BU247" s="424"/>
      <c r="BV247" s="426"/>
      <c r="BW247" s="424"/>
      <c r="BX247" s="449"/>
      <c r="BY247" s="449"/>
      <c r="BZ247" s="449"/>
      <c r="CA247" s="449"/>
      <c r="CB247" s="449"/>
      <c r="CC247" s="807"/>
      <c r="CD247" s="449"/>
      <c r="CE247" s="931" t="str">
        <f>IFERROR(WWWW[[#This Row],['#_Water sources passed]]/WWWW[[#This Row],['#_Water sources tested for fecal coliform ]],"no test")</f>
        <v>no test</v>
      </c>
      <c r="CF247" s="929" t="str">
        <f>IFERROR(WWWW[[#This Row],['#_Household passed]]/WWWW[[#This Row],['#_Household water samples tested for fecal coliform]],"no test")</f>
        <v>no test</v>
      </c>
      <c r="CG247" s="930" t="str">
        <f>IF(AND(WWWW[[#This Row],[% of water sources passed]]="no test",WWWW[[#This Row],[% Household passed]]="no test"),"No Test","Tested")</f>
        <v>No Test</v>
      </c>
      <c r="CH247" s="930">
        <f>WWWW[[#This Row],['#_Constructed/existing protected hand dug well]]-WWWW[[#This Row],['#_Non-functional protected hand dug well]]</f>
        <v>0</v>
      </c>
      <c r="CI247" s="930">
        <f>(WWWW[[#This Row],['#_Constructed/Existing tube wells/boreholes/handpumps_WASH_agency]]+WWWW[[#This Row],['#_Non-Cluster partner water tube-wells/boreholes/handpumps]])-WWWW[[#This Row],['#_Non-functional tube wells/boreholes/handpumps]]</f>
        <v>1</v>
      </c>
      <c r="CJ247" s="930">
        <f>WWWW[[#This Row],['#_Constructed/Existingwater storage tank with gravity fed reticulation system]]-WWWW[[#This Row],['#_Non-functional storage tank gravity fed reticulation system]]</f>
        <v>0</v>
      </c>
      <c r="CK247" s="930">
        <f>(WWWW[[#This Row],['#_Water_Liters_supplied_by_Water boating or water trucking]]/90)/15</f>
        <v>0</v>
      </c>
      <c r="CL247" s="930">
        <f>WWWW[[#This Row],['#_Water_Liters_from_Constructed/Existing water distribution system from river or natural spring]]/90/15</f>
        <v>0</v>
      </c>
      <c r="CM247" s="425">
        <f>IF(WWWW[[#This Row],['#_of water points in TLS/CFS]]*500&gt;WWWW[[#This Row],[Total PoP ]],WWWW[[#This Row],[Total PoP ]],WWWW[[#This Row],['#_of water points in TLS/CFS]]*500)</f>
        <v>0</v>
      </c>
      <c r="CN247" s="425">
        <f>IF(WWWW[[#This Row],['#_of water points in THF]]*500&gt;WWWW[[#This Row],[Total PoP ]],WWWW[[#This Row],[Total PoP ]],WWWW[[#This Row],['#_of water points in THF]]*500)</f>
        <v>0</v>
      </c>
      <c r="CO24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0.64599483204134367</v>
      </c>
      <c r="CQ247" s="929">
        <f>IF(WWWW[[#This Row],[Location Type 1]]="Village",WWWW[[#This Row],[Access to safe drinking water for Village]],WWWW[[#This Row],[Access to safe drinking water for Camp]])</f>
        <v>1</v>
      </c>
      <c r="CR247" s="927">
        <f>WWWW[[#This Row],[%Equitable and continuous access to sufficient quantity of safe drinking water]]*WWWW[[#This Row],[Total PoP ]]</f>
        <v>387</v>
      </c>
      <c r="CS247" s="929">
        <f>IF((WWWW[[#This Row],['#_Constructed/Existing protected/fenced ponds]]*250)/WWWW[[#This Row],[Total PoP ]]&gt;1,1,(WWWW[[#This Row],['#_Constructed/Existing protected/fenced ponds]]*250)/WWWW[[#This Row],[Total PoP ]])</f>
        <v>0</v>
      </c>
      <c r="CT247" s="927">
        <f>WWWW[[#This Row],[% Access to unimproved water points]]*WWWW[[#This Row],[Total PoP ]]</f>
        <v>0</v>
      </c>
      <c r="CU24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387</v>
      </c>
      <c r="CW247" s="927">
        <f>WWWW[[#This Row],[HRP1]]/500</f>
        <v>0.77400000000000002</v>
      </c>
      <c r="CX247" s="932">
        <f>1-WWWW[[#This Row],[% Equitable and continuous access to sufficient quantity of domestic water]]</f>
        <v>0</v>
      </c>
      <c r="CY247" s="927">
        <f>WWWW[[#This Row],[%equitable and continuous access to sufficient quantity of safe drinking and domestic water''s GAP]]*WWWW[[#This Row],[Total PoP ]]</f>
        <v>0</v>
      </c>
      <c r="CZ247" s="930">
        <f>IF(WWWW[[#This Row],[Total required water points]]-WWWW[[#This Row],['#Water points coverage]]&lt;0,0,WWWW[[#This Row],[Total required water points]]-WWWW[[#This Row],['#Water points coverage]])</f>
        <v>0.22599999999999998</v>
      </c>
      <c r="DA247" s="930">
        <f>ROUND(IF(WWWW[[#This Row],[Total PoP ]]&lt;500,1,WWWW[[#This Row],[Total PoP ]]/500),0)</f>
        <v>1</v>
      </c>
      <c r="DB247" s="930">
        <f>(WWWW[[#This Row],['#_Constructed latrines_by_WASHAgencies]]+WWWW[[#This Row],['#_Non Cluster partner latrines]])-WWWW[[#This Row],['#_Non-functional latrines]]</f>
        <v>8</v>
      </c>
      <c r="DC247" s="634">
        <f>WWWW[[#This Row],[HRP2]]/WWWW[[#This Row],[Total PoP ]]</f>
        <v>0.41343669250645992</v>
      </c>
      <c r="DD24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24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7" s="425">
        <f>IF(WWWW[[#This Row],['# of functional latrines in THF supported by WASH partners during the reporting period2]]="",0,WWWW[[#This Row],['# of functional latrines in THF supported by WASH partners during the reporting period2]]*50)</f>
        <v>0</v>
      </c>
      <c r="DH247" s="930">
        <f>ROUND(IF(WWWW[[#This Row],[Location Type 1]]="camp",WWWW[[#This Row],[Total PoP ]]/20,IF(WWWW[[#This Row],[Location Type 1]]="Temporary Location",WWWW[[#This Row],[Total PoP ]]/50,(WWWW[[#This Row],[Total PoP ]]/6))),0)</f>
        <v>19</v>
      </c>
      <c r="DI247" s="930">
        <f>IF(WWWW[[#This Row],[Total required Latrines]]-(WWWW[[#This Row],['#_Constructed latrines_by_WASHAgencies]]+WWWW[[#This Row],['#_Non Cluster partner latrines]])&lt;0,0,WWWW[[#This Row],[Total required Latrines]]-(WWWW[[#This Row],['#_Constructed latrines_by_WASHAgencies]]+WWWW[[#This Row],['#_Non Cluster partner latrines]]))</f>
        <v>11</v>
      </c>
      <c r="DJ247" s="932">
        <f>1-WWWW[[#This Row],[% people access to functioning Latrine]]</f>
        <v>0.58656330749354013</v>
      </c>
      <c r="DK247" s="931">
        <f>IF(OR(WWWW[[#This Row],['#_Non-functional latrines]]="",WWWW[[#This Row],['#_Non-functional latrines]]=0),0,WWWW[[#This Row],['#_Non-functional latrines]]/(WWWW[[#This Row],['#_Constructed latrines_by_WASHAgencies]]+WWWW[[#This Row],['#_Non Cluster partner latrines]]))</f>
        <v>0</v>
      </c>
      <c r="DL247" s="927">
        <f>IF(500*(WWWW[[#This Row],['#_male hygiene promoters]]+WWWW[[#This Row],['#_female hygiene promoters]])&gt;WWWW[[#This Row],[Total PoP ]],WWWW[[#This Row],[Total PoP ]],500*(WWWW[[#This Row],['#_male hygiene promoters]]+WWWW[[#This Row],['#_female hygiene promoters]]))</f>
        <v>387</v>
      </c>
      <c r="DM24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4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47" s="930">
        <f>IF(WWWW[[#This Row],['# People with access to soap]]&gt;WWWW[[#This Row],['# People with access to Sanity Pads]],WWWW[[#This Row],['# People with access to soap]],WWWW[[#This Row],['# People with access to Sanity Pads]])</f>
        <v>0</v>
      </c>
      <c r="DP247" s="930">
        <f>IF(WWWW[[#This Row],['# people reached by regular dedicated hygiene promotion_5]]&gt;WWWW[[#This Row],['# People received regular supply of hygiene items_6]],WWWW[[#This Row],['# people reached by regular dedicated hygiene promotion_5]],WWWW[[#This Row],['# People received regular supply of hygiene items_6]])</f>
        <v>387</v>
      </c>
      <c r="DQ247" s="932">
        <f>IF(WWWW[[#This Row],[HRP3]]/WWWW[[#This Row],[Total PoP ]]&gt;1,1,WWWW[[#This Row],[HRP3]]/WWWW[[#This Row],[Total PoP ]])</f>
        <v>1</v>
      </c>
      <c r="DR247" s="931">
        <f>1-WWWW[[#This Row],[Hygiene Coverage%]]</f>
        <v>0</v>
      </c>
      <c r="DS247" s="929">
        <f>WWWW[[#This Row],['# people reached by regular dedicated hygiene promotion_5]]/WWWW[[#This Row],[Total PoP ]]</f>
        <v>1</v>
      </c>
      <c r="DT24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4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47" s="930">
        <f>WWWW[[#This Row],['#_Constructed/Existing hand washing stations]]-WWWW[[#This Row],['#_Non-Functional_hand_washing_stations]]</f>
        <v>3</v>
      </c>
      <c r="DW247" s="927">
        <f>IF(WWWW[[#This Row],['# Functional hand washing stations during reporting period]]*20&gt;WWWW[[#This Row],[Total HH]],WWWW[[#This Row],[Total HH]],WWWW[[#This Row],['# Functional hand washing stations during reporting period]]*20)</f>
        <v>60</v>
      </c>
      <c r="DX247" s="927">
        <f>IF(WWWW[[#This Row],[Is sufficient soap available for TLS? (Yes/No)]]="yes",WWWW[[#This Row],['#_Constructed/Existing hand washing stations at TLS/CFS/THF]],0)</f>
        <v>0</v>
      </c>
      <c r="DY247" s="429">
        <f>IF(WWWW[[#This Row],['# Functional hand washing stations during reporting period]]*100&gt;WWWW[[#This Row],[Total PoP ]],WWWW[[#This Row],[Total PoP ]],WWWW[[#This Row],['# Functional hand washing stations during reporting period]]*100)</f>
        <v>300</v>
      </c>
      <c r="DZ247" s="429" t="str">
        <f>IF(OR(WWWW[[#This Row],['#_students at TLS_CFS]]="",WWWW[[#This Row],['#_students at TLS_CFS]]=0),"No","Yes")</f>
        <v>No</v>
      </c>
      <c r="EA24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4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7" s="923" t="str">
        <f>VLOOKUP(WWWW[[#This Row],[Site Name]],SiteDB6[[Site Name]:[CCCM Management]],6,FALSE)</f>
        <v>Yes</v>
      </c>
      <c r="EF247" s="923" t="str">
        <f>VLOOKUP(WWWW[[#This Row],[Site Name]],SiteDB6[[Site Name]:[CCCM Focal Agency]],7,FALSE)</f>
        <v>KBC-MYT</v>
      </c>
      <c r="EG247" s="923" t="str">
        <f>VLOOKUP(WWWW[[#This Row],[Site Name]],SiteDB6[[Site Name]:[Location Type 1]],9,FALSE)</f>
        <v>Camp</v>
      </c>
      <c r="EH247" s="923" t="str">
        <f>VLOOKUP(WWWW[[#This Row],[Site Name]],SiteDB6[[Site Name]:[Type of Accommodation]],10,FALSE)</f>
        <v>Camp</v>
      </c>
      <c r="EI247" s="923" t="str">
        <f>VLOOKUP(WWWW[[#This Row],[Site Name]],SiteDB6[[Site Name]:[Ethnic or GCA/NGCA]],11,FALSE)</f>
        <v>GCA</v>
      </c>
      <c r="EJ247" s="923">
        <f>VLOOKUP(WWWW[[#This Row],[Site Name]],SiteDB6[[Site Name]:[Lat]],12,FALSE)</f>
        <v>25.350989999999999</v>
      </c>
      <c r="EK247" s="923">
        <f>VLOOKUP(WWWW[[#This Row],[Site Name]],SiteDB6[[Site Name]:[Long]],13,FALSE)</f>
        <v>97.442809999999994</v>
      </c>
      <c r="EL247" s="923" t="str">
        <f>VLOOKUP(WWWW[[#This Row],[Site Name]],SiteDB6[[Site Name]:[Pcode]],3,FALSE)</f>
        <v>MMR001CMP269</v>
      </c>
      <c r="EM247" s="928" t="str">
        <f t="shared" si="3"/>
        <v>Covered</v>
      </c>
      <c r="EN247" s="928"/>
      <c r="EO247" s="923">
        <f>VLOOKUP(WWWW[[#This Row],[Site Name]],SiteDB6[[Site Name]:[Pop
(Kachin/Shan-CCCM as of July 2021)]],16,FALSE)</f>
        <v>81</v>
      </c>
      <c r="EP247" s="923">
        <f>VLOOKUP(WWWW[[#This Row],[Site Name]],SiteDB6[[Site Name]:[Pop
(Kachin/Shan-CCCM as of July 2021)]],17,FALSE)</f>
        <v>387</v>
      </c>
    </row>
    <row r="248" spans="1:146">
      <c r="A248" s="921" t="s">
        <v>2786</v>
      </c>
      <c r="B248" s="921" t="s">
        <v>3065</v>
      </c>
      <c r="C248" s="922" t="s">
        <v>3066</v>
      </c>
      <c r="D248" s="922" t="s">
        <v>3067</v>
      </c>
      <c r="E248" s="922" t="s">
        <v>37</v>
      </c>
      <c r="F248" s="922" t="s">
        <v>214</v>
      </c>
      <c r="G248" s="594" t="str">
        <f>VLOOKUP(WWWW[[#This Row],[Site Name]],SiteDB6[[Site Name]:[Location Type]],8,FALSE)</f>
        <v>Camp</v>
      </c>
      <c r="H248" s="922" t="s">
        <v>215</v>
      </c>
      <c r="I248" s="946">
        <v>49</v>
      </c>
      <c r="J248" s="946">
        <v>300</v>
      </c>
      <c r="K248" s="591" t="s">
        <v>3068</v>
      </c>
      <c r="L248" s="592" t="s">
        <v>3069</v>
      </c>
      <c r="M248" s="449">
        <v>95</v>
      </c>
      <c r="N248" s="924">
        <v>4</v>
      </c>
      <c r="O248" s="924"/>
      <c r="P248" s="924"/>
      <c r="Q248" s="927" t="s">
        <v>41</v>
      </c>
      <c r="R248" s="946">
        <v>2</v>
      </c>
      <c r="S248" s="946">
        <v>4</v>
      </c>
      <c r="T248" s="449"/>
      <c r="U248" s="924"/>
      <c r="V248" s="924"/>
      <c r="W248" s="946"/>
      <c r="X248" s="946">
        <v>2</v>
      </c>
      <c r="Y248" s="924"/>
      <c r="Z248" s="946">
        <v>1</v>
      </c>
      <c r="AA248" s="924"/>
      <c r="AB248" s="924"/>
      <c r="AC248" s="924"/>
      <c r="AD248" s="924"/>
      <c r="AE248" s="924"/>
      <c r="AF248" s="924"/>
      <c r="AG248" s="924"/>
      <c r="AH248" s="946"/>
      <c r="AI248" s="449">
        <v>1</v>
      </c>
      <c r="AJ248" s="449">
        <v>1</v>
      </c>
      <c r="AK248" s="449">
        <v>9</v>
      </c>
      <c r="AL248" s="449">
        <v>7</v>
      </c>
      <c r="AM248" s="946">
        <v>2</v>
      </c>
      <c r="AN248" s="946">
        <v>0</v>
      </c>
      <c r="AO248" s="449"/>
      <c r="AP248" s="593" t="s">
        <v>3039</v>
      </c>
      <c r="AQ248" s="946">
        <v>10</v>
      </c>
      <c r="AR248" s="924"/>
      <c r="AS248" s="946">
        <v>4</v>
      </c>
      <c r="AT248" s="924"/>
      <c r="AU248" s="924"/>
      <c r="AV248" s="924"/>
      <c r="AW248" s="924"/>
      <c r="AX248" s="924"/>
      <c r="AY248" s="923" t="s">
        <v>41</v>
      </c>
      <c r="AZ248" s="928" t="s">
        <v>137</v>
      </c>
      <c r="BA248" s="946">
        <v>2</v>
      </c>
      <c r="BB248" s="924"/>
      <c r="BC248" s="924">
        <v>4</v>
      </c>
      <c r="BD248" s="449"/>
      <c r="BE248" s="449">
        <v>4</v>
      </c>
      <c r="BF248" s="923"/>
      <c r="BG248" s="946">
        <v>3</v>
      </c>
      <c r="BH248" s="946">
        <v>1</v>
      </c>
      <c r="BI248" s="924"/>
      <c r="BJ248" s="946">
        <v>4</v>
      </c>
      <c r="BK248" s="449">
        <v>1</v>
      </c>
      <c r="BL248" s="449">
        <v>2</v>
      </c>
      <c r="BM248" s="449">
        <v>2</v>
      </c>
      <c r="BN248" s="449">
        <v>46</v>
      </c>
      <c r="BO248" s="449">
        <v>92</v>
      </c>
      <c r="BP248" s="426" t="s">
        <v>41</v>
      </c>
      <c r="BQ248" s="425">
        <v>1</v>
      </c>
      <c r="BR248" s="424">
        <v>0.5</v>
      </c>
      <c r="BS248" s="951"/>
      <c r="BT248" s="424">
        <v>0.7</v>
      </c>
      <c r="BU248" s="424">
        <v>0.8</v>
      </c>
      <c r="BV248" s="426">
        <v>10</v>
      </c>
      <c r="BW248" s="424">
        <v>0.8</v>
      </c>
      <c r="BX248" s="449"/>
      <c r="BY248" s="449"/>
      <c r="BZ248" s="449"/>
      <c r="CA248" s="449"/>
      <c r="CB248" s="449"/>
      <c r="CC248" s="807"/>
      <c r="CD248" s="449"/>
      <c r="CE248" s="931">
        <f>IFERROR(WWWW[[#This Row],['#_Water sources passed]]/WWWW[[#This Row],['#_Water sources tested for fecal coliform ]],"no test")</f>
        <v>1</v>
      </c>
      <c r="CF248" s="929">
        <f>IFERROR(WWWW[[#This Row],['#_Household passed]]/WWWW[[#This Row],['#_Household water samples tested for fecal coliform]],"no test")</f>
        <v>0.77777777777777779</v>
      </c>
      <c r="CG248" s="930" t="str">
        <f>IF(AND(WWWW[[#This Row],[% of water sources passed]]="no test",WWWW[[#This Row],[% Household passed]]="no test"),"No Test","Tested")</f>
        <v>Tested</v>
      </c>
      <c r="CH248" s="930">
        <f>WWWW[[#This Row],['#_Constructed/existing protected hand dug well]]-WWWW[[#This Row],['#_Non-functional protected hand dug well]]</f>
        <v>0</v>
      </c>
      <c r="CI248" s="930">
        <f>(WWWW[[#This Row],['#_Constructed/Existing tube wells/boreholes/handpumps_WASH_agency]]+WWWW[[#This Row],['#_Non-Cluster partner water tube-wells/boreholes/handpumps]])-WWWW[[#This Row],['#_Non-functional tube wells/boreholes/handpumps]]</f>
        <v>2</v>
      </c>
      <c r="CJ248" s="930">
        <f>WWWW[[#This Row],['#_Constructed/Existingwater storage tank with gravity fed reticulation system]]-WWWW[[#This Row],['#_Non-functional storage tank gravity fed reticulation system]]</f>
        <v>0</v>
      </c>
      <c r="CK248" s="930">
        <f>(WWWW[[#This Row],['#_Water_Liters_supplied_by_Water boating or water trucking]]/90)/15</f>
        <v>0</v>
      </c>
      <c r="CL248" s="930">
        <f>WWWW[[#This Row],['#_Water_Liters_from_Constructed/Existing water distribution system from river or natural spring]]/90/15</f>
        <v>0</v>
      </c>
      <c r="CM248" s="425">
        <f>IF(WWWW[[#This Row],['#_of water points in TLS/CFS]]*500&gt;WWWW[[#This Row],[Total PoP ]],WWWW[[#This Row],[Total PoP ]],WWWW[[#This Row],['#_of water points in TLS/CFS]]*500)</f>
        <v>0</v>
      </c>
      <c r="CN248" s="425">
        <f>IF(WWWW[[#This Row],['#_of water points in THF]]*500&gt;WWWW[[#This Row],[Total PoP ]],WWWW[[#This Row],[Total PoP ]],WWWW[[#This Row],['#_of water points in THF]]*500)</f>
        <v>0</v>
      </c>
      <c r="CO24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8" s="929">
        <f>IF(WWWW[[#This Row],[Location Type 1]]="Village",WWWW[[#This Row],[Access to safe drinking water for Village]],WWWW[[#This Row],[Access to safe drinking water for Camp]])</f>
        <v>1</v>
      </c>
      <c r="CR248" s="927">
        <f>WWWW[[#This Row],[%Equitable and continuous access to sufficient quantity of safe drinking water]]*WWWW[[#This Row],[Total PoP ]]</f>
        <v>300</v>
      </c>
      <c r="CS248" s="929">
        <f>IF((WWWW[[#This Row],['#_Constructed/Existing protected/fenced ponds]]*250)/WWWW[[#This Row],[Total PoP ]]&gt;1,1,(WWWW[[#This Row],['#_Constructed/Existing protected/fenced ponds]]*250)/WWWW[[#This Row],[Total PoP ]])</f>
        <v>0</v>
      </c>
      <c r="CT248" s="927">
        <f>WWWW[[#This Row],[% Access to unimproved water points]]*WWWW[[#This Row],[Total PoP ]]</f>
        <v>0</v>
      </c>
      <c r="CU24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W248" s="927">
        <f>WWWW[[#This Row],[HRP1]]/500</f>
        <v>0.6</v>
      </c>
      <c r="CX248" s="932">
        <f>1-WWWW[[#This Row],[% Equitable and continuous access to sufficient quantity of domestic water]]</f>
        <v>0</v>
      </c>
      <c r="CY248" s="927">
        <f>WWWW[[#This Row],[%equitable and continuous access to sufficient quantity of safe drinking and domestic water''s GAP]]*WWWW[[#This Row],[Total PoP ]]</f>
        <v>0</v>
      </c>
      <c r="CZ248" s="930">
        <f>IF(WWWW[[#This Row],[Total required water points]]-WWWW[[#This Row],['#Water points coverage]]&lt;0,0,WWWW[[#This Row],[Total required water points]]-WWWW[[#This Row],['#Water points coverage]])</f>
        <v>0.4</v>
      </c>
      <c r="DA248" s="930">
        <f>ROUND(IF(WWWW[[#This Row],[Total PoP ]]&lt;500,1,WWWW[[#This Row],[Total PoP ]]/500),0)</f>
        <v>1</v>
      </c>
      <c r="DB248" s="930">
        <f>(WWWW[[#This Row],['#_Constructed latrines_by_WASHAgencies]]+WWWW[[#This Row],['#_Non Cluster partner latrines]])-WWWW[[#This Row],['#_Non-functional latrines]]</f>
        <v>10</v>
      </c>
      <c r="DC248" s="634">
        <f>WWWW[[#This Row],[HRP2]]/WWWW[[#This Row],[Total PoP ]]</f>
        <v>0.81333333333333335</v>
      </c>
      <c r="DD24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244</v>
      </c>
      <c r="DE24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95</v>
      </c>
      <c r="DG248" s="425">
        <f>IF(WWWW[[#This Row],['# of functional latrines in THF supported by WASH partners during the reporting period2]]="",0,WWWW[[#This Row],['# of functional latrines in THF supported by WASH partners during the reporting period2]]*50)</f>
        <v>0</v>
      </c>
      <c r="DH248" s="930">
        <f>ROUND(IF(WWWW[[#This Row],[Location Type 1]]="camp",WWWW[[#This Row],[Total PoP ]]/20,IF(WWWW[[#This Row],[Location Type 1]]="Temporary Location",WWWW[[#This Row],[Total PoP ]]/50,(WWWW[[#This Row],[Total PoP ]]/6))),0)</f>
        <v>15</v>
      </c>
      <c r="DI248" s="930">
        <f>IF(WWWW[[#This Row],[Total required Latrines]]-(WWWW[[#This Row],['#_Constructed latrines_by_WASHAgencies]]+WWWW[[#This Row],['#_Non Cluster partner latrines]])&lt;0,0,WWWW[[#This Row],[Total required Latrines]]-(WWWW[[#This Row],['#_Constructed latrines_by_WASHAgencies]]+WWWW[[#This Row],['#_Non Cluster partner latrines]]))</f>
        <v>5</v>
      </c>
      <c r="DJ248" s="932">
        <f>1-WWWW[[#This Row],[% people access to functioning Latrine]]</f>
        <v>0.18666666666666665</v>
      </c>
      <c r="DK248" s="931">
        <f>IF(OR(WWWW[[#This Row],['#_Non-functional latrines]]="",WWWW[[#This Row],['#_Non-functional latrines]]=0),0,WWWW[[#This Row],['#_Non-functional latrines]]/(WWWW[[#This Row],['#_Constructed latrines_by_WASHAgencies]]+WWWW[[#This Row],['#_Non Cluster partner latrines]]))</f>
        <v>0</v>
      </c>
      <c r="DL248" s="927">
        <f>IF(500*(WWWW[[#This Row],['#_male hygiene promoters]]+WWWW[[#This Row],['#_female hygiene promoters]])&gt;WWWW[[#This Row],[Total PoP ]],WWWW[[#This Row],[Total PoP ]],500*(WWWW[[#This Row],['#_male hygiene promoters]]+WWWW[[#This Row],['#_female hygiene promoters]]))</f>
        <v>300</v>
      </c>
      <c r="DM24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24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92</v>
      </c>
      <c r="DO248" s="930">
        <f>IF(WWWW[[#This Row],['# People with access to soap]]&gt;WWWW[[#This Row],['# People with access to Sanity Pads]],WWWW[[#This Row],['# People with access to soap]],WWWW[[#This Row],['# People with access to Sanity Pads]])</f>
        <v>230</v>
      </c>
      <c r="DP248" s="930">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Q248" s="932">
        <f>IF(WWWW[[#This Row],[HRP3]]/WWWW[[#This Row],[Total PoP ]]&gt;1,1,WWWW[[#This Row],[HRP3]]/WWWW[[#This Row],[Total PoP ]])</f>
        <v>1</v>
      </c>
      <c r="DR248" s="931">
        <f>1-WWWW[[#This Row],[Hygiene Coverage%]]</f>
        <v>0</v>
      </c>
      <c r="DS248" s="929">
        <f>WWWW[[#This Row],['# people reached by regular dedicated hygiene promotion_5]]/WWWW[[#This Row],[Total PoP ]]</f>
        <v>1</v>
      </c>
      <c r="DT24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48" s="930">
        <f>WWWW[[#This Row],['#_Constructed/Existing hand washing stations]]-WWWW[[#This Row],['#_Non-Functional_hand_washing_stations]]</f>
        <v>2</v>
      </c>
      <c r="DW248" s="927">
        <f>IF(WWWW[[#This Row],['# Functional hand washing stations during reporting period]]*20&gt;WWWW[[#This Row],[Total HH]],WWWW[[#This Row],[Total HH]],WWWW[[#This Row],['# Functional hand washing stations during reporting period]]*20)</f>
        <v>40</v>
      </c>
      <c r="DX248" s="927">
        <f>IF(WWWW[[#This Row],[Is sufficient soap available for TLS? (Yes/No)]]="yes",WWWW[[#This Row],['#_Constructed/Existing hand washing stations at TLS/CFS/THF]],0)</f>
        <v>2</v>
      </c>
      <c r="DY248" s="429">
        <f>IF(WWWW[[#This Row],['# Functional hand washing stations during reporting period]]*100&gt;WWWW[[#This Row],[Total PoP ]],WWWW[[#This Row],[Total PoP ]],WWWW[[#This Row],['# Functional hand washing stations during reporting period]]*100)</f>
        <v>200</v>
      </c>
      <c r="DZ248" s="429" t="str">
        <f>IF(OR(WWWW[[#This Row],['#_students at TLS_CFS]]="",WWWW[[#This Row],['#_students at TLS_CFS]]=0),"No","Yes")</f>
        <v>Yes</v>
      </c>
      <c r="EA248" s="634">
        <f>IF(WWWW[[#This Row],['#_of_affected_people_surveyed_who_report_feeling_informed_about_the_different_WASH_services_available_to_them]]="","",WWWW[[#This Row],['#_of_affected_people_surveyed_who_report_feeling_informed_about_the_different_WASH_services_available_to_them]]/WWWW[[#This Row],[Total PoP ]])</f>
        <v>3.3333333333333333E-2</v>
      </c>
      <c r="EB24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95</v>
      </c>
      <c r="ED24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8" s="923" t="str">
        <f>VLOOKUP(WWWW[[#This Row],[Site Name]],SiteDB6[[Site Name]:[CCCM Management]],6,FALSE)</f>
        <v>Yes</v>
      </c>
      <c r="EF248" s="923" t="str">
        <f>VLOOKUP(WWWW[[#This Row],[Site Name]],SiteDB6[[Site Name]:[CCCM Focal Agency]],7,FALSE)</f>
        <v>KBC-BMO</v>
      </c>
      <c r="EG248" s="923" t="str">
        <f>VLOOKUP(WWWW[[#This Row],[Site Name]],SiteDB6[[Site Name]:[Location Type 1]],9,FALSE)</f>
        <v>Camp</v>
      </c>
      <c r="EH248" s="923" t="str">
        <f>VLOOKUP(WWWW[[#This Row],[Site Name]],SiteDB6[[Site Name]:[Type of Accommodation]],10,FALSE)</f>
        <v>Camp</v>
      </c>
      <c r="EI248" s="923" t="str">
        <f>VLOOKUP(WWWW[[#This Row],[Site Name]],SiteDB6[[Site Name]:[Ethnic or GCA/NGCA]],11,FALSE)</f>
        <v>GCA</v>
      </c>
      <c r="EJ248" s="923">
        <f>VLOOKUP(WWWW[[#This Row],[Site Name]],SiteDB6[[Site Name]:[Lat]],12,FALSE)</f>
        <v>24.200361000000001</v>
      </c>
      <c r="EK248" s="923">
        <f>VLOOKUP(WWWW[[#This Row],[Site Name]],SiteDB6[[Site Name]:[Long]],13,FALSE)</f>
        <v>96.807353000000006</v>
      </c>
      <c r="EL248" s="923" t="str">
        <f>VLOOKUP(WWWW[[#This Row],[Site Name]],SiteDB6[[Site Name]:[Pcode]],3,FALSE)</f>
        <v>MMR001CMP067</v>
      </c>
      <c r="EM248" s="928" t="str">
        <f t="shared" si="3"/>
        <v>Covered</v>
      </c>
      <c r="EN248" s="928"/>
      <c r="EO248" s="923">
        <f>VLOOKUP(WWWW[[#This Row],[Site Name]],SiteDB6[[Site Name]:[Pop
(Kachin/Shan-CCCM as of July 2021)]],16,FALSE)</f>
        <v>46</v>
      </c>
      <c r="EP248" s="923">
        <f>VLOOKUP(WWWW[[#This Row],[Site Name]],SiteDB6[[Site Name]:[Pop
(Kachin/Shan-CCCM as of July 2021)]],17,FALSE)</f>
        <v>263</v>
      </c>
    </row>
    <row r="249" spans="1:146">
      <c r="A249" s="921" t="s">
        <v>2786</v>
      </c>
      <c r="B249" s="921" t="s">
        <v>36</v>
      </c>
      <c r="C249" s="922" t="s">
        <v>36</v>
      </c>
      <c r="D249" s="922" t="s">
        <v>241</v>
      </c>
      <c r="E249" s="922" t="s">
        <v>37</v>
      </c>
      <c r="F249" s="922" t="s">
        <v>148</v>
      </c>
      <c r="G249" s="594" t="str">
        <f>VLOOKUP(WWWW[[#This Row],[Site Name]],SiteDB6[[Site Name]:[Location Type]],8,FALSE)</f>
        <v>Camp</v>
      </c>
      <c r="H249" s="922" t="s">
        <v>1564</v>
      </c>
      <c r="I249" s="924">
        <v>14</v>
      </c>
      <c r="J249" s="924">
        <v>52</v>
      </c>
      <c r="K249" s="925">
        <v>44414</v>
      </c>
      <c r="L249" s="926">
        <v>44778</v>
      </c>
      <c r="M249" s="924">
        <v>155</v>
      </c>
      <c r="N249" s="924">
        <v>3</v>
      </c>
      <c r="O249" s="924"/>
      <c r="P249" s="924"/>
      <c r="Q249" s="927" t="s">
        <v>41</v>
      </c>
      <c r="R249" s="924">
        <v>3</v>
      </c>
      <c r="S249" s="924">
        <v>2</v>
      </c>
      <c r="T249" s="449">
        <v>1</v>
      </c>
      <c r="U249" s="924">
        <v>1</v>
      </c>
      <c r="V249" s="924">
        <v>1</v>
      </c>
      <c r="W249" s="924">
        <v>1</v>
      </c>
      <c r="X249" s="924"/>
      <c r="Y249" s="924"/>
      <c r="Z249" s="924"/>
      <c r="AA249" s="924">
        <v>1</v>
      </c>
      <c r="AB249" s="924"/>
      <c r="AC249" s="924"/>
      <c r="AD249" s="924"/>
      <c r="AE249" s="924"/>
      <c r="AF249" s="924"/>
      <c r="AG249" s="924">
        <v>10</v>
      </c>
      <c r="AH249" s="924">
        <v>7</v>
      </c>
      <c r="AI249" s="924">
        <v>2</v>
      </c>
      <c r="AJ249" s="924">
        <v>0</v>
      </c>
      <c r="AK249" s="924">
        <v>8</v>
      </c>
      <c r="AL249" s="924"/>
      <c r="AM249" s="924">
        <v>2</v>
      </c>
      <c r="AN249" s="924">
        <v>1</v>
      </c>
      <c r="AO249" s="449"/>
      <c r="AP249" s="928" t="s">
        <v>140</v>
      </c>
      <c r="AQ249" s="924">
        <v>4</v>
      </c>
      <c r="AR249" s="924"/>
      <c r="AS249" s="929"/>
      <c r="AT249" s="924">
        <v>1</v>
      </c>
      <c r="AU249" s="924"/>
      <c r="AV249" s="924"/>
      <c r="AW249" s="924"/>
      <c r="AX249" s="924"/>
      <c r="AY249" s="923" t="s">
        <v>41</v>
      </c>
      <c r="AZ249" s="928" t="s">
        <v>136</v>
      </c>
      <c r="BA249" s="924">
        <v>2</v>
      </c>
      <c r="BB249" s="924"/>
      <c r="BC249" s="924"/>
      <c r="BD249" s="449"/>
      <c r="BE249" s="449"/>
      <c r="BF249" s="923"/>
      <c r="BG249" s="924">
        <v>2</v>
      </c>
      <c r="BH249" s="924"/>
      <c r="BI249" s="924"/>
      <c r="BJ249" s="924">
        <v>2</v>
      </c>
      <c r="BK249" s="924"/>
      <c r="BL249" s="924"/>
      <c r="BM249" s="924">
        <v>1</v>
      </c>
      <c r="BN249" s="924">
        <v>14</v>
      </c>
      <c r="BO249" s="924">
        <v>11.154000000000002</v>
      </c>
      <c r="BP249" s="923" t="s">
        <v>41</v>
      </c>
      <c r="BQ249" s="930">
        <v>100</v>
      </c>
      <c r="BR249" s="929"/>
      <c r="BS249" s="923" t="s">
        <v>3059</v>
      </c>
      <c r="BT249" s="424">
        <v>0.4</v>
      </c>
      <c r="BU249" s="424"/>
      <c r="BV249" s="426"/>
      <c r="BW249" s="424">
        <v>0.01</v>
      </c>
      <c r="BX249" s="449"/>
      <c r="BY249" s="449"/>
      <c r="BZ249" s="449"/>
      <c r="CA249" s="449"/>
      <c r="CB249" s="449"/>
      <c r="CC249" s="807"/>
      <c r="CD249" s="449"/>
      <c r="CE249" s="931">
        <f>IFERROR(WWWW[[#This Row],['#_Water sources passed]]/WWWW[[#This Row],['#_Water sources tested for fecal coliform ]],"no test")</f>
        <v>0</v>
      </c>
      <c r="CF249" s="929">
        <f>IFERROR(WWWW[[#This Row],['#_Household passed]]/WWWW[[#This Row],['#_Household water samples tested for fecal coliform]],"no test")</f>
        <v>0</v>
      </c>
      <c r="CG249" s="930" t="str">
        <f>IF(AND(WWWW[[#This Row],[% of water sources passed]]="no test",WWWW[[#This Row],[% Household passed]]="no test"),"No Test","Tested")</f>
        <v>Tested</v>
      </c>
      <c r="CH249" s="930">
        <f>WWWW[[#This Row],['#_Constructed/existing protected hand dug well]]-WWWW[[#This Row],['#_Non-functional protected hand dug well]]</f>
        <v>0</v>
      </c>
      <c r="CI249" s="930">
        <f>(WWWW[[#This Row],['#_Constructed/Existing tube wells/boreholes/handpumps_WASH_agency]]+WWWW[[#This Row],['#_Non-Cluster partner water tube-wells/boreholes/handpumps]])-WWWW[[#This Row],['#_Non-functional tube wells/boreholes/handpumps]]</f>
        <v>1</v>
      </c>
      <c r="CJ249" s="930">
        <f>WWWW[[#This Row],['#_Constructed/Existingwater storage tank with gravity fed reticulation system]]-WWWW[[#This Row],['#_Non-functional storage tank gravity fed reticulation system]]</f>
        <v>1</v>
      </c>
      <c r="CK249" s="930">
        <f>(WWWW[[#This Row],['#_Water_Liters_supplied_by_Water boating or water trucking]]/90)/15</f>
        <v>0</v>
      </c>
      <c r="CL249" s="930">
        <f>WWWW[[#This Row],['#_Water_Liters_from_Constructed/Existing water distribution system from river or natural spring]]/90/15</f>
        <v>0</v>
      </c>
      <c r="CM249" s="425">
        <f>IF(WWWW[[#This Row],['#_of water points in TLS/CFS]]*500&gt;WWWW[[#This Row],[Total PoP ]],WWWW[[#This Row],[Total PoP ]],WWWW[[#This Row],['#_of water points in TLS/CFS]]*500)</f>
        <v>52</v>
      </c>
      <c r="CN249" s="425">
        <f>IF(WWWW[[#This Row],['#_of water points in THF]]*500&gt;WWWW[[#This Row],[Total PoP ]],WWWW[[#This Row],[Total PoP ]],WWWW[[#This Row],['#_of water points in THF]]*500)</f>
        <v>0</v>
      </c>
      <c r="CO24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4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49" s="929">
        <f>IF(WWWW[[#This Row],[Location Type 1]]="Village",WWWW[[#This Row],[Access to safe drinking water for Village]],WWWW[[#This Row],[Access to safe drinking water for Camp]])</f>
        <v>1</v>
      </c>
      <c r="CR249" s="927">
        <f>WWWW[[#This Row],[%Equitable and continuous access to sufficient quantity of safe drinking water]]*WWWW[[#This Row],[Total PoP ]]</f>
        <v>52</v>
      </c>
      <c r="CS249" s="929">
        <f>IF((WWWW[[#This Row],['#_Constructed/Existing protected/fenced ponds]]*250)/WWWW[[#This Row],[Total PoP ]]&gt;1,1,(WWWW[[#This Row],['#_Constructed/Existing protected/fenced ponds]]*250)/WWWW[[#This Row],[Total PoP ]])</f>
        <v>0</v>
      </c>
      <c r="CT249" s="927">
        <f>WWWW[[#This Row],[% Access to unimproved water points]]*WWWW[[#This Row],[Total PoP ]]</f>
        <v>0</v>
      </c>
      <c r="CU24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4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W249" s="927">
        <f>WWWW[[#This Row],[HRP1]]/500</f>
        <v>0.104</v>
      </c>
      <c r="CX249" s="932">
        <f>1-WWWW[[#This Row],[% Equitable and continuous access to sufficient quantity of domestic water]]</f>
        <v>0</v>
      </c>
      <c r="CY249" s="927">
        <f>WWWW[[#This Row],[%equitable and continuous access to sufficient quantity of safe drinking and domestic water''s GAP]]*WWWW[[#This Row],[Total PoP ]]</f>
        <v>0</v>
      </c>
      <c r="CZ249" s="930">
        <f>IF(WWWW[[#This Row],[Total required water points]]-WWWW[[#This Row],['#Water points coverage]]&lt;0,0,WWWW[[#This Row],[Total required water points]]-WWWW[[#This Row],['#Water points coverage]])</f>
        <v>0.89600000000000002</v>
      </c>
      <c r="DA249" s="930">
        <f>ROUND(IF(WWWW[[#This Row],[Total PoP ]]&lt;500,1,WWWW[[#This Row],[Total PoP ]]/500),0)</f>
        <v>1</v>
      </c>
      <c r="DB249" s="930">
        <f>(WWWW[[#This Row],['#_Constructed latrines_by_WASHAgencies]]+WWWW[[#This Row],['#_Non Cluster partner latrines]])-WWWW[[#This Row],['#_Non-functional latrines]]</f>
        <v>3</v>
      </c>
      <c r="DC249" s="634">
        <f>WWWW[[#This Row],[HRP2]]/WWWW[[#This Row],[Total PoP ]]</f>
        <v>1</v>
      </c>
      <c r="DD24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v>
      </c>
      <c r="DE24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4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49" s="425">
        <f>IF(WWWW[[#This Row],['# of functional latrines in THF supported by WASH partners during the reporting period2]]="",0,WWWW[[#This Row],['# of functional latrines in THF supported by WASH partners during the reporting period2]]*50)</f>
        <v>0</v>
      </c>
      <c r="DH249" s="930">
        <f>ROUND(IF(WWWW[[#This Row],[Location Type 1]]="camp",WWWW[[#This Row],[Total PoP ]]/20,IF(WWWW[[#This Row],[Location Type 1]]="Temporary Location",WWWW[[#This Row],[Total PoP ]]/50,(WWWW[[#This Row],[Total PoP ]]/6))),0)</f>
        <v>3</v>
      </c>
      <c r="DI249" s="930">
        <f>IF(WWWW[[#This Row],[Total required Latrines]]-(WWWW[[#This Row],['#_Constructed latrines_by_WASHAgencies]]+WWWW[[#This Row],['#_Non Cluster partner latrines]])&lt;0,0,WWWW[[#This Row],[Total required Latrines]]-(WWWW[[#This Row],['#_Constructed latrines_by_WASHAgencies]]+WWWW[[#This Row],['#_Non Cluster partner latrines]]))</f>
        <v>0</v>
      </c>
      <c r="DJ249" s="932">
        <f>1-WWWW[[#This Row],[% people access to functioning Latrine]]</f>
        <v>0</v>
      </c>
      <c r="DK249" s="931">
        <f>IF(OR(WWWW[[#This Row],['#_Non-functional latrines]]="",WWWW[[#This Row],['#_Non-functional latrines]]=0),0,WWWW[[#This Row],['#_Non-functional latrines]]/(WWWW[[#This Row],['#_Constructed latrines_by_WASHAgencies]]+WWWW[[#This Row],['#_Non Cluster partner latrines]]))</f>
        <v>0.25</v>
      </c>
      <c r="DL249" s="927">
        <f>IF(500*(WWWW[[#This Row],['#_male hygiene promoters]]+WWWW[[#This Row],['#_female hygiene promoters]])&gt;WWWW[[#This Row],[Total PoP ]],WWWW[[#This Row],[Total PoP ]],500*(WWWW[[#This Row],['#_male hygiene promoters]]+WWWW[[#This Row],['#_female hygiene promoters]]))</f>
        <v>52</v>
      </c>
      <c r="DM24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52</v>
      </c>
      <c r="DN24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11.154000000000002</v>
      </c>
      <c r="DO249" s="930">
        <f>IF(WWWW[[#This Row],['# People with access to soap]]&gt;WWWW[[#This Row],['# People with access to Sanity Pads]],WWWW[[#This Row],['# People with access to soap]],WWWW[[#This Row],['# People with access to Sanity Pads]])</f>
        <v>52</v>
      </c>
      <c r="DP249" s="930">
        <f>IF(WWWW[[#This Row],['# people reached by regular dedicated hygiene promotion_5]]&gt;WWWW[[#This Row],['# People received regular supply of hygiene items_6]],WWWW[[#This Row],['# people reached by regular dedicated hygiene promotion_5]],WWWW[[#This Row],['# People received regular supply of hygiene items_6]])</f>
        <v>52</v>
      </c>
      <c r="DQ249" s="932">
        <f>IF(WWWW[[#This Row],[HRP3]]/WWWW[[#This Row],[Total PoP ]]&gt;1,1,WWWW[[#This Row],[HRP3]]/WWWW[[#This Row],[Total PoP ]])</f>
        <v>1</v>
      </c>
      <c r="DR249" s="931">
        <f>1-WWWW[[#This Row],[Hygiene Coverage%]]</f>
        <v>0</v>
      </c>
      <c r="DS249" s="929">
        <f>WWWW[[#This Row],['# people reached by regular dedicated hygiene promotion_5]]/WWWW[[#This Row],[Total PoP ]]</f>
        <v>1</v>
      </c>
      <c r="DT24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4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0.79671428571428582</v>
      </c>
      <c r="DV249" s="930">
        <f>WWWW[[#This Row],['#_Constructed/Existing hand washing stations]]-WWWW[[#This Row],['#_Non-Functional_hand_washing_stations]]</f>
        <v>2</v>
      </c>
      <c r="DW249" s="927">
        <f>IF(WWWW[[#This Row],['# Functional hand washing stations during reporting period]]*20&gt;WWWW[[#This Row],[Total HH]],WWWW[[#This Row],[Total HH]],WWWW[[#This Row],['# Functional hand washing stations during reporting period]]*20)</f>
        <v>14</v>
      </c>
      <c r="DX249" s="927">
        <f>IF(WWWW[[#This Row],[Is sufficient soap available for TLS? (Yes/No)]]="yes",WWWW[[#This Row],['#_Constructed/Existing hand washing stations at TLS/CFS/THF]],0)</f>
        <v>2</v>
      </c>
      <c r="DY249" s="429">
        <f>IF(WWWW[[#This Row],['# Functional hand washing stations during reporting period]]*100&gt;WWWW[[#This Row],[Total PoP ]],WWWW[[#This Row],[Total PoP ]],WWWW[[#This Row],['# Functional hand washing stations during reporting period]]*100)</f>
        <v>52</v>
      </c>
      <c r="DZ249" s="429" t="str">
        <f>IF(OR(WWWW[[#This Row],['#_students at TLS_CFS]]="",WWWW[[#This Row],['#_students at TLS_CFS]]=0),"No","Yes")</f>
        <v>Yes</v>
      </c>
      <c r="EA24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4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4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D24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49" s="923">
        <f>VLOOKUP(WWWW[[#This Row],[Site Name]],SiteDB6[[Site Name]:[CCCM Management]],6,FALSE)</f>
        <v>0</v>
      </c>
      <c r="EF249" s="923" t="str">
        <f>VLOOKUP(WWWW[[#This Row],[Site Name]],SiteDB6[[Site Name]:[CCCM Focal Agency]],7,FALSE)</f>
        <v>KMSS-MYT</v>
      </c>
      <c r="EG249" s="923" t="str">
        <f>VLOOKUP(WWWW[[#This Row],[Site Name]],SiteDB6[[Site Name]:[Location Type 1]],9,FALSE)</f>
        <v>Camp</v>
      </c>
      <c r="EH249" s="923" t="str">
        <f>VLOOKUP(WWWW[[#This Row],[Site Name]],SiteDB6[[Site Name]:[Type of Accommodation]],10,FALSE)</f>
        <v>Camp</v>
      </c>
      <c r="EI249" s="923" t="str">
        <f>VLOOKUP(WWWW[[#This Row],[Site Name]],SiteDB6[[Site Name]:[Ethnic or GCA/NGCA]],11,FALSE)</f>
        <v>GCA</v>
      </c>
      <c r="EJ249" s="923">
        <f>VLOOKUP(WWWW[[#This Row],[Site Name]],SiteDB6[[Site Name]:[Lat]],12,FALSE)</f>
        <v>25.522594999999999</v>
      </c>
      <c r="EK249" s="923">
        <f>VLOOKUP(WWWW[[#This Row],[Site Name]],SiteDB6[[Site Name]:[Long]],13,FALSE)</f>
        <v>96.711534</v>
      </c>
      <c r="EL249" s="923" t="str">
        <f>VLOOKUP(WWWW[[#This Row],[Site Name]],SiteDB6[[Site Name]:[Pcode]],3,FALSE)</f>
        <v>MMR001CMP270</v>
      </c>
      <c r="EM249" s="928" t="str">
        <f t="shared" si="3"/>
        <v>Covered</v>
      </c>
      <c r="EN249" s="928"/>
      <c r="EO249" s="923">
        <f>VLOOKUP(WWWW[[#This Row],[Site Name]],SiteDB6[[Site Name]:[Pop
(Kachin/Shan-CCCM as of July 2021)]],16,FALSE)</f>
        <v>14</v>
      </c>
      <c r="EP249" s="923">
        <f>VLOOKUP(WWWW[[#This Row],[Site Name]],SiteDB6[[Site Name]:[Pop
(Kachin/Shan-CCCM as of July 2021)]],17,FALSE)</f>
        <v>52</v>
      </c>
    </row>
    <row r="250" spans="1:146">
      <c r="A250" s="921" t="s">
        <v>2786</v>
      </c>
      <c r="B250" s="921" t="s">
        <v>36</v>
      </c>
      <c r="C250" s="922" t="s">
        <v>36</v>
      </c>
      <c r="D250" s="922" t="s">
        <v>241</v>
      </c>
      <c r="E250" s="922" t="s">
        <v>37</v>
      </c>
      <c r="F250" s="922" t="s">
        <v>148</v>
      </c>
      <c r="G250" s="594" t="str">
        <f>VLOOKUP(WWWW[[#This Row],[Site Name]],SiteDB6[[Site Name]:[Location Type]],8,FALSE)</f>
        <v>Camp_not registered</v>
      </c>
      <c r="H250" s="922" t="s">
        <v>1592</v>
      </c>
      <c r="I250" s="924">
        <v>94</v>
      </c>
      <c r="J250" s="924">
        <v>467</v>
      </c>
      <c r="K250" s="925">
        <v>44414</v>
      </c>
      <c r="L250" s="926">
        <v>44778</v>
      </c>
      <c r="M250" s="924"/>
      <c r="N250" s="924">
        <v>5</v>
      </c>
      <c r="O250" s="924"/>
      <c r="P250" s="924"/>
      <c r="Q250" s="927" t="s">
        <v>41</v>
      </c>
      <c r="R250" s="924">
        <v>2</v>
      </c>
      <c r="S250" s="924">
        <v>5</v>
      </c>
      <c r="T250" s="449">
        <v>1</v>
      </c>
      <c r="U250" s="924">
        <v>1</v>
      </c>
      <c r="V250" s="924">
        <v>1</v>
      </c>
      <c r="W250" s="924"/>
      <c r="X250" s="924"/>
      <c r="Y250" s="924"/>
      <c r="Z250" s="924"/>
      <c r="AA250" s="924"/>
      <c r="AB250" s="924"/>
      <c r="AC250" s="924"/>
      <c r="AD250" s="924"/>
      <c r="AE250" s="924"/>
      <c r="AF250" s="924"/>
      <c r="AG250" s="924"/>
      <c r="AH250" s="924">
        <v>7</v>
      </c>
      <c r="AI250" s="924">
        <v>10</v>
      </c>
      <c r="AJ250" s="924">
        <v>1</v>
      </c>
      <c r="AK250" s="924"/>
      <c r="AL250" s="924"/>
      <c r="AM250" s="924"/>
      <c r="AN250" s="924"/>
      <c r="AO250" s="449"/>
      <c r="AP250" s="928"/>
      <c r="AQ250" s="924">
        <v>12</v>
      </c>
      <c r="AR250" s="924"/>
      <c r="AS250" s="929"/>
      <c r="AT250" s="924"/>
      <c r="AU250" s="924"/>
      <c r="AV250" s="924"/>
      <c r="AW250" s="924"/>
      <c r="AX250" s="924"/>
      <c r="AY250" s="923" t="s">
        <v>41</v>
      </c>
      <c r="AZ250" s="928" t="s">
        <v>137</v>
      </c>
      <c r="BA250" s="924">
        <v>3</v>
      </c>
      <c r="BB250" s="924"/>
      <c r="BC250" s="924"/>
      <c r="BD250" s="449"/>
      <c r="BE250" s="449"/>
      <c r="BF250" s="923"/>
      <c r="BG250" s="924">
        <v>1</v>
      </c>
      <c r="BH250" s="924"/>
      <c r="BI250" s="924"/>
      <c r="BJ250" s="924">
        <v>2</v>
      </c>
      <c r="BK250" s="924">
        <v>1</v>
      </c>
      <c r="BL250" s="924"/>
      <c r="BM250" s="924">
        <v>1</v>
      </c>
      <c r="BN250" s="924">
        <v>94</v>
      </c>
      <c r="BO250" s="924">
        <v>100.17150000000001</v>
      </c>
      <c r="BP250" s="923" t="s">
        <v>41</v>
      </c>
      <c r="BQ250" s="930">
        <v>100</v>
      </c>
      <c r="BR250" s="929">
        <v>0.3</v>
      </c>
      <c r="BS250" s="923" t="s">
        <v>3059</v>
      </c>
      <c r="BT250" s="424"/>
      <c r="BU250" s="424"/>
      <c r="BV250" s="426"/>
      <c r="BW250" s="424">
        <v>0.01</v>
      </c>
      <c r="BX250" s="449"/>
      <c r="BY250" s="449"/>
      <c r="BZ250" s="449"/>
      <c r="CA250" s="449"/>
      <c r="CB250" s="449"/>
      <c r="CC250" s="807"/>
      <c r="CD250" s="449"/>
      <c r="CE250" s="931">
        <f>IFERROR(WWWW[[#This Row],['#_Water sources passed]]/WWWW[[#This Row],['#_Water sources tested for fecal coliform ]],"no test")</f>
        <v>0.1</v>
      </c>
      <c r="CF250" s="929" t="str">
        <f>IFERROR(WWWW[[#This Row],['#_Household passed]]/WWWW[[#This Row],['#_Household water samples tested for fecal coliform]],"no test")</f>
        <v>no test</v>
      </c>
      <c r="CG250" s="930" t="str">
        <f>IF(AND(WWWW[[#This Row],[% of water sources passed]]="no test",WWWW[[#This Row],[% Household passed]]="no test"),"No Test","Tested")</f>
        <v>Tested</v>
      </c>
      <c r="CH250" s="930">
        <f>WWWW[[#This Row],['#_Constructed/existing protected hand dug well]]-WWWW[[#This Row],['#_Non-functional protected hand dug well]]</f>
        <v>0</v>
      </c>
      <c r="CI250" s="930">
        <f>(WWWW[[#This Row],['#_Constructed/Existing tube wells/boreholes/handpumps_WASH_agency]]+WWWW[[#This Row],['#_Non-Cluster partner water tube-wells/boreholes/handpumps]])-WWWW[[#This Row],['#_Non-functional tube wells/boreholes/handpumps]]</f>
        <v>0</v>
      </c>
      <c r="CJ250" s="930">
        <f>WWWW[[#This Row],['#_Constructed/Existingwater storage tank with gravity fed reticulation system]]-WWWW[[#This Row],['#_Non-functional storage tank gravity fed reticulation system]]</f>
        <v>0</v>
      </c>
      <c r="CK250" s="930">
        <f>(WWWW[[#This Row],['#_Water_Liters_supplied_by_Water boating or water trucking]]/90)/15</f>
        <v>0</v>
      </c>
      <c r="CL250" s="930">
        <f>WWWW[[#This Row],['#_Water_Liters_from_Constructed/Existing water distribution system from river or natural spring]]/90/15</f>
        <v>0</v>
      </c>
      <c r="CM250" s="425">
        <f>IF(WWWW[[#This Row],['#_of water points in TLS/CFS]]*500&gt;WWWW[[#This Row],[Total PoP ]],WWWW[[#This Row],[Total PoP ]],WWWW[[#This Row],['#_of water points in TLS/CFS]]*500)</f>
        <v>0</v>
      </c>
      <c r="CN250" s="425">
        <f>IF(WWWW[[#This Row],['#_of water points in THF]]*500&gt;WWWW[[#This Row],[Total PoP ]],WWWW[[#This Row],[Total PoP ]],WWWW[[#This Row],['#_of water points in THF]]*500)</f>
        <v>0</v>
      </c>
      <c r="CO25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5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50" s="929">
        <f>IF(WWWW[[#This Row],[Location Type 1]]="Village",WWWW[[#This Row],[Access to safe drinking water for Village]],WWWW[[#This Row],[Access to safe drinking water for Camp]])</f>
        <v>0</v>
      </c>
      <c r="CR250" s="927">
        <f>WWWW[[#This Row],[%Equitable and continuous access to sufficient quantity of safe drinking water]]*WWWW[[#This Row],[Total PoP ]]</f>
        <v>0</v>
      </c>
      <c r="CS250" s="929">
        <f>IF((WWWW[[#This Row],['#_Constructed/Existing protected/fenced ponds]]*250)/WWWW[[#This Row],[Total PoP ]]&gt;1,1,(WWWW[[#This Row],['#_Constructed/Existing protected/fenced ponds]]*250)/WWWW[[#This Row],[Total PoP ]])</f>
        <v>0</v>
      </c>
      <c r="CT250" s="927">
        <f>WWWW[[#This Row],[% Access to unimproved water points]]*WWWW[[#This Row],[Total PoP ]]</f>
        <v>0</v>
      </c>
      <c r="CU25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5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50" s="927">
        <f>WWWW[[#This Row],[HRP1]]/500</f>
        <v>0</v>
      </c>
      <c r="CX250" s="932">
        <f>1-WWWW[[#This Row],[% Equitable and continuous access to sufficient quantity of domestic water]]</f>
        <v>1</v>
      </c>
      <c r="CY250" s="927">
        <f>WWWW[[#This Row],[%equitable and continuous access to sufficient quantity of safe drinking and domestic water''s GAP]]*WWWW[[#This Row],[Total PoP ]]</f>
        <v>467</v>
      </c>
      <c r="CZ250" s="930">
        <f>IF(WWWW[[#This Row],[Total required water points]]-WWWW[[#This Row],['#Water points coverage]]&lt;0,0,WWWW[[#This Row],[Total required water points]]-WWWW[[#This Row],['#Water points coverage]])</f>
        <v>1</v>
      </c>
      <c r="DA250" s="930">
        <f>ROUND(IF(WWWW[[#This Row],[Total PoP ]]&lt;500,1,WWWW[[#This Row],[Total PoP ]]/500),0)</f>
        <v>1</v>
      </c>
      <c r="DB250" s="930">
        <f>(WWWW[[#This Row],['#_Constructed latrines_by_WASHAgencies]]+WWWW[[#This Row],['#_Non Cluster partner latrines]])-WWWW[[#This Row],['#_Non-functional latrines]]</f>
        <v>12</v>
      </c>
      <c r="DC250" s="634">
        <f>WWWW[[#This Row],[HRP2]]/WWWW[[#This Row],[Total PoP ]]</f>
        <v>0.64239828693790146</v>
      </c>
      <c r="DD25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25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0" s="425">
        <f>IF(WWWW[[#This Row],['# of functional latrines in THF supported by WASH partners during the reporting period2]]="",0,WWWW[[#This Row],['# of functional latrines in THF supported by WASH partners during the reporting period2]]*50)</f>
        <v>0</v>
      </c>
      <c r="DH250" s="930">
        <f>ROUND(IF(WWWW[[#This Row],[Location Type 1]]="camp",WWWW[[#This Row],[Total PoP ]]/20,IF(WWWW[[#This Row],[Location Type 1]]="Temporary Location",WWWW[[#This Row],[Total PoP ]]/50,(WWWW[[#This Row],[Total PoP ]]/6))),0)</f>
        <v>23</v>
      </c>
      <c r="DI250" s="930">
        <f>IF(WWWW[[#This Row],[Total required Latrines]]-(WWWW[[#This Row],['#_Constructed latrines_by_WASHAgencies]]+WWWW[[#This Row],['#_Non Cluster partner latrines]])&lt;0,0,WWWW[[#This Row],[Total required Latrines]]-(WWWW[[#This Row],['#_Constructed latrines_by_WASHAgencies]]+WWWW[[#This Row],['#_Non Cluster partner latrines]]))</f>
        <v>11</v>
      </c>
      <c r="DJ250" s="932">
        <f>1-WWWW[[#This Row],[% people access to functioning Latrine]]</f>
        <v>0.35760171306209854</v>
      </c>
      <c r="DK250" s="931">
        <f>IF(OR(WWWW[[#This Row],['#_Non-functional latrines]]="",WWWW[[#This Row],['#_Non-functional latrines]]=0),0,WWWW[[#This Row],['#_Non-functional latrines]]/(WWWW[[#This Row],['#_Constructed latrines_by_WASHAgencies]]+WWWW[[#This Row],['#_Non Cluster partner latrines]]))</f>
        <v>0</v>
      </c>
      <c r="DL250" s="927">
        <f>IF(500*(WWWW[[#This Row],['#_male hygiene promoters]]+WWWW[[#This Row],['#_female hygiene promoters]])&gt;WWWW[[#This Row],[Total PoP ]],WWWW[[#This Row],[Total PoP ]],500*(WWWW[[#This Row],['#_male hygiene promoters]]+WWWW[[#This Row],['#_female hygiene promoters]]))</f>
        <v>467</v>
      </c>
      <c r="DM25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467</v>
      </c>
      <c r="DN25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100.17150000000001</v>
      </c>
      <c r="DO250" s="930">
        <f>IF(WWWW[[#This Row],['# People with access to soap]]&gt;WWWW[[#This Row],['# People with access to Sanity Pads]],WWWW[[#This Row],['# People with access to soap]],WWWW[[#This Row],['# People with access to Sanity Pads]])</f>
        <v>467</v>
      </c>
      <c r="DP250" s="930">
        <f>IF(WWWW[[#This Row],['# people reached by regular dedicated hygiene promotion_5]]&gt;WWWW[[#This Row],['# People received regular supply of hygiene items_6]],WWWW[[#This Row],['# people reached by regular dedicated hygiene promotion_5]],WWWW[[#This Row],['# People received regular supply of hygiene items_6]])</f>
        <v>467</v>
      </c>
      <c r="DQ250" s="932">
        <f>IF(WWWW[[#This Row],[HRP3]]/WWWW[[#This Row],[Total PoP ]]&gt;1,1,WWWW[[#This Row],[HRP3]]/WWWW[[#This Row],[Total PoP ]])</f>
        <v>1</v>
      </c>
      <c r="DR250" s="931">
        <f>1-WWWW[[#This Row],[Hygiene Coverage%]]</f>
        <v>0</v>
      </c>
      <c r="DS250" s="929">
        <f>WWWW[[#This Row],['# people reached by regular dedicated hygiene promotion_5]]/WWWW[[#This Row],[Total PoP ]]</f>
        <v>1</v>
      </c>
      <c r="DT25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0" s="930">
        <f>WWWW[[#This Row],['#_Constructed/Existing hand washing stations]]-WWWW[[#This Row],['#_Non-Functional_hand_washing_stations]]</f>
        <v>1</v>
      </c>
      <c r="DW250" s="927">
        <f>IF(WWWW[[#This Row],['# Functional hand washing stations during reporting period]]*20&gt;WWWW[[#This Row],[Total HH]],WWWW[[#This Row],[Total HH]],WWWW[[#This Row],['# Functional hand washing stations during reporting period]]*20)</f>
        <v>20</v>
      </c>
      <c r="DX250" s="927">
        <f>IF(WWWW[[#This Row],[Is sufficient soap available for TLS? (Yes/No)]]="yes",WWWW[[#This Row],['#_Constructed/Existing hand washing stations at TLS/CFS/THF]],0)</f>
        <v>0</v>
      </c>
      <c r="DY250" s="429">
        <f>IF(WWWW[[#This Row],['# Functional hand washing stations during reporting period]]*100&gt;WWWW[[#This Row],[Total PoP ]],WWWW[[#This Row],[Total PoP ]],WWWW[[#This Row],['# Functional hand washing stations during reporting period]]*100)</f>
        <v>100</v>
      </c>
      <c r="DZ250" s="429" t="str">
        <f>IF(OR(WWWW[[#This Row],['#_students at TLS_CFS]]="",WWWW[[#This Row],['#_students at TLS_CFS]]=0),"No","Yes")</f>
        <v>No</v>
      </c>
      <c r="EA25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0" s="923">
        <f>VLOOKUP(WWWW[[#This Row],[Site Name]],SiteDB6[[Site Name]:[CCCM Management]],6,FALSE)</f>
        <v>0</v>
      </c>
      <c r="EF250" s="923">
        <f>VLOOKUP(WWWW[[#This Row],[Site Name]],SiteDB6[[Site Name]:[CCCM Focal Agency]],7,FALSE)</f>
        <v>0</v>
      </c>
      <c r="EG250" s="923" t="str">
        <f>VLOOKUP(WWWW[[#This Row],[Site Name]],SiteDB6[[Site Name]:[Location Type 1]],9,FALSE)</f>
        <v>Camp</v>
      </c>
      <c r="EH250" s="923" t="str">
        <f>VLOOKUP(WWWW[[#This Row],[Site Name]],SiteDB6[[Site Name]:[Type of Accommodation]],10,FALSE)</f>
        <v>Camp like setting</v>
      </c>
      <c r="EI250" s="923" t="str">
        <f>VLOOKUP(WWWW[[#This Row],[Site Name]],SiteDB6[[Site Name]:[Ethnic or GCA/NGCA]],11,FALSE)</f>
        <v>GCA</v>
      </c>
      <c r="EJ250" s="923">
        <f>VLOOKUP(WWWW[[#This Row],[Site Name]],SiteDB6[[Site Name]:[Lat]],12,FALSE)</f>
        <v>0</v>
      </c>
      <c r="EK250" s="923">
        <f>VLOOKUP(WWWW[[#This Row],[Site Name]],SiteDB6[[Site Name]:[Long]],13,FALSE)</f>
        <v>0</v>
      </c>
      <c r="EL250" s="923">
        <f>VLOOKUP(WWWW[[#This Row],[Site Name]],SiteDB6[[Site Name]:[Pcode]],3,FALSE)</f>
        <v>0</v>
      </c>
      <c r="EM250" s="928" t="str">
        <f t="shared" si="3"/>
        <v>Covered</v>
      </c>
      <c r="EN250" s="928"/>
      <c r="EO250" s="923">
        <f>VLOOKUP(WWWW[[#This Row],[Site Name]],SiteDB6[[Site Name]:[Pop
(Kachin/Shan-CCCM as of July 2021)]],16,FALSE)</f>
        <v>0</v>
      </c>
      <c r="EP250" s="923">
        <f>VLOOKUP(WWWW[[#This Row],[Site Name]],SiteDB6[[Site Name]:[Pop
(Kachin/Shan-CCCM as of July 2021)]],17,FALSE)</f>
        <v>0</v>
      </c>
    </row>
    <row r="251" spans="1:146">
      <c r="A251" s="921" t="s">
        <v>2786</v>
      </c>
      <c r="B251" s="921" t="s">
        <v>36</v>
      </c>
      <c r="C251" s="922" t="s">
        <v>36</v>
      </c>
      <c r="D251" s="922" t="s">
        <v>241</v>
      </c>
      <c r="E251" s="922" t="s">
        <v>37</v>
      </c>
      <c r="F251" s="922" t="s">
        <v>148</v>
      </c>
      <c r="G251" s="594" t="str">
        <f>VLOOKUP(WWWW[[#This Row],[Site Name]],SiteDB6[[Site Name]:[Location Type]],8,FALSE)</f>
        <v>Camp</v>
      </c>
      <c r="H251" s="922" t="s">
        <v>231</v>
      </c>
      <c r="I251" s="924">
        <v>50</v>
      </c>
      <c r="J251" s="924">
        <v>218</v>
      </c>
      <c r="K251" s="925">
        <v>44414</v>
      </c>
      <c r="L251" s="926">
        <v>44778</v>
      </c>
      <c r="M251" s="924"/>
      <c r="N251" s="924">
        <v>2</v>
      </c>
      <c r="O251" s="924"/>
      <c r="P251" s="924"/>
      <c r="Q251" s="927" t="s">
        <v>41</v>
      </c>
      <c r="R251" s="924">
        <v>3</v>
      </c>
      <c r="S251" s="924">
        <v>3</v>
      </c>
      <c r="T251" s="449">
        <v>1</v>
      </c>
      <c r="U251" s="924"/>
      <c r="V251" s="924"/>
      <c r="W251" s="924"/>
      <c r="X251" s="924"/>
      <c r="Y251" s="924"/>
      <c r="Z251" s="924"/>
      <c r="AA251" s="924"/>
      <c r="AB251" s="924"/>
      <c r="AC251" s="924"/>
      <c r="AD251" s="924"/>
      <c r="AE251" s="924"/>
      <c r="AF251" s="924"/>
      <c r="AG251" s="924"/>
      <c r="AH251" s="924">
        <v>5</v>
      </c>
      <c r="AI251" s="924"/>
      <c r="AJ251" s="924">
        <v>1</v>
      </c>
      <c r="AK251" s="924"/>
      <c r="AL251" s="924"/>
      <c r="AM251" s="924">
        <v>4</v>
      </c>
      <c r="AN251" s="924"/>
      <c r="AO251" s="449"/>
      <c r="AP251" s="928"/>
      <c r="AQ251" s="924">
        <v>16</v>
      </c>
      <c r="AR251" s="924"/>
      <c r="AS251" s="929"/>
      <c r="AT251" s="924"/>
      <c r="AU251" s="924"/>
      <c r="AV251" s="924"/>
      <c r="AW251" s="924"/>
      <c r="AX251" s="924"/>
      <c r="AY251" s="923" t="s">
        <v>41</v>
      </c>
      <c r="AZ251" s="928" t="s">
        <v>137</v>
      </c>
      <c r="BA251" s="924"/>
      <c r="BB251" s="924"/>
      <c r="BC251" s="924"/>
      <c r="BD251" s="449"/>
      <c r="BE251" s="449"/>
      <c r="BF251" s="923"/>
      <c r="BG251" s="924">
        <v>7</v>
      </c>
      <c r="BH251" s="924"/>
      <c r="BI251" s="924"/>
      <c r="BJ251" s="924">
        <v>2</v>
      </c>
      <c r="BK251" s="924"/>
      <c r="BL251" s="924"/>
      <c r="BM251" s="924">
        <v>1</v>
      </c>
      <c r="BN251" s="924">
        <v>50</v>
      </c>
      <c r="BO251" s="924">
        <v>46.76100000000001</v>
      </c>
      <c r="BP251" s="923" t="s">
        <v>41</v>
      </c>
      <c r="BQ251" s="930">
        <v>100</v>
      </c>
      <c r="BR251" s="929"/>
      <c r="BS251" s="923" t="s">
        <v>3059</v>
      </c>
      <c r="BT251" s="424"/>
      <c r="BU251" s="424"/>
      <c r="BV251" s="426"/>
      <c r="BW251" s="424">
        <v>0.01</v>
      </c>
      <c r="BX251" s="449"/>
      <c r="BY251" s="449"/>
      <c r="BZ251" s="449"/>
      <c r="CA251" s="449"/>
      <c r="CB251" s="449"/>
      <c r="CC251" s="807"/>
      <c r="CD251" s="449"/>
      <c r="CE251" s="931" t="str">
        <f>IFERROR(WWWW[[#This Row],['#_Water sources passed]]/WWWW[[#This Row],['#_Water sources tested for fecal coliform ]],"no test")</f>
        <v>no test</v>
      </c>
      <c r="CF251" s="929" t="str">
        <f>IFERROR(WWWW[[#This Row],['#_Household passed]]/WWWW[[#This Row],['#_Household water samples tested for fecal coliform]],"no test")</f>
        <v>no test</v>
      </c>
      <c r="CG251" s="930" t="str">
        <f>IF(AND(WWWW[[#This Row],[% of water sources passed]]="no test",WWWW[[#This Row],[% Household passed]]="no test"),"No Test","Tested")</f>
        <v>No Test</v>
      </c>
      <c r="CH251" s="930">
        <f>WWWW[[#This Row],['#_Constructed/existing protected hand dug well]]-WWWW[[#This Row],['#_Non-functional protected hand dug well]]</f>
        <v>1</v>
      </c>
      <c r="CI251" s="930">
        <f>(WWWW[[#This Row],['#_Constructed/Existing tube wells/boreholes/handpumps_WASH_agency]]+WWWW[[#This Row],['#_Non-Cluster partner water tube-wells/boreholes/handpumps]])-WWWW[[#This Row],['#_Non-functional tube wells/boreholes/handpumps]]</f>
        <v>0</v>
      </c>
      <c r="CJ251" s="930">
        <f>WWWW[[#This Row],['#_Constructed/Existingwater storage tank with gravity fed reticulation system]]-WWWW[[#This Row],['#_Non-functional storage tank gravity fed reticulation system]]</f>
        <v>0</v>
      </c>
      <c r="CK251" s="930">
        <f>(WWWW[[#This Row],['#_Water_Liters_supplied_by_Water boating or water trucking]]/90)/15</f>
        <v>0</v>
      </c>
      <c r="CL251" s="930">
        <f>WWWW[[#This Row],['#_Water_Liters_from_Constructed/Existing water distribution system from river or natural spring]]/90/15</f>
        <v>0</v>
      </c>
      <c r="CM251" s="425">
        <f>IF(WWWW[[#This Row],['#_of water points in TLS/CFS]]*500&gt;WWWW[[#This Row],[Total PoP ]],WWWW[[#This Row],[Total PoP ]],WWWW[[#This Row],['#_of water points in TLS/CFS]]*500)</f>
        <v>0</v>
      </c>
      <c r="CN251" s="425">
        <f>IF(WWWW[[#This Row],['#_of water points in THF]]*500&gt;WWWW[[#This Row],[Total PoP ]],WWWW[[#This Row],[Total PoP ]],WWWW[[#This Row],['#_of water points in THF]]*500)</f>
        <v>0</v>
      </c>
      <c r="CO25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1" s="929">
        <f>IF(WWWW[[#This Row],[Location Type 1]]="Village",WWWW[[#This Row],[Access to safe drinking water for Village]],WWWW[[#This Row],[Access to safe drinking water for Camp]])</f>
        <v>1</v>
      </c>
      <c r="CR251" s="927">
        <f>WWWW[[#This Row],[%Equitable and continuous access to sufficient quantity of safe drinking water]]*WWWW[[#This Row],[Total PoP ]]</f>
        <v>218</v>
      </c>
      <c r="CS251" s="929">
        <f>IF((WWWW[[#This Row],['#_Constructed/Existing protected/fenced ponds]]*250)/WWWW[[#This Row],[Total PoP ]]&gt;1,1,(WWWW[[#This Row],['#_Constructed/Existing protected/fenced ponds]]*250)/WWWW[[#This Row],[Total PoP ]])</f>
        <v>0</v>
      </c>
      <c r="CT251" s="927">
        <f>WWWW[[#This Row],[% Access to unimproved water points]]*WWWW[[#This Row],[Total PoP ]]</f>
        <v>0</v>
      </c>
      <c r="CU25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218</v>
      </c>
      <c r="CW251" s="927">
        <f>WWWW[[#This Row],[HRP1]]/500</f>
        <v>0.436</v>
      </c>
      <c r="CX251" s="932">
        <f>1-WWWW[[#This Row],[% Equitable and continuous access to sufficient quantity of domestic water]]</f>
        <v>0</v>
      </c>
      <c r="CY251" s="927">
        <f>WWWW[[#This Row],[%equitable and continuous access to sufficient quantity of safe drinking and domestic water''s GAP]]*WWWW[[#This Row],[Total PoP ]]</f>
        <v>0</v>
      </c>
      <c r="CZ251" s="930">
        <f>IF(WWWW[[#This Row],[Total required water points]]-WWWW[[#This Row],['#Water points coverage]]&lt;0,0,WWWW[[#This Row],[Total required water points]]-WWWW[[#This Row],['#Water points coverage]])</f>
        <v>0.56400000000000006</v>
      </c>
      <c r="DA251" s="930">
        <f>ROUND(IF(WWWW[[#This Row],[Total PoP ]]&lt;500,1,WWWW[[#This Row],[Total PoP ]]/500),0)</f>
        <v>1</v>
      </c>
      <c r="DB251" s="930">
        <f>(WWWW[[#This Row],['#_Constructed latrines_by_WASHAgencies]]+WWWW[[#This Row],['#_Non Cluster partner latrines]])-WWWW[[#This Row],['#_Non-functional latrines]]</f>
        <v>16</v>
      </c>
      <c r="DC251" s="634">
        <f>WWWW[[#This Row],[HRP2]]/WWWW[[#This Row],[Total PoP ]]</f>
        <v>1</v>
      </c>
      <c r="DD25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218</v>
      </c>
      <c r="DE25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1" s="425">
        <f>IF(WWWW[[#This Row],['# of functional latrines in THF supported by WASH partners during the reporting period2]]="",0,WWWW[[#This Row],['# of functional latrines in THF supported by WASH partners during the reporting period2]]*50)</f>
        <v>0</v>
      </c>
      <c r="DH251" s="930">
        <f>ROUND(IF(WWWW[[#This Row],[Location Type 1]]="camp",WWWW[[#This Row],[Total PoP ]]/20,IF(WWWW[[#This Row],[Location Type 1]]="Temporary Location",WWWW[[#This Row],[Total PoP ]]/50,(WWWW[[#This Row],[Total PoP ]]/6))),0)</f>
        <v>11</v>
      </c>
      <c r="DI251" s="930">
        <f>IF(WWWW[[#This Row],[Total required Latrines]]-(WWWW[[#This Row],['#_Constructed latrines_by_WASHAgencies]]+WWWW[[#This Row],['#_Non Cluster partner latrines]])&lt;0,0,WWWW[[#This Row],[Total required Latrines]]-(WWWW[[#This Row],['#_Constructed latrines_by_WASHAgencies]]+WWWW[[#This Row],['#_Non Cluster partner latrines]]))</f>
        <v>0</v>
      </c>
      <c r="DJ251" s="932">
        <f>1-WWWW[[#This Row],[% people access to functioning Latrine]]</f>
        <v>0</v>
      </c>
      <c r="DK251" s="931">
        <f>IF(OR(WWWW[[#This Row],['#_Non-functional latrines]]="",WWWW[[#This Row],['#_Non-functional latrines]]=0),0,WWWW[[#This Row],['#_Non-functional latrines]]/(WWWW[[#This Row],['#_Constructed latrines_by_WASHAgencies]]+WWWW[[#This Row],['#_Non Cluster partner latrines]]))</f>
        <v>0</v>
      </c>
      <c r="DL251" s="927">
        <f>IF(500*(WWWW[[#This Row],['#_male hygiene promoters]]+WWWW[[#This Row],['#_female hygiene promoters]])&gt;WWWW[[#This Row],[Total PoP ]],WWWW[[#This Row],[Total PoP ]],500*(WWWW[[#This Row],['#_male hygiene promoters]]+WWWW[[#This Row],['#_female hygiene promoters]]))</f>
        <v>218</v>
      </c>
      <c r="DM25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218</v>
      </c>
      <c r="DN25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46.76100000000001</v>
      </c>
      <c r="DO251" s="930">
        <f>IF(WWWW[[#This Row],['# People with access to soap]]&gt;WWWW[[#This Row],['# People with access to Sanity Pads]],WWWW[[#This Row],['# People with access to soap]],WWWW[[#This Row],['# People with access to Sanity Pads]])</f>
        <v>218</v>
      </c>
      <c r="DP251" s="930">
        <f>IF(WWWW[[#This Row],['# people reached by regular dedicated hygiene promotion_5]]&gt;WWWW[[#This Row],['# People received regular supply of hygiene items_6]],WWWW[[#This Row],['# people reached by regular dedicated hygiene promotion_5]],WWWW[[#This Row],['# People received regular supply of hygiene items_6]])</f>
        <v>218</v>
      </c>
      <c r="DQ251" s="932">
        <f>IF(WWWW[[#This Row],[HRP3]]/WWWW[[#This Row],[Total PoP ]]&gt;1,1,WWWW[[#This Row],[HRP3]]/WWWW[[#This Row],[Total PoP ]])</f>
        <v>1</v>
      </c>
      <c r="DR251" s="931">
        <f>1-WWWW[[#This Row],[Hygiene Coverage%]]</f>
        <v>0</v>
      </c>
      <c r="DS251" s="929">
        <f>WWWW[[#This Row],['# people reached by regular dedicated hygiene promotion_5]]/WWWW[[#This Row],[Total PoP ]]</f>
        <v>1</v>
      </c>
      <c r="DT25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0.93522000000000016</v>
      </c>
      <c r="DV251" s="930">
        <f>WWWW[[#This Row],['#_Constructed/Existing hand washing stations]]-WWWW[[#This Row],['#_Non-Functional_hand_washing_stations]]</f>
        <v>7</v>
      </c>
      <c r="DW251" s="927">
        <f>IF(WWWW[[#This Row],['# Functional hand washing stations during reporting period]]*20&gt;WWWW[[#This Row],[Total HH]],WWWW[[#This Row],[Total HH]],WWWW[[#This Row],['# Functional hand washing stations during reporting period]]*20)</f>
        <v>50</v>
      </c>
      <c r="DX251" s="927">
        <f>IF(WWWW[[#This Row],[Is sufficient soap available for TLS? (Yes/No)]]="yes",WWWW[[#This Row],['#_Constructed/Existing hand washing stations at TLS/CFS/THF]],0)</f>
        <v>4</v>
      </c>
      <c r="DY251" s="429">
        <f>IF(WWWW[[#This Row],['# Functional hand washing stations during reporting period]]*100&gt;WWWW[[#This Row],[Total PoP ]],WWWW[[#This Row],[Total PoP ]],WWWW[[#This Row],['# Functional hand washing stations during reporting period]]*100)</f>
        <v>218</v>
      </c>
      <c r="DZ251" s="429" t="str">
        <f>IF(OR(WWWW[[#This Row],['#_students at TLS_CFS]]="",WWWW[[#This Row],['#_students at TLS_CFS]]=0),"No","Yes")</f>
        <v>No</v>
      </c>
      <c r="EA25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1" s="923" t="str">
        <f>VLOOKUP(WWWW[[#This Row],[Site Name]],SiteDB6[[Site Name]:[CCCM Management]],6,FALSE)</f>
        <v>Yes</v>
      </c>
      <c r="EF251" s="923" t="str">
        <f>VLOOKUP(WWWW[[#This Row],[Site Name]],SiteDB6[[Site Name]:[CCCM Focal Agency]],7,FALSE)</f>
        <v>KMSS-MYT</v>
      </c>
      <c r="EG251" s="923" t="str">
        <f>VLOOKUP(WWWW[[#This Row],[Site Name]],SiteDB6[[Site Name]:[Location Type 1]],9,FALSE)</f>
        <v>Camp</v>
      </c>
      <c r="EH251" s="923" t="str">
        <f>VLOOKUP(WWWW[[#This Row],[Site Name]],SiteDB6[[Site Name]:[Type of Accommodation]],10,FALSE)</f>
        <v>Camp</v>
      </c>
      <c r="EI251" s="923" t="str">
        <f>VLOOKUP(WWWW[[#This Row],[Site Name]],SiteDB6[[Site Name]:[Ethnic or GCA/NGCA]],11,FALSE)</f>
        <v>GCA</v>
      </c>
      <c r="EJ251" s="923">
        <f>VLOOKUP(WWWW[[#This Row],[Site Name]],SiteDB6[[Site Name]:[Lat]],12,FALSE)</f>
        <v>25.613894999999999</v>
      </c>
      <c r="EK251" s="923">
        <f>VLOOKUP(WWWW[[#This Row],[Site Name]],SiteDB6[[Site Name]:[Long]],13,FALSE)</f>
        <v>96.341352999999998</v>
      </c>
      <c r="EL251" s="923" t="str">
        <f>VLOOKUP(WWWW[[#This Row],[Site Name]],SiteDB6[[Site Name]:[Pcode]],3,FALSE)</f>
        <v>MMR001CMP103</v>
      </c>
      <c r="EM251" s="928" t="str">
        <f t="shared" si="3"/>
        <v>Covered</v>
      </c>
      <c r="EN251" s="928"/>
      <c r="EO251" s="923">
        <f>VLOOKUP(WWWW[[#This Row],[Site Name]],SiteDB6[[Site Name]:[Pop
(Kachin/Shan-CCCM as of July 2021)]],16,FALSE)</f>
        <v>47</v>
      </c>
      <c r="EP251" s="923">
        <f>VLOOKUP(WWWW[[#This Row],[Site Name]],SiteDB6[[Site Name]:[Pop
(Kachin/Shan-CCCM as of July 2021)]],17,FALSE)</f>
        <v>226</v>
      </c>
    </row>
    <row r="252" spans="1:146">
      <c r="A252" s="921" t="s">
        <v>2786</v>
      </c>
      <c r="B252" s="921" t="s">
        <v>36</v>
      </c>
      <c r="C252" s="922" t="s">
        <v>36</v>
      </c>
      <c r="D252" s="922" t="s">
        <v>241</v>
      </c>
      <c r="E252" s="922" t="s">
        <v>37</v>
      </c>
      <c r="F252" s="922" t="s">
        <v>38</v>
      </c>
      <c r="G252" s="594" t="str">
        <f>VLOOKUP(WWWW[[#This Row],[Site Name]],SiteDB6[[Site Name]:[Location Type]],8,FALSE)</f>
        <v>Camp</v>
      </c>
      <c r="H252" s="922" t="s">
        <v>39</v>
      </c>
      <c r="I252" s="924">
        <v>154</v>
      </c>
      <c r="J252" s="924">
        <v>694</v>
      </c>
      <c r="K252" s="925">
        <v>44414</v>
      </c>
      <c r="L252" s="926">
        <v>44778</v>
      </c>
      <c r="M252" s="924"/>
      <c r="N252" s="924">
        <v>5</v>
      </c>
      <c r="O252" s="924"/>
      <c r="P252" s="924"/>
      <c r="Q252" s="927" t="s">
        <v>41</v>
      </c>
      <c r="R252" s="924">
        <v>3</v>
      </c>
      <c r="S252" s="924">
        <v>4</v>
      </c>
      <c r="T252" s="449">
        <v>1</v>
      </c>
      <c r="U252" s="924"/>
      <c r="V252" s="924"/>
      <c r="W252" s="924">
        <v>3</v>
      </c>
      <c r="X252" s="924">
        <v>2</v>
      </c>
      <c r="Y252" s="924"/>
      <c r="Z252" s="924"/>
      <c r="AA252" s="924"/>
      <c r="AB252" s="924"/>
      <c r="AC252" s="924"/>
      <c r="AD252" s="924"/>
      <c r="AE252" s="924"/>
      <c r="AF252" s="924"/>
      <c r="AG252" s="924"/>
      <c r="AH252" s="924"/>
      <c r="AI252" s="924"/>
      <c r="AJ252" s="924"/>
      <c r="AK252" s="924"/>
      <c r="AL252" s="924"/>
      <c r="AM252" s="924"/>
      <c r="AN252" s="924"/>
      <c r="AO252" s="449"/>
      <c r="AP252" s="928"/>
      <c r="AQ252" s="924">
        <v>61</v>
      </c>
      <c r="AR252" s="924"/>
      <c r="AS252" s="929"/>
      <c r="AT252" s="924"/>
      <c r="AU252" s="924"/>
      <c r="AV252" s="924"/>
      <c r="AW252" s="924"/>
      <c r="AX252" s="924"/>
      <c r="AY252" s="923" t="s">
        <v>41</v>
      </c>
      <c r="AZ252" s="928" t="s">
        <v>137</v>
      </c>
      <c r="BA252" s="924"/>
      <c r="BB252" s="924"/>
      <c r="BC252" s="924"/>
      <c r="BD252" s="449"/>
      <c r="BE252" s="449"/>
      <c r="BF252" s="923"/>
      <c r="BG252" s="924">
        <v>10</v>
      </c>
      <c r="BH252" s="924"/>
      <c r="BI252" s="924">
        <v>0</v>
      </c>
      <c r="BJ252" s="924">
        <v>7</v>
      </c>
      <c r="BK252" s="924"/>
      <c r="BL252" s="924"/>
      <c r="BM252" s="924">
        <v>2</v>
      </c>
      <c r="BN252" s="924">
        <v>154</v>
      </c>
      <c r="BO252" s="924">
        <v>148.86300000000003</v>
      </c>
      <c r="BP252" s="923" t="s">
        <v>41</v>
      </c>
      <c r="BQ252" s="930">
        <v>100</v>
      </c>
      <c r="BR252" s="929"/>
      <c r="BS252" s="923" t="s">
        <v>3059</v>
      </c>
      <c r="BT252" s="424"/>
      <c r="BU252" s="424"/>
      <c r="BV252" s="426"/>
      <c r="BW252" s="424">
        <v>0.01</v>
      </c>
      <c r="BX252" s="449"/>
      <c r="BY252" s="449"/>
      <c r="BZ252" s="449"/>
      <c r="CA252" s="449"/>
      <c r="CB252" s="449"/>
      <c r="CC252" s="807"/>
      <c r="CD252" s="449"/>
      <c r="CE252" s="931" t="str">
        <f>IFERROR(WWWW[[#This Row],['#_Water sources passed]]/WWWW[[#This Row],['#_Water sources tested for fecal coliform ]],"no test")</f>
        <v>no test</v>
      </c>
      <c r="CF252" s="929" t="str">
        <f>IFERROR(WWWW[[#This Row],['#_Household passed]]/WWWW[[#This Row],['#_Household water samples tested for fecal coliform]],"no test")</f>
        <v>no test</v>
      </c>
      <c r="CG252" s="930" t="str">
        <f>IF(AND(WWWW[[#This Row],[% of water sources passed]]="no test",WWWW[[#This Row],[% Household passed]]="no test"),"No Test","Tested")</f>
        <v>No Test</v>
      </c>
      <c r="CH252" s="930">
        <f>WWWW[[#This Row],['#_Constructed/existing protected hand dug well]]-WWWW[[#This Row],['#_Non-functional protected hand dug well]]</f>
        <v>1</v>
      </c>
      <c r="CI252" s="930">
        <f>(WWWW[[#This Row],['#_Constructed/Existing tube wells/boreholes/handpumps_WASH_agency]]+WWWW[[#This Row],['#_Non-Cluster partner water tube-wells/boreholes/handpumps]])-WWWW[[#This Row],['#_Non-functional tube wells/boreholes/handpumps]]</f>
        <v>5</v>
      </c>
      <c r="CJ252" s="930">
        <f>WWWW[[#This Row],['#_Constructed/Existingwater storage tank with gravity fed reticulation system]]-WWWW[[#This Row],['#_Non-functional storage tank gravity fed reticulation system]]</f>
        <v>0</v>
      </c>
      <c r="CK252" s="930">
        <f>(WWWW[[#This Row],['#_Water_Liters_supplied_by_Water boating or water trucking]]/90)/15</f>
        <v>0</v>
      </c>
      <c r="CL252" s="930">
        <f>WWWW[[#This Row],['#_Water_Liters_from_Constructed/Existing water distribution system from river or natural spring]]/90/15</f>
        <v>0</v>
      </c>
      <c r="CM252" s="425">
        <f>IF(WWWW[[#This Row],['#_of water points in TLS/CFS]]*500&gt;WWWW[[#This Row],[Total PoP ]],WWWW[[#This Row],[Total PoP ]],WWWW[[#This Row],['#_of water points in TLS/CFS]]*500)</f>
        <v>0</v>
      </c>
      <c r="CN252" s="425">
        <f>IF(WWWW[[#This Row],['#_of water points in THF]]*500&gt;WWWW[[#This Row],[Total PoP ]],WWWW[[#This Row],[Total PoP ]],WWWW[[#This Row],['#_of water points in THF]]*500)</f>
        <v>0</v>
      </c>
      <c r="CO25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2" s="929">
        <f>IF(WWWW[[#This Row],[Location Type 1]]="Village",WWWW[[#This Row],[Access to safe drinking water for Village]],WWWW[[#This Row],[Access to safe drinking water for Camp]])</f>
        <v>1</v>
      </c>
      <c r="CR252" s="927">
        <f>WWWW[[#This Row],[%Equitable and continuous access to sufficient quantity of safe drinking water]]*WWWW[[#This Row],[Total PoP ]]</f>
        <v>694</v>
      </c>
      <c r="CS252" s="929">
        <f>IF((WWWW[[#This Row],['#_Constructed/Existing protected/fenced ponds]]*250)/WWWW[[#This Row],[Total PoP ]]&gt;1,1,(WWWW[[#This Row],['#_Constructed/Existing protected/fenced ponds]]*250)/WWWW[[#This Row],[Total PoP ]])</f>
        <v>0</v>
      </c>
      <c r="CT252" s="927">
        <f>WWWW[[#This Row],[% Access to unimproved water points]]*WWWW[[#This Row],[Total PoP ]]</f>
        <v>0</v>
      </c>
      <c r="CU25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W252" s="927">
        <f>WWWW[[#This Row],[HRP1]]/500</f>
        <v>1.3879999999999999</v>
      </c>
      <c r="CX252" s="932">
        <f>1-WWWW[[#This Row],[% Equitable and continuous access to sufficient quantity of domestic water]]</f>
        <v>0</v>
      </c>
      <c r="CY252" s="927">
        <f>WWWW[[#This Row],[%equitable and continuous access to sufficient quantity of safe drinking and domestic water''s GAP]]*WWWW[[#This Row],[Total PoP ]]</f>
        <v>0</v>
      </c>
      <c r="CZ252" s="930">
        <f>IF(WWWW[[#This Row],[Total required water points]]-WWWW[[#This Row],['#Water points coverage]]&lt;0,0,WWWW[[#This Row],[Total required water points]]-WWWW[[#This Row],['#Water points coverage]])</f>
        <v>0</v>
      </c>
      <c r="DA252" s="930">
        <f>ROUND(IF(WWWW[[#This Row],[Total PoP ]]&lt;500,1,WWWW[[#This Row],[Total PoP ]]/500),0)</f>
        <v>1</v>
      </c>
      <c r="DB252" s="930">
        <f>(WWWW[[#This Row],['#_Constructed latrines_by_WASHAgencies]]+WWWW[[#This Row],['#_Non Cluster partner latrines]])-WWWW[[#This Row],['#_Non-functional latrines]]</f>
        <v>61</v>
      </c>
      <c r="DC252" s="634">
        <f>WWWW[[#This Row],[HRP2]]/WWWW[[#This Row],[Total PoP ]]</f>
        <v>1</v>
      </c>
      <c r="DD25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694</v>
      </c>
      <c r="DE25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2" s="425">
        <f>IF(WWWW[[#This Row],['# of functional latrines in THF supported by WASH partners during the reporting period2]]="",0,WWWW[[#This Row],['# of functional latrines in THF supported by WASH partners during the reporting period2]]*50)</f>
        <v>0</v>
      </c>
      <c r="DH252" s="930">
        <f>ROUND(IF(WWWW[[#This Row],[Location Type 1]]="camp",WWWW[[#This Row],[Total PoP ]]/20,IF(WWWW[[#This Row],[Location Type 1]]="Temporary Location",WWWW[[#This Row],[Total PoP ]]/50,(WWWW[[#This Row],[Total PoP ]]/6))),0)</f>
        <v>35</v>
      </c>
      <c r="DI252" s="930">
        <f>IF(WWWW[[#This Row],[Total required Latrines]]-(WWWW[[#This Row],['#_Constructed latrines_by_WASHAgencies]]+WWWW[[#This Row],['#_Non Cluster partner latrines]])&lt;0,0,WWWW[[#This Row],[Total required Latrines]]-(WWWW[[#This Row],['#_Constructed latrines_by_WASHAgencies]]+WWWW[[#This Row],['#_Non Cluster partner latrines]]))</f>
        <v>0</v>
      </c>
      <c r="DJ252" s="932">
        <f>1-WWWW[[#This Row],[% people access to functioning Latrine]]</f>
        <v>0</v>
      </c>
      <c r="DK252" s="931">
        <f>IF(OR(WWWW[[#This Row],['#_Non-functional latrines]]="",WWWW[[#This Row],['#_Non-functional latrines]]=0),0,WWWW[[#This Row],['#_Non-functional latrines]]/(WWWW[[#This Row],['#_Constructed latrines_by_WASHAgencies]]+WWWW[[#This Row],['#_Non Cluster partner latrines]]))</f>
        <v>0</v>
      </c>
      <c r="DL252" s="927">
        <f>IF(500*(WWWW[[#This Row],['#_male hygiene promoters]]+WWWW[[#This Row],['#_female hygiene promoters]])&gt;WWWW[[#This Row],[Total PoP ]],WWWW[[#This Row],[Total PoP ]],500*(WWWW[[#This Row],['#_male hygiene promoters]]+WWWW[[#This Row],['#_female hygiene promoters]]))</f>
        <v>694</v>
      </c>
      <c r="DM25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694</v>
      </c>
      <c r="DN25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148.86300000000003</v>
      </c>
      <c r="DO252" s="930">
        <f>IF(WWWW[[#This Row],['# People with access to soap]]&gt;WWWW[[#This Row],['# People with access to Sanity Pads]],WWWW[[#This Row],['# People with access to soap]],WWWW[[#This Row],['# People with access to Sanity Pads]])</f>
        <v>694</v>
      </c>
      <c r="DP252" s="930">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Q252" s="932">
        <f>IF(WWWW[[#This Row],[HRP3]]/WWWW[[#This Row],[Total PoP ]]&gt;1,1,WWWW[[#This Row],[HRP3]]/WWWW[[#This Row],[Total PoP ]])</f>
        <v>1</v>
      </c>
      <c r="DR252" s="931">
        <f>1-WWWW[[#This Row],[Hygiene Coverage%]]</f>
        <v>0</v>
      </c>
      <c r="DS252" s="929">
        <f>WWWW[[#This Row],['# people reached by regular dedicated hygiene promotion_5]]/WWWW[[#This Row],[Total PoP ]]</f>
        <v>1</v>
      </c>
      <c r="DT25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0.96664285714285736</v>
      </c>
      <c r="DV252" s="930">
        <f>WWWW[[#This Row],['#_Constructed/Existing hand washing stations]]-WWWW[[#This Row],['#_Non-Functional_hand_washing_stations]]</f>
        <v>10</v>
      </c>
      <c r="DW252" s="927">
        <f>IF(WWWW[[#This Row],['# Functional hand washing stations during reporting period]]*20&gt;WWWW[[#This Row],[Total HH]],WWWW[[#This Row],[Total HH]],WWWW[[#This Row],['# Functional hand washing stations during reporting period]]*20)</f>
        <v>154</v>
      </c>
      <c r="DX252" s="927">
        <f>IF(WWWW[[#This Row],[Is sufficient soap available for TLS? (Yes/No)]]="yes",WWWW[[#This Row],['#_Constructed/Existing hand washing stations at TLS/CFS/THF]],0)</f>
        <v>0</v>
      </c>
      <c r="DY252" s="429">
        <f>IF(WWWW[[#This Row],['# Functional hand washing stations during reporting period]]*100&gt;WWWW[[#This Row],[Total PoP ]],WWWW[[#This Row],[Total PoP ]],WWWW[[#This Row],['# Functional hand washing stations during reporting period]]*100)</f>
        <v>694</v>
      </c>
      <c r="DZ252" s="429" t="str">
        <f>IF(OR(WWWW[[#This Row],['#_students at TLS_CFS]]="",WWWW[[#This Row],['#_students at TLS_CFS]]=0),"No","Yes")</f>
        <v>No</v>
      </c>
      <c r="EA25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2" s="923" t="str">
        <f>VLOOKUP(WWWW[[#This Row],[Site Name]],SiteDB6[[Site Name]:[CCCM Management]],6,FALSE)</f>
        <v>Yes</v>
      </c>
      <c r="EF252" s="923" t="str">
        <f>VLOOKUP(WWWW[[#This Row],[Site Name]],SiteDB6[[Site Name]:[CCCM Focal Agency]],7,FALSE)</f>
        <v>KMSS-BMO</v>
      </c>
      <c r="EG252" s="923" t="str">
        <f>VLOOKUP(WWWW[[#This Row],[Site Name]],SiteDB6[[Site Name]:[Location Type 1]],9,FALSE)</f>
        <v>Camp</v>
      </c>
      <c r="EH252" s="923" t="str">
        <f>VLOOKUP(WWWW[[#This Row],[Site Name]],SiteDB6[[Site Name]:[Type of Accommodation]],10,FALSE)</f>
        <v>Camp</v>
      </c>
      <c r="EI252" s="923" t="str">
        <f>VLOOKUP(WWWW[[#This Row],[Site Name]],SiteDB6[[Site Name]:[Ethnic or GCA/NGCA]],11,FALSE)</f>
        <v>GCA</v>
      </c>
      <c r="EJ252" s="923">
        <f>VLOOKUP(WWWW[[#This Row],[Site Name]],SiteDB6[[Site Name]:[Lat]],12,FALSE)</f>
        <v>23.976571</v>
      </c>
      <c r="EK252" s="923">
        <f>VLOOKUP(WWWW[[#This Row],[Site Name]],SiteDB6[[Site Name]:[Long]],13,FALSE)</f>
        <v>97.227057000000002</v>
      </c>
      <c r="EL252" s="923" t="str">
        <f>VLOOKUP(WWWW[[#This Row],[Site Name]],SiteDB6[[Site Name]:[Pcode]],3,FALSE)</f>
        <v>MMR001CMP223</v>
      </c>
      <c r="EM252" s="928" t="str">
        <f t="shared" si="3"/>
        <v>Covered</v>
      </c>
      <c r="EN252" s="928"/>
      <c r="EO252" s="923">
        <f>VLOOKUP(WWWW[[#This Row],[Site Name]],SiteDB6[[Site Name]:[Pop
(Kachin/Shan-CCCM as of July 2021)]],16,FALSE)</f>
        <v>151</v>
      </c>
      <c r="EP252" s="923">
        <f>VLOOKUP(WWWW[[#This Row],[Site Name]],SiteDB6[[Site Name]:[Pop
(Kachin/Shan-CCCM as of July 2021)]],17,FALSE)</f>
        <v>732</v>
      </c>
    </row>
    <row r="253" spans="1:146">
      <c r="A253" s="921" t="s">
        <v>2786</v>
      </c>
      <c r="B253" s="921" t="s">
        <v>36</v>
      </c>
      <c r="C253" s="922" t="s">
        <v>36</v>
      </c>
      <c r="D253" s="922" t="s">
        <v>241</v>
      </c>
      <c r="E253" s="922" t="s">
        <v>37</v>
      </c>
      <c r="F253" s="922" t="s">
        <v>152</v>
      </c>
      <c r="G253" s="594" t="str">
        <f>VLOOKUP(WWWW[[#This Row],[Site Name]],SiteDB6[[Site Name]:[Location Type]],8,FALSE)</f>
        <v>Camp</v>
      </c>
      <c r="H253" s="753" t="s">
        <v>3052</v>
      </c>
      <c r="I253" s="924">
        <v>48</v>
      </c>
      <c r="J253" s="924">
        <v>270</v>
      </c>
      <c r="K253" s="925">
        <v>44414</v>
      </c>
      <c r="L253" s="926">
        <v>44778</v>
      </c>
      <c r="M253" s="924"/>
      <c r="N253" s="924">
        <v>3</v>
      </c>
      <c r="O253" s="924"/>
      <c r="P253" s="924"/>
      <c r="Q253" s="927" t="s">
        <v>41</v>
      </c>
      <c r="R253" s="924">
        <v>3</v>
      </c>
      <c r="S253" s="924">
        <v>1</v>
      </c>
      <c r="T253" s="449">
        <v>2</v>
      </c>
      <c r="U253" s="924"/>
      <c r="V253" s="924"/>
      <c r="W253" s="924"/>
      <c r="X253" s="924"/>
      <c r="Y253" s="924"/>
      <c r="Z253" s="924"/>
      <c r="AA253" s="924"/>
      <c r="AB253" s="924"/>
      <c r="AC253" s="924"/>
      <c r="AD253" s="924"/>
      <c r="AE253" s="924"/>
      <c r="AF253" s="924"/>
      <c r="AG253" s="924"/>
      <c r="AH253" s="924"/>
      <c r="AI253" s="924">
        <v>5</v>
      </c>
      <c r="AJ253" s="924">
        <v>1</v>
      </c>
      <c r="AK253" s="924"/>
      <c r="AL253" s="924"/>
      <c r="AM253" s="924">
        <v>5</v>
      </c>
      <c r="AN253" s="924"/>
      <c r="AO253" s="449"/>
      <c r="AP253" s="928"/>
      <c r="AQ253" s="924">
        <v>18</v>
      </c>
      <c r="AR253" s="924"/>
      <c r="AS253" s="929"/>
      <c r="AT253" s="924">
        <v>2</v>
      </c>
      <c r="AU253" s="924"/>
      <c r="AV253" s="924"/>
      <c r="AW253" s="924"/>
      <c r="AX253" s="924"/>
      <c r="AY253" s="923" t="s">
        <v>41</v>
      </c>
      <c r="AZ253" s="928" t="s">
        <v>904</v>
      </c>
      <c r="BA253" s="924"/>
      <c r="BB253" s="924"/>
      <c r="BC253" s="924"/>
      <c r="BD253" s="449"/>
      <c r="BE253" s="449"/>
      <c r="BF253" s="923"/>
      <c r="BG253" s="924">
        <v>5</v>
      </c>
      <c r="BH253" s="924"/>
      <c r="BI253" s="924">
        <v>2</v>
      </c>
      <c r="BJ253" s="924">
        <v>2</v>
      </c>
      <c r="BK253" s="924"/>
      <c r="BL253" s="924"/>
      <c r="BM253" s="924">
        <v>1</v>
      </c>
      <c r="BN253" s="924">
        <v>48</v>
      </c>
      <c r="BO253" s="924">
        <v>57.915000000000006</v>
      </c>
      <c r="BP253" s="923" t="s">
        <v>41</v>
      </c>
      <c r="BQ253" s="930">
        <v>100</v>
      </c>
      <c r="BR253" s="929"/>
      <c r="BS253" s="923" t="s">
        <v>3059</v>
      </c>
      <c r="BT253" s="424"/>
      <c r="BU253" s="424">
        <v>0.5</v>
      </c>
      <c r="BV253" s="426"/>
      <c r="BW253" s="424">
        <v>0.01</v>
      </c>
      <c r="BX253" s="449"/>
      <c r="BY253" s="449"/>
      <c r="BZ253" s="449"/>
      <c r="CA253" s="449"/>
      <c r="CB253" s="449"/>
      <c r="CC253" s="807"/>
      <c r="CD253" s="449"/>
      <c r="CE253" s="931">
        <f>IFERROR(WWWW[[#This Row],['#_Water sources passed]]/WWWW[[#This Row],['#_Water sources tested for fecal coliform ]],"no test")</f>
        <v>0.2</v>
      </c>
      <c r="CF253" s="929" t="str">
        <f>IFERROR(WWWW[[#This Row],['#_Household passed]]/WWWW[[#This Row],['#_Household water samples tested for fecal coliform]],"no test")</f>
        <v>no test</v>
      </c>
      <c r="CG253" s="930" t="str">
        <f>IF(AND(WWWW[[#This Row],[% of water sources passed]]="no test",WWWW[[#This Row],[% Household passed]]="no test"),"No Test","Tested")</f>
        <v>Tested</v>
      </c>
      <c r="CH253" s="930">
        <f>WWWW[[#This Row],['#_Constructed/existing protected hand dug well]]-WWWW[[#This Row],['#_Non-functional protected hand dug well]]</f>
        <v>2</v>
      </c>
      <c r="CI253" s="930">
        <f>(WWWW[[#This Row],['#_Constructed/Existing tube wells/boreholes/handpumps_WASH_agency]]+WWWW[[#This Row],['#_Non-Cluster partner water tube-wells/boreholes/handpumps]])-WWWW[[#This Row],['#_Non-functional tube wells/boreholes/handpumps]]</f>
        <v>0</v>
      </c>
      <c r="CJ253" s="930">
        <f>WWWW[[#This Row],['#_Constructed/Existingwater storage tank with gravity fed reticulation system]]-WWWW[[#This Row],['#_Non-functional storage tank gravity fed reticulation system]]</f>
        <v>0</v>
      </c>
      <c r="CK253" s="930">
        <f>(WWWW[[#This Row],['#_Water_Liters_supplied_by_Water boating or water trucking]]/90)/15</f>
        <v>0</v>
      </c>
      <c r="CL253" s="930">
        <f>WWWW[[#This Row],['#_Water_Liters_from_Constructed/Existing water distribution system from river or natural spring]]/90/15</f>
        <v>0</v>
      </c>
      <c r="CM253" s="425">
        <f>IF(WWWW[[#This Row],['#_of water points in TLS/CFS]]*500&gt;WWWW[[#This Row],[Total PoP ]],WWWW[[#This Row],[Total PoP ]],WWWW[[#This Row],['#_of water points in TLS/CFS]]*500)</f>
        <v>0</v>
      </c>
      <c r="CN253" s="425">
        <f>IF(WWWW[[#This Row],['#_of water points in THF]]*500&gt;WWWW[[#This Row],[Total PoP ]],WWWW[[#This Row],[Total PoP ]],WWWW[[#This Row],['#_of water points in THF]]*500)</f>
        <v>0</v>
      </c>
      <c r="CO25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3" s="929">
        <f>IF(WWWW[[#This Row],[Location Type 1]]="Village",WWWW[[#This Row],[Access to safe drinking water for Village]],WWWW[[#This Row],[Access to safe drinking water for Camp]])</f>
        <v>1</v>
      </c>
      <c r="CR253" s="927">
        <f>WWWW[[#This Row],[%Equitable and continuous access to sufficient quantity of safe drinking water]]*WWWW[[#This Row],[Total PoP ]]</f>
        <v>270</v>
      </c>
      <c r="CS253" s="929">
        <f>IF((WWWW[[#This Row],['#_Constructed/Existing protected/fenced ponds]]*250)/WWWW[[#This Row],[Total PoP ]]&gt;1,1,(WWWW[[#This Row],['#_Constructed/Existing protected/fenced ponds]]*250)/WWWW[[#This Row],[Total PoP ]])</f>
        <v>0</v>
      </c>
      <c r="CT253" s="927">
        <f>WWWW[[#This Row],[% Access to unimproved water points]]*WWWW[[#This Row],[Total PoP ]]</f>
        <v>0</v>
      </c>
      <c r="CU25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253" s="927">
        <f>WWWW[[#This Row],[HRP1]]/500</f>
        <v>0.54</v>
      </c>
      <c r="CX253" s="932">
        <f>1-WWWW[[#This Row],[% Equitable and continuous access to sufficient quantity of domestic water]]</f>
        <v>0</v>
      </c>
      <c r="CY253" s="927">
        <f>WWWW[[#This Row],[%equitable and continuous access to sufficient quantity of safe drinking and domestic water''s GAP]]*WWWW[[#This Row],[Total PoP ]]</f>
        <v>0</v>
      </c>
      <c r="CZ253" s="930">
        <f>IF(WWWW[[#This Row],[Total required water points]]-WWWW[[#This Row],['#Water points coverage]]&lt;0,0,WWWW[[#This Row],[Total required water points]]-WWWW[[#This Row],['#Water points coverage]])</f>
        <v>0.45999999999999996</v>
      </c>
      <c r="DA253" s="930">
        <f>ROUND(IF(WWWW[[#This Row],[Total PoP ]]&lt;500,1,WWWW[[#This Row],[Total PoP ]]/500),0)</f>
        <v>1</v>
      </c>
      <c r="DB253" s="930">
        <f>(WWWW[[#This Row],['#_Constructed latrines_by_WASHAgencies]]+WWWW[[#This Row],['#_Non Cluster partner latrines]])-WWWW[[#This Row],['#_Non-functional latrines]]</f>
        <v>16</v>
      </c>
      <c r="DC253" s="634">
        <f>WWWW[[#This Row],[HRP2]]/WWWW[[#This Row],[Total PoP ]]</f>
        <v>1</v>
      </c>
      <c r="DD25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25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3" s="425">
        <f>IF(WWWW[[#This Row],['# of functional latrines in THF supported by WASH partners during the reporting period2]]="",0,WWWW[[#This Row],['# of functional latrines in THF supported by WASH partners during the reporting period2]]*50)</f>
        <v>0</v>
      </c>
      <c r="DH253" s="930">
        <f>ROUND(IF(WWWW[[#This Row],[Location Type 1]]="camp",WWWW[[#This Row],[Total PoP ]]/20,IF(WWWW[[#This Row],[Location Type 1]]="Temporary Location",WWWW[[#This Row],[Total PoP ]]/50,(WWWW[[#This Row],[Total PoP ]]/6))),0)</f>
        <v>14</v>
      </c>
      <c r="DI253" s="930">
        <f>IF(WWWW[[#This Row],[Total required Latrines]]-(WWWW[[#This Row],['#_Constructed latrines_by_WASHAgencies]]+WWWW[[#This Row],['#_Non Cluster partner latrines]])&lt;0,0,WWWW[[#This Row],[Total required Latrines]]-(WWWW[[#This Row],['#_Constructed latrines_by_WASHAgencies]]+WWWW[[#This Row],['#_Non Cluster partner latrines]]))</f>
        <v>0</v>
      </c>
      <c r="DJ253" s="932">
        <f>1-WWWW[[#This Row],[% people access to functioning Latrine]]</f>
        <v>0</v>
      </c>
      <c r="DK253" s="931">
        <f>IF(OR(WWWW[[#This Row],['#_Non-functional latrines]]="",WWWW[[#This Row],['#_Non-functional latrines]]=0),0,WWWW[[#This Row],['#_Non-functional latrines]]/(WWWW[[#This Row],['#_Constructed latrines_by_WASHAgencies]]+WWWW[[#This Row],['#_Non Cluster partner latrines]]))</f>
        <v>0.1111111111111111</v>
      </c>
      <c r="DL253" s="927">
        <f>IF(500*(WWWW[[#This Row],['#_male hygiene promoters]]+WWWW[[#This Row],['#_female hygiene promoters]])&gt;WWWW[[#This Row],[Total PoP ]],WWWW[[#This Row],[Total PoP ]],500*(WWWW[[#This Row],['#_male hygiene promoters]]+WWWW[[#This Row],['#_female hygiene promoters]]))</f>
        <v>270</v>
      </c>
      <c r="DM25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270</v>
      </c>
      <c r="DN25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57.915000000000006</v>
      </c>
      <c r="DO253" s="930">
        <f>IF(WWWW[[#This Row],['# People with access to soap]]&gt;WWWW[[#This Row],['# People with access to Sanity Pads]],WWWW[[#This Row],['# People with access to soap]],WWWW[[#This Row],['# People with access to Sanity Pads]])</f>
        <v>270</v>
      </c>
      <c r="DP253" s="930">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253" s="932">
        <f>IF(WWWW[[#This Row],[HRP3]]/WWWW[[#This Row],[Total PoP ]]&gt;1,1,WWWW[[#This Row],[HRP3]]/WWWW[[#This Row],[Total PoP ]])</f>
        <v>1</v>
      </c>
      <c r="DR253" s="931">
        <f>1-WWWW[[#This Row],[Hygiene Coverage%]]</f>
        <v>0</v>
      </c>
      <c r="DS253" s="929">
        <f>WWWW[[#This Row],['# people reached by regular dedicated hygiene promotion_5]]/WWWW[[#This Row],[Total PoP ]]</f>
        <v>1</v>
      </c>
      <c r="DT25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3" s="930">
        <f>WWWW[[#This Row],['#_Constructed/Existing hand washing stations]]-WWWW[[#This Row],['#_Non-Functional_hand_washing_stations]]</f>
        <v>5</v>
      </c>
      <c r="DW253" s="927">
        <f>IF(WWWW[[#This Row],['# Functional hand washing stations during reporting period]]*20&gt;WWWW[[#This Row],[Total HH]],WWWW[[#This Row],[Total HH]],WWWW[[#This Row],['# Functional hand washing stations during reporting period]]*20)</f>
        <v>48</v>
      </c>
      <c r="DX253" s="927">
        <f>IF(WWWW[[#This Row],[Is sufficient soap available for TLS? (Yes/No)]]="yes",WWWW[[#This Row],['#_Constructed/Existing hand washing stations at TLS/CFS/THF]],0)</f>
        <v>5</v>
      </c>
      <c r="DY253" s="429">
        <f>IF(WWWW[[#This Row],['# Functional hand washing stations during reporting period]]*100&gt;WWWW[[#This Row],[Total PoP ]],WWWW[[#This Row],[Total PoP ]],WWWW[[#This Row],['# Functional hand washing stations during reporting period]]*100)</f>
        <v>270</v>
      </c>
      <c r="DZ253" s="429" t="str">
        <f>IF(OR(WWWW[[#This Row],['#_students at TLS_CFS]]="",WWWW[[#This Row],['#_students at TLS_CFS]]=0),"No","Yes")</f>
        <v>No</v>
      </c>
      <c r="EA25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3" s="923">
        <f>VLOOKUP(WWWW[[#This Row],[Site Name]],SiteDB6[[Site Name]:[CCCM Management]],6,FALSE)</f>
        <v>0</v>
      </c>
      <c r="EF253" s="923" t="str">
        <f>VLOOKUP(WWWW[[#This Row],[Site Name]],SiteDB6[[Site Name]:[CCCM Focal Agency]],7,FALSE)</f>
        <v>KMSS-MYT</v>
      </c>
      <c r="EG253" s="923" t="str">
        <f>VLOOKUP(WWWW[[#This Row],[Site Name]],SiteDB6[[Site Name]:[Location Type 1]],9,FALSE)</f>
        <v>Camp</v>
      </c>
      <c r="EH253" s="923" t="str">
        <f>VLOOKUP(WWWW[[#This Row],[Site Name]],SiteDB6[[Site Name]:[Type of Accommodation]],10,FALSE)</f>
        <v>Camp</v>
      </c>
      <c r="EI253" s="923" t="str">
        <f>VLOOKUP(WWWW[[#This Row],[Site Name]],SiteDB6[[Site Name]:[Ethnic or GCA/NGCA]],11,FALSE)</f>
        <v>GCA</v>
      </c>
      <c r="EJ253" s="923">
        <f>VLOOKUP(WWWW[[#This Row],[Site Name]],SiteDB6[[Site Name]:[Lat]],12,FALSE)</f>
        <v>25.383058999999999</v>
      </c>
      <c r="EK253" s="923">
        <f>VLOOKUP(WWWW[[#This Row],[Site Name]],SiteDB6[[Site Name]:[Long]],13,FALSE)</f>
        <v>97.014313000000001</v>
      </c>
      <c r="EL253" s="923" t="str">
        <f>VLOOKUP(WWWW[[#This Row],[Site Name]],SiteDB6[[Site Name]:[Pcode]],3,FALSE)</f>
        <v>MMR001CMP259</v>
      </c>
      <c r="EM253" s="928" t="str">
        <f t="shared" si="3"/>
        <v>Covered</v>
      </c>
      <c r="EN253" s="928"/>
      <c r="EO253" s="923">
        <f>VLOOKUP(WWWW[[#This Row],[Site Name]],SiteDB6[[Site Name]:[Pop
(Kachin/Shan-CCCM as of July 2021)]],16,FALSE)</f>
        <v>48</v>
      </c>
      <c r="EP253" s="923">
        <f>VLOOKUP(WWWW[[#This Row],[Site Name]],SiteDB6[[Site Name]:[Pop
(Kachin/Shan-CCCM as of July 2021)]],17,FALSE)</f>
        <v>268</v>
      </c>
    </row>
    <row r="254" spans="1:146">
      <c r="A254" s="921" t="s">
        <v>2786</v>
      </c>
      <c r="B254" s="921" t="s">
        <v>36</v>
      </c>
      <c r="C254" s="922" t="s">
        <v>36</v>
      </c>
      <c r="D254" s="922" t="s">
        <v>241</v>
      </c>
      <c r="E254" s="922" t="s">
        <v>37</v>
      </c>
      <c r="F254" s="922" t="s">
        <v>152</v>
      </c>
      <c r="G254" s="594" t="str">
        <f>VLOOKUP(WWWW[[#This Row],[Site Name]],SiteDB6[[Site Name]:[Location Type]],8,FALSE)</f>
        <v>Camp</v>
      </c>
      <c r="H254" s="753" t="s">
        <v>3053</v>
      </c>
      <c r="I254" s="924">
        <v>83</v>
      </c>
      <c r="J254" s="924">
        <v>424</v>
      </c>
      <c r="K254" s="925">
        <v>44414</v>
      </c>
      <c r="L254" s="926">
        <v>44778</v>
      </c>
      <c r="M254" s="924"/>
      <c r="N254" s="924">
        <v>2</v>
      </c>
      <c r="O254" s="924"/>
      <c r="P254" s="924"/>
      <c r="Q254" s="927" t="s">
        <v>41</v>
      </c>
      <c r="R254" s="924">
        <v>2</v>
      </c>
      <c r="S254" s="924">
        <v>3</v>
      </c>
      <c r="T254" s="449">
        <v>3</v>
      </c>
      <c r="U254" s="924"/>
      <c r="V254" s="924"/>
      <c r="W254" s="924"/>
      <c r="X254" s="924"/>
      <c r="Y254" s="924"/>
      <c r="Z254" s="924"/>
      <c r="AA254" s="924"/>
      <c r="AB254" s="924"/>
      <c r="AC254" s="924"/>
      <c r="AD254" s="924"/>
      <c r="AE254" s="924"/>
      <c r="AF254" s="924"/>
      <c r="AG254" s="924"/>
      <c r="AH254" s="924"/>
      <c r="AI254" s="924">
        <v>4</v>
      </c>
      <c r="AJ254" s="924">
        <v>1</v>
      </c>
      <c r="AK254" s="924"/>
      <c r="AL254" s="924"/>
      <c r="AM254" s="924">
        <v>10</v>
      </c>
      <c r="AN254" s="924"/>
      <c r="AO254" s="449"/>
      <c r="AP254" s="928"/>
      <c r="AQ254" s="924">
        <v>14</v>
      </c>
      <c r="AR254" s="924"/>
      <c r="AS254" s="929"/>
      <c r="AT254" s="924">
        <v>2</v>
      </c>
      <c r="AU254" s="924"/>
      <c r="AV254" s="924"/>
      <c r="AW254" s="924"/>
      <c r="AX254" s="924"/>
      <c r="AY254" s="923" t="s">
        <v>41</v>
      </c>
      <c r="AZ254" s="928" t="s">
        <v>136</v>
      </c>
      <c r="BA254" s="924">
        <v>1</v>
      </c>
      <c r="BB254" s="924"/>
      <c r="BC254" s="924"/>
      <c r="BD254" s="449"/>
      <c r="BE254" s="449"/>
      <c r="BF254" s="923"/>
      <c r="BG254" s="924">
        <v>10</v>
      </c>
      <c r="BH254" s="924"/>
      <c r="BI254" s="924">
        <v>2</v>
      </c>
      <c r="BJ254" s="924">
        <v>2</v>
      </c>
      <c r="BK254" s="924"/>
      <c r="BL254" s="924"/>
      <c r="BM254" s="924">
        <v>1</v>
      </c>
      <c r="BN254" s="924">
        <v>83</v>
      </c>
      <c r="BO254" s="924">
        <v>90.948000000000008</v>
      </c>
      <c r="BP254" s="923" t="s">
        <v>41</v>
      </c>
      <c r="BQ254" s="930">
        <v>100</v>
      </c>
      <c r="BR254" s="929">
        <v>0.5</v>
      </c>
      <c r="BS254" s="923" t="s">
        <v>3059</v>
      </c>
      <c r="BT254" s="424"/>
      <c r="BU254" s="424"/>
      <c r="BV254" s="426"/>
      <c r="BW254" s="424">
        <v>0.01</v>
      </c>
      <c r="BX254" s="449"/>
      <c r="BY254" s="449"/>
      <c r="BZ254" s="449"/>
      <c r="CA254" s="449"/>
      <c r="CB254" s="449"/>
      <c r="CC254" s="807"/>
      <c r="CD254" s="449"/>
      <c r="CE254" s="931">
        <f>IFERROR(WWWW[[#This Row],['#_Water sources passed]]/WWWW[[#This Row],['#_Water sources tested for fecal coliform ]],"no test")</f>
        <v>0.25</v>
      </c>
      <c r="CF254" s="929" t="str">
        <f>IFERROR(WWWW[[#This Row],['#_Household passed]]/WWWW[[#This Row],['#_Household water samples tested for fecal coliform]],"no test")</f>
        <v>no test</v>
      </c>
      <c r="CG254" s="930" t="str">
        <f>IF(AND(WWWW[[#This Row],[% of water sources passed]]="no test",WWWW[[#This Row],[% Household passed]]="no test"),"No Test","Tested")</f>
        <v>Tested</v>
      </c>
      <c r="CH254" s="930">
        <f>WWWW[[#This Row],['#_Constructed/existing protected hand dug well]]-WWWW[[#This Row],['#_Non-functional protected hand dug well]]</f>
        <v>3</v>
      </c>
      <c r="CI254" s="930">
        <f>(WWWW[[#This Row],['#_Constructed/Existing tube wells/boreholes/handpumps_WASH_agency]]+WWWW[[#This Row],['#_Non-Cluster partner water tube-wells/boreholes/handpumps]])-WWWW[[#This Row],['#_Non-functional tube wells/boreholes/handpumps]]</f>
        <v>0</v>
      </c>
      <c r="CJ254" s="930">
        <f>WWWW[[#This Row],['#_Constructed/Existingwater storage tank with gravity fed reticulation system]]-WWWW[[#This Row],['#_Non-functional storage tank gravity fed reticulation system]]</f>
        <v>0</v>
      </c>
      <c r="CK254" s="930">
        <f>(WWWW[[#This Row],['#_Water_Liters_supplied_by_Water boating or water trucking]]/90)/15</f>
        <v>0</v>
      </c>
      <c r="CL254" s="930">
        <f>WWWW[[#This Row],['#_Water_Liters_from_Constructed/Existing water distribution system from river or natural spring]]/90/15</f>
        <v>0</v>
      </c>
      <c r="CM254" s="425">
        <f>IF(WWWW[[#This Row],['#_of water points in TLS/CFS]]*500&gt;WWWW[[#This Row],[Total PoP ]],WWWW[[#This Row],[Total PoP ]],WWWW[[#This Row],['#_of water points in TLS/CFS]]*500)</f>
        <v>0</v>
      </c>
      <c r="CN254" s="425">
        <f>IF(WWWW[[#This Row],['#_of water points in THF]]*500&gt;WWWW[[#This Row],[Total PoP ]],WWWW[[#This Row],[Total PoP ]],WWWW[[#This Row],['#_of water points in THF]]*500)</f>
        <v>0</v>
      </c>
      <c r="CO25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4" s="929">
        <f>IF(WWWW[[#This Row],[Location Type 1]]="Village",WWWW[[#This Row],[Access to safe drinking water for Village]],WWWW[[#This Row],[Access to safe drinking water for Camp]])</f>
        <v>1</v>
      </c>
      <c r="CR254" s="927">
        <f>WWWW[[#This Row],[%Equitable and continuous access to sufficient quantity of safe drinking water]]*WWWW[[#This Row],[Total PoP ]]</f>
        <v>424</v>
      </c>
      <c r="CS254" s="929">
        <f>IF((WWWW[[#This Row],['#_Constructed/Existing protected/fenced ponds]]*250)/WWWW[[#This Row],[Total PoP ]]&gt;1,1,(WWWW[[#This Row],['#_Constructed/Existing protected/fenced ponds]]*250)/WWWW[[#This Row],[Total PoP ]])</f>
        <v>0</v>
      </c>
      <c r="CT254" s="927">
        <f>WWWW[[#This Row],[% Access to unimproved water points]]*WWWW[[#This Row],[Total PoP ]]</f>
        <v>0</v>
      </c>
      <c r="CU25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254" s="927">
        <f>WWWW[[#This Row],[HRP1]]/500</f>
        <v>0.84799999999999998</v>
      </c>
      <c r="CX254" s="932">
        <f>1-WWWW[[#This Row],[% Equitable and continuous access to sufficient quantity of domestic water]]</f>
        <v>0</v>
      </c>
      <c r="CY254" s="927">
        <f>WWWW[[#This Row],[%equitable and continuous access to sufficient quantity of safe drinking and domestic water''s GAP]]*WWWW[[#This Row],[Total PoP ]]</f>
        <v>0</v>
      </c>
      <c r="CZ254" s="930">
        <f>IF(WWWW[[#This Row],[Total required water points]]-WWWW[[#This Row],['#Water points coverage]]&lt;0,0,WWWW[[#This Row],[Total required water points]]-WWWW[[#This Row],['#Water points coverage]])</f>
        <v>0.15200000000000002</v>
      </c>
      <c r="DA254" s="930">
        <f>ROUND(IF(WWWW[[#This Row],[Total PoP ]]&lt;500,1,WWWW[[#This Row],[Total PoP ]]/500),0)</f>
        <v>1</v>
      </c>
      <c r="DB254" s="930">
        <f>(WWWW[[#This Row],['#_Constructed latrines_by_WASHAgencies]]+WWWW[[#This Row],['#_Non Cluster partner latrines]])-WWWW[[#This Row],['#_Non-functional latrines]]</f>
        <v>12</v>
      </c>
      <c r="DC254" s="634">
        <f>WWWW[[#This Row],[HRP2]]/WWWW[[#This Row],[Total PoP ]]</f>
        <v>0.6132075471698113</v>
      </c>
      <c r="DD25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260</v>
      </c>
      <c r="DE25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4" s="425">
        <f>IF(WWWW[[#This Row],['# of functional latrines in THF supported by WASH partners during the reporting period2]]="",0,WWWW[[#This Row],['# of functional latrines in THF supported by WASH partners during the reporting period2]]*50)</f>
        <v>0</v>
      </c>
      <c r="DH254" s="930">
        <f>ROUND(IF(WWWW[[#This Row],[Location Type 1]]="camp",WWWW[[#This Row],[Total PoP ]]/20,IF(WWWW[[#This Row],[Location Type 1]]="Temporary Location",WWWW[[#This Row],[Total PoP ]]/50,(WWWW[[#This Row],[Total PoP ]]/6))),0)</f>
        <v>21</v>
      </c>
      <c r="DI254" s="930">
        <f>IF(WWWW[[#This Row],[Total required Latrines]]-(WWWW[[#This Row],['#_Constructed latrines_by_WASHAgencies]]+WWWW[[#This Row],['#_Non Cluster partner latrines]])&lt;0,0,WWWW[[#This Row],[Total required Latrines]]-(WWWW[[#This Row],['#_Constructed latrines_by_WASHAgencies]]+WWWW[[#This Row],['#_Non Cluster partner latrines]]))</f>
        <v>7</v>
      </c>
      <c r="DJ254" s="932">
        <f>1-WWWW[[#This Row],[% people access to functioning Latrine]]</f>
        <v>0.3867924528301887</v>
      </c>
      <c r="DK254" s="931">
        <f>IF(OR(WWWW[[#This Row],['#_Non-functional latrines]]="",WWWW[[#This Row],['#_Non-functional latrines]]=0),0,WWWW[[#This Row],['#_Non-functional latrines]]/(WWWW[[#This Row],['#_Constructed latrines_by_WASHAgencies]]+WWWW[[#This Row],['#_Non Cluster partner latrines]]))</f>
        <v>0.14285714285714285</v>
      </c>
      <c r="DL254" s="927">
        <f>IF(500*(WWWW[[#This Row],['#_male hygiene promoters]]+WWWW[[#This Row],['#_female hygiene promoters]])&gt;WWWW[[#This Row],[Total PoP ]],WWWW[[#This Row],[Total PoP ]],500*(WWWW[[#This Row],['#_male hygiene promoters]]+WWWW[[#This Row],['#_female hygiene promoters]]))</f>
        <v>424</v>
      </c>
      <c r="DM25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424</v>
      </c>
      <c r="DN25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90.948000000000008</v>
      </c>
      <c r="DO254" s="930">
        <f>IF(WWWW[[#This Row],['# People with access to soap]]&gt;WWWW[[#This Row],['# People with access to Sanity Pads]],WWWW[[#This Row],['# People with access to soap]],WWWW[[#This Row],['# People with access to Sanity Pads]])</f>
        <v>424</v>
      </c>
      <c r="DP254" s="930">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Q254" s="932">
        <f>IF(WWWW[[#This Row],[HRP3]]/WWWW[[#This Row],[Total PoP ]]&gt;1,1,WWWW[[#This Row],[HRP3]]/WWWW[[#This Row],[Total PoP ]])</f>
        <v>1</v>
      </c>
      <c r="DR254" s="931">
        <f>1-WWWW[[#This Row],[Hygiene Coverage%]]</f>
        <v>0</v>
      </c>
      <c r="DS254" s="929">
        <f>WWWW[[#This Row],['# people reached by regular dedicated hygiene promotion_5]]/WWWW[[#This Row],[Total PoP ]]</f>
        <v>1</v>
      </c>
      <c r="DT25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4" s="930">
        <f>WWWW[[#This Row],['#_Constructed/Existing hand washing stations]]-WWWW[[#This Row],['#_Non-Functional_hand_washing_stations]]</f>
        <v>10</v>
      </c>
      <c r="DW254" s="927">
        <f>IF(WWWW[[#This Row],['# Functional hand washing stations during reporting period]]*20&gt;WWWW[[#This Row],[Total HH]],WWWW[[#This Row],[Total HH]],WWWW[[#This Row],['# Functional hand washing stations during reporting period]]*20)</f>
        <v>83</v>
      </c>
      <c r="DX254" s="927">
        <f>IF(WWWW[[#This Row],[Is sufficient soap available for TLS? (Yes/No)]]="yes",WWWW[[#This Row],['#_Constructed/Existing hand washing stations at TLS/CFS/THF]],0)</f>
        <v>10</v>
      </c>
      <c r="DY254" s="429">
        <f>IF(WWWW[[#This Row],['# Functional hand washing stations during reporting period]]*100&gt;WWWW[[#This Row],[Total PoP ]],WWWW[[#This Row],[Total PoP ]],WWWW[[#This Row],['# Functional hand washing stations during reporting period]]*100)</f>
        <v>424</v>
      </c>
      <c r="DZ254" s="429" t="str">
        <f>IF(OR(WWWW[[#This Row],['#_students at TLS_CFS]]="",WWWW[[#This Row],['#_students at TLS_CFS]]=0),"No","Yes")</f>
        <v>No</v>
      </c>
      <c r="EA25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4" s="923">
        <f>VLOOKUP(WWWW[[#This Row],[Site Name]],SiteDB6[[Site Name]:[CCCM Management]],6,FALSE)</f>
        <v>0</v>
      </c>
      <c r="EF254" s="923" t="str">
        <f>VLOOKUP(WWWW[[#This Row],[Site Name]],SiteDB6[[Site Name]:[CCCM Focal Agency]],7,FALSE)</f>
        <v>KMSS-MYT</v>
      </c>
      <c r="EG254" s="923" t="str">
        <f>VLOOKUP(WWWW[[#This Row],[Site Name]],SiteDB6[[Site Name]:[Location Type 1]],9,FALSE)</f>
        <v>Camp</v>
      </c>
      <c r="EH254" s="923" t="str">
        <f>VLOOKUP(WWWW[[#This Row],[Site Name]],SiteDB6[[Site Name]:[Type of Accommodation]],10,FALSE)</f>
        <v>Camp</v>
      </c>
      <c r="EI254" s="923" t="str">
        <f>VLOOKUP(WWWW[[#This Row],[Site Name]],SiteDB6[[Site Name]:[Ethnic or GCA/NGCA]],11,FALSE)</f>
        <v>GCA</v>
      </c>
      <c r="EJ254" s="923">
        <f>VLOOKUP(WWWW[[#This Row],[Site Name]],SiteDB6[[Site Name]:[Lat]],12,FALSE)</f>
        <v>25.383058999999999</v>
      </c>
      <c r="EK254" s="923">
        <f>VLOOKUP(WWWW[[#This Row],[Site Name]],SiteDB6[[Site Name]:[Long]],13,FALSE)</f>
        <v>97.014313000000001</v>
      </c>
      <c r="EL254" s="923" t="str">
        <f>VLOOKUP(WWWW[[#This Row],[Site Name]],SiteDB6[[Site Name]:[Pcode]],3,FALSE)</f>
        <v>MMR001CMP260</v>
      </c>
      <c r="EM254" s="928" t="str">
        <f t="shared" si="3"/>
        <v>Covered</v>
      </c>
      <c r="EN254" s="928"/>
      <c r="EO254" s="923">
        <f>VLOOKUP(WWWW[[#This Row],[Site Name]],SiteDB6[[Site Name]:[Pop
(Kachin/Shan-CCCM as of July 2021)]],16,FALSE)</f>
        <v>83</v>
      </c>
      <c r="EP254" s="923">
        <f>VLOOKUP(WWWW[[#This Row],[Site Name]],SiteDB6[[Site Name]:[Pop
(Kachin/Shan-CCCM as of July 2021)]],17,FALSE)</f>
        <v>422</v>
      </c>
    </row>
    <row r="255" spans="1:146">
      <c r="A255" s="921" t="s">
        <v>2786</v>
      </c>
      <c r="B255" s="921" t="s">
        <v>36</v>
      </c>
      <c r="C255" s="922" t="s">
        <v>36</v>
      </c>
      <c r="D255" s="922" t="s">
        <v>241</v>
      </c>
      <c r="E255" s="922" t="s">
        <v>37</v>
      </c>
      <c r="F255" s="922" t="s">
        <v>157</v>
      </c>
      <c r="G255" s="594" t="str">
        <f>VLOOKUP(WWWW[[#This Row],[Site Name]],SiteDB6[[Site Name]:[Location Type]],8,FALSE)</f>
        <v>Camp</v>
      </c>
      <c r="H255" s="1078" t="s">
        <v>239</v>
      </c>
      <c r="I255" s="924">
        <v>11</v>
      </c>
      <c r="J255" s="924">
        <v>68</v>
      </c>
      <c r="K255" s="925">
        <v>44414</v>
      </c>
      <c r="L255" s="926">
        <v>44778</v>
      </c>
      <c r="M255" s="924"/>
      <c r="N255" s="924">
        <v>1</v>
      </c>
      <c r="O255" s="924"/>
      <c r="P255" s="924"/>
      <c r="Q255" s="927" t="s">
        <v>41</v>
      </c>
      <c r="R255" s="924">
        <v>3</v>
      </c>
      <c r="S255" s="924">
        <v>8</v>
      </c>
      <c r="T255" s="449">
        <v>1</v>
      </c>
      <c r="U255" s="924"/>
      <c r="V255" s="924"/>
      <c r="W255" s="924"/>
      <c r="X255" s="924"/>
      <c r="Y255" s="924"/>
      <c r="Z255" s="924"/>
      <c r="AA255" s="924"/>
      <c r="AB255" s="924"/>
      <c r="AC255" s="924"/>
      <c r="AD255" s="924"/>
      <c r="AE255" s="924"/>
      <c r="AF255" s="924"/>
      <c r="AG255" s="924"/>
      <c r="AH255" s="924"/>
      <c r="AI255" s="924">
        <v>9</v>
      </c>
      <c r="AJ255" s="924">
        <v>6</v>
      </c>
      <c r="AK255" s="924"/>
      <c r="AL255" s="924"/>
      <c r="AM255" s="924">
        <v>4</v>
      </c>
      <c r="AN255" s="924"/>
      <c r="AO255" s="449"/>
      <c r="AP255" s="928"/>
      <c r="AQ255" s="924">
        <v>7</v>
      </c>
      <c r="AR255" s="924"/>
      <c r="AS255" s="929"/>
      <c r="AT255" s="924"/>
      <c r="AU255" s="924"/>
      <c r="AV255" s="924"/>
      <c r="AW255" s="924"/>
      <c r="AX255" s="924"/>
      <c r="AY255" s="923" t="s">
        <v>41</v>
      </c>
      <c r="AZ255" s="928" t="s">
        <v>137</v>
      </c>
      <c r="BA255" s="924">
        <v>1</v>
      </c>
      <c r="BB255" s="924"/>
      <c r="BC255" s="924"/>
      <c r="BD255" s="449"/>
      <c r="BE255" s="449"/>
      <c r="BF255" s="923"/>
      <c r="BG255" s="924">
        <v>0</v>
      </c>
      <c r="BH255" s="924"/>
      <c r="BI255" s="924"/>
      <c r="BJ255" s="924">
        <v>2</v>
      </c>
      <c r="BK255" s="924"/>
      <c r="BL255" s="924"/>
      <c r="BM255" s="924">
        <v>1</v>
      </c>
      <c r="BN255" s="924">
        <v>11</v>
      </c>
      <c r="BO255" s="924">
        <v>14.586000000000002</v>
      </c>
      <c r="BP255" s="923" t="s">
        <v>41</v>
      </c>
      <c r="BQ255" s="930">
        <v>100</v>
      </c>
      <c r="BR255" s="929"/>
      <c r="BS255" s="923" t="s">
        <v>3059</v>
      </c>
      <c r="BT255" s="424"/>
      <c r="BU255" s="424"/>
      <c r="BV255" s="426"/>
      <c r="BW255" s="424">
        <v>0.01</v>
      </c>
      <c r="BX255" s="449"/>
      <c r="BY255" s="449"/>
      <c r="BZ255" s="449"/>
      <c r="CA255" s="449"/>
      <c r="CB255" s="449"/>
      <c r="CC255" s="807"/>
      <c r="CD255" s="449"/>
      <c r="CE255" s="931">
        <f>IFERROR(WWWW[[#This Row],['#_Water sources passed]]/WWWW[[#This Row],['#_Water sources tested for fecal coliform ]],"no test")</f>
        <v>0.66666666666666663</v>
      </c>
      <c r="CF255" s="929" t="str">
        <f>IFERROR(WWWW[[#This Row],['#_Household passed]]/WWWW[[#This Row],['#_Household water samples tested for fecal coliform]],"no test")</f>
        <v>no test</v>
      </c>
      <c r="CG255" s="930" t="str">
        <f>IF(AND(WWWW[[#This Row],[% of water sources passed]]="no test",WWWW[[#This Row],[% Household passed]]="no test"),"No Test","Tested")</f>
        <v>Tested</v>
      </c>
      <c r="CH255" s="930">
        <f>WWWW[[#This Row],['#_Constructed/existing protected hand dug well]]-WWWW[[#This Row],['#_Non-functional protected hand dug well]]</f>
        <v>1</v>
      </c>
      <c r="CI255" s="930">
        <f>(WWWW[[#This Row],['#_Constructed/Existing tube wells/boreholes/handpumps_WASH_agency]]+WWWW[[#This Row],['#_Non-Cluster partner water tube-wells/boreholes/handpumps]])-WWWW[[#This Row],['#_Non-functional tube wells/boreholes/handpumps]]</f>
        <v>0</v>
      </c>
      <c r="CJ255" s="930">
        <f>WWWW[[#This Row],['#_Constructed/Existingwater storage tank with gravity fed reticulation system]]-WWWW[[#This Row],['#_Non-functional storage tank gravity fed reticulation system]]</f>
        <v>0</v>
      </c>
      <c r="CK255" s="930">
        <f>(WWWW[[#This Row],['#_Water_Liters_supplied_by_Water boating or water trucking]]/90)/15</f>
        <v>0</v>
      </c>
      <c r="CL255" s="930">
        <f>WWWW[[#This Row],['#_Water_Liters_from_Constructed/Existing water distribution system from river or natural spring]]/90/15</f>
        <v>0</v>
      </c>
      <c r="CM255" s="425">
        <f>IF(WWWW[[#This Row],['#_of water points in TLS/CFS]]*500&gt;WWWW[[#This Row],[Total PoP ]],WWWW[[#This Row],[Total PoP ]],WWWW[[#This Row],['#_of water points in TLS/CFS]]*500)</f>
        <v>0</v>
      </c>
      <c r="CN255" s="425">
        <f>IF(WWWW[[#This Row],['#_of water points in THF]]*500&gt;WWWW[[#This Row],[Total PoP ]],WWWW[[#This Row],[Total PoP ]],WWWW[[#This Row],['#_of water points in THF]]*500)</f>
        <v>0</v>
      </c>
      <c r="CO25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5" s="929">
        <f>IF(WWWW[[#This Row],[Location Type 1]]="Village",WWWW[[#This Row],[Access to safe drinking water for Village]],WWWW[[#This Row],[Access to safe drinking water for Camp]])</f>
        <v>1</v>
      </c>
      <c r="CR255" s="927">
        <f>WWWW[[#This Row],[%Equitable and continuous access to sufficient quantity of safe drinking water]]*WWWW[[#This Row],[Total PoP ]]</f>
        <v>68</v>
      </c>
      <c r="CS255" s="929">
        <f>IF((WWWW[[#This Row],['#_Constructed/Existing protected/fenced ponds]]*250)/WWWW[[#This Row],[Total PoP ]]&gt;1,1,(WWWW[[#This Row],['#_Constructed/Existing protected/fenced ponds]]*250)/WWWW[[#This Row],[Total PoP ]])</f>
        <v>0</v>
      </c>
      <c r="CT255" s="927">
        <f>WWWW[[#This Row],[% Access to unimproved water points]]*WWWW[[#This Row],[Total PoP ]]</f>
        <v>0</v>
      </c>
      <c r="CU25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v>
      </c>
      <c r="CW255" s="927">
        <f>WWWW[[#This Row],[HRP1]]/500</f>
        <v>0.13600000000000001</v>
      </c>
      <c r="CX255" s="932">
        <f>1-WWWW[[#This Row],[% Equitable and continuous access to sufficient quantity of domestic water]]</f>
        <v>0</v>
      </c>
      <c r="CY255" s="927">
        <f>WWWW[[#This Row],[%equitable and continuous access to sufficient quantity of safe drinking and domestic water''s GAP]]*WWWW[[#This Row],[Total PoP ]]</f>
        <v>0</v>
      </c>
      <c r="CZ255" s="930">
        <f>IF(WWWW[[#This Row],[Total required water points]]-WWWW[[#This Row],['#Water points coverage]]&lt;0,0,WWWW[[#This Row],[Total required water points]]-WWWW[[#This Row],['#Water points coverage]])</f>
        <v>0.86399999999999999</v>
      </c>
      <c r="DA255" s="930">
        <f>ROUND(IF(WWWW[[#This Row],[Total PoP ]]&lt;500,1,WWWW[[#This Row],[Total PoP ]]/500),0)</f>
        <v>1</v>
      </c>
      <c r="DB255" s="930">
        <f>(WWWW[[#This Row],['#_Constructed latrines_by_WASHAgencies]]+WWWW[[#This Row],['#_Non Cluster partner latrines]])-WWWW[[#This Row],['#_Non-functional latrines]]</f>
        <v>7</v>
      </c>
      <c r="DC255" s="634">
        <f>WWWW[[#This Row],[HRP2]]/WWWW[[#This Row],[Total PoP ]]</f>
        <v>1</v>
      </c>
      <c r="DD25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v>
      </c>
      <c r="DE25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5" s="425">
        <f>IF(WWWW[[#This Row],['# of functional latrines in THF supported by WASH partners during the reporting period2]]="",0,WWWW[[#This Row],['# of functional latrines in THF supported by WASH partners during the reporting period2]]*50)</f>
        <v>0</v>
      </c>
      <c r="DH255" s="930">
        <f>ROUND(IF(WWWW[[#This Row],[Location Type 1]]="camp",WWWW[[#This Row],[Total PoP ]]/20,IF(WWWW[[#This Row],[Location Type 1]]="Temporary Location",WWWW[[#This Row],[Total PoP ]]/50,(WWWW[[#This Row],[Total PoP ]]/6))),0)</f>
        <v>3</v>
      </c>
      <c r="DI255" s="930">
        <f>IF(WWWW[[#This Row],[Total required Latrines]]-(WWWW[[#This Row],['#_Constructed latrines_by_WASHAgencies]]+WWWW[[#This Row],['#_Non Cluster partner latrines]])&lt;0,0,WWWW[[#This Row],[Total required Latrines]]-(WWWW[[#This Row],['#_Constructed latrines_by_WASHAgencies]]+WWWW[[#This Row],['#_Non Cluster partner latrines]]))</f>
        <v>0</v>
      </c>
      <c r="DJ255" s="932">
        <f>1-WWWW[[#This Row],[% people access to functioning Latrine]]</f>
        <v>0</v>
      </c>
      <c r="DK255" s="931">
        <f>IF(OR(WWWW[[#This Row],['#_Non-functional latrines]]="",WWWW[[#This Row],['#_Non-functional latrines]]=0),0,WWWW[[#This Row],['#_Non-functional latrines]]/(WWWW[[#This Row],['#_Constructed latrines_by_WASHAgencies]]+WWWW[[#This Row],['#_Non Cluster partner latrines]]))</f>
        <v>0</v>
      </c>
      <c r="DL255" s="927">
        <f>IF(500*(WWWW[[#This Row],['#_male hygiene promoters]]+WWWW[[#This Row],['#_female hygiene promoters]])&gt;WWWW[[#This Row],[Total PoP ]],WWWW[[#This Row],[Total PoP ]],500*(WWWW[[#This Row],['#_male hygiene promoters]]+WWWW[[#This Row],['#_female hygiene promoters]]))</f>
        <v>68</v>
      </c>
      <c r="DM25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68</v>
      </c>
      <c r="DN25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14.586000000000002</v>
      </c>
      <c r="DO255" s="930">
        <f>IF(WWWW[[#This Row],['# People with access to soap]]&gt;WWWW[[#This Row],['# People with access to Sanity Pads]],WWWW[[#This Row],['# People with access to soap]],WWWW[[#This Row],['# People with access to Sanity Pads]])</f>
        <v>68</v>
      </c>
      <c r="DP255" s="930">
        <f>IF(WWWW[[#This Row],['# people reached by regular dedicated hygiene promotion_5]]&gt;WWWW[[#This Row],['# People received regular supply of hygiene items_6]],WWWW[[#This Row],['# people reached by regular dedicated hygiene promotion_5]],WWWW[[#This Row],['# People received regular supply of hygiene items_6]])</f>
        <v>68</v>
      </c>
      <c r="DQ255" s="932">
        <f>IF(WWWW[[#This Row],[HRP3]]/WWWW[[#This Row],[Total PoP ]]&gt;1,1,WWWW[[#This Row],[HRP3]]/WWWW[[#This Row],[Total PoP ]])</f>
        <v>1</v>
      </c>
      <c r="DR255" s="931">
        <f>1-WWWW[[#This Row],[Hygiene Coverage%]]</f>
        <v>0</v>
      </c>
      <c r="DS255" s="929">
        <f>WWWW[[#This Row],['# people reached by regular dedicated hygiene promotion_5]]/WWWW[[#This Row],[Total PoP ]]</f>
        <v>1</v>
      </c>
      <c r="DT25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5" s="930">
        <f>WWWW[[#This Row],['#_Constructed/Existing hand washing stations]]-WWWW[[#This Row],['#_Non-Functional_hand_washing_stations]]</f>
        <v>0</v>
      </c>
      <c r="DW255" s="927">
        <f>IF(WWWW[[#This Row],['# Functional hand washing stations during reporting period]]*20&gt;WWWW[[#This Row],[Total HH]],WWWW[[#This Row],[Total HH]],WWWW[[#This Row],['# Functional hand washing stations during reporting period]]*20)</f>
        <v>0</v>
      </c>
      <c r="DX255" s="927">
        <f>IF(WWWW[[#This Row],[Is sufficient soap available for TLS? (Yes/No)]]="yes",WWWW[[#This Row],['#_Constructed/Existing hand washing stations at TLS/CFS/THF]],0)</f>
        <v>4</v>
      </c>
      <c r="DY255" s="429">
        <f>IF(WWWW[[#This Row],['# Functional hand washing stations during reporting period]]*100&gt;WWWW[[#This Row],[Total PoP ]],WWWW[[#This Row],[Total PoP ]],WWWW[[#This Row],['# Functional hand washing stations during reporting period]]*100)</f>
        <v>0</v>
      </c>
      <c r="DZ255" s="429" t="str">
        <f>IF(OR(WWWW[[#This Row],['#_students at TLS_CFS]]="",WWWW[[#This Row],['#_students at TLS_CFS]]=0),"No","Yes")</f>
        <v>No</v>
      </c>
      <c r="EA25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5" s="923" t="str">
        <f>VLOOKUP(WWWW[[#This Row],[Site Name]],SiteDB6[[Site Name]:[CCCM Management]],6,FALSE)</f>
        <v>Yes</v>
      </c>
      <c r="EF255" s="923" t="str">
        <f>VLOOKUP(WWWW[[#This Row],[Site Name]],SiteDB6[[Site Name]:[CCCM Focal Agency]],7,FALSE)</f>
        <v>KMSS-MYT</v>
      </c>
      <c r="EG255" s="923" t="str">
        <f>VLOOKUP(WWWW[[#This Row],[Site Name]],SiteDB6[[Site Name]:[Location Type 1]],9,FALSE)</f>
        <v>Camp</v>
      </c>
      <c r="EH255" s="923" t="str">
        <f>VLOOKUP(WWWW[[#This Row],[Site Name]],SiteDB6[[Site Name]:[Type of Accommodation]],10,FALSE)</f>
        <v>Closed Camp</v>
      </c>
      <c r="EI255" s="923" t="str">
        <f>VLOOKUP(WWWW[[#This Row],[Site Name]],SiteDB6[[Site Name]:[Ethnic or GCA/NGCA]],11,FALSE)</f>
        <v>GCA</v>
      </c>
      <c r="EJ255" s="923">
        <f>VLOOKUP(WWWW[[#This Row],[Site Name]],SiteDB6[[Site Name]:[Lat]],12,FALSE)</f>
        <v>24.764800000000001</v>
      </c>
      <c r="EK255" s="923">
        <f>VLOOKUP(WWWW[[#This Row],[Site Name]],SiteDB6[[Site Name]:[Long]],13,FALSE)</f>
        <v>96.367059999999995</v>
      </c>
      <c r="EL255" s="923" t="str">
        <f>VLOOKUP(WWWW[[#This Row],[Site Name]],SiteDB6[[Site Name]:[Pcode]],3,FALSE)</f>
        <v>MMR001CMP080</v>
      </c>
      <c r="EM255" s="928" t="str">
        <f t="shared" si="3"/>
        <v>Covered</v>
      </c>
      <c r="EN255" s="928"/>
      <c r="EO255" s="923">
        <f>VLOOKUP(WWWW[[#This Row],[Site Name]],SiteDB6[[Site Name]:[Pop
(Kachin/Shan-CCCM as of July 2021)]],16,FALSE)</f>
        <v>11</v>
      </c>
      <c r="EP255" s="923">
        <f>VLOOKUP(WWWW[[#This Row],[Site Name]],SiteDB6[[Site Name]:[Pop
(Kachin/Shan-CCCM as of July 2021)]],17,FALSE)</f>
        <v>68</v>
      </c>
    </row>
    <row r="256" spans="1:146">
      <c r="A256" s="921" t="s">
        <v>2786</v>
      </c>
      <c r="B256" s="921" t="s">
        <v>36</v>
      </c>
      <c r="C256" s="922" t="s">
        <v>36</v>
      </c>
      <c r="D256" s="922" t="s">
        <v>241</v>
      </c>
      <c r="E256" s="922" t="s">
        <v>37</v>
      </c>
      <c r="F256" s="922" t="s">
        <v>205</v>
      </c>
      <c r="G256" s="594" t="str">
        <f>VLOOKUP(WWWW[[#This Row],[Site Name]],SiteDB6[[Site Name]:[Location Type]],8,FALSE)</f>
        <v>Camp</v>
      </c>
      <c r="H256" s="922" t="s">
        <v>232</v>
      </c>
      <c r="I256" s="924">
        <v>72</v>
      </c>
      <c r="J256" s="924">
        <v>406</v>
      </c>
      <c r="K256" s="925">
        <v>44414</v>
      </c>
      <c r="L256" s="926">
        <v>44778</v>
      </c>
      <c r="M256" s="924"/>
      <c r="N256" s="924">
        <v>2</v>
      </c>
      <c r="O256" s="924"/>
      <c r="P256" s="924"/>
      <c r="Q256" s="927" t="s">
        <v>41</v>
      </c>
      <c r="R256" s="924">
        <v>3</v>
      </c>
      <c r="S256" s="924">
        <v>3</v>
      </c>
      <c r="T256" s="449">
        <v>3</v>
      </c>
      <c r="U256" s="924">
        <v>1</v>
      </c>
      <c r="V256" s="924">
        <v>1</v>
      </c>
      <c r="W256" s="924">
        <v>1</v>
      </c>
      <c r="X256" s="924"/>
      <c r="Y256" s="924"/>
      <c r="Z256" s="924"/>
      <c r="AA256" s="924">
        <v>1</v>
      </c>
      <c r="AB256" s="924"/>
      <c r="AC256" s="924"/>
      <c r="AD256" s="924"/>
      <c r="AE256" s="924"/>
      <c r="AF256" s="924"/>
      <c r="AG256" s="924"/>
      <c r="AH256" s="924"/>
      <c r="AI256" s="924"/>
      <c r="AJ256" s="924"/>
      <c r="AK256" s="924"/>
      <c r="AL256" s="924"/>
      <c r="AM256" s="924">
        <v>4</v>
      </c>
      <c r="AN256" s="924"/>
      <c r="AO256" s="449"/>
      <c r="AP256" s="928"/>
      <c r="AQ256" s="924">
        <v>20</v>
      </c>
      <c r="AR256" s="924"/>
      <c r="AS256" s="929"/>
      <c r="AT256" s="924">
        <v>1</v>
      </c>
      <c r="AU256" s="924"/>
      <c r="AV256" s="924"/>
      <c r="AW256" s="924"/>
      <c r="AX256" s="924"/>
      <c r="AY256" s="923" t="s">
        <v>41</v>
      </c>
      <c r="AZ256" s="928" t="s">
        <v>137</v>
      </c>
      <c r="BA256" s="924">
        <v>1</v>
      </c>
      <c r="BB256" s="924"/>
      <c r="BC256" s="924"/>
      <c r="BD256" s="449"/>
      <c r="BE256" s="449"/>
      <c r="BF256" s="923"/>
      <c r="BG256" s="924">
        <v>0</v>
      </c>
      <c r="BH256" s="924"/>
      <c r="BI256" s="924"/>
      <c r="BJ256" s="924">
        <v>3</v>
      </c>
      <c r="BK256" s="924">
        <v>1</v>
      </c>
      <c r="BL256" s="924"/>
      <c r="BM256" s="924">
        <v>2</v>
      </c>
      <c r="BN256" s="924">
        <v>72</v>
      </c>
      <c r="BO256" s="924">
        <v>87.087000000000018</v>
      </c>
      <c r="BP256" s="923" t="s">
        <v>41</v>
      </c>
      <c r="BQ256" s="930">
        <v>100</v>
      </c>
      <c r="BR256" s="929"/>
      <c r="BS256" s="923" t="s">
        <v>3059</v>
      </c>
      <c r="BT256" s="424"/>
      <c r="BU256" s="424"/>
      <c r="BV256" s="426"/>
      <c r="BW256" s="424">
        <v>0.01</v>
      </c>
      <c r="BX256" s="449"/>
      <c r="BY256" s="449"/>
      <c r="BZ256" s="449"/>
      <c r="CA256" s="449"/>
      <c r="CB256" s="449"/>
      <c r="CC256" s="807"/>
      <c r="CD256" s="449"/>
      <c r="CE256" s="931" t="str">
        <f>IFERROR(WWWW[[#This Row],['#_Water sources passed]]/WWWW[[#This Row],['#_Water sources tested for fecal coliform ]],"no test")</f>
        <v>no test</v>
      </c>
      <c r="CF256" s="929" t="str">
        <f>IFERROR(WWWW[[#This Row],['#_Household passed]]/WWWW[[#This Row],['#_Household water samples tested for fecal coliform]],"no test")</f>
        <v>no test</v>
      </c>
      <c r="CG256" s="930" t="str">
        <f>IF(AND(WWWW[[#This Row],[% of water sources passed]]="no test",WWWW[[#This Row],[% Household passed]]="no test"),"No Test","Tested")</f>
        <v>No Test</v>
      </c>
      <c r="CH256" s="930">
        <f>WWWW[[#This Row],['#_Constructed/existing protected hand dug well]]-WWWW[[#This Row],['#_Non-functional protected hand dug well]]</f>
        <v>2</v>
      </c>
      <c r="CI256" s="930">
        <f>(WWWW[[#This Row],['#_Constructed/Existing tube wells/boreholes/handpumps_WASH_agency]]+WWWW[[#This Row],['#_Non-Cluster partner water tube-wells/boreholes/handpumps]])-WWWW[[#This Row],['#_Non-functional tube wells/boreholes/handpumps]]</f>
        <v>1</v>
      </c>
      <c r="CJ256" s="930">
        <f>WWWW[[#This Row],['#_Constructed/Existingwater storage tank with gravity fed reticulation system]]-WWWW[[#This Row],['#_Non-functional storage tank gravity fed reticulation system]]</f>
        <v>1</v>
      </c>
      <c r="CK256" s="930">
        <f>(WWWW[[#This Row],['#_Water_Liters_supplied_by_Water boating or water trucking]]/90)/15</f>
        <v>0</v>
      </c>
      <c r="CL256" s="930">
        <f>WWWW[[#This Row],['#_Water_Liters_from_Constructed/Existing water distribution system from river or natural spring]]/90/15</f>
        <v>0</v>
      </c>
      <c r="CM256" s="425">
        <f>IF(WWWW[[#This Row],['#_of water points in TLS/CFS]]*500&gt;WWWW[[#This Row],[Total PoP ]],WWWW[[#This Row],[Total PoP ]],WWWW[[#This Row],['#_of water points in TLS/CFS]]*500)</f>
        <v>0</v>
      </c>
      <c r="CN256" s="425">
        <f>IF(WWWW[[#This Row],['#_of water points in THF]]*500&gt;WWWW[[#This Row],[Total PoP ]],WWWW[[#This Row],[Total PoP ]],WWWW[[#This Row],['#_of water points in THF]]*500)</f>
        <v>0</v>
      </c>
      <c r="CO25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6" s="929">
        <f>IF(WWWW[[#This Row],[Location Type 1]]="Village",WWWW[[#This Row],[Access to safe drinking water for Village]],WWWW[[#This Row],[Access to safe drinking water for Camp]])</f>
        <v>1</v>
      </c>
      <c r="CR256" s="927">
        <f>WWWW[[#This Row],[%Equitable and continuous access to sufficient quantity of safe drinking water]]*WWWW[[#This Row],[Total PoP ]]</f>
        <v>406</v>
      </c>
      <c r="CS256" s="929">
        <f>IF((WWWW[[#This Row],['#_Constructed/Existing protected/fenced ponds]]*250)/WWWW[[#This Row],[Total PoP ]]&gt;1,1,(WWWW[[#This Row],['#_Constructed/Existing protected/fenced ponds]]*250)/WWWW[[#This Row],[Total PoP ]])</f>
        <v>0</v>
      </c>
      <c r="CT256" s="927">
        <f>WWWW[[#This Row],[% Access to unimproved water points]]*WWWW[[#This Row],[Total PoP ]]</f>
        <v>0</v>
      </c>
      <c r="CU25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406</v>
      </c>
      <c r="CW256" s="927">
        <f>WWWW[[#This Row],[HRP1]]/500</f>
        <v>0.81200000000000006</v>
      </c>
      <c r="CX256" s="932">
        <f>1-WWWW[[#This Row],[% Equitable and continuous access to sufficient quantity of domestic water]]</f>
        <v>0</v>
      </c>
      <c r="CY256" s="927">
        <f>WWWW[[#This Row],[%equitable and continuous access to sufficient quantity of safe drinking and domestic water''s GAP]]*WWWW[[#This Row],[Total PoP ]]</f>
        <v>0</v>
      </c>
      <c r="CZ256" s="930">
        <f>IF(WWWW[[#This Row],[Total required water points]]-WWWW[[#This Row],['#Water points coverage]]&lt;0,0,WWWW[[#This Row],[Total required water points]]-WWWW[[#This Row],['#Water points coverage]])</f>
        <v>0.18799999999999994</v>
      </c>
      <c r="DA256" s="930">
        <f>ROUND(IF(WWWW[[#This Row],[Total PoP ]]&lt;500,1,WWWW[[#This Row],[Total PoP ]]/500),0)</f>
        <v>1</v>
      </c>
      <c r="DB256" s="930">
        <f>(WWWW[[#This Row],['#_Constructed latrines_by_WASHAgencies]]+WWWW[[#This Row],['#_Non Cluster partner latrines]])-WWWW[[#This Row],['#_Non-functional latrines]]</f>
        <v>19</v>
      </c>
      <c r="DC256" s="634">
        <f>WWWW[[#This Row],[HRP2]]/WWWW[[#This Row],[Total PoP ]]</f>
        <v>0.98522167487684731</v>
      </c>
      <c r="DD25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400</v>
      </c>
      <c r="DE25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6" s="425">
        <f>IF(WWWW[[#This Row],['# of functional latrines in THF supported by WASH partners during the reporting period2]]="",0,WWWW[[#This Row],['# of functional latrines in THF supported by WASH partners during the reporting period2]]*50)</f>
        <v>0</v>
      </c>
      <c r="DH256" s="930">
        <f>ROUND(IF(WWWW[[#This Row],[Location Type 1]]="camp",WWWW[[#This Row],[Total PoP ]]/20,IF(WWWW[[#This Row],[Location Type 1]]="Temporary Location",WWWW[[#This Row],[Total PoP ]]/50,(WWWW[[#This Row],[Total PoP ]]/6))),0)</f>
        <v>20</v>
      </c>
      <c r="DI256" s="930">
        <f>IF(WWWW[[#This Row],[Total required Latrines]]-(WWWW[[#This Row],['#_Constructed latrines_by_WASHAgencies]]+WWWW[[#This Row],['#_Non Cluster partner latrines]])&lt;0,0,WWWW[[#This Row],[Total required Latrines]]-(WWWW[[#This Row],['#_Constructed latrines_by_WASHAgencies]]+WWWW[[#This Row],['#_Non Cluster partner latrines]]))</f>
        <v>0</v>
      </c>
      <c r="DJ256" s="932">
        <f>1-WWWW[[#This Row],[% people access to functioning Latrine]]</f>
        <v>1.4778325123152691E-2</v>
      </c>
      <c r="DK256" s="931">
        <f>IF(OR(WWWW[[#This Row],['#_Non-functional latrines]]="",WWWW[[#This Row],['#_Non-functional latrines]]=0),0,WWWW[[#This Row],['#_Non-functional latrines]]/(WWWW[[#This Row],['#_Constructed latrines_by_WASHAgencies]]+WWWW[[#This Row],['#_Non Cluster partner latrines]]))</f>
        <v>0.05</v>
      </c>
      <c r="DL256" s="927">
        <f>IF(500*(WWWW[[#This Row],['#_male hygiene promoters]]+WWWW[[#This Row],['#_female hygiene promoters]])&gt;WWWW[[#This Row],[Total PoP ]],WWWW[[#This Row],[Total PoP ]],500*(WWWW[[#This Row],['#_male hygiene promoters]]+WWWW[[#This Row],['#_female hygiene promoters]]))</f>
        <v>406</v>
      </c>
      <c r="DM25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406</v>
      </c>
      <c r="DN25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87.087000000000018</v>
      </c>
      <c r="DO256" s="930">
        <f>IF(WWWW[[#This Row],['# People with access to soap]]&gt;WWWW[[#This Row],['# People with access to Sanity Pads]],WWWW[[#This Row],['# People with access to soap]],WWWW[[#This Row],['# People with access to Sanity Pads]])</f>
        <v>406</v>
      </c>
      <c r="DP256" s="930">
        <f>IF(WWWW[[#This Row],['# people reached by regular dedicated hygiene promotion_5]]&gt;WWWW[[#This Row],['# People received regular supply of hygiene items_6]],WWWW[[#This Row],['# people reached by regular dedicated hygiene promotion_5]],WWWW[[#This Row],['# People received regular supply of hygiene items_6]])</f>
        <v>406</v>
      </c>
      <c r="DQ256" s="932">
        <f>IF(WWWW[[#This Row],[HRP3]]/WWWW[[#This Row],[Total PoP ]]&gt;1,1,WWWW[[#This Row],[HRP3]]/WWWW[[#This Row],[Total PoP ]])</f>
        <v>1</v>
      </c>
      <c r="DR256" s="931">
        <f>1-WWWW[[#This Row],[Hygiene Coverage%]]</f>
        <v>0</v>
      </c>
      <c r="DS256" s="929">
        <f>WWWW[[#This Row],['# people reached by regular dedicated hygiene promotion_5]]/WWWW[[#This Row],[Total PoP ]]</f>
        <v>1</v>
      </c>
      <c r="DT25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6" s="930">
        <f>WWWW[[#This Row],['#_Constructed/Existing hand washing stations]]-WWWW[[#This Row],['#_Non-Functional_hand_washing_stations]]</f>
        <v>0</v>
      </c>
      <c r="DW256" s="927">
        <f>IF(WWWW[[#This Row],['# Functional hand washing stations during reporting period]]*20&gt;WWWW[[#This Row],[Total HH]],WWWW[[#This Row],[Total HH]],WWWW[[#This Row],['# Functional hand washing stations during reporting period]]*20)</f>
        <v>0</v>
      </c>
      <c r="DX256" s="927">
        <f>IF(WWWW[[#This Row],[Is sufficient soap available for TLS? (Yes/No)]]="yes",WWWW[[#This Row],['#_Constructed/Existing hand washing stations at TLS/CFS/THF]],0)</f>
        <v>4</v>
      </c>
      <c r="DY256" s="429">
        <f>IF(WWWW[[#This Row],['# Functional hand washing stations during reporting period]]*100&gt;WWWW[[#This Row],[Total PoP ]],WWWW[[#This Row],[Total PoP ]],WWWW[[#This Row],['# Functional hand washing stations during reporting period]]*100)</f>
        <v>0</v>
      </c>
      <c r="DZ256" s="429" t="str">
        <f>IF(OR(WWWW[[#This Row],['#_students at TLS_CFS]]="",WWWW[[#This Row],['#_students at TLS_CFS]]=0),"No","Yes")</f>
        <v>No</v>
      </c>
      <c r="EA25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6" s="923" t="str">
        <f>VLOOKUP(WWWW[[#This Row],[Site Name]],SiteDB6[[Site Name]:[CCCM Management]],6,FALSE)</f>
        <v>Yes</v>
      </c>
      <c r="EF256" s="923" t="str">
        <f>VLOOKUP(WWWW[[#This Row],[Site Name]],SiteDB6[[Site Name]:[CCCM Focal Agency]],7,FALSE)</f>
        <v>KMSS-MYT</v>
      </c>
      <c r="EG256" s="923" t="str">
        <f>VLOOKUP(WWWW[[#This Row],[Site Name]],SiteDB6[[Site Name]:[Location Type 1]],9,FALSE)</f>
        <v>Camp</v>
      </c>
      <c r="EH256" s="923" t="str">
        <f>VLOOKUP(WWWW[[#This Row],[Site Name]],SiteDB6[[Site Name]:[Type of Accommodation]],10,FALSE)</f>
        <v>Camp</v>
      </c>
      <c r="EI256" s="923" t="str">
        <f>VLOOKUP(WWWW[[#This Row],[Site Name]],SiteDB6[[Site Name]:[Ethnic or GCA/NGCA]],11,FALSE)</f>
        <v>NGCA</v>
      </c>
      <c r="EJ256" s="923">
        <f>VLOOKUP(WWWW[[#This Row],[Site Name]],SiteDB6[[Site Name]:[Lat]],12,FALSE)</f>
        <v>24.461033</v>
      </c>
      <c r="EK256" s="923">
        <f>VLOOKUP(WWWW[[#This Row],[Site Name]],SiteDB6[[Site Name]:[Long]],13,FALSE)</f>
        <v>97.537099999999995</v>
      </c>
      <c r="EL256" s="923" t="str">
        <f>VLOOKUP(WWWW[[#This Row],[Site Name]],SiteDB6[[Site Name]:[Pcode]],3,FALSE)</f>
        <v>MMR001CMP123</v>
      </c>
      <c r="EM256" s="928" t="str">
        <f t="shared" si="3"/>
        <v>Covered</v>
      </c>
      <c r="EN256" s="928"/>
      <c r="EO256" s="923">
        <f>VLOOKUP(WWWW[[#This Row],[Site Name]],SiteDB6[[Site Name]:[Pop
(Kachin/Shan-CCCM as of July 2021)]],16,FALSE)</f>
        <v>72</v>
      </c>
      <c r="EP256" s="923">
        <f>VLOOKUP(WWWW[[#This Row],[Site Name]],SiteDB6[[Site Name]:[Pop
(Kachin/Shan-CCCM as of July 2021)]],17,FALSE)</f>
        <v>404</v>
      </c>
    </row>
    <row r="257" spans="1:146">
      <c r="A257" s="921" t="s">
        <v>2786</v>
      </c>
      <c r="B257" s="921" t="s">
        <v>36</v>
      </c>
      <c r="C257" s="922" t="s">
        <v>36</v>
      </c>
      <c r="D257" s="922" t="s">
        <v>241</v>
      </c>
      <c r="E257" s="922" t="s">
        <v>37</v>
      </c>
      <c r="F257" s="922" t="s">
        <v>159</v>
      </c>
      <c r="G257" s="594" t="str">
        <f>VLOOKUP(WWWW[[#This Row],[Site Name]],SiteDB6[[Site Name]:[Location Type]],8,FALSE)</f>
        <v>Camp</v>
      </c>
      <c r="H257" s="922" t="s">
        <v>233</v>
      </c>
      <c r="I257" s="924">
        <v>72</v>
      </c>
      <c r="J257" s="924">
        <v>388</v>
      </c>
      <c r="K257" s="925">
        <v>44414</v>
      </c>
      <c r="L257" s="926">
        <v>44778</v>
      </c>
      <c r="M257" s="924"/>
      <c r="N257" s="924">
        <v>3</v>
      </c>
      <c r="O257" s="924"/>
      <c r="P257" s="924"/>
      <c r="Q257" s="927" t="s">
        <v>41</v>
      </c>
      <c r="R257" s="924">
        <v>2</v>
      </c>
      <c r="S257" s="924">
        <v>8</v>
      </c>
      <c r="T257" s="449">
        <v>1</v>
      </c>
      <c r="U257" s="924"/>
      <c r="V257" s="924"/>
      <c r="W257" s="924"/>
      <c r="X257" s="924"/>
      <c r="Y257" s="924"/>
      <c r="Z257" s="924"/>
      <c r="AA257" s="924"/>
      <c r="AB257" s="924"/>
      <c r="AC257" s="924"/>
      <c r="AD257" s="924"/>
      <c r="AE257" s="924"/>
      <c r="AF257" s="924"/>
      <c r="AG257" s="924"/>
      <c r="AH257" s="924"/>
      <c r="AI257" s="924">
        <v>7</v>
      </c>
      <c r="AJ257" s="924">
        <v>2</v>
      </c>
      <c r="AK257" s="924"/>
      <c r="AL257" s="924"/>
      <c r="AM257" s="924">
        <v>5</v>
      </c>
      <c r="AN257" s="924"/>
      <c r="AO257" s="449"/>
      <c r="AP257" s="928"/>
      <c r="AQ257" s="924">
        <v>22</v>
      </c>
      <c r="AR257" s="924"/>
      <c r="AS257" s="929"/>
      <c r="AT257" s="924">
        <v>1</v>
      </c>
      <c r="AU257" s="924"/>
      <c r="AV257" s="924"/>
      <c r="AW257" s="924"/>
      <c r="AX257" s="924"/>
      <c r="AY257" s="923" t="s">
        <v>41</v>
      </c>
      <c r="AZ257" s="928" t="s">
        <v>137</v>
      </c>
      <c r="BA257" s="924">
        <v>1</v>
      </c>
      <c r="BB257" s="924"/>
      <c r="BC257" s="924"/>
      <c r="BD257" s="449"/>
      <c r="BE257" s="449"/>
      <c r="BF257" s="923"/>
      <c r="BG257" s="924">
        <v>7</v>
      </c>
      <c r="BH257" s="924"/>
      <c r="BI257" s="924"/>
      <c r="BJ257" s="924">
        <v>3</v>
      </c>
      <c r="BK257" s="924"/>
      <c r="BL257" s="924"/>
      <c r="BM257" s="924">
        <v>2</v>
      </c>
      <c r="BN257" s="924">
        <v>72</v>
      </c>
      <c r="BO257" s="924">
        <v>83.226000000000013</v>
      </c>
      <c r="BP257" s="923" t="s">
        <v>41</v>
      </c>
      <c r="BQ257" s="930">
        <v>100</v>
      </c>
      <c r="BR257" s="929">
        <v>0.5</v>
      </c>
      <c r="BS257" s="923" t="s">
        <v>3060</v>
      </c>
      <c r="BT257" s="424"/>
      <c r="BU257" s="424"/>
      <c r="BV257" s="426"/>
      <c r="BW257" s="424">
        <v>0.01</v>
      </c>
      <c r="BX257" s="449"/>
      <c r="BY257" s="449"/>
      <c r="BZ257" s="449"/>
      <c r="CA257" s="449"/>
      <c r="CB257" s="449"/>
      <c r="CC257" s="807"/>
      <c r="CD257" s="449"/>
      <c r="CE257" s="931">
        <f>IFERROR(WWWW[[#This Row],['#_Water sources passed]]/WWWW[[#This Row],['#_Water sources tested for fecal coliform ]],"no test")</f>
        <v>0.2857142857142857</v>
      </c>
      <c r="CF257" s="929" t="str">
        <f>IFERROR(WWWW[[#This Row],['#_Household passed]]/WWWW[[#This Row],['#_Household water samples tested for fecal coliform]],"no test")</f>
        <v>no test</v>
      </c>
      <c r="CG257" s="930" t="str">
        <f>IF(AND(WWWW[[#This Row],[% of water sources passed]]="no test",WWWW[[#This Row],[% Household passed]]="no test"),"No Test","Tested")</f>
        <v>Tested</v>
      </c>
      <c r="CH257" s="930">
        <f>WWWW[[#This Row],['#_Constructed/existing protected hand dug well]]-WWWW[[#This Row],['#_Non-functional protected hand dug well]]</f>
        <v>1</v>
      </c>
      <c r="CI257" s="930">
        <f>(WWWW[[#This Row],['#_Constructed/Existing tube wells/boreholes/handpumps_WASH_agency]]+WWWW[[#This Row],['#_Non-Cluster partner water tube-wells/boreholes/handpumps]])-WWWW[[#This Row],['#_Non-functional tube wells/boreholes/handpumps]]</f>
        <v>0</v>
      </c>
      <c r="CJ257" s="930">
        <f>WWWW[[#This Row],['#_Constructed/Existingwater storage tank with gravity fed reticulation system]]-WWWW[[#This Row],['#_Non-functional storage tank gravity fed reticulation system]]</f>
        <v>0</v>
      </c>
      <c r="CK257" s="930">
        <f>(WWWW[[#This Row],['#_Water_Liters_supplied_by_Water boating or water trucking]]/90)/15</f>
        <v>0</v>
      </c>
      <c r="CL257" s="930">
        <f>WWWW[[#This Row],['#_Water_Liters_from_Constructed/Existing water distribution system from river or natural spring]]/90/15</f>
        <v>0</v>
      </c>
      <c r="CM257" s="425">
        <f>IF(WWWW[[#This Row],['#_of water points in TLS/CFS]]*500&gt;WWWW[[#This Row],[Total PoP ]],WWWW[[#This Row],[Total PoP ]],WWWW[[#This Row],['#_of water points in TLS/CFS]]*500)</f>
        <v>0</v>
      </c>
      <c r="CN257" s="425">
        <f>IF(WWWW[[#This Row],['#_of water points in THF]]*500&gt;WWWW[[#This Row],[Total PoP ]],WWWW[[#This Row],[Total PoP ]],WWWW[[#This Row],['#_of water points in THF]]*500)</f>
        <v>0</v>
      </c>
      <c r="CO25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0.64432989690721654</v>
      </c>
      <c r="CQ257" s="929">
        <f>IF(WWWW[[#This Row],[Location Type 1]]="Village",WWWW[[#This Row],[Access to safe drinking water for Village]],WWWW[[#This Row],[Access to safe drinking water for Camp]])</f>
        <v>1</v>
      </c>
      <c r="CR257" s="927">
        <f>WWWW[[#This Row],[%Equitable and continuous access to sufficient quantity of safe drinking water]]*WWWW[[#This Row],[Total PoP ]]</f>
        <v>388</v>
      </c>
      <c r="CS257" s="929">
        <f>IF((WWWW[[#This Row],['#_Constructed/Existing protected/fenced ponds]]*250)/WWWW[[#This Row],[Total PoP ]]&gt;1,1,(WWWW[[#This Row],['#_Constructed/Existing protected/fenced ponds]]*250)/WWWW[[#This Row],[Total PoP ]])</f>
        <v>0</v>
      </c>
      <c r="CT257" s="927">
        <f>WWWW[[#This Row],[% Access to unimproved water points]]*WWWW[[#This Row],[Total PoP ]]</f>
        <v>0</v>
      </c>
      <c r="CU25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388</v>
      </c>
      <c r="CW257" s="927">
        <f>WWWW[[#This Row],[HRP1]]/500</f>
        <v>0.77600000000000002</v>
      </c>
      <c r="CX257" s="932">
        <f>1-WWWW[[#This Row],[% Equitable and continuous access to sufficient quantity of domestic water]]</f>
        <v>0</v>
      </c>
      <c r="CY257" s="927">
        <f>WWWW[[#This Row],[%equitable and continuous access to sufficient quantity of safe drinking and domestic water''s GAP]]*WWWW[[#This Row],[Total PoP ]]</f>
        <v>0</v>
      </c>
      <c r="CZ257" s="930">
        <f>IF(WWWW[[#This Row],[Total required water points]]-WWWW[[#This Row],['#Water points coverage]]&lt;0,0,WWWW[[#This Row],[Total required water points]]-WWWW[[#This Row],['#Water points coverage]])</f>
        <v>0.22399999999999998</v>
      </c>
      <c r="DA257" s="930">
        <f>ROUND(IF(WWWW[[#This Row],[Total PoP ]]&lt;500,1,WWWW[[#This Row],[Total PoP ]]/500),0)</f>
        <v>1</v>
      </c>
      <c r="DB257" s="930">
        <f>(WWWW[[#This Row],['#_Constructed latrines_by_WASHAgencies]]+WWWW[[#This Row],['#_Non Cluster partner latrines]])-WWWW[[#This Row],['#_Non-functional latrines]]</f>
        <v>21</v>
      </c>
      <c r="DC257" s="634">
        <f>WWWW[[#This Row],[HRP2]]/WWWW[[#This Row],[Total PoP ]]</f>
        <v>1</v>
      </c>
      <c r="DD25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388</v>
      </c>
      <c r="DE25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7" s="425">
        <f>IF(WWWW[[#This Row],['# of functional latrines in THF supported by WASH partners during the reporting period2]]="",0,WWWW[[#This Row],['# of functional latrines in THF supported by WASH partners during the reporting period2]]*50)</f>
        <v>0</v>
      </c>
      <c r="DH257" s="930">
        <f>ROUND(IF(WWWW[[#This Row],[Location Type 1]]="camp",WWWW[[#This Row],[Total PoP ]]/20,IF(WWWW[[#This Row],[Location Type 1]]="Temporary Location",WWWW[[#This Row],[Total PoP ]]/50,(WWWW[[#This Row],[Total PoP ]]/6))),0)</f>
        <v>19</v>
      </c>
      <c r="DI257" s="930">
        <f>IF(WWWW[[#This Row],[Total required Latrines]]-(WWWW[[#This Row],['#_Constructed latrines_by_WASHAgencies]]+WWWW[[#This Row],['#_Non Cluster partner latrines]])&lt;0,0,WWWW[[#This Row],[Total required Latrines]]-(WWWW[[#This Row],['#_Constructed latrines_by_WASHAgencies]]+WWWW[[#This Row],['#_Non Cluster partner latrines]]))</f>
        <v>0</v>
      </c>
      <c r="DJ257" s="932">
        <f>1-WWWW[[#This Row],[% people access to functioning Latrine]]</f>
        <v>0</v>
      </c>
      <c r="DK257" s="931">
        <f>IF(OR(WWWW[[#This Row],['#_Non-functional latrines]]="",WWWW[[#This Row],['#_Non-functional latrines]]=0),0,WWWW[[#This Row],['#_Non-functional latrines]]/(WWWW[[#This Row],['#_Constructed latrines_by_WASHAgencies]]+WWWW[[#This Row],['#_Non Cluster partner latrines]]))</f>
        <v>4.5454545454545456E-2</v>
      </c>
      <c r="DL257" s="927">
        <f>IF(500*(WWWW[[#This Row],['#_male hygiene promoters]]+WWWW[[#This Row],['#_female hygiene promoters]])&gt;WWWW[[#This Row],[Total PoP ]],WWWW[[#This Row],[Total PoP ]],500*(WWWW[[#This Row],['#_male hygiene promoters]]+WWWW[[#This Row],['#_female hygiene promoters]]))</f>
        <v>388</v>
      </c>
      <c r="DM25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388</v>
      </c>
      <c r="DN25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83.226000000000013</v>
      </c>
      <c r="DO257" s="930">
        <f>IF(WWWW[[#This Row],['# People with access to soap]]&gt;WWWW[[#This Row],['# People with access to Sanity Pads]],WWWW[[#This Row],['# People with access to soap]],WWWW[[#This Row],['# People with access to Sanity Pads]])</f>
        <v>388</v>
      </c>
      <c r="DP257" s="930">
        <f>IF(WWWW[[#This Row],['# people reached by regular dedicated hygiene promotion_5]]&gt;WWWW[[#This Row],['# People received regular supply of hygiene items_6]],WWWW[[#This Row],['# people reached by regular dedicated hygiene promotion_5]],WWWW[[#This Row],['# People received regular supply of hygiene items_6]])</f>
        <v>388</v>
      </c>
      <c r="DQ257" s="932">
        <f>IF(WWWW[[#This Row],[HRP3]]/WWWW[[#This Row],[Total PoP ]]&gt;1,1,WWWW[[#This Row],[HRP3]]/WWWW[[#This Row],[Total PoP ]])</f>
        <v>1</v>
      </c>
      <c r="DR257" s="931">
        <f>1-WWWW[[#This Row],[Hygiene Coverage%]]</f>
        <v>0</v>
      </c>
      <c r="DS257" s="929">
        <f>WWWW[[#This Row],['# people reached by regular dedicated hygiene promotion_5]]/WWWW[[#This Row],[Total PoP ]]</f>
        <v>1</v>
      </c>
      <c r="DT25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7" s="930">
        <f>WWWW[[#This Row],['#_Constructed/Existing hand washing stations]]-WWWW[[#This Row],['#_Non-Functional_hand_washing_stations]]</f>
        <v>7</v>
      </c>
      <c r="DW257" s="927">
        <f>IF(WWWW[[#This Row],['# Functional hand washing stations during reporting period]]*20&gt;WWWW[[#This Row],[Total HH]],WWWW[[#This Row],[Total HH]],WWWW[[#This Row],['# Functional hand washing stations during reporting period]]*20)</f>
        <v>72</v>
      </c>
      <c r="DX257" s="927">
        <f>IF(WWWW[[#This Row],[Is sufficient soap available for TLS? (Yes/No)]]="yes",WWWW[[#This Row],['#_Constructed/Existing hand washing stations at TLS/CFS/THF]],0)</f>
        <v>5</v>
      </c>
      <c r="DY257" s="429">
        <f>IF(WWWW[[#This Row],['# Functional hand washing stations during reporting period]]*100&gt;WWWW[[#This Row],[Total PoP ]],WWWW[[#This Row],[Total PoP ]],WWWW[[#This Row],['# Functional hand washing stations during reporting period]]*100)</f>
        <v>388</v>
      </c>
      <c r="DZ257" s="429" t="str">
        <f>IF(OR(WWWW[[#This Row],['#_students at TLS_CFS]]="",WWWW[[#This Row],['#_students at TLS_CFS]]=0),"No","Yes")</f>
        <v>No</v>
      </c>
      <c r="EA25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7" s="923" t="str">
        <f>VLOOKUP(WWWW[[#This Row],[Site Name]],SiteDB6[[Site Name]:[CCCM Management]],6,FALSE)</f>
        <v>Yes</v>
      </c>
      <c r="EF257" s="923" t="str">
        <f>VLOOKUP(WWWW[[#This Row],[Site Name]],SiteDB6[[Site Name]:[CCCM Focal Agency]],7,FALSE)</f>
        <v>KMSS-MYT</v>
      </c>
      <c r="EG257" s="923" t="str">
        <f>VLOOKUP(WWWW[[#This Row],[Site Name]],SiteDB6[[Site Name]:[Location Type 1]],9,FALSE)</f>
        <v>Camp</v>
      </c>
      <c r="EH257" s="923" t="str">
        <f>VLOOKUP(WWWW[[#This Row],[Site Name]],SiteDB6[[Site Name]:[Type of Accommodation]],10,FALSE)</f>
        <v>Camp</v>
      </c>
      <c r="EI257" s="923" t="str">
        <f>VLOOKUP(WWWW[[#This Row],[Site Name]],SiteDB6[[Site Name]:[Ethnic or GCA/NGCA]],11,FALSE)</f>
        <v>GCA</v>
      </c>
      <c r="EJ257" s="923">
        <f>VLOOKUP(WWWW[[#This Row],[Site Name]],SiteDB6[[Site Name]:[Lat]],12,FALSE)</f>
        <v>25.403476999999999</v>
      </c>
      <c r="EK257" s="923">
        <f>VLOOKUP(WWWW[[#This Row],[Site Name]],SiteDB6[[Site Name]:[Long]],13,FALSE)</f>
        <v>97.373361000000003</v>
      </c>
      <c r="EL257" s="923" t="str">
        <f>VLOOKUP(WWWW[[#This Row],[Site Name]],SiteDB6[[Site Name]:[Pcode]],3,FALSE)</f>
        <v>MMR001CMP019</v>
      </c>
      <c r="EM257" s="928" t="str">
        <f t="shared" si="3"/>
        <v>Covered</v>
      </c>
      <c r="EN257" s="928"/>
      <c r="EO257" s="923">
        <f>VLOOKUP(WWWW[[#This Row],[Site Name]],SiteDB6[[Site Name]:[Pop
(Kachin/Shan-CCCM as of July 2021)]],16,FALSE)</f>
        <v>73</v>
      </c>
      <c r="EP257" s="923">
        <f>VLOOKUP(WWWW[[#This Row],[Site Name]],SiteDB6[[Site Name]:[Pop
(Kachin/Shan-CCCM as of July 2021)]],17,FALSE)</f>
        <v>387</v>
      </c>
    </row>
    <row r="258" spans="1:146">
      <c r="A258" s="921" t="s">
        <v>2786</v>
      </c>
      <c r="B258" s="921" t="s">
        <v>36</v>
      </c>
      <c r="C258" s="922" t="s">
        <v>36</v>
      </c>
      <c r="D258" s="922" t="s">
        <v>241</v>
      </c>
      <c r="E258" s="922" t="s">
        <v>37</v>
      </c>
      <c r="F258" s="922" t="s">
        <v>159</v>
      </c>
      <c r="G258" s="594" t="str">
        <f>VLOOKUP(WWWW[[#This Row],[Site Name]],SiteDB6[[Site Name]:[Location Type]],8,FALSE)</f>
        <v>Camp</v>
      </c>
      <c r="H258" s="922" t="s">
        <v>828</v>
      </c>
      <c r="I258" s="924">
        <v>18</v>
      </c>
      <c r="J258" s="924">
        <v>61</v>
      </c>
      <c r="K258" s="925">
        <v>44414</v>
      </c>
      <c r="L258" s="926">
        <v>44778</v>
      </c>
      <c r="M258" s="924">
        <v>489</v>
      </c>
      <c r="N258" s="924">
        <v>2</v>
      </c>
      <c r="O258" s="924"/>
      <c r="P258" s="924"/>
      <c r="Q258" s="927" t="s">
        <v>41</v>
      </c>
      <c r="R258" s="924">
        <v>1</v>
      </c>
      <c r="S258" s="924">
        <v>2</v>
      </c>
      <c r="T258" s="449">
        <v>1</v>
      </c>
      <c r="U258" s="924"/>
      <c r="V258" s="924"/>
      <c r="W258" s="924">
        <v>1</v>
      </c>
      <c r="X258" s="924"/>
      <c r="Y258" s="924"/>
      <c r="Z258" s="924"/>
      <c r="AA258" s="924"/>
      <c r="AB258" s="924"/>
      <c r="AC258" s="924"/>
      <c r="AD258" s="924"/>
      <c r="AE258" s="924"/>
      <c r="AF258" s="924"/>
      <c r="AG258" s="924"/>
      <c r="AH258" s="924"/>
      <c r="AI258" s="924"/>
      <c r="AJ258" s="924"/>
      <c r="AK258" s="924"/>
      <c r="AL258" s="924"/>
      <c r="AM258" s="924">
        <v>4</v>
      </c>
      <c r="AN258" s="924"/>
      <c r="AO258" s="449"/>
      <c r="AP258" s="928"/>
      <c r="AQ258" s="924">
        <v>4</v>
      </c>
      <c r="AR258" s="924"/>
      <c r="AS258" s="929"/>
      <c r="AT258" s="924">
        <v>1</v>
      </c>
      <c r="AU258" s="924"/>
      <c r="AV258" s="924"/>
      <c r="AW258" s="924"/>
      <c r="AX258" s="924"/>
      <c r="AY258" s="923" t="s">
        <v>41</v>
      </c>
      <c r="AZ258" s="928" t="s">
        <v>137</v>
      </c>
      <c r="BA258" s="924"/>
      <c r="BB258" s="924"/>
      <c r="BC258" s="924"/>
      <c r="BD258" s="449"/>
      <c r="BE258" s="449"/>
      <c r="BF258" s="923"/>
      <c r="BG258" s="924">
        <v>2</v>
      </c>
      <c r="BH258" s="924"/>
      <c r="BI258" s="924"/>
      <c r="BJ258" s="924">
        <v>1</v>
      </c>
      <c r="BK258" s="924">
        <v>1</v>
      </c>
      <c r="BL258" s="924"/>
      <c r="BM258" s="924">
        <v>1</v>
      </c>
      <c r="BN258" s="924">
        <v>18</v>
      </c>
      <c r="BO258" s="924">
        <v>13.0845</v>
      </c>
      <c r="BP258" s="923" t="s">
        <v>41</v>
      </c>
      <c r="BQ258" s="930">
        <v>100</v>
      </c>
      <c r="BR258" s="929">
        <v>0.5</v>
      </c>
      <c r="BS258" s="923" t="s">
        <v>3060</v>
      </c>
      <c r="BT258" s="424"/>
      <c r="BU258" s="424"/>
      <c r="BV258" s="426"/>
      <c r="BW258" s="424">
        <v>0.01</v>
      </c>
      <c r="BX258" s="449"/>
      <c r="BY258" s="449"/>
      <c r="BZ258" s="449"/>
      <c r="CA258" s="449"/>
      <c r="CB258" s="449"/>
      <c r="CC258" s="807"/>
      <c r="CD258" s="449"/>
      <c r="CE258" s="931" t="str">
        <f>IFERROR(WWWW[[#This Row],['#_Water sources passed]]/WWWW[[#This Row],['#_Water sources tested for fecal coliform ]],"no test")</f>
        <v>no test</v>
      </c>
      <c r="CF258" s="929" t="str">
        <f>IFERROR(WWWW[[#This Row],['#_Household passed]]/WWWW[[#This Row],['#_Household water samples tested for fecal coliform]],"no test")</f>
        <v>no test</v>
      </c>
      <c r="CG258" s="930" t="str">
        <f>IF(AND(WWWW[[#This Row],[% of water sources passed]]="no test",WWWW[[#This Row],[% Household passed]]="no test"),"No Test","Tested")</f>
        <v>No Test</v>
      </c>
      <c r="CH258" s="930">
        <f>WWWW[[#This Row],['#_Constructed/existing protected hand dug well]]-WWWW[[#This Row],['#_Non-functional protected hand dug well]]</f>
        <v>1</v>
      </c>
      <c r="CI258" s="930">
        <f>(WWWW[[#This Row],['#_Constructed/Existing tube wells/boreholes/handpumps_WASH_agency]]+WWWW[[#This Row],['#_Non-Cluster partner water tube-wells/boreholes/handpumps]])-WWWW[[#This Row],['#_Non-functional tube wells/boreholes/handpumps]]</f>
        <v>1</v>
      </c>
      <c r="CJ258" s="930">
        <f>WWWW[[#This Row],['#_Constructed/Existingwater storage tank with gravity fed reticulation system]]-WWWW[[#This Row],['#_Non-functional storage tank gravity fed reticulation system]]</f>
        <v>0</v>
      </c>
      <c r="CK258" s="930">
        <f>(WWWW[[#This Row],['#_Water_Liters_supplied_by_Water boating or water trucking]]/90)/15</f>
        <v>0</v>
      </c>
      <c r="CL258" s="930">
        <f>WWWW[[#This Row],['#_Water_Liters_from_Constructed/Existing water distribution system from river or natural spring]]/90/15</f>
        <v>0</v>
      </c>
      <c r="CM258" s="425">
        <f>IF(WWWW[[#This Row],['#_of water points in TLS/CFS]]*500&gt;WWWW[[#This Row],[Total PoP ]],WWWW[[#This Row],[Total PoP ]],WWWW[[#This Row],['#_of water points in TLS/CFS]]*500)</f>
        <v>0</v>
      </c>
      <c r="CN258" s="425">
        <f>IF(WWWW[[#This Row],['#_of water points in THF]]*500&gt;WWWW[[#This Row],[Total PoP ]],WWWW[[#This Row],[Total PoP ]],WWWW[[#This Row],['#_of water points in THF]]*500)</f>
        <v>0</v>
      </c>
      <c r="CO25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8" s="929">
        <f>IF(WWWW[[#This Row],[Location Type 1]]="Village",WWWW[[#This Row],[Access to safe drinking water for Village]],WWWW[[#This Row],[Access to safe drinking water for Camp]])</f>
        <v>1</v>
      </c>
      <c r="CR258" s="927">
        <f>WWWW[[#This Row],[%Equitable and continuous access to sufficient quantity of safe drinking water]]*WWWW[[#This Row],[Total PoP ]]</f>
        <v>61</v>
      </c>
      <c r="CS258" s="929">
        <f>IF((WWWW[[#This Row],['#_Constructed/Existing protected/fenced ponds]]*250)/WWWW[[#This Row],[Total PoP ]]&gt;1,1,(WWWW[[#This Row],['#_Constructed/Existing protected/fenced ponds]]*250)/WWWW[[#This Row],[Total PoP ]])</f>
        <v>0</v>
      </c>
      <c r="CT258" s="927">
        <f>WWWW[[#This Row],[% Access to unimproved water points]]*WWWW[[#This Row],[Total PoP ]]</f>
        <v>0</v>
      </c>
      <c r="CU25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v>
      </c>
      <c r="CW258" s="927">
        <f>WWWW[[#This Row],[HRP1]]/500</f>
        <v>0.122</v>
      </c>
      <c r="CX258" s="932">
        <f>1-WWWW[[#This Row],[% Equitable and continuous access to sufficient quantity of domestic water]]</f>
        <v>0</v>
      </c>
      <c r="CY258" s="927">
        <f>WWWW[[#This Row],[%equitable and continuous access to sufficient quantity of safe drinking and domestic water''s GAP]]*WWWW[[#This Row],[Total PoP ]]</f>
        <v>0</v>
      </c>
      <c r="CZ258" s="930">
        <f>IF(WWWW[[#This Row],[Total required water points]]-WWWW[[#This Row],['#Water points coverage]]&lt;0,0,WWWW[[#This Row],[Total required water points]]-WWWW[[#This Row],['#Water points coverage]])</f>
        <v>0.878</v>
      </c>
      <c r="DA258" s="930">
        <f>ROUND(IF(WWWW[[#This Row],[Total PoP ]]&lt;500,1,WWWW[[#This Row],[Total PoP ]]/500),0)</f>
        <v>1</v>
      </c>
      <c r="DB258" s="930">
        <f>(WWWW[[#This Row],['#_Constructed latrines_by_WASHAgencies]]+WWWW[[#This Row],['#_Non Cluster partner latrines]])-WWWW[[#This Row],['#_Non-functional latrines]]</f>
        <v>3</v>
      </c>
      <c r="DC258" s="634">
        <f>WWWW[[#This Row],[HRP2]]/WWWW[[#This Row],[Total PoP ]]</f>
        <v>0.98360655737704916</v>
      </c>
      <c r="DD25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v>
      </c>
      <c r="DE25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8" s="425">
        <f>IF(WWWW[[#This Row],['# of functional latrines in THF supported by WASH partners during the reporting period2]]="",0,WWWW[[#This Row],['# of functional latrines in THF supported by WASH partners during the reporting period2]]*50)</f>
        <v>0</v>
      </c>
      <c r="DH258" s="930">
        <f>ROUND(IF(WWWW[[#This Row],[Location Type 1]]="camp",WWWW[[#This Row],[Total PoP ]]/20,IF(WWWW[[#This Row],[Location Type 1]]="Temporary Location",WWWW[[#This Row],[Total PoP ]]/50,(WWWW[[#This Row],[Total PoP ]]/6))),0)</f>
        <v>3</v>
      </c>
      <c r="DI258" s="930">
        <f>IF(WWWW[[#This Row],[Total required Latrines]]-(WWWW[[#This Row],['#_Constructed latrines_by_WASHAgencies]]+WWWW[[#This Row],['#_Non Cluster partner latrines]])&lt;0,0,WWWW[[#This Row],[Total required Latrines]]-(WWWW[[#This Row],['#_Constructed latrines_by_WASHAgencies]]+WWWW[[#This Row],['#_Non Cluster partner latrines]]))</f>
        <v>0</v>
      </c>
      <c r="DJ258" s="932">
        <f>1-WWWW[[#This Row],[% people access to functioning Latrine]]</f>
        <v>1.6393442622950838E-2</v>
      </c>
      <c r="DK258" s="931">
        <f>IF(OR(WWWW[[#This Row],['#_Non-functional latrines]]="",WWWW[[#This Row],['#_Non-functional latrines]]=0),0,WWWW[[#This Row],['#_Non-functional latrines]]/(WWWW[[#This Row],['#_Constructed latrines_by_WASHAgencies]]+WWWW[[#This Row],['#_Non Cluster partner latrines]]))</f>
        <v>0.25</v>
      </c>
      <c r="DL258" s="927">
        <f>IF(500*(WWWW[[#This Row],['#_male hygiene promoters]]+WWWW[[#This Row],['#_female hygiene promoters]])&gt;WWWW[[#This Row],[Total PoP ]],WWWW[[#This Row],[Total PoP ]],500*(WWWW[[#This Row],['#_male hygiene promoters]]+WWWW[[#This Row],['#_female hygiene promoters]]))</f>
        <v>61</v>
      </c>
      <c r="DM25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61</v>
      </c>
      <c r="DN25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13.0845</v>
      </c>
      <c r="DO258" s="930">
        <f>IF(WWWW[[#This Row],['# People with access to soap]]&gt;WWWW[[#This Row],['# People with access to Sanity Pads]],WWWW[[#This Row],['# People with access to soap]],WWWW[[#This Row],['# People with access to Sanity Pads]])</f>
        <v>61</v>
      </c>
      <c r="DP258" s="930">
        <f>IF(WWWW[[#This Row],['# people reached by regular dedicated hygiene promotion_5]]&gt;WWWW[[#This Row],['# People received regular supply of hygiene items_6]],WWWW[[#This Row],['# people reached by regular dedicated hygiene promotion_5]],WWWW[[#This Row],['# People received regular supply of hygiene items_6]])</f>
        <v>61</v>
      </c>
      <c r="DQ258" s="932">
        <f>IF(WWWW[[#This Row],[HRP3]]/WWWW[[#This Row],[Total PoP ]]&gt;1,1,WWWW[[#This Row],[HRP3]]/WWWW[[#This Row],[Total PoP ]])</f>
        <v>1</v>
      </c>
      <c r="DR258" s="931">
        <f>1-WWWW[[#This Row],[Hygiene Coverage%]]</f>
        <v>0</v>
      </c>
      <c r="DS258" s="929">
        <f>WWWW[[#This Row],['# people reached by regular dedicated hygiene promotion_5]]/WWWW[[#This Row],[Total PoP ]]</f>
        <v>1</v>
      </c>
      <c r="DT25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0.72691666666666666</v>
      </c>
      <c r="DV258" s="930">
        <f>WWWW[[#This Row],['#_Constructed/Existing hand washing stations]]-WWWW[[#This Row],['#_Non-Functional_hand_washing_stations]]</f>
        <v>2</v>
      </c>
      <c r="DW258" s="927">
        <f>IF(WWWW[[#This Row],['# Functional hand washing stations during reporting period]]*20&gt;WWWW[[#This Row],[Total HH]],WWWW[[#This Row],[Total HH]],WWWW[[#This Row],['# Functional hand washing stations during reporting period]]*20)</f>
        <v>18</v>
      </c>
      <c r="DX258" s="927">
        <f>IF(WWWW[[#This Row],[Is sufficient soap available for TLS? (Yes/No)]]="yes",WWWW[[#This Row],['#_Constructed/Existing hand washing stations at TLS/CFS/THF]],0)</f>
        <v>4</v>
      </c>
      <c r="DY258" s="429">
        <f>IF(WWWW[[#This Row],['# Functional hand washing stations during reporting period]]*100&gt;WWWW[[#This Row],[Total PoP ]],WWWW[[#This Row],[Total PoP ]],WWWW[[#This Row],['# Functional hand washing stations during reporting period]]*100)</f>
        <v>61</v>
      </c>
      <c r="DZ258" s="429" t="str">
        <f>IF(OR(WWWW[[#This Row],['#_students at TLS_CFS]]="",WWWW[[#This Row],['#_students at TLS_CFS]]=0),"No","Yes")</f>
        <v>Yes</v>
      </c>
      <c r="EA25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8" s="923">
        <f>VLOOKUP(WWWW[[#This Row],[Site Name]],SiteDB6[[Site Name]:[CCCM Management]],6,FALSE)</f>
        <v>0</v>
      </c>
      <c r="EF258" s="923" t="str">
        <f>VLOOKUP(WWWW[[#This Row],[Site Name]],SiteDB6[[Site Name]:[CCCM Focal Agency]],7,FALSE)</f>
        <v>KMSS-MYT</v>
      </c>
      <c r="EG258" s="923" t="str">
        <f>VLOOKUP(WWWW[[#This Row],[Site Name]],SiteDB6[[Site Name]:[Location Type 1]],9,FALSE)</f>
        <v>Camp</v>
      </c>
      <c r="EH258" s="923" t="str">
        <f>VLOOKUP(WWWW[[#This Row],[Site Name]],SiteDB6[[Site Name]:[Type of Accommodation]],10,FALSE)</f>
        <v>Camp</v>
      </c>
      <c r="EI258" s="923" t="str">
        <f>VLOOKUP(WWWW[[#This Row],[Site Name]],SiteDB6[[Site Name]:[Ethnic or GCA/NGCA]],11,FALSE)</f>
        <v>GCA</v>
      </c>
      <c r="EJ258" s="923">
        <f>VLOOKUP(WWWW[[#This Row],[Site Name]],SiteDB6[[Site Name]:[Lat]],12,FALSE)</f>
        <v>25.244700000000002</v>
      </c>
      <c r="EK258" s="923">
        <f>VLOOKUP(WWWW[[#This Row],[Site Name]],SiteDB6[[Site Name]:[Long]],13,FALSE)</f>
        <v>97.2209</v>
      </c>
      <c r="EL258" s="923" t="str">
        <f>VLOOKUP(WWWW[[#This Row],[Site Name]],SiteDB6[[Site Name]:[Pcode]],3,FALSE)</f>
        <v>MMR001CMP256</v>
      </c>
      <c r="EM258" s="928" t="str">
        <f t="shared" si="3"/>
        <v>Covered</v>
      </c>
      <c r="EN258" s="928"/>
      <c r="EO258" s="923">
        <f>VLOOKUP(WWWW[[#This Row],[Site Name]],SiteDB6[[Site Name]:[Pop
(Kachin/Shan-CCCM as of July 2021)]],16,FALSE)</f>
        <v>18</v>
      </c>
      <c r="EP258" s="923">
        <f>VLOOKUP(WWWW[[#This Row],[Site Name]],SiteDB6[[Site Name]:[Pop
(Kachin/Shan-CCCM as of July 2021)]],17,FALSE)</f>
        <v>60</v>
      </c>
    </row>
    <row r="259" spans="1:146">
      <c r="A259" s="921" t="s">
        <v>2786</v>
      </c>
      <c r="B259" s="921" t="s">
        <v>36</v>
      </c>
      <c r="C259" s="922" t="s">
        <v>36</v>
      </c>
      <c r="D259" s="922" t="s">
        <v>241</v>
      </c>
      <c r="E259" s="922" t="s">
        <v>37</v>
      </c>
      <c r="F259" s="922" t="s">
        <v>159</v>
      </c>
      <c r="G259" s="594" t="str">
        <f>VLOOKUP(WWWW[[#This Row],[Site Name]],SiteDB6[[Site Name]:[Location Type]],8,FALSE)</f>
        <v>Camp</v>
      </c>
      <c r="H259" s="922" t="s">
        <v>234</v>
      </c>
      <c r="I259" s="924">
        <v>62</v>
      </c>
      <c r="J259" s="924">
        <v>291</v>
      </c>
      <c r="K259" s="925">
        <v>44414</v>
      </c>
      <c r="L259" s="926">
        <v>44778</v>
      </c>
      <c r="M259" s="924"/>
      <c r="N259" s="924">
        <v>2</v>
      </c>
      <c r="O259" s="924"/>
      <c r="P259" s="924"/>
      <c r="Q259" s="927" t="s">
        <v>41</v>
      </c>
      <c r="R259" s="924">
        <v>2</v>
      </c>
      <c r="S259" s="924">
        <v>9</v>
      </c>
      <c r="T259" s="449"/>
      <c r="U259" s="924"/>
      <c r="V259" s="924"/>
      <c r="W259" s="924">
        <v>4</v>
      </c>
      <c r="X259" s="924"/>
      <c r="Y259" s="924"/>
      <c r="Z259" s="924"/>
      <c r="AA259" s="924"/>
      <c r="AB259" s="924"/>
      <c r="AC259" s="924"/>
      <c r="AD259" s="924"/>
      <c r="AE259" s="924"/>
      <c r="AF259" s="924"/>
      <c r="AG259" s="924"/>
      <c r="AH259" s="924"/>
      <c r="AI259" s="924">
        <v>6</v>
      </c>
      <c r="AJ259" s="924">
        <v>4</v>
      </c>
      <c r="AK259" s="924"/>
      <c r="AL259" s="924"/>
      <c r="AM259" s="924">
        <v>4</v>
      </c>
      <c r="AN259" s="924"/>
      <c r="AO259" s="449"/>
      <c r="AP259" s="928"/>
      <c r="AQ259" s="924">
        <v>20</v>
      </c>
      <c r="AR259" s="924"/>
      <c r="AS259" s="929"/>
      <c r="AT259" s="924">
        <v>1</v>
      </c>
      <c r="AU259" s="924"/>
      <c r="AV259" s="924"/>
      <c r="AW259" s="924"/>
      <c r="AX259" s="924"/>
      <c r="AY259" s="923" t="s">
        <v>41</v>
      </c>
      <c r="AZ259" s="928" t="s">
        <v>137</v>
      </c>
      <c r="BA259" s="924">
        <v>1</v>
      </c>
      <c r="BB259" s="924"/>
      <c r="BC259" s="924"/>
      <c r="BD259" s="449"/>
      <c r="BE259" s="449"/>
      <c r="BF259" s="923"/>
      <c r="BG259" s="924">
        <v>7</v>
      </c>
      <c r="BH259" s="924"/>
      <c r="BI259" s="924"/>
      <c r="BJ259" s="924">
        <v>2</v>
      </c>
      <c r="BK259" s="924"/>
      <c r="BL259" s="924"/>
      <c r="BM259" s="924">
        <v>1</v>
      </c>
      <c r="BN259" s="924">
        <v>62</v>
      </c>
      <c r="BO259" s="924">
        <v>62.419500000000006</v>
      </c>
      <c r="BP259" s="923" t="s">
        <v>41</v>
      </c>
      <c r="BQ259" s="930">
        <v>100</v>
      </c>
      <c r="BR259" s="929"/>
      <c r="BS259" s="923" t="s">
        <v>3060</v>
      </c>
      <c r="BT259" s="424"/>
      <c r="BU259" s="424"/>
      <c r="BV259" s="426"/>
      <c r="BW259" s="424">
        <v>0.01</v>
      </c>
      <c r="BX259" s="449"/>
      <c r="BY259" s="449"/>
      <c r="BZ259" s="449"/>
      <c r="CA259" s="449"/>
      <c r="CB259" s="449"/>
      <c r="CC259" s="807"/>
      <c r="CD259" s="449"/>
      <c r="CE259" s="931">
        <f>IFERROR(WWWW[[#This Row],['#_Water sources passed]]/WWWW[[#This Row],['#_Water sources tested for fecal coliform ]],"no test")</f>
        <v>0.66666666666666663</v>
      </c>
      <c r="CF259" s="929" t="str">
        <f>IFERROR(WWWW[[#This Row],['#_Household passed]]/WWWW[[#This Row],['#_Household water samples tested for fecal coliform]],"no test")</f>
        <v>no test</v>
      </c>
      <c r="CG259" s="930" t="str">
        <f>IF(AND(WWWW[[#This Row],[% of water sources passed]]="no test",WWWW[[#This Row],[% Household passed]]="no test"),"No Test","Tested")</f>
        <v>Tested</v>
      </c>
      <c r="CH259" s="930">
        <f>WWWW[[#This Row],['#_Constructed/existing protected hand dug well]]-WWWW[[#This Row],['#_Non-functional protected hand dug well]]</f>
        <v>0</v>
      </c>
      <c r="CI259" s="930">
        <f>(WWWW[[#This Row],['#_Constructed/Existing tube wells/boreholes/handpumps_WASH_agency]]+WWWW[[#This Row],['#_Non-Cluster partner water tube-wells/boreholes/handpumps]])-WWWW[[#This Row],['#_Non-functional tube wells/boreholes/handpumps]]</f>
        <v>4</v>
      </c>
      <c r="CJ259" s="930">
        <f>WWWW[[#This Row],['#_Constructed/Existingwater storage tank with gravity fed reticulation system]]-WWWW[[#This Row],['#_Non-functional storage tank gravity fed reticulation system]]</f>
        <v>0</v>
      </c>
      <c r="CK259" s="930">
        <f>(WWWW[[#This Row],['#_Water_Liters_supplied_by_Water boating or water trucking]]/90)/15</f>
        <v>0</v>
      </c>
      <c r="CL259" s="930">
        <f>WWWW[[#This Row],['#_Water_Liters_from_Constructed/Existing water distribution system from river or natural spring]]/90/15</f>
        <v>0</v>
      </c>
      <c r="CM259" s="425">
        <f>IF(WWWW[[#This Row],['#_of water points in TLS/CFS]]*500&gt;WWWW[[#This Row],[Total PoP ]],WWWW[[#This Row],[Total PoP ]],WWWW[[#This Row],['#_of water points in TLS/CFS]]*500)</f>
        <v>0</v>
      </c>
      <c r="CN259" s="425">
        <f>IF(WWWW[[#This Row],['#_of water points in THF]]*500&gt;WWWW[[#This Row],[Total PoP ]],WWWW[[#This Row],[Total PoP ]],WWWW[[#This Row],['#_of water points in THF]]*500)</f>
        <v>0</v>
      </c>
      <c r="CO25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5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59" s="929">
        <f>IF(WWWW[[#This Row],[Location Type 1]]="Village",WWWW[[#This Row],[Access to safe drinking water for Village]],WWWW[[#This Row],[Access to safe drinking water for Camp]])</f>
        <v>1</v>
      </c>
      <c r="CR259" s="927">
        <f>WWWW[[#This Row],[%Equitable and continuous access to sufficient quantity of safe drinking water]]*WWWW[[#This Row],[Total PoP ]]</f>
        <v>291</v>
      </c>
      <c r="CS259" s="929">
        <f>IF((WWWW[[#This Row],['#_Constructed/Existing protected/fenced ponds]]*250)/WWWW[[#This Row],[Total PoP ]]&gt;1,1,(WWWW[[#This Row],['#_Constructed/Existing protected/fenced ponds]]*250)/WWWW[[#This Row],[Total PoP ]])</f>
        <v>0</v>
      </c>
      <c r="CT259" s="927">
        <f>WWWW[[#This Row],[% Access to unimproved water points]]*WWWW[[#This Row],[Total PoP ]]</f>
        <v>0</v>
      </c>
      <c r="CU25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5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291</v>
      </c>
      <c r="CW259" s="927">
        <f>WWWW[[#This Row],[HRP1]]/500</f>
        <v>0.58199999999999996</v>
      </c>
      <c r="CX259" s="932">
        <f>1-WWWW[[#This Row],[% Equitable and continuous access to sufficient quantity of domestic water]]</f>
        <v>0</v>
      </c>
      <c r="CY259" s="927">
        <f>WWWW[[#This Row],[%equitable and continuous access to sufficient quantity of safe drinking and domestic water''s GAP]]*WWWW[[#This Row],[Total PoP ]]</f>
        <v>0</v>
      </c>
      <c r="CZ259" s="930">
        <f>IF(WWWW[[#This Row],[Total required water points]]-WWWW[[#This Row],['#Water points coverage]]&lt;0,0,WWWW[[#This Row],[Total required water points]]-WWWW[[#This Row],['#Water points coverage]])</f>
        <v>0.41800000000000004</v>
      </c>
      <c r="DA259" s="930">
        <f>ROUND(IF(WWWW[[#This Row],[Total PoP ]]&lt;500,1,WWWW[[#This Row],[Total PoP ]]/500),0)</f>
        <v>1</v>
      </c>
      <c r="DB259" s="930">
        <f>(WWWW[[#This Row],['#_Constructed latrines_by_WASHAgencies]]+WWWW[[#This Row],['#_Non Cluster partner latrines]])-WWWW[[#This Row],['#_Non-functional latrines]]</f>
        <v>19</v>
      </c>
      <c r="DC259" s="634">
        <f>WWWW[[#This Row],[HRP2]]/WWWW[[#This Row],[Total PoP ]]</f>
        <v>1</v>
      </c>
      <c r="DD25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291</v>
      </c>
      <c r="DE25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5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59" s="425">
        <f>IF(WWWW[[#This Row],['# of functional latrines in THF supported by WASH partners during the reporting period2]]="",0,WWWW[[#This Row],['# of functional latrines in THF supported by WASH partners during the reporting period2]]*50)</f>
        <v>0</v>
      </c>
      <c r="DH259" s="930">
        <f>ROUND(IF(WWWW[[#This Row],[Location Type 1]]="camp",WWWW[[#This Row],[Total PoP ]]/20,IF(WWWW[[#This Row],[Location Type 1]]="Temporary Location",WWWW[[#This Row],[Total PoP ]]/50,(WWWW[[#This Row],[Total PoP ]]/6))),0)</f>
        <v>15</v>
      </c>
      <c r="DI259" s="930">
        <f>IF(WWWW[[#This Row],[Total required Latrines]]-(WWWW[[#This Row],['#_Constructed latrines_by_WASHAgencies]]+WWWW[[#This Row],['#_Non Cluster partner latrines]])&lt;0,0,WWWW[[#This Row],[Total required Latrines]]-(WWWW[[#This Row],['#_Constructed latrines_by_WASHAgencies]]+WWWW[[#This Row],['#_Non Cluster partner latrines]]))</f>
        <v>0</v>
      </c>
      <c r="DJ259" s="932">
        <f>1-WWWW[[#This Row],[% people access to functioning Latrine]]</f>
        <v>0</v>
      </c>
      <c r="DK259" s="931">
        <f>IF(OR(WWWW[[#This Row],['#_Non-functional latrines]]="",WWWW[[#This Row],['#_Non-functional latrines]]=0),0,WWWW[[#This Row],['#_Non-functional latrines]]/(WWWW[[#This Row],['#_Constructed latrines_by_WASHAgencies]]+WWWW[[#This Row],['#_Non Cluster partner latrines]]))</f>
        <v>0.05</v>
      </c>
      <c r="DL259" s="927">
        <f>IF(500*(WWWW[[#This Row],['#_male hygiene promoters]]+WWWW[[#This Row],['#_female hygiene promoters]])&gt;WWWW[[#This Row],[Total PoP ]],WWWW[[#This Row],[Total PoP ]],500*(WWWW[[#This Row],['#_male hygiene promoters]]+WWWW[[#This Row],['#_female hygiene promoters]]))</f>
        <v>291</v>
      </c>
      <c r="DM25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291</v>
      </c>
      <c r="DN25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62.419500000000006</v>
      </c>
      <c r="DO259" s="930">
        <f>IF(WWWW[[#This Row],['# People with access to soap]]&gt;WWWW[[#This Row],['# People with access to Sanity Pads]],WWWW[[#This Row],['# People with access to soap]],WWWW[[#This Row],['# People with access to Sanity Pads]])</f>
        <v>291</v>
      </c>
      <c r="DP259" s="930">
        <f>IF(WWWW[[#This Row],['# people reached by regular dedicated hygiene promotion_5]]&gt;WWWW[[#This Row],['# People received regular supply of hygiene items_6]],WWWW[[#This Row],['# people reached by regular dedicated hygiene promotion_5]],WWWW[[#This Row],['# People received regular supply of hygiene items_6]])</f>
        <v>291</v>
      </c>
      <c r="DQ259" s="932">
        <f>IF(WWWW[[#This Row],[HRP3]]/WWWW[[#This Row],[Total PoP ]]&gt;1,1,WWWW[[#This Row],[HRP3]]/WWWW[[#This Row],[Total PoP ]])</f>
        <v>1</v>
      </c>
      <c r="DR259" s="931">
        <f>1-WWWW[[#This Row],[Hygiene Coverage%]]</f>
        <v>0</v>
      </c>
      <c r="DS259" s="929">
        <f>WWWW[[#This Row],['# people reached by regular dedicated hygiene promotion_5]]/WWWW[[#This Row],[Total PoP ]]</f>
        <v>1</v>
      </c>
      <c r="DT25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5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59" s="930">
        <f>WWWW[[#This Row],['#_Constructed/Existing hand washing stations]]-WWWW[[#This Row],['#_Non-Functional_hand_washing_stations]]</f>
        <v>7</v>
      </c>
      <c r="DW259" s="927">
        <f>IF(WWWW[[#This Row],['# Functional hand washing stations during reporting period]]*20&gt;WWWW[[#This Row],[Total HH]],WWWW[[#This Row],[Total HH]],WWWW[[#This Row],['# Functional hand washing stations during reporting period]]*20)</f>
        <v>62</v>
      </c>
      <c r="DX259" s="927">
        <f>IF(WWWW[[#This Row],[Is sufficient soap available for TLS? (Yes/No)]]="yes",WWWW[[#This Row],['#_Constructed/Existing hand washing stations at TLS/CFS/THF]],0)</f>
        <v>4</v>
      </c>
      <c r="DY259" s="429">
        <f>IF(WWWW[[#This Row],['# Functional hand washing stations during reporting period]]*100&gt;WWWW[[#This Row],[Total PoP ]],WWWW[[#This Row],[Total PoP ]],WWWW[[#This Row],['# Functional hand washing stations during reporting period]]*100)</f>
        <v>291</v>
      </c>
      <c r="DZ259" s="429" t="str">
        <f>IF(OR(WWWW[[#This Row],['#_students at TLS_CFS]]="",WWWW[[#This Row],['#_students at TLS_CFS]]=0),"No","Yes")</f>
        <v>No</v>
      </c>
      <c r="EA25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5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5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5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59" s="923" t="str">
        <f>VLOOKUP(WWWW[[#This Row],[Site Name]],SiteDB6[[Site Name]:[CCCM Management]],6,FALSE)</f>
        <v>Yes</v>
      </c>
      <c r="EF259" s="923" t="str">
        <f>VLOOKUP(WWWW[[#This Row],[Site Name]],SiteDB6[[Site Name]:[CCCM Focal Agency]],7,FALSE)</f>
        <v>KMSS-MYT</v>
      </c>
      <c r="EG259" s="923" t="str">
        <f>VLOOKUP(WWWW[[#This Row],[Site Name]],SiteDB6[[Site Name]:[Location Type 1]],9,FALSE)</f>
        <v>Camp</v>
      </c>
      <c r="EH259" s="923" t="str">
        <f>VLOOKUP(WWWW[[#This Row],[Site Name]],SiteDB6[[Site Name]:[Type of Accommodation]],10,FALSE)</f>
        <v>Camp</v>
      </c>
      <c r="EI259" s="923" t="str">
        <f>VLOOKUP(WWWW[[#This Row],[Site Name]],SiteDB6[[Site Name]:[Ethnic or GCA/NGCA]],11,FALSE)</f>
        <v>GCA</v>
      </c>
      <c r="EJ259" s="923">
        <f>VLOOKUP(WWWW[[#This Row],[Site Name]],SiteDB6[[Site Name]:[Lat]],12,FALSE)</f>
        <v>25.410569299999999</v>
      </c>
      <c r="EK259" s="923">
        <f>VLOOKUP(WWWW[[#This Row],[Site Name]],SiteDB6[[Site Name]:[Long]],13,FALSE)</f>
        <v>97.359320179999997</v>
      </c>
      <c r="EL259" s="923" t="str">
        <f>VLOOKUP(WWWW[[#This Row],[Site Name]],SiteDB6[[Site Name]:[Pcode]],3,FALSE)</f>
        <v>MMR001CMP024</v>
      </c>
      <c r="EM259" s="928" t="str">
        <f t="shared" si="3"/>
        <v>Covered</v>
      </c>
      <c r="EN259" s="928"/>
      <c r="EO259" s="923">
        <f>VLOOKUP(WWWW[[#This Row],[Site Name]],SiteDB6[[Site Name]:[Pop
(Kachin/Shan-CCCM as of July 2021)]],16,FALSE)</f>
        <v>61</v>
      </c>
      <c r="EP259" s="923">
        <f>VLOOKUP(WWWW[[#This Row],[Site Name]],SiteDB6[[Site Name]:[Pop
(Kachin/Shan-CCCM as of July 2021)]],17,FALSE)</f>
        <v>290</v>
      </c>
    </row>
    <row r="260" spans="1:146">
      <c r="A260" s="921" t="s">
        <v>2786</v>
      </c>
      <c r="B260" s="921" t="s">
        <v>36</v>
      </c>
      <c r="C260" s="922" t="s">
        <v>36</v>
      </c>
      <c r="D260" s="922" t="s">
        <v>241</v>
      </c>
      <c r="E260" s="922" t="s">
        <v>37</v>
      </c>
      <c r="F260" s="922" t="s">
        <v>159</v>
      </c>
      <c r="G260" s="594" t="str">
        <f>VLOOKUP(WWWW[[#This Row],[Site Name]],SiteDB6[[Site Name]:[Location Type]],8,FALSE)</f>
        <v>Camp</v>
      </c>
      <c r="H260" s="922" t="s">
        <v>235</v>
      </c>
      <c r="I260" s="924">
        <v>148</v>
      </c>
      <c r="J260" s="924">
        <v>924</v>
      </c>
      <c r="K260" s="925">
        <v>44414</v>
      </c>
      <c r="L260" s="926">
        <v>44778</v>
      </c>
      <c r="M260" s="924"/>
      <c r="N260" s="924">
        <v>4</v>
      </c>
      <c r="O260" s="924"/>
      <c r="P260" s="924"/>
      <c r="Q260" s="927" t="s">
        <v>41</v>
      </c>
      <c r="R260" s="924">
        <v>1</v>
      </c>
      <c r="S260" s="924">
        <v>4</v>
      </c>
      <c r="T260" s="449">
        <v>4</v>
      </c>
      <c r="U260" s="924">
        <v>1</v>
      </c>
      <c r="V260" s="924">
        <v>1</v>
      </c>
      <c r="W260" s="924">
        <v>2</v>
      </c>
      <c r="X260" s="924"/>
      <c r="Y260" s="924"/>
      <c r="Z260" s="924"/>
      <c r="AA260" s="924">
        <v>1</v>
      </c>
      <c r="AB260" s="924">
        <v>1</v>
      </c>
      <c r="AC260" s="924">
        <v>1</v>
      </c>
      <c r="AD260" s="924"/>
      <c r="AE260" s="924"/>
      <c r="AF260" s="924"/>
      <c r="AG260" s="924"/>
      <c r="AH260" s="924"/>
      <c r="AI260" s="924">
        <v>7</v>
      </c>
      <c r="AJ260" s="924">
        <v>5</v>
      </c>
      <c r="AK260" s="924"/>
      <c r="AL260" s="924"/>
      <c r="AM260" s="924">
        <v>12</v>
      </c>
      <c r="AN260" s="924"/>
      <c r="AO260" s="449"/>
      <c r="AP260" s="928"/>
      <c r="AQ260" s="924">
        <v>33</v>
      </c>
      <c r="AR260" s="924"/>
      <c r="AS260" s="929"/>
      <c r="AT260" s="924"/>
      <c r="AU260" s="924"/>
      <c r="AV260" s="924">
        <v>8</v>
      </c>
      <c r="AW260" s="924"/>
      <c r="AX260" s="924">
        <v>8</v>
      </c>
      <c r="AY260" s="923" t="s">
        <v>41</v>
      </c>
      <c r="AZ260" s="928" t="s">
        <v>137</v>
      </c>
      <c r="BA260" s="924">
        <v>1</v>
      </c>
      <c r="BB260" s="924"/>
      <c r="BC260" s="924"/>
      <c r="BD260" s="449"/>
      <c r="BE260" s="449"/>
      <c r="BF260" s="923"/>
      <c r="BG260" s="924">
        <v>8</v>
      </c>
      <c r="BH260" s="924"/>
      <c r="BI260" s="924"/>
      <c r="BJ260" s="924">
        <v>5</v>
      </c>
      <c r="BK260" s="924"/>
      <c r="BL260" s="924"/>
      <c r="BM260" s="924">
        <v>2</v>
      </c>
      <c r="BN260" s="924">
        <v>148</v>
      </c>
      <c r="BO260" s="924">
        <v>198.19800000000001</v>
      </c>
      <c r="BP260" s="923" t="s">
        <v>41</v>
      </c>
      <c r="BQ260" s="930">
        <v>100</v>
      </c>
      <c r="BR260" s="929"/>
      <c r="BS260" s="923" t="s">
        <v>3060</v>
      </c>
      <c r="BT260" s="424"/>
      <c r="BU260" s="424"/>
      <c r="BV260" s="426"/>
      <c r="BW260" s="424">
        <v>0.01</v>
      </c>
      <c r="BX260" s="449"/>
      <c r="BY260" s="449"/>
      <c r="BZ260" s="449"/>
      <c r="CA260" s="449"/>
      <c r="CB260" s="449"/>
      <c r="CC260" s="807"/>
      <c r="CD260" s="449"/>
      <c r="CE260" s="931">
        <f>IFERROR(WWWW[[#This Row],['#_Water sources passed]]/WWWW[[#This Row],['#_Water sources tested for fecal coliform ]],"no test")</f>
        <v>0.7142857142857143</v>
      </c>
      <c r="CF260" s="929" t="str">
        <f>IFERROR(WWWW[[#This Row],['#_Household passed]]/WWWW[[#This Row],['#_Household water samples tested for fecal coliform]],"no test")</f>
        <v>no test</v>
      </c>
      <c r="CG260" s="930" t="str">
        <f>IF(AND(WWWW[[#This Row],[% of water sources passed]]="no test",WWWW[[#This Row],[% Household passed]]="no test"),"No Test","Tested")</f>
        <v>Tested</v>
      </c>
      <c r="CH260" s="930">
        <f>WWWW[[#This Row],['#_Constructed/existing protected hand dug well]]-WWWW[[#This Row],['#_Non-functional protected hand dug well]]</f>
        <v>3</v>
      </c>
      <c r="CI260" s="930">
        <f>(WWWW[[#This Row],['#_Constructed/Existing tube wells/boreholes/handpumps_WASH_agency]]+WWWW[[#This Row],['#_Non-Cluster partner water tube-wells/boreholes/handpumps]])-WWWW[[#This Row],['#_Non-functional tube wells/boreholes/handpumps]]</f>
        <v>2</v>
      </c>
      <c r="CJ260" s="930">
        <f>WWWW[[#This Row],['#_Constructed/Existingwater storage tank with gravity fed reticulation system]]-WWWW[[#This Row],['#_Non-functional storage tank gravity fed reticulation system]]</f>
        <v>0</v>
      </c>
      <c r="CK260" s="930">
        <f>(WWWW[[#This Row],['#_Water_Liters_supplied_by_Water boating or water trucking]]/90)/15</f>
        <v>0</v>
      </c>
      <c r="CL260" s="930">
        <f>WWWW[[#This Row],['#_Water_Liters_from_Constructed/Existing water distribution system from river or natural spring]]/90/15</f>
        <v>0</v>
      </c>
      <c r="CM260" s="425">
        <f>IF(WWWW[[#This Row],['#_of water points in TLS/CFS]]*500&gt;WWWW[[#This Row],[Total PoP ]],WWWW[[#This Row],[Total PoP ]],WWWW[[#This Row],['#_of water points in TLS/CFS]]*500)</f>
        <v>0</v>
      </c>
      <c r="CN260" s="425">
        <f>IF(WWWW[[#This Row],['#_of water points in THF]]*500&gt;WWWW[[#This Row],[Total PoP ]],WWWW[[#This Row],[Total PoP ]],WWWW[[#This Row],['#_of water points in THF]]*500)</f>
        <v>0</v>
      </c>
      <c r="CO26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0" s="929">
        <f>IF(WWWW[[#This Row],[Location Type 1]]="Village",WWWW[[#This Row],[Access to safe drinking water for Village]],WWWW[[#This Row],[Access to safe drinking water for Camp]])</f>
        <v>1</v>
      </c>
      <c r="CR260" s="927">
        <f>WWWW[[#This Row],[%Equitable and continuous access to sufficient quantity of safe drinking water]]*WWWW[[#This Row],[Total PoP ]]</f>
        <v>924</v>
      </c>
      <c r="CS260" s="929">
        <f>IF((WWWW[[#This Row],['#_Constructed/Existing protected/fenced ponds]]*250)/WWWW[[#This Row],[Total PoP ]]&gt;1,1,(WWWW[[#This Row],['#_Constructed/Existing protected/fenced ponds]]*250)/WWWW[[#This Row],[Total PoP ]])</f>
        <v>0</v>
      </c>
      <c r="CT260" s="927">
        <f>WWWW[[#This Row],[% Access to unimproved water points]]*WWWW[[#This Row],[Total PoP ]]</f>
        <v>0</v>
      </c>
      <c r="CU26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924</v>
      </c>
      <c r="CW260" s="927">
        <f>WWWW[[#This Row],[HRP1]]/500</f>
        <v>1.8480000000000001</v>
      </c>
      <c r="CX260" s="932">
        <f>1-WWWW[[#This Row],[% Equitable and continuous access to sufficient quantity of domestic water]]</f>
        <v>0</v>
      </c>
      <c r="CY260" s="927">
        <f>WWWW[[#This Row],[%equitable and continuous access to sufficient quantity of safe drinking and domestic water''s GAP]]*WWWW[[#This Row],[Total PoP ]]</f>
        <v>0</v>
      </c>
      <c r="CZ260" s="930">
        <f>IF(WWWW[[#This Row],[Total required water points]]-WWWW[[#This Row],['#Water points coverage]]&lt;0,0,WWWW[[#This Row],[Total required water points]]-WWWW[[#This Row],['#Water points coverage]])</f>
        <v>0.15199999999999991</v>
      </c>
      <c r="DA260" s="930">
        <f>ROUND(IF(WWWW[[#This Row],[Total PoP ]]&lt;500,1,WWWW[[#This Row],[Total PoP ]]/500),0)</f>
        <v>2</v>
      </c>
      <c r="DB260" s="930">
        <f>(WWWW[[#This Row],['#_Constructed latrines_by_WASHAgencies]]+WWWW[[#This Row],['#_Non Cluster partner latrines]])-WWWW[[#This Row],['#_Non-functional latrines]]</f>
        <v>33</v>
      </c>
      <c r="DC260" s="634">
        <f>WWWW[[#This Row],[HRP2]]/WWWW[[#This Row],[Total PoP ]]</f>
        <v>0.73593073593073588</v>
      </c>
      <c r="DD26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680</v>
      </c>
      <c r="DE26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DF26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0" s="425">
        <f>IF(WWWW[[#This Row],['# of functional latrines in THF supported by WASH partners during the reporting period2]]="",0,WWWW[[#This Row],['# of functional latrines in THF supported by WASH partners during the reporting period2]]*50)</f>
        <v>0</v>
      </c>
      <c r="DH260" s="930">
        <f>ROUND(IF(WWWW[[#This Row],[Location Type 1]]="camp",WWWW[[#This Row],[Total PoP ]]/20,IF(WWWW[[#This Row],[Location Type 1]]="Temporary Location",WWWW[[#This Row],[Total PoP ]]/50,(WWWW[[#This Row],[Total PoP ]]/6))),0)</f>
        <v>46</v>
      </c>
      <c r="DI260" s="930">
        <f>IF(WWWW[[#This Row],[Total required Latrines]]-(WWWW[[#This Row],['#_Constructed latrines_by_WASHAgencies]]+WWWW[[#This Row],['#_Non Cluster partner latrines]])&lt;0,0,WWWW[[#This Row],[Total required Latrines]]-(WWWW[[#This Row],['#_Constructed latrines_by_WASHAgencies]]+WWWW[[#This Row],['#_Non Cluster partner latrines]]))</f>
        <v>13</v>
      </c>
      <c r="DJ260" s="932">
        <f>1-WWWW[[#This Row],[% people access to functioning Latrine]]</f>
        <v>0.26406926406926412</v>
      </c>
      <c r="DK260" s="931">
        <f>IF(OR(WWWW[[#This Row],['#_Non-functional latrines]]="",WWWW[[#This Row],['#_Non-functional latrines]]=0),0,WWWW[[#This Row],['#_Non-functional latrines]]/(WWWW[[#This Row],['#_Constructed latrines_by_WASHAgencies]]+WWWW[[#This Row],['#_Non Cluster partner latrines]]))</f>
        <v>0</v>
      </c>
      <c r="DL260" s="927">
        <f>IF(500*(WWWW[[#This Row],['#_male hygiene promoters]]+WWWW[[#This Row],['#_female hygiene promoters]])&gt;WWWW[[#This Row],[Total PoP ]],WWWW[[#This Row],[Total PoP ]],500*(WWWW[[#This Row],['#_male hygiene promoters]]+WWWW[[#This Row],['#_female hygiene promoters]]))</f>
        <v>924</v>
      </c>
      <c r="DM26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924</v>
      </c>
      <c r="DN26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198.19800000000001</v>
      </c>
      <c r="DO260" s="930">
        <f>IF(WWWW[[#This Row],['# People with access to soap]]&gt;WWWW[[#This Row],['# People with access to Sanity Pads]],WWWW[[#This Row],['# People with access to soap]],WWWW[[#This Row],['# People with access to Sanity Pads]])</f>
        <v>924</v>
      </c>
      <c r="DP260" s="930">
        <f>IF(WWWW[[#This Row],['# people reached by regular dedicated hygiene promotion_5]]&gt;WWWW[[#This Row],['# People received regular supply of hygiene items_6]],WWWW[[#This Row],['# people reached by regular dedicated hygiene promotion_5]],WWWW[[#This Row],['# People received regular supply of hygiene items_6]])</f>
        <v>924</v>
      </c>
      <c r="DQ260" s="932">
        <f>IF(WWWW[[#This Row],[HRP3]]/WWWW[[#This Row],[Total PoP ]]&gt;1,1,WWWW[[#This Row],[HRP3]]/WWWW[[#This Row],[Total PoP ]])</f>
        <v>1</v>
      </c>
      <c r="DR260" s="931">
        <f>1-WWWW[[#This Row],[Hygiene Coverage%]]</f>
        <v>0</v>
      </c>
      <c r="DS260" s="929">
        <f>WWWW[[#This Row],['# people reached by regular dedicated hygiene promotion_5]]/WWWW[[#This Row],[Total PoP ]]</f>
        <v>1</v>
      </c>
      <c r="DT26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0" s="930">
        <f>WWWW[[#This Row],['#_Constructed/Existing hand washing stations]]-WWWW[[#This Row],['#_Non-Functional_hand_washing_stations]]</f>
        <v>8</v>
      </c>
      <c r="DW260" s="927">
        <f>IF(WWWW[[#This Row],['# Functional hand washing stations during reporting period]]*20&gt;WWWW[[#This Row],[Total HH]],WWWW[[#This Row],[Total HH]],WWWW[[#This Row],['# Functional hand washing stations during reporting period]]*20)</f>
        <v>148</v>
      </c>
      <c r="DX260" s="927">
        <f>IF(WWWW[[#This Row],[Is sufficient soap available for TLS? (Yes/No)]]="yes",WWWW[[#This Row],['#_Constructed/Existing hand washing stations at TLS/CFS/THF]],0)</f>
        <v>12</v>
      </c>
      <c r="DY260" s="429">
        <f>IF(WWWW[[#This Row],['# Functional hand washing stations during reporting period]]*100&gt;WWWW[[#This Row],[Total PoP ]],WWWW[[#This Row],[Total PoP ]],WWWW[[#This Row],['# Functional hand washing stations during reporting period]]*100)</f>
        <v>800</v>
      </c>
      <c r="DZ260" s="429" t="str">
        <f>IF(OR(WWWW[[#This Row],['#_students at TLS_CFS]]="",WWWW[[#This Row],['#_students at TLS_CFS]]=0),"No","Yes")</f>
        <v>No</v>
      </c>
      <c r="EA26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0" s="923" t="str">
        <f>VLOOKUP(WWWW[[#This Row],[Site Name]],SiteDB6[[Site Name]:[CCCM Management]],6,FALSE)</f>
        <v>Yes</v>
      </c>
      <c r="EF260" s="923" t="str">
        <f>VLOOKUP(WWWW[[#This Row],[Site Name]],SiteDB6[[Site Name]:[CCCM Focal Agency]],7,FALSE)</f>
        <v>KMSS-MYT</v>
      </c>
      <c r="EG260" s="923" t="str">
        <f>VLOOKUP(WWWW[[#This Row],[Site Name]],SiteDB6[[Site Name]:[Location Type 1]],9,FALSE)</f>
        <v>Camp</v>
      </c>
      <c r="EH260" s="923" t="str">
        <f>VLOOKUP(WWWW[[#This Row],[Site Name]],SiteDB6[[Site Name]:[Type of Accommodation]],10,FALSE)</f>
        <v>Camp</v>
      </c>
      <c r="EI260" s="923" t="str">
        <f>VLOOKUP(WWWW[[#This Row],[Site Name]],SiteDB6[[Site Name]:[Ethnic or GCA/NGCA]],11,FALSE)</f>
        <v>GCA</v>
      </c>
      <c r="EJ260" s="923">
        <f>VLOOKUP(WWWW[[#This Row],[Site Name]],SiteDB6[[Site Name]:[Lat]],12,FALSE)</f>
        <v>25.493819999999999</v>
      </c>
      <c r="EK260" s="923">
        <f>VLOOKUP(WWWW[[#This Row],[Site Name]],SiteDB6[[Site Name]:[Long]],13,FALSE)</f>
        <v>97.4345</v>
      </c>
      <c r="EL260" s="923" t="str">
        <f>VLOOKUP(WWWW[[#This Row],[Site Name]],SiteDB6[[Site Name]:[Pcode]],3,FALSE)</f>
        <v>MMR001CMP162</v>
      </c>
      <c r="EM260" s="928" t="str">
        <f t="shared" si="3"/>
        <v>Covered</v>
      </c>
      <c r="EN260" s="928"/>
      <c r="EO260" s="923">
        <f>VLOOKUP(WWWW[[#This Row],[Site Name]],SiteDB6[[Site Name]:[Pop
(Kachin/Shan-CCCM as of July 2021)]],16,FALSE)</f>
        <v>152</v>
      </c>
      <c r="EP260" s="923">
        <f>VLOOKUP(WWWW[[#This Row],[Site Name]],SiteDB6[[Site Name]:[Pop
(Kachin/Shan-CCCM as of July 2021)]],17,FALSE)</f>
        <v>941</v>
      </c>
    </row>
    <row r="261" spans="1:146">
      <c r="A261" s="921" t="s">
        <v>2786</v>
      </c>
      <c r="B261" s="921" t="s">
        <v>36</v>
      </c>
      <c r="C261" s="922" t="s">
        <v>36</v>
      </c>
      <c r="D261" s="922" t="s">
        <v>241</v>
      </c>
      <c r="E261" s="922" t="s">
        <v>37</v>
      </c>
      <c r="F261" s="922" t="s">
        <v>159</v>
      </c>
      <c r="G261" s="594" t="str">
        <f>VLOOKUP(WWWW[[#This Row],[Site Name]],SiteDB6[[Site Name]:[Location Type]],8,FALSE)</f>
        <v>Camp</v>
      </c>
      <c r="H261" s="922" t="s">
        <v>1606</v>
      </c>
      <c r="I261" s="924">
        <v>214</v>
      </c>
      <c r="J261" s="924">
        <v>1187</v>
      </c>
      <c r="K261" s="925">
        <v>44414</v>
      </c>
      <c r="L261" s="926">
        <v>44778</v>
      </c>
      <c r="M261" s="924"/>
      <c r="N261" s="924">
        <v>2</v>
      </c>
      <c r="O261" s="924"/>
      <c r="P261" s="924"/>
      <c r="Q261" s="927" t="s">
        <v>41</v>
      </c>
      <c r="R261" s="924">
        <v>2</v>
      </c>
      <c r="S261" s="924">
        <v>4</v>
      </c>
      <c r="T261" s="449">
        <v>4</v>
      </c>
      <c r="U261" s="924">
        <v>1</v>
      </c>
      <c r="V261" s="924">
        <v>1</v>
      </c>
      <c r="W261" s="924"/>
      <c r="X261" s="924"/>
      <c r="Y261" s="924"/>
      <c r="Z261" s="924"/>
      <c r="AA261" s="924"/>
      <c r="AB261" s="924"/>
      <c r="AC261" s="924"/>
      <c r="AD261" s="924"/>
      <c r="AE261" s="924"/>
      <c r="AF261" s="924"/>
      <c r="AG261" s="924"/>
      <c r="AH261" s="924"/>
      <c r="AI261" s="924">
        <v>6</v>
      </c>
      <c r="AJ261" s="924">
        <v>3</v>
      </c>
      <c r="AK261" s="924"/>
      <c r="AL261" s="924"/>
      <c r="AM261" s="924"/>
      <c r="AN261" s="924"/>
      <c r="AO261" s="449"/>
      <c r="AP261" s="928"/>
      <c r="AQ261" s="924">
        <v>66</v>
      </c>
      <c r="AR261" s="924"/>
      <c r="AS261" s="929"/>
      <c r="AT261" s="924"/>
      <c r="AU261" s="924"/>
      <c r="AV261" s="924">
        <v>4</v>
      </c>
      <c r="AW261" s="924"/>
      <c r="AX261" s="924"/>
      <c r="AY261" s="923" t="s">
        <v>41</v>
      </c>
      <c r="AZ261" s="928" t="s">
        <v>137</v>
      </c>
      <c r="BA261" s="924">
        <v>1</v>
      </c>
      <c r="BB261" s="924"/>
      <c r="BC261" s="924"/>
      <c r="BD261" s="449"/>
      <c r="BE261" s="449"/>
      <c r="BF261" s="923"/>
      <c r="BG261" s="924">
        <v>4</v>
      </c>
      <c r="BH261" s="924"/>
      <c r="BI261" s="924">
        <v>7</v>
      </c>
      <c r="BJ261" s="924">
        <v>11</v>
      </c>
      <c r="BK261" s="924"/>
      <c r="BL261" s="924"/>
      <c r="BM261" s="924">
        <v>1</v>
      </c>
      <c r="BN261" s="924">
        <v>214</v>
      </c>
      <c r="BO261" s="924">
        <v>254.61150000000004</v>
      </c>
      <c r="BP261" s="923" t="s">
        <v>41</v>
      </c>
      <c r="BQ261" s="930">
        <v>100</v>
      </c>
      <c r="BR261" s="929"/>
      <c r="BS261" s="923" t="s">
        <v>3060</v>
      </c>
      <c r="BT261" s="424"/>
      <c r="BU261" s="424"/>
      <c r="BV261" s="426"/>
      <c r="BW261" s="424">
        <v>0.01</v>
      </c>
      <c r="BX261" s="449"/>
      <c r="BY261" s="449"/>
      <c r="BZ261" s="449"/>
      <c r="CA261" s="449"/>
      <c r="CB261" s="449"/>
      <c r="CC261" s="807"/>
      <c r="CD261" s="449"/>
      <c r="CE261" s="931">
        <f>IFERROR(WWWW[[#This Row],['#_Water sources passed]]/WWWW[[#This Row],['#_Water sources tested for fecal coliform ]],"no test")</f>
        <v>0.5</v>
      </c>
      <c r="CF261" s="929" t="str">
        <f>IFERROR(WWWW[[#This Row],['#_Household passed]]/WWWW[[#This Row],['#_Household water samples tested for fecal coliform]],"no test")</f>
        <v>no test</v>
      </c>
      <c r="CG261" s="930" t="str">
        <f>IF(AND(WWWW[[#This Row],[% of water sources passed]]="no test",WWWW[[#This Row],[% Household passed]]="no test"),"No Test","Tested")</f>
        <v>Tested</v>
      </c>
      <c r="CH261" s="930">
        <f>WWWW[[#This Row],['#_Constructed/existing protected hand dug well]]-WWWW[[#This Row],['#_Non-functional protected hand dug well]]</f>
        <v>3</v>
      </c>
      <c r="CI261" s="930">
        <f>(WWWW[[#This Row],['#_Constructed/Existing tube wells/boreholes/handpumps_WASH_agency]]+WWWW[[#This Row],['#_Non-Cluster partner water tube-wells/boreholes/handpumps]])-WWWW[[#This Row],['#_Non-functional tube wells/boreholes/handpumps]]</f>
        <v>0</v>
      </c>
      <c r="CJ261" s="930">
        <f>WWWW[[#This Row],['#_Constructed/Existingwater storage tank with gravity fed reticulation system]]-WWWW[[#This Row],['#_Non-functional storage tank gravity fed reticulation system]]</f>
        <v>0</v>
      </c>
      <c r="CK261" s="930">
        <f>(WWWW[[#This Row],['#_Water_Liters_supplied_by_Water boating or water trucking]]/90)/15</f>
        <v>0</v>
      </c>
      <c r="CL261" s="930">
        <f>WWWW[[#This Row],['#_Water_Liters_from_Constructed/Existing water distribution system from river or natural spring]]/90/15</f>
        <v>0</v>
      </c>
      <c r="CM261" s="425">
        <f>IF(WWWW[[#This Row],['#_of water points in TLS/CFS]]*500&gt;WWWW[[#This Row],[Total PoP ]],WWWW[[#This Row],[Total PoP ]],WWWW[[#This Row],['#_of water points in TLS/CFS]]*500)</f>
        <v>0</v>
      </c>
      <c r="CN261" s="425">
        <f>IF(WWWW[[#This Row],['#_of water points in THF]]*500&gt;WWWW[[#This Row],[Total PoP ]],WWWW[[#This Row],[Total PoP ]],WWWW[[#This Row],['#_of water points in THF]]*500)</f>
        <v>0</v>
      </c>
      <c r="CO26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0.63184498736310024</v>
      </c>
      <c r="CQ261" s="929">
        <f>IF(WWWW[[#This Row],[Location Type 1]]="Village",WWWW[[#This Row],[Access to safe drinking water for Village]],WWWW[[#This Row],[Access to safe drinking water for Camp]])</f>
        <v>1</v>
      </c>
      <c r="CR261" s="927">
        <f>WWWW[[#This Row],[%Equitable and continuous access to sufficient quantity of safe drinking water]]*WWWW[[#This Row],[Total PoP ]]</f>
        <v>1187</v>
      </c>
      <c r="CS261" s="929">
        <f>IF((WWWW[[#This Row],['#_Constructed/Existing protected/fenced ponds]]*250)/WWWW[[#This Row],[Total PoP ]]&gt;1,1,(WWWW[[#This Row],['#_Constructed/Existing protected/fenced ponds]]*250)/WWWW[[#This Row],[Total PoP ]])</f>
        <v>0</v>
      </c>
      <c r="CT261" s="927">
        <f>WWWW[[#This Row],[% Access to unimproved water points]]*WWWW[[#This Row],[Total PoP ]]</f>
        <v>0</v>
      </c>
      <c r="CU26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1187</v>
      </c>
      <c r="CW261" s="927">
        <f>WWWW[[#This Row],[HRP1]]/500</f>
        <v>2.3740000000000001</v>
      </c>
      <c r="CX261" s="932">
        <f>1-WWWW[[#This Row],[% Equitable and continuous access to sufficient quantity of domestic water]]</f>
        <v>0</v>
      </c>
      <c r="CY261" s="927">
        <f>WWWW[[#This Row],[%equitable and continuous access to sufficient quantity of safe drinking and domestic water''s GAP]]*WWWW[[#This Row],[Total PoP ]]</f>
        <v>0</v>
      </c>
      <c r="CZ261" s="930">
        <f>IF(WWWW[[#This Row],[Total required water points]]-WWWW[[#This Row],['#Water points coverage]]&lt;0,0,WWWW[[#This Row],[Total required water points]]-WWWW[[#This Row],['#Water points coverage]])</f>
        <v>0</v>
      </c>
      <c r="DA261" s="930">
        <f>ROUND(IF(WWWW[[#This Row],[Total PoP ]]&lt;500,1,WWWW[[#This Row],[Total PoP ]]/500),0)</f>
        <v>2</v>
      </c>
      <c r="DB261" s="930">
        <f>(WWWW[[#This Row],['#_Constructed latrines_by_WASHAgencies]]+WWWW[[#This Row],['#_Non Cluster partner latrines]])-WWWW[[#This Row],['#_Non-functional latrines]]</f>
        <v>66</v>
      </c>
      <c r="DC261" s="634">
        <f>WWWW[[#This Row],[HRP2]]/WWWW[[#This Row],[Total PoP ]]</f>
        <v>1</v>
      </c>
      <c r="DD26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1187</v>
      </c>
      <c r="DE26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F26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1" s="425">
        <f>IF(WWWW[[#This Row],['# of functional latrines in THF supported by WASH partners during the reporting period2]]="",0,WWWW[[#This Row],['# of functional latrines in THF supported by WASH partners during the reporting period2]]*50)</f>
        <v>0</v>
      </c>
      <c r="DH261" s="930">
        <f>ROUND(IF(WWWW[[#This Row],[Location Type 1]]="camp",WWWW[[#This Row],[Total PoP ]]/20,IF(WWWW[[#This Row],[Location Type 1]]="Temporary Location",WWWW[[#This Row],[Total PoP ]]/50,(WWWW[[#This Row],[Total PoP ]]/6))),0)</f>
        <v>59</v>
      </c>
      <c r="DI261" s="930">
        <f>IF(WWWW[[#This Row],[Total required Latrines]]-(WWWW[[#This Row],['#_Constructed latrines_by_WASHAgencies]]+WWWW[[#This Row],['#_Non Cluster partner latrines]])&lt;0,0,WWWW[[#This Row],[Total required Latrines]]-(WWWW[[#This Row],['#_Constructed latrines_by_WASHAgencies]]+WWWW[[#This Row],['#_Non Cluster partner latrines]]))</f>
        <v>0</v>
      </c>
      <c r="DJ261" s="932">
        <f>1-WWWW[[#This Row],[% people access to functioning Latrine]]</f>
        <v>0</v>
      </c>
      <c r="DK261" s="931">
        <f>IF(OR(WWWW[[#This Row],['#_Non-functional latrines]]="",WWWW[[#This Row],['#_Non-functional latrines]]=0),0,WWWW[[#This Row],['#_Non-functional latrines]]/(WWWW[[#This Row],['#_Constructed latrines_by_WASHAgencies]]+WWWW[[#This Row],['#_Non Cluster partner latrines]]))</f>
        <v>0</v>
      </c>
      <c r="DL261" s="927">
        <f>IF(500*(WWWW[[#This Row],['#_male hygiene promoters]]+WWWW[[#This Row],['#_female hygiene promoters]])&gt;WWWW[[#This Row],[Total PoP ]],WWWW[[#This Row],[Total PoP ]],500*(WWWW[[#This Row],['#_male hygiene promoters]]+WWWW[[#This Row],['#_female hygiene promoters]]))</f>
        <v>500</v>
      </c>
      <c r="DM26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1187</v>
      </c>
      <c r="DN26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254.61150000000004</v>
      </c>
      <c r="DO261" s="930">
        <f>IF(WWWW[[#This Row],['# People with access to soap]]&gt;WWWW[[#This Row],['# People with access to Sanity Pads]],WWWW[[#This Row],['# People with access to soap]],WWWW[[#This Row],['# People with access to Sanity Pads]])</f>
        <v>1187</v>
      </c>
      <c r="DP261" s="930">
        <f>IF(WWWW[[#This Row],['# people reached by regular dedicated hygiene promotion_5]]&gt;WWWW[[#This Row],['# People received regular supply of hygiene items_6]],WWWW[[#This Row],['# people reached by regular dedicated hygiene promotion_5]],WWWW[[#This Row],['# People received regular supply of hygiene items_6]])</f>
        <v>1187</v>
      </c>
      <c r="DQ261" s="932">
        <f>IF(WWWW[[#This Row],[HRP3]]/WWWW[[#This Row],[Total PoP ]]&gt;1,1,WWWW[[#This Row],[HRP3]]/WWWW[[#This Row],[Total PoP ]])</f>
        <v>1</v>
      </c>
      <c r="DR261" s="931">
        <f>1-WWWW[[#This Row],[Hygiene Coverage%]]</f>
        <v>0</v>
      </c>
      <c r="DS261" s="929">
        <f>WWWW[[#This Row],['# people reached by regular dedicated hygiene promotion_5]]/WWWW[[#This Row],[Total PoP ]]</f>
        <v>0.42122999157540014</v>
      </c>
      <c r="DT26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1" s="930">
        <f>WWWW[[#This Row],['#_Constructed/Existing hand washing stations]]-WWWW[[#This Row],['#_Non-Functional_hand_washing_stations]]</f>
        <v>4</v>
      </c>
      <c r="DW261" s="927">
        <f>IF(WWWW[[#This Row],['# Functional hand washing stations during reporting period]]*20&gt;WWWW[[#This Row],[Total HH]],WWWW[[#This Row],[Total HH]],WWWW[[#This Row],['# Functional hand washing stations during reporting period]]*20)</f>
        <v>80</v>
      </c>
      <c r="DX261" s="927">
        <f>IF(WWWW[[#This Row],[Is sufficient soap available for TLS? (Yes/No)]]="yes",WWWW[[#This Row],['#_Constructed/Existing hand washing stations at TLS/CFS/THF]],0)</f>
        <v>0</v>
      </c>
      <c r="DY261" s="429">
        <f>IF(WWWW[[#This Row],['# Functional hand washing stations during reporting period]]*100&gt;WWWW[[#This Row],[Total PoP ]],WWWW[[#This Row],[Total PoP ]],WWWW[[#This Row],['# Functional hand washing stations during reporting period]]*100)</f>
        <v>400</v>
      </c>
      <c r="DZ261" s="429" t="str">
        <f>IF(OR(WWWW[[#This Row],['#_students at TLS_CFS]]="",WWWW[[#This Row],['#_students at TLS_CFS]]=0),"No","Yes")</f>
        <v>No</v>
      </c>
      <c r="EA26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1" s="923" t="str">
        <f>VLOOKUP(WWWW[[#This Row],[Site Name]],SiteDB6[[Site Name]:[CCCM Management]],6,FALSE)</f>
        <v>Yes</v>
      </c>
      <c r="EF261" s="923" t="str">
        <f>VLOOKUP(WWWW[[#This Row],[Site Name]],SiteDB6[[Site Name]:[CCCM Focal Agency]],7,FALSE)</f>
        <v>KMSS-MYT</v>
      </c>
      <c r="EG261" s="923" t="str">
        <f>VLOOKUP(WWWW[[#This Row],[Site Name]],SiteDB6[[Site Name]:[Location Type 1]],9,FALSE)</f>
        <v>Camp</v>
      </c>
      <c r="EH261" s="923" t="str">
        <f>VLOOKUP(WWWW[[#This Row],[Site Name]],SiteDB6[[Site Name]:[Type of Accommodation]],10,FALSE)</f>
        <v>Camp</v>
      </c>
      <c r="EI261" s="923" t="str">
        <f>VLOOKUP(WWWW[[#This Row],[Site Name]],SiteDB6[[Site Name]:[Ethnic or GCA/NGCA]],11,FALSE)</f>
        <v>GCA</v>
      </c>
      <c r="EJ261" s="923">
        <f>VLOOKUP(WWWW[[#This Row],[Site Name]],SiteDB6[[Site Name]:[Lat]],12,FALSE)</f>
        <v>25.493819999999999</v>
      </c>
      <c r="EK261" s="923">
        <f>VLOOKUP(WWWW[[#This Row],[Site Name]],SiteDB6[[Site Name]:[Long]],13,FALSE)</f>
        <v>97.4345</v>
      </c>
      <c r="EL261" s="923" t="str">
        <f>VLOOKUP(WWWW[[#This Row],[Site Name]],SiteDB6[[Site Name]:[Pcode]],3,FALSE)</f>
        <v>MMR001CMP271</v>
      </c>
      <c r="EM261" s="928" t="str">
        <f t="shared" ref="EM261:EM324" si="4">IF(C261="none","Notcovered","Covered")</f>
        <v>Covered</v>
      </c>
      <c r="EN261" s="928"/>
      <c r="EO261" s="923">
        <f>VLOOKUP(WWWW[[#This Row],[Site Name]],SiteDB6[[Site Name]:[Pop
(Kachin/Shan-CCCM as of July 2021)]],16,FALSE)</f>
        <v>215</v>
      </c>
      <c r="EP261" s="923">
        <f>VLOOKUP(WWWW[[#This Row],[Site Name]],SiteDB6[[Site Name]:[Pop
(Kachin/Shan-CCCM as of July 2021)]],17,FALSE)</f>
        <v>1188</v>
      </c>
    </row>
    <row r="262" spans="1:146">
      <c r="A262" s="921" t="s">
        <v>2786</v>
      </c>
      <c r="B262" s="921" t="s">
        <v>36</v>
      </c>
      <c r="C262" s="922" t="s">
        <v>36</v>
      </c>
      <c r="D262" s="922" t="s">
        <v>241</v>
      </c>
      <c r="E262" s="922" t="s">
        <v>37</v>
      </c>
      <c r="F262" s="922" t="s">
        <v>159</v>
      </c>
      <c r="G262" s="594" t="str">
        <f>VLOOKUP(WWWW[[#This Row],[Site Name]],SiteDB6[[Site Name]:[Location Type]],8,FALSE)</f>
        <v>Camp_not registered</v>
      </c>
      <c r="H262" s="922" t="s">
        <v>2207</v>
      </c>
      <c r="I262" s="924">
        <v>25</v>
      </c>
      <c r="J262" s="924">
        <v>134</v>
      </c>
      <c r="K262" s="925">
        <v>44414</v>
      </c>
      <c r="L262" s="926">
        <v>44778</v>
      </c>
      <c r="M262" s="924"/>
      <c r="N262" s="924">
        <v>1</v>
      </c>
      <c r="O262" s="924"/>
      <c r="P262" s="924"/>
      <c r="Q262" s="927" t="s">
        <v>41</v>
      </c>
      <c r="R262" s="924">
        <v>2</v>
      </c>
      <c r="S262" s="924">
        <v>2</v>
      </c>
      <c r="T262" s="449"/>
      <c r="U262" s="924"/>
      <c r="V262" s="924"/>
      <c r="W262" s="924">
        <v>2</v>
      </c>
      <c r="X262" s="924"/>
      <c r="Y262" s="924"/>
      <c r="Z262" s="924"/>
      <c r="AA262" s="924"/>
      <c r="AB262" s="924"/>
      <c r="AC262" s="924"/>
      <c r="AD262" s="924"/>
      <c r="AE262" s="924"/>
      <c r="AF262" s="924"/>
      <c r="AG262" s="924"/>
      <c r="AH262" s="924"/>
      <c r="AI262" s="924">
        <v>5</v>
      </c>
      <c r="AJ262" s="924">
        <v>1</v>
      </c>
      <c r="AK262" s="924"/>
      <c r="AL262" s="924"/>
      <c r="AM262" s="924">
        <v>3</v>
      </c>
      <c r="AN262" s="924"/>
      <c r="AO262" s="449"/>
      <c r="AP262" s="928"/>
      <c r="AQ262" s="924">
        <v>6</v>
      </c>
      <c r="AR262" s="924"/>
      <c r="AS262" s="929"/>
      <c r="AT262" s="924">
        <v>1</v>
      </c>
      <c r="AU262" s="924"/>
      <c r="AV262" s="924"/>
      <c r="AW262" s="924"/>
      <c r="AX262" s="924"/>
      <c r="AY262" s="923" t="s">
        <v>41</v>
      </c>
      <c r="AZ262" s="928" t="s">
        <v>136</v>
      </c>
      <c r="BA262" s="924"/>
      <c r="BB262" s="924"/>
      <c r="BC262" s="924"/>
      <c r="BD262" s="449"/>
      <c r="BE262" s="449"/>
      <c r="BF262" s="923"/>
      <c r="BG262" s="924">
        <v>3</v>
      </c>
      <c r="BH262" s="924"/>
      <c r="BI262" s="924"/>
      <c r="BJ262" s="924">
        <v>2</v>
      </c>
      <c r="BK262" s="924"/>
      <c r="BL262" s="924"/>
      <c r="BM262" s="924">
        <v>1</v>
      </c>
      <c r="BN262" s="924">
        <v>25</v>
      </c>
      <c r="BO262" s="924">
        <v>28.743000000000006</v>
      </c>
      <c r="BP262" s="923" t="s">
        <v>41</v>
      </c>
      <c r="BQ262" s="930">
        <v>100</v>
      </c>
      <c r="BR262" s="929"/>
      <c r="BS262" s="923" t="s">
        <v>3060</v>
      </c>
      <c r="BT262" s="424"/>
      <c r="BU262" s="424"/>
      <c r="BV262" s="426"/>
      <c r="BW262" s="424">
        <v>0.01</v>
      </c>
      <c r="BX262" s="449"/>
      <c r="BY262" s="449"/>
      <c r="BZ262" s="449"/>
      <c r="CA262" s="449"/>
      <c r="CB262" s="449"/>
      <c r="CC262" s="807"/>
      <c r="CD262" s="449"/>
      <c r="CE262" s="931">
        <f>IFERROR(WWWW[[#This Row],['#_Water sources passed]]/WWWW[[#This Row],['#_Water sources tested for fecal coliform ]],"no test")</f>
        <v>0.2</v>
      </c>
      <c r="CF262" s="929" t="str">
        <f>IFERROR(WWWW[[#This Row],['#_Household passed]]/WWWW[[#This Row],['#_Household water samples tested for fecal coliform]],"no test")</f>
        <v>no test</v>
      </c>
      <c r="CG262" s="930" t="str">
        <f>IF(AND(WWWW[[#This Row],[% of water sources passed]]="no test",WWWW[[#This Row],[% Household passed]]="no test"),"No Test","Tested")</f>
        <v>Tested</v>
      </c>
      <c r="CH262" s="930">
        <f>WWWW[[#This Row],['#_Constructed/existing protected hand dug well]]-WWWW[[#This Row],['#_Non-functional protected hand dug well]]</f>
        <v>0</v>
      </c>
      <c r="CI262" s="930">
        <f>(WWWW[[#This Row],['#_Constructed/Existing tube wells/boreholes/handpumps_WASH_agency]]+WWWW[[#This Row],['#_Non-Cluster partner water tube-wells/boreholes/handpumps]])-WWWW[[#This Row],['#_Non-functional tube wells/boreholes/handpumps]]</f>
        <v>2</v>
      </c>
      <c r="CJ262" s="930">
        <f>WWWW[[#This Row],['#_Constructed/Existingwater storage tank with gravity fed reticulation system]]-WWWW[[#This Row],['#_Non-functional storage tank gravity fed reticulation system]]</f>
        <v>0</v>
      </c>
      <c r="CK262" s="930">
        <f>(WWWW[[#This Row],['#_Water_Liters_supplied_by_Water boating or water trucking]]/90)/15</f>
        <v>0</v>
      </c>
      <c r="CL262" s="930">
        <f>WWWW[[#This Row],['#_Water_Liters_from_Constructed/Existing water distribution system from river or natural spring]]/90/15</f>
        <v>0</v>
      </c>
      <c r="CM262" s="425">
        <f>IF(WWWW[[#This Row],['#_of water points in TLS/CFS]]*500&gt;WWWW[[#This Row],[Total PoP ]],WWWW[[#This Row],[Total PoP ]],WWWW[[#This Row],['#_of water points in TLS/CFS]]*500)</f>
        <v>0</v>
      </c>
      <c r="CN262" s="425">
        <f>IF(WWWW[[#This Row],['#_of water points in THF]]*500&gt;WWWW[[#This Row],[Total PoP ]],WWWW[[#This Row],[Total PoP ]],WWWW[[#This Row],['#_of water points in THF]]*500)</f>
        <v>0</v>
      </c>
      <c r="CO26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2" s="929">
        <f>IF(WWWW[[#This Row],[Location Type 1]]="Village",WWWW[[#This Row],[Access to safe drinking water for Village]],WWWW[[#This Row],[Access to safe drinking water for Camp]])</f>
        <v>1</v>
      </c>
      <c r="CR262" s="927">
        <f>WWWW[[#This Row],[%Equitable and continuous access to sufficient quantity of safe drinking water]]*WWWW[[#This Row],[Total PoP ]]</f>
        <v>134</v>
      </c>
      <c r="CS262" s="929">
        <f>IF((WWWW[[#This Row],['#_Constructed/Existing protected/fenced ponds]]*250)/WWWW[[#This Row],[Total PoP ]]&gt;1,1,(WWWW[[#This Row],['#_Constructed/Existing protected/fenced ponds]]*250)/WWWW[[#This Row],[Total PoP ]])</f>
        <v>0</v>
      </c>
      <c r="CT262" s="927">
        <f>WWWW[[#This Row],[% Access to unimproved water points]]*WWWW[[#This Row],[Total PoP ]]</f>
        <v>0</v>
      </c>
      <c r="CU26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CW262" s="927">
        <f>WWWW[[#This Row],[HRP1]]/500</f>
        <v>0.26800000000000002</v>
      </c>
      <c r="CX262" s="932">
        <f>1-WWWW[[#This Row],[% Equitable and continuous access to sufficient quantity of domestic water]]</f>
        <v>0</v>
      </c>
      <c r="CY262" s="927">
        <f>WWWW[[#This Row],[%equitable and continuous access to sufficient quantity of safe drinking and domestic water''s GAP]]*WWWW[[#This Row],[Total PoP ]]</f>
        <v>0</v>
      </c>
      <c r="CZ262" s="930">
        <f>IF(WWWW[[#This Row],[Total required water points]]-WWWW[[#This Row],['#Water points coverage]]&lt;0,0,WWWW[[#This Row],[Total required water points]]-WWWW[[#This Row],['#Water points coverage]])</f>
        <v>0.73199999999999998</v>
      </c>
      <c r="DA262" s="930">
        <f>ROUND(IF(WWWW[[#This Row],[Total PoP ]]&lt;500,1,WWWW[[#This Row],[Total PoP ]]/500),0)</f>
        <v>1</v>
      </c>
      <c r="DB262" s="930">
        <f>(WWWW[[#This Row],['#_Constructed latrines_by_WASHAgencies]]+WWWW[[#This Row],['#_Non Cluster partner latrines]])-WWWW[[#This Row],['#_Non-functional latrines]]</f>
        <v>5</v>
      </c>
      <c r="DC262" s="634">
        <f>WWWW[[#This Row],[HRP2]]/WWWW[[#This Row],[Total PoP ]]</f>
        <v>0.74626865671641796</v>
      </c>
      <c r="DD26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26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2" s="425">
        <f>IF(WWWW[[#This Row],['# of functional latrines in THF supported by WASH partners during the reporting period2]]="",0,WWWW[[#This Row],['# of functional latrines in THF supported by WASH partners during the reporting period2]]*50)</f>
        <v>0</v>
      </c>
      <c r="DH262" s="930">
        <f>ROUND(IF(WWWW[[#This Row],[Location Type 1]]="camp",WWWW[[#This Row],[Total PoP ]]/20,IF(WWWW[[#This Row],[Location Type 1]]="Temporary Location",WWWW[[#This Row],[Total PoP ]]/50,(WWWW[[#This Row],[Total PoP ]]/6))),0)</f>
        <v>7</v>
      </c>
      <c r="DI262" s="930">
        <f>IF(WWWW[[#This Row],[Total required Latrines]]-(WWWW[[#This Row],['#_Constructed latrines_by_WASHAgencies]]+WWWW[[#This Row],['#_Non Cluster partner latrines]])&lt;0,0,WWWW[[#This Row],[Total required Latrines]]-(WWWW[[#This Row],['#_Constructed latrines_by_WASHAgencies]]+WWWW[[#This Row],['#_Non Cluster partner latrines]]))</f>
        <v>1</v>
      </c>
      <c r="DJ262" s="932">
        <f>1-WWWW[[#This Row],[% people access to functioning Latrine]]</f>
        <v>0.25373134328358204</v>
      </c>
      <c r="DK262" s="931">
        <f>IF(OR(WWWW[[#This Row],['#_Non-functional latrines]]="",WWWW[[#This Row],['#_Non-functional latrines]]=0),0,WWWW[[#This Row],['#_Non-functional latrines]]/(WWWW[[#This Row],['#_Constructed latrines_by_WASHAgencies]]+WWWW[[#This Row],['#_Non Cluster partner latrines]]))</f>
        <v>0.16666666666666666</v>
      </c>
      <c r="DL262" s="927">
        <f>IF(500*(WWWW[[#This Row],['#_male hygiene promoters]]+WWWW[[#This Row],['#_female hygiene promoters]])&gt;WWWW[[#This Row],[Total PoP ]],WWWW[[#This Row],[Total PoP ]],500*(WWWW[[#This Row],['#_male hygiene promoters]]+WWWW[[#This Row],['#_female hygiene promoters]]))</f>
        <v>134</v>
      </c>
      <c r="DM26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134</v>
      </c>
      <c r="DN26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28.743000000000006</v>
      </c>
      <c r="DO262" s="930">
        <f>IF(WWWW[[#This Row],['# People with access to soap]]&gt;WWWW[[#This Row],['# People with access to Sanity Pads]],WWWW[[#This Row],['# People with access to soap]],WWWW[[#This Row],['# People with access to Sanity Pads]])</f>
        <v>134</v>
      </c>
      <c r="DP262" s="930">
        <f>IF(WWWW[[#This Row],['# people reached by regular dedicated hygiene promotion_5]]&gt;WWWW[[#This Row],['# People received regular supply of hygiene items_6]],WWWW[[#This Row],['# people reached by regular dedicated hygiene promotion_5]],WWWW[[#This Row],['# People received regular supply of hygiene items_6]])</f>
        <v>134</v>
      </c>
      <c r="DQ262" s="932">
        <f>IF(WWWW[[#This Row],[HRP3]]/WWWW[[#This Row],[Total PoP ]]&gt;1,1,WWWW[[#This Row],[HRP3]]/WWWW[[#This Row],[Total PoP ]])</f>
        <v>1</v>
      </c>
      <c r="DR262" s="931">
        <f>1-WWWW[[#This Row],[Hygiene Coverage%]]</f>
        <v>0</v>
      </c>
      <c r="DS262" s="929">
        <f>WWWW[[#This Row],['# people reached by regular dedicated hygiene promotion_5]]/WWWW[[#This Row],[Total PoP ]]</f>
        <v>1</v>
      </c>
      <c r="DT26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2" s="930">
        <f>WWWW[[#This Row],['#_Constructed/Existing hand washing stations]]-WWWW[[#This Row],['#_Non-Functional_hand_washing_stations]]</f>
        <v>3</v>
      </c>
      <c r="DW262" s="927">
        <f>IF(WWWW[[#This Row],['# Functional hand washing stations during reporting period]]*20&gt;WWWW[[#This Row],[Total HH]],WWWW[[#This Row],[Total HH]],WWWW[[#This Row],['# Functional hand washing stations during reporting period]]*20)</f>
        <v>25</v>
      </c>
      <c r="DX262" s="927">
        <f>IF(WWWW[[#This Row],[Is sufficient soap available for TLS? (Yes/No)]]="yes",WWWW[[#This Row],['#_Constructed/Existing hand washing stations at TLS/CFS/THF]],0)</f>
        <v>3</v>
      </c>
      <c r="DY262" s="429">
        <f>IF(WWWW[[#This Row],['# Functional hand washing stations during reporting period]]*100&gt;WWWW[[#This Row],[Total PoP ]],WWWW[[#This Row],[Total PoP ]],WWWW[[#This Row],['# Functional hand washing stations during reporting period]]*100)</f>
        <v>134</v>
      </c>
      <c r="DZ262" s="429" t="str">
        <f>IF(OR(WWWW[[#This Row],['#_students at TLS_CFS]]="",WWWW[[#This Row],['#_students at TLS_CFS]]=0),"No","Yes")</f>
        <v>No</v>
      </c>
      <c r="EA26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2" s="923">
        <f>VLOOKUP(WWWW[[#This Row],[Site Name]],SiteDB6[[Site Name]:[CCCM Management]],6,FALSE)</f>
        <v>0</v>
      </c>
      <c r="EF262" s="923">
        <f>VLOOKUP(WWWW[[#This Row],[Site Name]],SiteDB6[[Site Name]:[CCCM Focal Agency]],7,FALSE)</f>
        <v>0</v>
      </c>
      <c r="EG262" s="923" t="str">
        <f>VLOOKUP(WWWW[[#This Row],[Site Name]],SiteDB6[[Site Name]:[Location Type 1]],9,FALSE)</f>
        <v>Camp</v>
      </c>
      <c r="EH262" s="923" t="str">
        <f>VLOOKUP(WWWW[[#This Row],[Site Name]],SiteDB6[[Site Name]:[Type of Accommodation]],10,FALSE)</f>
        <v>Camp</v>
      </c>
      <c r="EI262" s="923" t="str">
        <f>VLOOKUP(WWWW[[#This Row],[Site Name]],SiteDB6[[Site Name]:[Ethnic or GCA/NGCA]],11,FALSE)</f>
        <v>GCA</v>
      </c>
      <c r="EJ262" s="923">
        <f>VLOOKUP(WWWW[[#This Row],[Site Name]],SiteDB6[[Site Name]:[Lat]],12,FALSE)</f>
        <v>0</v>
      </c>
      <c r="EK262" s="923">
        <f>VLOOKUP(WWWW[[#This Row],[Site Name]],SiteDB6[[Site Name]:[Long]],13,FALSE)</f>
        <v>0</v>
      </c>
      <c r="EL262" s="923">
        <f>VLOOKUP(WWWW[[#This Row],[Site Name]],SiteDB6[[Site Name]:[Pcode]],3,FALSE)</f>
        <v>0</v>
      </c>
      <c r="EM262" s="928" t="str">
        <f t="shared" si="4"/>
        <v>Covered</v>
      </c>
      <c r="EN262" s="928"/>
      <c r="EO262" s="923">
        <f>VLOOKUP(WWWW[[#This Row],[Site Name]],SiteDB6[[Site Name]:[Pop
(Kachin/Shan-CCCM as of July 2021)]],16,FALSE)</f>
        <v>0</v>
      </c>
      <c r="EP262" s="923">
        <f>VLOOKUP(WWWW[[#This Row],[Site Name]],SiteDB6[[Site Name]:[Pop
(Kachin/Shan-CCCM as of July 2021)]],17,FALSE)</f>
        <v>0</v>
      </c>
    </row>
    <row r="263" spans="1:146">
      <c r="A263" s="921" t="s">
        <v>2786</v>
      </c>
      <c r="B263" s="921" t="s">
        <v>36</v>
      </c>
      <c r="C263" s="922" t="s">
        <v>36</v>
      </c>
      <c r="D263" s="922" t="s">
        <v>241</v>
      </c>
      <c r="E263" s="922" t="s">
        <v>37</v>
      </c>
      <c r="F263" s="922" t="s">
        <v>863</v>
      </c>
      <c r="G263" s="594" t="str">
        <f>VLOOKUP(WWWW[[#This Row],[Site Name]],SiteDB6[[Site Name]:[Location Type]],8,FALSE)</f>
        <v>Camp</v>
      </c>
      <c r="H263" s="922" t="s">
        <v>1718</v>
      </c>
      <c r="I263" s="924">
        <v>133</v>
      </c>
      <c r="J263" s="924">
        <v>624</v>
      </c>
      <c r="K263" s="925">
        <v>44414</v>
      </c>
      <c r="L263" s="926">
        <v>44778</v>
      </c>
      <c r="M263" s="924"/>
      <c r="N263" s="924">
        <v>3</v>
      </c>
      <c r="O263" s="924"/>
      <c r="P263" s="924"/>
      <c r="Q263" s="927" t="s">
        <v>41</v>
      </c>
      <c r="R263" s="924">
        <v>4</v>
      </c>
      <c r="S263" s="924">
        <v>2</v>
      </c>
      <c r="T263" s="449">
        <v>1</v>
      </c>
      <c r="U263" s="924">
        <v>1</v>
      </c>
      <c r="V263" s="924">
        <v>1</v>
      </c>
      <c r="W263" s="924">
        <v>1</v>
      </c>
      <c r="X263" s="924"/>
      <c r="Y263" s="924"/>
      <c r="Z263" s="924"/>
      <c r="AA263" s="924"/>
      <c r="AB263" s="924"/>
      <c r="AC263" s="924"/>
      <c r="AD263" s="924"/>
      <c r="AE263" s="924"/>
      <c r="AF263" s="924"/>
      <c r="AG263" s="924"/>
      <c r="AH263" s="924"/>
      <c r="AI263" s="924"/>
      <c r="AJ263" s="924"/>
      <c r="AK263" s="924"/>
      <c r="AL263" s="924"/>
      <c r="AM263" s="924">
        <v>5</v>
      </c>
      <c r="AN263" s="924"/>
      <c r="AO263" s="449"/>
      <c r="AP263" s="928"/>
      <c r="AQ263" s="924">
        <v>1</v>
      </c>
      <c r="AR263" s="924"/>
      <c r="AS263" s="929"/>
      <c r="AT263" s="924">
        <v>1</v>
      </c>
      <c r="AU263" s="924"/>
      <c r="AV263" s="924"/>
      <c r="AW263" s="924"/>
      <c r="AX263" s="924"/>
      <c r="AY263" s="923" t="s">
        <v>41</v>
      </c>
      <c r="AZ263" s="928" t="s">
        <v>137</v>
      </c>
      <c r="BA263" s="924"/>
      <c r="BB263" s="924"/>
      <c r="BC263" s="924"/>
      <c r="BD263" s="449"/>
      <c r="BE263" s="449"/>
      <c r="BF263" s="923"/>
      <c r="BG263" s="924">
        <v>5</v>
      </c>
      <c r="BH263" s="924"/>
      <c r="BI263" s="924"/>
      <c r="BJ263" s="924">
        <v>7</v>
      </c>
      <c r="BK263" s="924"/>
      <c r="BL263" s="924"/>
      <c r="BM263" s="924">
        <v>1</v>
      </c>
      <c r="BN263" s="924">
        <v>133</v>
      </c>
      <c r="BO263" s="924">
        <v>133.84800000000001</v>
      </c>
      <c r="BP263" s="923" t="s">
        <v>41</v>
      </c>
      <c r="BQ263" s="930">
        <v>100</v>
      </c>
      <c r="BR263" s="929">
        <v>0.25</v>
      </c>
      <c r="BS263" s="923" t="s">
        <v>3060</v>
      </c>
      <c r="BT263" s="424"/>
      <c r="BU263" s="424"/>
      <c r="BV263" s="426"/>
      <c r="BW263" s="424">
        <v>0.01</v>
      </c>
      <c r="BX263" s="449"/>
      <c r="BY263" s="449"/>
      <c r="BZ263" s="449"/>
      <c r="CA263" s="449"/>
      <c r="CB263" s="449"/>
      <c r="CC263" s="807"/>
      <c r="CD263" s="449"/>
      <c r="CE263" s="931" t="str">
        <f>IFERROR(WWWW[[#This Row],['#_Water sources passed]]/WWWW[[#This Row],['#_Water sources tested for fecal coliform ]],"no test")</f>
        <v>no test</v>
      </c>
      <c r="CF263" s="929" t="str">
        <f>IFERROR(WWWW[[#This Row],['#_Household passed]]/WWWW[[#This Row],['#_Household water samples tested for fecal coliform]],"no test")</f>
        <v>no test</v>
      </c>
      <c r="CG263" s="930" t="str">
        <f>IF(AND(WWWW[[#This Row],[% of water sources passed]]="no test",WWWW[[#This Row],[% Household passed]]="no test"),"No Test","Tested")</f>
        <v>No Test</v>
      </c>
      <c r="CH263" s="930">
        <f>WWWW[[#This Row],['#_Constructed/existing protected hand dug well]]-WWWW[[#This Row],['#_Non-functional protected hand dug well]]</f>
        <v>0</v>
      </c>
      <c r="CI263" s="930">
        <f>(WWWW[[#This Row],['#_Constructed/Existing tube wells/boreholes/handpumps_WASH_agency]]+WWWW[[#This Row],['#_Non-Cluster partner water tube-wells/boreholes/handpumps]])-WWWW[[#This Row],['#_Non-functional tube wells/boreholes/handpumps]]</f>
        <v>1</v>
      </c>
      <c r="CJ263" s="930">
        <f>WWWW[[#This Row],['#_Constructed/Existingwater storage tank with gravity fed reticulation system]]-WWWW[[#This Row],['#_Non-functional storage tank gravity fed reticulation system]]</f>
        <v>0</v>
      </c>
      <c r="CK263" s="930">
        <f>(WWWW[[#This Row],['#_Water_Liters_supplied_by_Water boating or water trucking]]/90)/15</f>
        <v>0</v>
      </c>
      <c r="CL263" s="930">
        <f>WWWW[[#This Row],['#_Water_Liters_from_Constructed/Existing water distribution system from river or natural spring]]/90/15</f>
        <v>0</v>
      </c>
      <c r="CM263" s="425">
        <f>IF(WWWW[[#This Row],['#_of water points in TLS/CFS]]*500&gt;WWWW[[#This Row],[Total PoP ]],WWWW[[#This Row],[Total PoP ]],WWWW[[#This Row],['#_of water points in TLS/CFS]]*500)</f>
        <v>0</v>
      </c>
      <c r="CN263" s="425">
        <f>IF(WWWW[[#This Row],['#_of water points in THF]]*500&gt;WWWW[[#This Row],[Total PoP ]],WWWW[[#This Row],[Total PoP ]],WWWW[[#This Row],['#_of water points in THF]]*500)</f>
        <v>0</v>
      </c>
      <c r="CO26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0.80128205128205132</v>
      </c>
      <c r="CP26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0.40064102564102566</v>
      </c>
      <c r="CQ263" s="929">
        <f>IF(WWWW[[#This Row],[Location Type 1]]="Village",WWWW[[#This Row],[Access to safe drinking water for Village]],WWWW[[#This Row],[Access to safe drinking water for Camp]])</f>
        <v>0.80128205128205132</v>
      </c>
      <c r="CR263" s="927">
        <f>WWWW[[#This Row],[%Equitable and continuous access to sufficient quantity of safe drinking water]]*WWWW[[#This Row],[Total PoP ]]</f>
        <v>500</v>
      </c>
      <c r="CS263" s="929">
        <f>IF((WWWW[[#This Row],['#_Constructed/Existing protected/fenced ponds]]*250)/WWWW[[#This Row],[Total PoP ]]&gt;1,1,(WWWW[[#This Row],['#_Constructed/Existing protected/fenced ponds]]*250)/WWWW[[#This Row],[Total PoP ]])</f>
        <v>0</v>
      </c>
      <c r="CT263" s="927">
        <f>WWWW[[#This Row],[% Access to unimproved water points]]*WWWW[[#This Row],[Total PoP ]]</f>
        <v>0</v>
      </c>
      <c r="CU26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0.80128205128205132</v>
      </c>
      <c r="CV26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W263" s="927">
        <f>WWWW[[#This Row],[HRP1]]/500</f>
        <v>1</v>
      </c>
      <c r="CX263" s="932">
        <f>1-WWWW[[#This Row],[% Equitable and continuous access to sufficient quantity of domestic water]]</f>
        <v>0.19871794871794868</v>
      </c>
      <c r="CY263" s="927">
        <f>WWWW[[#This Row],[%equitable and continuous access to sufficient quantity of safe drinking and domestic water''s GAP]]*WWWW[[#This Row],[Total PoP ]]</f>
        <v>123.99999999999997</v>
      </c>
      <c r="CZ263" s="930">
        <f>IF(WWWW[[#This Row],[Total required water points]]-WWWW[[#This Row],['#Water points coverage]]&lt;0,0,WWWW[[#This Row],[Total required water points]]-WWWW[[#This Row],['#Water points coverage]])</f>
        <v>0</v>
      </c>
      <c r="DA263" s="930">
        <f>ROUND(IF(WWWW[[#This Row],[Total PoP ]]&lt;500,1,WWWW[[#This Row],[Total PoP ]]/500),0)</f>
        <v>1</v>
      </c>
      <c r="DB263" s="930">
        <f>(WWWW[[#This Row],['#_Constructed latrines_by_WASHAgencies]]+WWWW[[#This Row],['#_Non Cluster partner latrines]])-WWWW[[#This Row],['#_Non-functional latrines]]</f>
        <v>0</v>
      </c>
      <c r="DC263" s="634">
        <f>WWWW[[#This Row],[HRP2]]/WWWW[[#This Row],[Total PoP ]]</f>
        <v>0</v>
      </c>
      <c r="DD26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6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3" s="425">
        <f>IF(WWWW[[#This Row],['# of functional latrines in THF supported by WASH partners during the reporting period2]]="",0,WWWW[[#This Row],['# of functional latrines in THF supported by WASH partners during the reporting period2]]*50)</f>
        <v>0</v>
      </c>
      <c r="DH263" s="930">
        <f>ROUND(IF(WWWW[[#This Row],[Location Type 1]]="camp",WWWW[[#This Row],[Total PoP ]]/20,IF(WWWW[[#This Row],[Location Type 1]]="Temporary Location",WWWW[[#This Row],[Total PoP ]]/50,(WWWW[[#This Row],[Total PoP ]]/6))),0)</f>
        <v>31</v>
      </c>
      <c r="DI263" s="930">
        <f>IF(WWWW[[#This Row],[Total required Latrines]]-(WWWW[[#This Row],['#_Constructed latrines_by_WASHAgencies]]+WWWW[[#This Row],['#_Non Cluster partner latrines]])&lt;0,0,WWWW[[#This Row],[Total required Latrines]]-(WWWW[[#This Row],['#_Constructed latrines_by_WASHAgencies]]+WWWW[[#This Row],['#_Non Cluster partner latrines]]))</f>
        <v>30</v>
      </c>
      <c r="DJ263" s="932">
        <f>1-WWWW[[#This Row],[% people access to functioning Latrine]]</f>
        <v>1</v>
      </c>
      <c r="DK263" s="931">
        <f>IF(OR(WWWW[[#This Row],['#_Non-functional latrines]]="",WWWW[[#This Row],['#_Non-functional latrines]]=0),0,WWWW[[#This Row],['#_Non-functional latrines]]/(WWWW[[#This Row],['#_Constructed latrines_by_WASHAgencies]]+WWWW[[#This Row],['#_Non Cluster partner latrines]]))</f>
        <v>1</v>
      </c>
      <c r="DL263" s="927">
        <f>IF(500*(WWWW[[#This Row],['#_male hygiene promoters]]+WWWW[[#This Row],['#_female hygiene promoters]])&gt;WWWW[[#This Row],[Total PoP ]],WWWW[[#This Row],[Total PoP ]],500*(WWWW[[#This Row],['#_male hygiene promoters]]+WWWW[[#This Row],['#_female hygiene promoters]]))</f>
        <v>500</v>
      </c>
      <c r="DM26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624</v>
      </c>
      <c r="DN26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133.84800000000001</v>
      </c>
      <c r="DO263" s="930">
        <f>IF(WWWW[[#This Row],['# People with access to soap]]&gt;WWWW[[#This Row],['# People with access to Sanity Pads]],WWWW[[#This Row],['# People with access to soap]],WWWW[[#This Row],['# People with access to Sanity Pads]])</f>
        <v>624</v>
      </c>
      <c r="DP263" s="930">
        <f>IF(WWWW[[#This Row],['# people reached by regular dedicated hygiene promotion_5]]&gt;WWWW[[#This Row],['# People received regular supply of hygiene items_6]],WWWW[[#This Row],['# people reached by regular dedicated hygiene promotion_5]],WWWW[[#This Row],['# People received regular supply of hygiene items_6]])</f>
        <v>624</v>
      </c>
      <c r="DQ263" s="932">
        <f>IF(WWWW[[#This Row],[HRP3]]/WWWW[[#This Row],[Total PoP ]]&gt;1,1,WWWW[[#This Row],[HRP3]]/WWWW[[#This Row],[Total PoP ]])</f>
        <v>1</v>
      </c>
      <c r="DR263" s="931">
        <f>1-WWWW[[#This Row],[Hygiene Coverage%]]</f>
        <v>0</v>
      </c>
      <c r="DS263" s="929">
        <f>WWWW[[#This Row],['# people reached by regular dedicated hygiene promotion_5]]/WWWW[[#This Row],[Total PoP ]]</f>
        <v>0.80128205128205132</v>
      </c>
      <c r="DT26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3" s="930">
        <f>WWWW[[#This Row],['#_Constructed/Existing hand washing stations]]-WWWW[[#This Row],['#_Non-Functional_hand_washing_stations]]</f>
        <v>5</v>
      </c>
      <c r="DW263" s="927">
        <f>IF(WWWW[[#This Row],['# Functional hand washing stations during reporting period]]*20&gt;WWWW[[#This Row],[Total HH]],WWWW[[#This Row],[Total HH]],WWWW[[#This Row],['# Functional hand washing stations during reporting period]]*20)</f>
        <v>100</v>
      </c>
      <c r="DX263" s="927">
        <f>IF(WWWW[[#This Row],[Is sufficient soap available for TLS? (Yes/No)]]="yes",WWWW[[#This Row],['#_Constructed/Existing hand washing stations at TLS/CFS/THF]],0)</f>
        <v>5</v>
      </c>
      <c r="DY263" s="429">
        <f>IF(WWWW[[#This Row],['# Functional hand washing stations during reporting period]]*100&gt;WWWW[[#This Row],[Total PoP ]],WWWW[[#This Row],[Total PoP ]],WWWW[[#This Row],['# Functional hand washing stations during reporting period]]*100)</f>
        <v>500</v>
      </c>
      <c r="DZ263" s="429" t="str">
        <f>IF(OR(WWWW[[#This Row],['#_students at TLS_CFS]]="",WWWW[[#This Row],['#_students at TLS_CFS]]=0),"No","Yes")</f>
        <v>No</v>
      </c>
      <c r="EA26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3" s="923" t="str">
        <f>VLOOKUP(WWWW[[#This Row],[Site Name]],SiteDB6[[Site Name]:[CCCM Management]],6,FALSE)</f>
        <v>Yes</v>
      </c>
      <c r="EF263" s="923" t="str">
        <f>VLOOKUP(WWWW[[#This Row],[Site Name]],SiteDB6[[Site Name]:[CCCM Focal Agency]],7,FALSE)</f>
        <v>KMSS-MYT</v>
      </c>
      <c r="EG263" s="923" t="str">
        <f>VLOOKUP(WWWW[[#This Row],[Site Name]],SiteDB6[[Site Name]:[Location Type 1]],9,FALSE)</f>
        <v>Camp</v>
      </c>
      <c r="EH263" s="923" t="str">
        <f>VLOOKUP(WWWW[[#This Row],[Site Name]],SiteDB6[[Site Name]:[Type of Accommodation]],10,FALSE)</f>
        <v>Camp</v>
      </c>
      <c r="EI263" s="923" t="str">
        <f>VLOOKUP(WWWW[[#This Row],[Site Name]],SiteDB6[[Site Name]:[Ethnic or GCA/NGCA]],11,FALSE)</f>
        <v>GCA</v>
      </c>
      <c r="EJ263" s="923">
        <f>VLOOKUP(WWWW[[#This Row],[Site Name]],SiteDB6[[Site Name]:[Lat]],12,FALSE)</f>
        <v>26.350176000000001</v>
      </c>
      <c r="EK263" s="923">
        <f>VLOOKUP(WWWW[[#This Row],[Site Name]],SiteDB6[[Site Name]:[Long]],13,FALSE)</f>
        <v>96.711387999999999</v>
      </c>
      <c r="EL263" s="923" t="str">
        <f>VLOOKUP(WWWW[[#This Row],[Site Name]],SiteDB6[[Site Name]:[Pcode]],3,FALSE)</f>
        <v>MMR001CMP251</v>
      </c>
      <c r="EM263" s="928" t="str">
        <f t="shared" si="4"/>
        <v>Covered</v>
      </c>
      <c r="EN263" s="928"/>
      <c r="EO263" s="923">
        <f>VLOOKUP(WWWW[[#This Row],[Site Name]],SiteDB6[[Site Name]:[Pop
(Kachin/Shan-CCCM as of July 2021)]],16,FALSE)</f>
        <v>133</v>
      </c>
      <c r="EP263" s="923">
        <f>VLOOKUP(WWWW[[#This Row],[Site Name]],SiteDB6[[Site Name]:[Pop
(Kachin/Shan-CCCM as of July 2021)]],17,FALSE)</f>
        <v>622</v>
      </c>
    </row>
    <row r="264" spans="1:146">
      <c r="A264" s="921" t="s">
        <v>2786</v>
      </c>
      <c r="B264" s="921" t="s">
        <v>36</v>
      </c>
      <c r="C264" s="922" t="s">
        <v>36</v>
      </c>
      <c r="D264" s="922" t="s">
        <v>241</v>
      </c>
      <c r="E264" s="922" t="s">
        <v>37</v>
      </c>
      <c r="F264" s="922" t="s">
        <v>863</v>
      </c>
      <c r="G264" s="594" t="str">
        <f>VLOOKUP(WWWW[[#This Row],[Site Name]],SiteDB6[[Site Name]:[Location Type]],8,FALSE)</f>
        <v>Camp</v>
      </c>
      <c r="H264" s="922" t="s">
        <v>865</v>
      </c>
      <c r="I264" s="924">
        <v>36</v>
      </c>
      <c r="J264" s="924">
        <v>169</v>
      </c>
      <c r="K264" s="925">
        <v>44414</v>
      </c>
      <c r="L264" s="926">
        <v>44778</v>
      </c>
      <c r="M264" s="924"/>
      <c r="N264" s="924">
        <v>1</v>
      </c>
      <c r="O264" s="924"/>
      <c r="P264" s="924"/>
      <c r="Q264" s="927" t="s">
        <v>41</v>
      </c>
      <c r="R264" s="924">
        <v>4</v>
      </c>
      <c r="S264" s="924">
        <v>1</v>
      </c>
      <c r="T264" s="449"/>
      <c r="U264" s="924"/>
      <c r="V264" s="924"/>
      <c r="W264" s="924">
        <v>2</v>
      </c>
      <c r="X264" s="924"/>
      <c r="Y264" s="924"/>
      <c r="Z264" s="924"/>
      <c r="AA264" s="924"/>
      <c r="AB264" s="924"/>
      <c r="AC264" s="924"/>
      <c r="AD264" s="924"/>
      <c r="AE264" s="924"/>
      <c r="AF264" s="924"/>
      <c r="AG264" s="924"/>
      <c r="AH264" s="924"/>
      <c r="AI264" s="924"/>
      <c r="AJ264" s="924"/>
      <c r="AK264" s="924"/>
      <c r="AL264" s="924"/>
      <c r="AM264" s="924">
        <v>5</v>
      </c>
      <c r="AN264" s="924"/>
      <c r="AO264" s="449"/>
      <c r="AP264" s="928"/>
      <c r="AQ264" s="924">
        <v>2</v>
      </c>
      <c r="AR264" s="924"/>
      <c r="AS264" s="929"/>
      <c r="AT264" s="924">
        <v>2</v>
      </c>
      <c r="AU264" s="924"/>
      <c r="AV264" s="924"/>
      <c r="AW264" s="924"/>
      <c r="AX264" s="924"/>
      <c r="AY264" s="923" t="s">
        <v>41</v>
      </c>
      <c r="AZ264" s="928" t="s">
        <v>136</v>
      </c>
      <c r="BA264" s="924"/>
      <c r="BB264" s="924"/>
      <c r="BC264" s="924"/>
      <c r="BD264" s="449"/>
      <c r="BE264" s="449"/>
      <c r="BF264" s="923"/>
      <c r="BG264" s="924">
        <v>7</v>
      </c>
      <c r="BH264" s="924"/>
      <c r="BI264" s="924">
        <v>2</v>
      </c>
      <c r="BJ264" s="924">
        <v>2</v>
      </c>
      <c r="BK264" s="924"/>
      <c r="BL264" s="924"/>
      <c r="BM264" s="924">
        <v>1</v>
      </c>
      <c r="BN264" s="924">
        <v>36</v>
      </c>
      <c r="BO264" s="924">
        <v>36.250500000000002</v>
      </c>
      <c r="BP264" s="923" t="s">
        <v>41</v>
      </c>
      <c r="BQ264" s="930">
        <v>100</v>
      </c>
      <c r="BR264" s="929">
        <v>0.25</v>
      </c>
      <c r="BS264" s="923" t="s">
        <v>3060</v>
      </c>
      <c r="BT264" s="424"/>
      <c r="BU264" s="424"/>
      <c r="BV264" s="426"/>
      <c r="BW264" s="424">
        <v>0.01</v>
      </c>
      <c r="BX264" s="449"/>
      <c r="BY264" s="449"/>
      <c r="BZ264" s="449"/>
      <c r="CA264" s="449"/>
      <c r="CB264" s="449"/>
      <c r="CC264" s="807"/>
      <c r="CD264" s="449"/>
      <c r="CE264" s="931" t="str">
        <f>IFERROR(WWWW[[#This Row],['#_Water sources passed]]/WWWW[[#This Row],['#_Water sources tested for fecal coliform ]],"no test")</f>
        <v>no test</v>
      </c>
      <c r="CF264" s="929" t="str">
        <f>IFERROR(WWWW[[#This Row],['#_Household passed]]/WWWW[[#This Row],['#_Household water samples tested for fecal coliform]],"no test")</f>
        <v>no test</v>
      </c>
      <c r="CG264" s="930" t="str">
        <f>IF(AND(WWWW[[#This Row],[% of water sources passed]]="no test",WWWW[[#This Row],[% Household passed]]="no test"),"No Test","Tested")</f>
        <v>No Test</v>
      </c>
      <c r="CH264" s="930">
        <f>WWWW[[#This Row],['#_Constructed/existing protected hand dug well]]-WWWW[[#This Row],['#_Non-functional protected hand dug well]]</f>
        <v>0</v>
      </c>
      <c r="CI264" s="930">
        <f>(WWWW[[#This Row],['#_Constructed/Existing tube wells/boreholes/handpumps_WASH_agency]]+WWWW[[#This Row],['#_Non-Cluster partner water tube-wells/boreholes/handpumps]])-WWWW[[#This Row],['#_Non-functional tube wells/boreholes/handpumps]]</f>
        <v>2</v>
      </c>
      <c r="CJ264" s="930">
        <f>WWWW[[#This Row],['#_Constructed/Existingwater storage tank with gravity fed reticulation system]]-WWWW[[#This Row],['#_Non-functional storage tank gravity fed reticulation system]]</f>
        <v>0</v>
      </c>
      <c r="CK264" s="930">
        <f>(WWWW[[#This Row],['#_Water_Liters_supplied_by_Water boating or water trucking]]/90)/15</f>
        <v>0</v>
      </c>
      <c r="CL264" s="930">
        <f>WWWW[[#This Row],['#_Water_Liters_from_Constructed/Existing water distribution system from river or natural spring]]/90/15</f>
        <v>0</v>
      </c>
      <c r="CM264" s="425">
        <f>IF(WWWW[[#This Row],['#_of water points in TLS/CFS]]*500&gt;WWWW[[#This Row],[Total PoP ]],WWWW[[#This Row],[Total PoP ]],WWWW[[#This Row],['#_of water points in TLS/CFS]]*500)</f>
        <v>0</v>
      </c>
      <c r="CN264" s="425">
        <f>IF(WWWW[[#This Row],['#_of water points in THF]]*500&gt;WWWW[[#This Row],[Total PoP ]],WWWW[[#This Row],[Total PoP ]],WWWW[[#This Row],['#_of water points in THF]]*500)</f>
        <v>0</v>
      </c>
      <c r="CO26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4" s="929">
        <f>IF(WWWW[[#This Row],[Location Type 1]]="Village",WWWW[[#This Row],[Access to safe drinking water for Village]],WWWW[[#This Row],[Access to safe drinking water for Camp]])</f>
        <v>1</v>
      </c>
      <c r="CR264" s="927">
        <f>WWWW[[#This Row],[%Equitable and continuous access to sufficient quantity of safe drinking water]]*WWWW[[#This Row],[Total PoP ]]</f>
        <v>169</v>
      </c>
      <c r="CS264" s="929">
        <f>IF((WWWW[[#This Row],['#_Constructed/Existing protected/fenced ponds]]*250)/WWWW[[#This Row],[Total PoP ]]&gt;1,1,(WWWW[[#This Row],['#_Constructed/Existing protected/fenced ponds]]*250)/WWWW[[#This Row],[Total PoP ]])</f>
        <v>0</v>
      </c>
      <c r="CT264" s="927">
        <f>WWWW[[#This Row],[% Access to unimproved water points]]*WWWW[[#This Row],[Total PoP ]]</f>
        <v>0</v>
      </c>
      <c r="CU26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W264" s="927">
        <f>WWWW[[#This Row],[HRP1]]/500</f>
        <v>0.33800000000000002</v>
      </c>
      <c r="CX264" s="932">
        <f>1-WWWW[[#This Row],[% Equitable and continuous access to sufficient quantity of domestic water]]</f>
        <v>0</v>
      </c>
      <c r="CY264" s="927">
        <f>WWWW[[#This Row],[%equitable and continuous access to sufficient quantity of safe drinking and domestic water''s GAP]]*WWWW[[#This Row],[Total PoP ]]</f>
        <v>0</v>
      </c>
      <c r="CZ264" s="930">
        <f>IF(WWWW[[#This Row],[Total required water points]]-WWWW[[#This Row],['#Water points coverage]]&lt;0,0,WWWW[[#This Row],[Total required water points]]-WWWW[[#This Row],['#Water points coverage]])</f>
        <v>0.66199999999999992</v>
      </c>
      <c r="DA264" s="930">
        <f>ROUND(IF(WWWW[[#This Row],[Total PoP ]]&lt;500,1,WWWW[[#This Row],[Total PoP ]]/500),0)</f>
        <v>1</v>
      </c>
      <c r="DB264" s="930">
        <f>(WWWW[[#This Row],['#_Constructed latrines_by_WASHAgencies]]+WWWW[[#This Row],['#_Non Cluster partner latrines]])-WWWW[[#This Row],['#_Non-functional latrines]]</f>
        <v>0</v>
      </c>
      <c r="DC264" s="634">
        <f>WWWW[[#This Row],[HRP2]]/WWWW[[#This Row],[Total PoP ]]</f>
        <v>0</v>
      </c>
      <c r="DD26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6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4" s="425">
        <f>IF(WWWW[[#This Row],['# of functional latrines in THF supported by WASH partners during the reporting period2]]="",0,WWWW[[#This Row],['# of functional latrines in THF supported by WASH partners during the reporting period2]]*50)</f>
        <v>0</v>
      </c>
      <c r="DH264" s="930">
        <f>ROUND(IF(WWWW[[#This Row],[Location Type 1]]="camp",WWWW[[#This Row],[Total PoP ]]/20,IF(WWWW[[#This Row],[Location Type 1]]="Temporary Location",WWWW[[#This Row],[Total PoP ]]/50,(WWWW[[#This Row],[Total PoP ]]/6))),0)</f>
        <v>8</v>
      </c>
      <c r="DI264" s="930">
        <f>IF(WWWW[[#This Row],[Total required Latrines]]-(WWWW[[#This Row],['#_Constructed latrines_by_WASHAgencies]]+WWWW[[#This Row],['#_Non Cluster partner latrines]])&lt;0,0,WWWW[[#This Row],[Total required Latrines]]-(WWWW[[#This Row],['#_Constructed latrines_by_WASHAgencies]]+WWWW[[#This Row],['#_Non Cluster partner latrines]]))</f>
        <v>6</v>
      </c>
      <c r="DJ264" s="932">
        <f>1-WWWW[[#This Row],[% people access to functioning Latrine]]</f>
        <v>1</v>
      </c>
      <c r="DK264" s="931">
        <f>IF(OR(WWWW[[#This Row],['#_Non-functional latrines]]="",WWWW[[#This Row],['#_Non-functional latrines]]=0),0,WWWW[[#This Row],['#_Non-functional latrines]]/(WWWW[[#This Row],['#_Constructed latrines_by_WASHAgencies]]+WWWW[[#This Row],['#_Non Cluster partner latrines]]))</f>
        <v>1</v>
      </c>
      <c r="DL264" s="927">
        <f>IF(500*(WWWW[[#This Row],['#_male hygiene promoters]]+WWWW[[#This Row],['#_female hygiene promoters]])&gt;WWWW[[#This Row],[Total PoP ]],WWWW[[#This Row],[Total PoP ]],500*(WWWW[[#This Row],['#_male hygiene promoters]]+WWWW[[#This Row],['#_female hygiene promoters]]))</f>
        <v>169</v>
      </c>
      <c r="DM26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169</v>
      </c>
      <c r="DN26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36.250500000000002</v>
      </c>
      <c r="DO264" s="930">
        <f>IF(WWWW[[#This Row],['# People with access to soap]]&gt;WWWW[[#This Row],['# People with access to Sanity Pads]],WWWW[[#This Row],['# People with access to soap]],WWWW[[#This Row],['# People with access to Sanity Pads]])</f>
        <v>169</v>
      </c>
      <c r="DP264" s="930">
        <f>IF(WWWW[[#This Row],['# people reached by regular dedicated hygiene promotion_5]]&gt;WWWW[[#This Row],['# People received regular supply of hygiene items_6]],WWWW[[#This Row],['# people reached by regular dedicated hygiene promotion_5]],WWWW[[#This Row],['# People received regular supply of hygiene items_6]])</f>
        <v>169</v>
      </c>
      <c r="DQ264" s="932">
        <f>IF(WWWW[[#This Row],[HRP3]]/WWWW[[#This Row],[Total PoP ]]&gt;1,1,WWWW[[#This Row],[HRP3]]/WWWW[[#This Row],[Total PoP ]])</f>
        <v>1</v>
      </c>
      <c r="DR264" s="931">
        <f>1-WWWW[[#This Row],[Hygiene Coverage%]]</f>
        <v>0</v>
      </c>
      <c r="DS264" s="929">
        <f>WWWW[[#This Row],['# people reached by regular dedicated hygiene promotion_5]]/WWWW[[#This Row],[Total PoP ]]</f>
        <v>1</v>
      </c>
      <c r="DT26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4" s="930">
        <f>WWWW[[#This Row],['#_Constructed/Existing hand washing stations]]-WWWW[[#This Row],['#_Non-Functional_hand_washing_stations]]</f>
        <v>7</v>
      </c>
      <c r="DW264" s="927">
        <f>IF(WWWW[[#This Row],['# Functional hand washing stations during reporting period]]*20&gt;WWWW[[#This Row],[Total HH]],WWWW[[#This Row],[Total HH]],WWWW[[#This Row],['# Functional hand washing stations during reporting period]]*20)</f>
        <v>36</v>
      </c>
      <c r="DX264" s="927">
        <f>IF(WWWW[[#This Row],[Is sufficient soap available for TLS? (Yes/No)]]="yes",WWWW[[#This Row],['#_Constructed/Existing hand washing stations at TLS/CFS/THF]],0)</f>
        <v>5</v>
      </c>
      <c r="DY264" s="429">
        <f>IF(WWWW[[#This Row],['# Functional hand washing stations during reporting period]]*100&gt;WWWW[[#This Row],[Total PoP ]],WWWW[[#This Row],[Total PoP ]],WWWW[[#This Row],['# Functional hand washing stations during reporting period]]*100)</f>
        <v>169</v>
      </c>
      <c r="DZ264" s="429" t="str">
        <f>IF(OR(WWWW[[#This Row],['#_students at TLS_CFS]]="",WWWW[[#This Row],['#_students at TLS_CFS]]=0),"No","Yes")</f>
        <v>No</v>
      </c>
      <c r="EA26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4" s="923" t="str">
        <f>VLOOKUP(WWWW[[#This Row],[Site Name]],SiteDB6[[Site Name]:[CCCM Management]],6,FALSE)</f>
        <v>Yes</v>
      </c>
      <c r="EF264" s="923" t="str">
        <f>VLOOKUP(WWWW[[#This Row],[Site Name]],SiteDB6[[Site Name]:[CCCM Focal Agency]],7,FALSE)</f>
        <v>KMSS-MYT</v>
      </c>
      <c r="EG264" s="923" t="str">
        <f>VLOOKUP(WWWW[[#This Row],[Site Name]],SiteDB6[[Site Name]:[Location Type 1]],9,FALSE)</f>
        <v>Camp</v>
      </c>
      <c r="EH264" s="923" t="str">
        <f>VLOOKUP(WWWW[[#This Row],[Site Name]],SiteDB6[[Site Name]:[Type of Accommodation]],10,FALSE)</f>
        <v>Camp</v>
      </c>
      <c r="EI264" s="923" t="str">
        <f>VLOOKUP(WWWW[[#This Row],[Site Name]],SiteDB6[[Site Name]:[Ethnic or GCA/NGCA]],11,FALSE)</f>
        <v>GCA</v>
      </c>
      <c r="EJ264" s="923">
        <f>VLOOKUP(WWWW[[#This Row],[Site Name]],SiteDB6[[Site Name]:[Lat]],12,FALSE)</f>
        <v>26.351690999999999</v>
      </c>
      <c r="EK264" s="923">
        <f>VLOOKUP(WWWW[[#This Row],[Site Name]],SiteDB6[[Site Name]:[Long]],13,FALSE)</f>
        <v>96.690871999999999</v>
      </c>
      <c r="EL264" s="923" t="str">
        <f>VLOOKUP(WWWW[[#This Row],[Site Name]],SiteDB6[[Site Name]:[Pcode]],3,FALSE)</f>
        <v>MMR001CMP254</v>
      </c>
      <c r="EM264" s="928" t="str">
        <f t="shared" si="4"/>
        <v>Covered</v>
      </c>
      <c r="EN264" s="928"/>
      <c r="EO264" s="923">
        <f>VLOOKUP(WWWW[[#This Row],[Site Name]],SiteDB6[[Site Name]:[Pop
(Kachin/Shan-CCCM as of July 2021)]],16,FALSE)</f>
        <v>35</v>
      </c>
      <c r="EP264" s="923">
        <f>VLOOKUP(WWWW[[#This Row],[Site Name]],SiteDB6[[Site Name]:[Pop
(Kachin/Shan-CCCM as of July 2021)]],17,FALSE)</f>
        <v>161</v>
      </c>
    </row>
    <row r="265" spans="1:146">
      <c r="A265" s="921" t="s">
        <v>2786</v>
      </c>
      <c r="B265" s="921" t="s">
        <v>36</v>
      </c>
      <c r="C265" s="922" t="s">
        <v>36</v>
      </c>
      <c r="D265" s="922" t="s">
        <v>241</v>
      </c>
      <c r="E265" s="922" t="s">
        <v>37</v>
      </c>
      <c r="F265" s="922" t="s">
        <v>142</v>
      </c>
      <c r="G265" s="594" t="str">
        <f>VLOOKUP(WWWW[[#This Row],[Site Name]],SiteDB6[[Site Name]:[Location Type]],8,FALSE)</f>
        <v>Camp</v>
      </c>
      <c r="H265" s="922" t="s">
        <v>236</v>
      </c>
      <c r="I265" s="924">
        <v>118</v>
      </c>
      <c r="J265" s="924">
        <v>420</v>
      </c>
      <c r="K265" s="925">
        <v>44414</v>
      </c>
      <c r="L265" s="926">
        <v>44778</v>
      </c>
      <c r="M265" s="924"/>
      <c r="N265" s="924">
        <v>3</v>
      </c>
      <c r="O265" s="924"/>
      <c r="P265" s="924"/>
      <c r="Q265" s="927" t="s">
        <v>41</v>
      </c>
      <c r="R265" s="924">
        <v>4</v>
      </c>
      <c r="S265" s="924">
        <v>3</v>
      </c>
      <c r="T265" s="449">
        <v>3</v>
      </c>
      <c r="U265" s="924">
        <v>0</v>
      </c>
      <c r="V265" s="924"/>
      <c r="W265" s="924">
        <v>2</v>
      </c>
      <c r="X265" s="924"/>
      <c r="Y265" s="924"/>
      <c r="Z265" s="924"/>
      <c r="AA265" s="924">
        <v>1</v>
      </c>
      <c r="AB265" s="924"/>
      <c r="AC265" s="924"/>
      <c r="AD265" s="924"/>
      <c r="AE265" s="924"/>
      <c r="AF265" s="924"/>
      <c r="AG265" s="924"/>
      <c r="AH265" s="924"/>
      <c r="AI265" s="924"/>
      <c r="AJ265" s="924"/>
      <c r="AK265" s="924"/>
      <c r="AL265" s="924"/>
      <c r="AM265" s="924">
        <v>4</v>
      </c>
      <c r="AN265" s="924"/>
      <c r="AO265" s="449"/>
      <c r="AP265" s="928"/>
      <c r="AQ265" s="924">
        <v>90</v>
      </c>
      <c r="AR265" s="924"/>
      <c r="AS265" s="929"/>
      <c r="AT265" s="924">
        <v>2</v>
      </c>
      <c r="AU265" s="924"/>
      <c r="AV265" s="924"/>
      <c r="AW265" s="924"/>
      <c r="AX265" s="924"/>
      <c r="AY265" s="923" t="s">
        <v>41</v>
      </c>
      <c r="AZ265" s="928" t="s">
        <v>137</v>
      </c>
      <c r="BA265" s="924"/>
      <c r="BB265" s="924"/>
      <c r="BC265" s="924"/>
      <c r="BD265" s="449"/>
      <c r="BE265" s="449"/>
      <c r="BF265" s="923"/>
      <c r="BG265" s="924">
        <v>2</v>
      </c>
      <c r="BH265" s="924"/>
      <c r="BI265" s="924"/>
      <c r="BJ265" s="924">
        <v>3</v>
      </c>
      <c r="BK265" s="924"/>
      <c r="BL265" s="924"/>
      <c r="BM265" s="924">
        <v>2</v>
      </c>
      <c r="BN265" s="924">
        <v>118</v>
      </c>
      <c r="BO265" s="924">
        <v>90.09</v>
      </c>
      <c r="BP265" s="923" t="s">
        <v>41</v>
      </c>
      <c r="BQ265" s="930">
        <v>100</v>
      </c>
      <c r="BR265" s="929"/>
      <c r="BS265" s="923" t="s">
        <v>3060</v>
      </c>
      <c r="BT265" s="424"/>
      <c r="BU265" s="424"/>
      <c r="BV265" s="426"/>
      <c r="BW265" s="424">
        <v>0.01</v>
      </c>
      <c r="BX265" s="449"/>
      <c r="BY265" s="449"/>
      <c r="BZ265" s="449"/>
      <c r="CA265" s="449"/>
      <c r="CB265" s="449"/>
      <c r="CC265" s="807"/>
      <c r="CD265" s="449"/>
      <c r="CE265" s="931" t="str">
        <f>IFERROR(WWWW[[#This Row],['#_Water sources passed]]/WWWW[[#This Row],['#_Water sources tested for fecal coliform ]],"no test")</f>
        <v>no test</v>
      </c>
      <c r="CF265" s="929" t="str">
        <f>IFERROR(WWWW[[#This Row],['#_Household passed]]/WWWW[[#This Row],['#_Household water samples tested for fecal coliform]],"no test")</f>
        <v>no test</v>
      </c>
      <c r="CG265" s="930" t="str">
        <f>IF(AND(WWWW[[#This Row],[% of water sources passed]]="no test",WWWW[[#This Row],[% Household passed]]="no test"),"No Test","Tested")</f>
        <v>No Test</v>
      </c>
      <c r="CH265" s="930">
        <f>WWWW[[#This Row],['#_Constructed/existing protected hand dug well]]-WWWW[[#This Row],['#_Non-functional protected hand dug well]]</f>
        <v>3</v>
      </c>
      <c r="CI265" s="930">
        <f>(WWWW[[#This Row],['#_Constructed/Existing tube wells/boreholes/handpumps_WASH_agency]]+WWWW[[#This Row],['#_Non-Cluster partner water tube-wells/boreholes/handpumps]])-WWWW[[#This Row],['#_Non-functional tube wells/boreholes/handpumps]]</f>
        <v>2</v>
      </c>
      <c r="CJ265" s="930">
        <f>WWWW[[#This Row],['#_Constructed/Existingwater storage tank with gravity fed reticulation system]]-WWWW[[#This Row],['#_Non-functional storage tank gravity fed reticulation system]]</f>
        <v>1</v>
      </c>
      <c r="CK265" s="930">
        <f>(WWWW[[#This Row],['#_Water_Liters_supplied_by_Water boating or water trucking]]/90)/15</f>
        <v>0</v>
      </c>
      <c r="CL265" s="930">
        <f>WWWW[[#This Row],['#_Water_Liters_from_Constructed/Existing water distribution system from river or natural spring]]/90/15</f>
        <v>0</v>
      </c>
      <c r="CM265" s="425">
        <f>IF(WWWW[[#This Row],['#_of water points in TLS/CFS]]*500&gt;WWWW[[#This Row],[Total PoP ]],WWWW[[#This Row],[Total PoP ]],WWWW[[#This Row],['#_of water points in TLS/CFS]]*500)</f>
        <v>0</v>
      </c>
      <c r="CN265" s="425">
        <f>IF(WWWW[[#This Row],['#_of water points in THF]]*500&gt;WWWW[[#This Row],[Total PoP ]],WWWW[[#This Row],[Total PoP ]],WWWW[[#This Row],['#_of water points in THF]]*500)</f>
        <v>0</v>
      </c>
      <c r="CO26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5" s="929">
        <f>IF(WWWW[[#This Row],[Location Type 1]]="Village",WWWW[[#This Row],[Access to safe drinking water for Village]],WWWW[[#This Row],[Access to safe drinking water for Camp]])</f>
        <v>1</v>
      </c>
      <c r="CR265" s="927">
        <f>WWWW[[#This Row],[%Equitable and continuous access to sufficient quantity of safe drinking water]]*WWWW[[#This Row],[Total PoP ]]</f>
        <v>420</v>
      </c>
      <c r="CS265" s="929">
        <f>IF((WWWW[[#This Row],['#_Constructed/Existing protected/fenced ponds]]*250)/WWWW[[#This Row],[Total PoP ]]&gt;1,1,(WWWW[[#This Row],['#_Constructed/Existing protected/fenced ponds]]*250)/WWWW[[#This Row],[Total PoP ]])</f>
        <v>0</v>
      </c>
      <c r="CT265" s="927">
        <f>WWWW[[#This Row],[% Access to unimproved water points]]*WWWW[[#This Row],[Total PoP ]]</f>
        <v>0</v>
      </c>
      <c r="CU26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420</v>
      </c>
      <c r="CW265" s="927">
        <f>WWWW[[#This Row],[HRP1]]/500</f>
        <v>0.84</v>
      </c>
      <c r="CX265" s="932">
        <f>1-WWWW[[#This Row],[% Equitable and continuous access to sufficient quantity of domestic water]]</f>
        <v>0</v>
      </c>
      <c r="CY265" s="927">
        <f>WWWW[[#This Row],[%equitable and continuous access to sufficient quantity of safe drinking and domestic water''s GAP]]*WWWW[[#This Row],[Total PoP ]]</f>
        <v>0</v>
      </c>
      <c r="CZ265" s="930">
        <f>IF(WWWW[[#This Row],[Total required water points]]-WWWW[[#This Row],['#Water points coverage]]&lt;0,0,WWWW[[#This Row],[Total required water points]]-WWWW[[#This Row],['#Water points coverage]])</f>
        <v>0.16000000000000003</v>
      </c>
      <c r="DA265" s="930">
        <f>ROUND(IF(WWWW[[#This Row],[Total PoP ]]&lt;500,1,WWWW[[#This Row],[Total PoP ]]/500),0)</f>
        <v>1</v>
      </c>
      <c r="DB265" s="930">
        <f>(WWWW[[#This Row],['#_Constructed latrines_by_WASHAgencies]]+WWWW[[#This Row],['#_Non Cluster partner latrines]])-WWWW[[#This Row],['#_Non-functional latrines]]</f>
        <v>88</v>
      </c>
      <c r="DC265" s="634">
        <f>WWWW[[#This Row],[HRP2]]/WWWW[[#This Row],[Total PoP ]]</f>
        <v>1</v>
      </c>
      <c r="DD26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420</v>
      </c>
      <c r="DE26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5" s="425">
        <f>IF(WWWW[[#This Row],['# of functional latrines in THF supported by WASH partners during the reporting period2]]="",0,WWWW[[#This Row],['# of functional latrines in THF supported by WASH partners during the reporting period2]]*50)</f>
        <v>0</v>
      </c>
      <c r="DH265" s="930">
        <f>ROUND(IF(WWWW[[#This Row],[Location Type 1]]="camp",WWWW[[#This Row],[Total PoP ]]/20,IF(WWWW[[#This Row],[Location Type 1]]="Temporary Location",WWWW[[#This Row],[Total PoP ]]/50,(WWWW[[#This Row],[Total PoP ]]/6))),0)</f>
        <v>21</v>
      </c>
      <c r="DI265" s="930">
        <f>IF(WWWW[[#This Row],[Total required Latrines]]-(WWWW[[#This Row],['#_Constructed latrines_by_WASHAgencies]]+WWWW[[#This Row],['#_Non Cluster partner latrines]])&lt;0,0,WWWW[[#This Row],[Total required Latrines]]-(WWWW[[#This Row],['#_Constructed latrines_by_WASHAgencies]]+WWWW[[#This Row],['#_Non Cluster partner latrines]]))</f>
        <v>0</v>
      </c>
      <c r="DJ265" s="932">
        <f>1-WWWW[[#This Row],[% people access to functioning Latrine]]</f>
        <v>0</v>
      </c>
      <c r="DK265" s="931">
        <f>IF(OR(WWWW[[#This Row],['#_Non-functional latrines]]="",WWWW[[#This Row],['#_Non-functional latrines]]=0),0,WWWW[[#This Row],['#_Non-functional latrines]]/(WWWW[[#This Row],['#_Constructed latrines_by_WASHAgencies]]+WWWW[[#This Row],['#_Non Cluster partner latrines]]))</f>
        <v>2.2222222222222223E-2</v>
      </c>
      <c r="DL265" s="927">
        <f>IF(500*(WWWW[[#This Row],['#_male hygiene promoters]]+WWWW[[#This Row],['#_female hygiene promoters]])&gt;WWWW[[#This Row],[Total PoP ]],WWWW[[#This Row],[Total PoP ]],500*(WWWW[[#This Row],['#_male hygiene promoters]]+WWWW[[#This Row],['#_female hygiene promoters]]))</f>
        <v>420</v>
      </c>
      <c r="DM26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420</v>
      </c>
      <c r="DN26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90.09</v>
      </c>
      <c r="DO265" s="930">
        <f>IF(WWWW[[#This Row],['# People with access to soap]]&gt;WWWW[[#This Row],['# People with access to Sanity Pads]],WWWW[[#This Row],['# People with access to soap]],WWWW[[#This Row],['# People with access to Sanity Pads]])</f>
        <v>420</v>
      </c>
      <c r="DP265" s="930">
        <f>IF(WWWW[[#This Row],['# people reached by regular dedicated hygiene promotion_5]]&gt;WWWW[[#This Row],['# People received regular supply of hygiene items_6]],WWWW[[#This Row],['# people reached by regular dedicated hygiene promotion_5]],WWWW[[#This Row],['# People received regular supply of hygiene items_6]])</f>
        <v>420</v>
      </c>
      <c r="DQ265" s="932">
        <f>IF(WWWW[[#This Row],[HRP3]]/WWWW[[#This Row],[Total PoP ]]&gt;1,1,WWWW[[#This Row],[HRP3]]/WWWW[[#This Row],[Total PoP ]])</f>
        <v>1</v>
      </c>
      <c r="DR265" s="931">
        <f>1-WWWW[[#This Row],[Hygiene Coverage%]]</f>
        <v>0</v>
      </c>
      <c r="DS265" s="929">
        <f>WWWW[[#This Row],['# people reached by regular dedicated hygiene promotion_5]]/WWWW[[#This Row],[Total PoP ]]</f>
        <v>1</v>
      </c>
      <c r="DT26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0.76347457627118642</v>
      </c>
      <c r="DV265" s="930">
        <f>WWWW[[#This Row],['#_Constructed/Existing hand washing stations]]-WWWW[[#This Row],['#_Non-Functional_hand_washing_stations]]</f>
        <v>2</v>
      </c>
      <c r="DW265" s="927">
        <f>IF(WWWW[[#This Row],['# Functional hand washing stations during reporting period]]*20&gt;WWWW[[#This Row],[Total HH]],WWWW[[#This Row],[Total HH]],WWWW[[#This Row],['# Functional hand washing stations during reporting period]]*20)</f>
        <v>40</v>
      </c>
      <c r="DX265" s="927">
        <f>IF(WWWW[[#This Row],[Is sufficient soap available for TLS? (Yes/No)]]="yes",WWWW[[#This Row],['#_Constructed/Existing hand washing stations at TLS/CFS/THF]],0)</f>
        <v>4</v>
      </c>
      <c r="DY265" s="429">
        <f>IF(WWWW[[#This Row],['# Functional hand washing stations during reporting period]]*100&gt;WWWW[[#This Row],[Total PoP ]],WWWW[[#This Row],[Total PoP ]],WWWW[[#This Row],['# Functional hand washing stations during reporting period]]*100)</f>
        <v>200</v>
      </c>
      <c r="DZ265" s="429" t="str">
        <f>IF(OR(WWWW[[#This Row],['#_students at TLS_CFS]]="",WWWW[[#This Row],['#_students at TLS_CFS]]=0),"No","Yes")</f>
        <v>No</v>
      </c>
      <c r="EA26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5" s="923" t="str">
        <f>VLOOKUP(WWWW[[#This Row],[Site Name]],SiteDB6[[Site Name]:[CCCM Management]],6,FALSE)</f>
        <v>Yes</v>
      </c>
      <c r="EF265" s="923" t="str">
        <f>VLOOKUP(WWWW[[#This Row],[Site Name]],SiteDB6[[Site Name]:[CCCM Focal Agency]],7,FALSE)</f>
        <v>KMSS-MYT</v>
      </c>
      <c r="EG265" s="923" t="str">
        <f>VLOOKUP(WWWW[[#This Row],[Site Name]],SiteDB6[[Site Name]:[Location Type 1]],9,FALSE)</f>
        <v>Camp</v>
      </c>
      <c r="EH265" s="923" t="str">
        <f>VLOOKUP(WWWW[[#This Row],[Site Name]],SiteDB6[[Site Name]:[Type of Accommodation]],10,FALSE)</f>
        <v>Camp</v>
      </c>
      <c r="EI265" s="923" t="str">
        <f>VLOOKUP(WWWW[[#This Row],[Site Name]],SiteDB6[[Site Name]:[Ethnic or GCA/NGCA]],11,FALSE)</f>
        <v>NGCA</v>
      </c>
      <c r="EJ265" s="923">
        <f>VLOOKUP(WWWW[[#This Row],[Site Name]],SiteDB6[[Site Name]:[Lat]],12,FALSE)</f>
        <v>25.220278</v>
      </c>
      <c r="EK265" s="923">
        <f>VLOOKUP(WWWW[[#This Row],[Site Name]],SiteDB6[[Site Name]:[Long]],13,FALSE)</f>
        <v>97.915833000000006</v>
      </c>
      <c r="EL265" s="923" t="str">
        <f>VLOOKUP(WWWW[[#This Row],[Site Name]],SiteDB6[[Site Name]:[Pcode]],3,FALSE)</f>
        <v>MMR001CMP113</v>
      </c>
      <c r="EM265" s="928" t="str">
        <f t="shared" si="4"/>
        <v>Covered</v>
      </c>
      <c r="EN265" s="928"/>
      <c r="EO265" s="923">
        <f>VLOOKUP(WWWW[[#This Row],[Site Name]],SiteDB6[[Site Name]:[Pop
(Kachin/Shan-CCCM as of July 2021)]],16,FALSE)</f>
        <v>118</v>
      </c>
      <c r="EP265" s="923">
        <f>VLOOKUP(WWWW[[#This Row],[Site Name]],SiteDB6[[Site Name]:[Pop
(Kachin/Shan-CCCM as of July 2021)]],17,FALSE)</f>
        <v>419</v>
      </c>
    </row>
    <row r="266" spans="1:146">
      <c r="A266" s="921" t="s">
        <v>2786</v>
      </c>
      <c r="B266" s="921" t="s">
        <v>36</v>
      </c>
      <c r="C266" s="922" t="s">
        <v>36</v>
      </c>
      <c r="D266" s="922" t="s">
        <v>241</v>
      </c>
      <c r="E266" s="922" t="s">
        <v>37</v>
      </c>
      <c r="F266" s="922" t="s">
        <v>142</v>
      </c>
      <c r="G266" s="594" t="str">
        <f>VLOOKUP(WWWW[[#This Row],[Site Name]],SiteDB6[[Site Name]:[Location Type]],8,FALSE)</f>
        <v>Camp</v>
      </c>
      <c r="H266" s="922" t="s">
        <v>237</v>
      </c>
      <c r="I266" s="924">
        <v>276</v>
      </c>
      <c r="J266" s="924">
        <v>1494</v>
      </c>
      <c r="K266" s="925">
        <v>44414</v>
      </c>
      <c r="L266" s="926">
        <v>44778</v>
      </c>
      <c r="M266" s="924"/>
      <c r="N266" s="924">
        <v>5</v>
      </c>
      <c r="O266" s="924"/>
      <c r="P266" s="924"/>
      <c r="Q266" s="927" t="s">
        <v>41</v>
      </c>
      <c r="R266" s="924">
        <v>4</v>
      </c>
      <c r="S266" s="924">
        <v>3</v>
      </c>
      <c r="T266" s="449">
        <v>11</v>
      </c>
      <c r="U266" s="924">
        <v>1</v>
      </c>
      <c r="V266" s="924">
        <v>1</v>
      </c>
      <c r="W266" s="924"/>
      <c r="X266" s="924"/>
      <c r="Y266" s="924"/>
      <c r="Z266" s="924"/>
      <c r="AA266" s="924"/>
      <c r="AB266" s="924"/>
      <c r="AC266" s="924"/>
      <c r="AD266" s="924"/>
      <c r="AE266" s="924"/>
      <c r="AF266" s="924"/>
      <c r="AG266" s="924"/>
      <c r="AH266" s="924"/>
      <c r="AI266" s="924">
        <v>10</v>
      </c>
      <c r="AJ266" s="924">
        <v>9</v>
      </c>
      <c r="AK266" s="924"/>
      <c r="AL266" s="924"/>
      <c r="AM266" s="924">
        <v>5</v>
      </c>
      <c r="AN266" s="924"/>
      <c r="AO266" s="449"/>
      <c r="AP266" s="928"/>
      <c r="AQ266" s="924">
        <v>97</v>
      </c>
      <c r="AR266" s="924"/>
      <c r="AS266" s="929"/>
      <c r="AT266" s="924"/>
      <c r="AU266" s="924"/>
      <c r="AV266" s="924"/>
      <c r="AW266" s="924"/>
      <c r="AX266" s="924"/>
      <c r="AY266" s="923" t="s">
        <v>41</v>
      </c>
      <c r="AZ266" s="928" t="s">
        <v>137</v>
      </c>
      <c r="BA266" s="924"/>
      <c r="BB266" s="924"/>
      <c r="BC266" s="924"/>
      <c r="BD266" s="449"/>
      <c r="BE266" s="449"/>
      <c r="BF266" s="923"/>
      <c r="BG266" s="924">
        <v>1</v>
      </c>
      <c r="BH266" s="924"/>
      <c r="BI266" s="924"/>
      <c r="BJ266" s="924">
        <v>4</v>
      </c>
      <c r="BK266" s="924"/>
      <c r="BL266" s="924"/>
      <c r="BM266" s="924">
        <v>2</v>
      </c>
      <c r="BN266" s="924">
        <v>276</v>
      </c>
      <c r="BO266" s="924">
        <v>320.46300000000002</v>
      </c>
      <c r="BP266" s="923" t="s">
        <v>41</v>
      </c>
      <c r="BQ266" s="930">
        <v>100</v>
      </c>
      <c r="BR266" s="929">
        <v>0.6</v>
      </c>
      <c r="BS266" s="923" t="s">
        <v>3060</v>
      </c>
      <c r="BT266" s="424"/>
      <c r="BU266" s="424"/>
      <c r="BV266" s="426"/>
      <c r="BW266" s="424">
        <v>0.01</v>
      </c>
      <c r="BX266" s="449"/>
      <c r="BY266" s="449"/>
      <c r="BZ266" s="449"/>
      <c r="CA266" s="449"/>
      <c r="CB266" s="449"/>
      <c r="CC266" s="807"/>
      <c r="CD266" s="449"/>
      <c r="CE266" s="931">
        <f>IFERROR(WWWW[[#This Row],['#_Water sources passed]]/WWWW[[#This Row],['#_Water sources tested for fecal coliform ]],"no test")</f>
        <v>0.9</v>
      </c>
      <c r="CF266" s="929" t="str">
        <f>IFERROR(WWWW[[#This Row],['#_Household passed]]/WWWW[[#This Row],['#_Household water samples tested for fecal coliform]],"no test")</f>
        <v>no test</v>
      </c>
      <c r="CG266" s="930" t="str">
        <f>IF(AND(WWWW[[#This Row],[% of water sources passed]]="no test",WWWW[[#This Row],[% Household passed]]="no test"),"No Test","Tested")</f>
        <v>Tested</v>
      </c>
      <c r="CH266" s="930">
        <f>WWWW[[#This Row],['#_Constructed/existing protected hand dug well]]-WWWW[[#This Row],['#_Non-functional protected hand dug well]]</f>
        <v>10</v>
      </c>
      <c r="CI266" s="930">
        <f>(WWWW[[#This Row],['#_Constructed/Existing tube wells/boreholes/handpumps_WASH_agency]]+WWWW[[#This Row],['#_Non-Cluster partner water tube-wells/boreholes/handpumps]])-WWWW[[#This Row],['#_Non-functional tube wells/boreholes/handpumps]]</f>
        <v>0</v>
      </c>
      <c r="CJ266" s="930">
        <f>WWWW[[#This Row],['#_Constructed/Existingwater storage tank with gravity fed reticulation system]]-WWWW[[#This Row],['#_Non-functional storage tank gravity fed reticulation system]]</f>
        <v>0</v>
      </c>
      <c r="CK266" s="930">
        <f>(WWWW[[#This Row],['#_Water_Liters_supplied_by_Water boating or water trucking]]/90)/15</f>
        <v>0</v>
      </c>
      <c r="CL266" s="930">
        <f>WWWW[[#This Row],['#_Water_Liters_from_Constructed/Existing water distribution system from river or natural spring]]/90/15</f>
        <v>0</v>
      </c>
      <c r="CM266" s="425">
        <f>IF(WWWW[[#This Row],['#_of water points in TLS/CFS]]*500&gt;WWWW[[#This Row],[Total PoP ]],WWWW[[#This Row],[Total PoP ]],WWWW[[#This Row],['#_of water points in TLS/CFS]]*500)</f>
        <v>0</v>
      </c>
      <c r="CN266" s="425">
        <f>IF(WWWW[[#This Row],['#_of water points in THF]]*500&gt;WWWW[[#This Row],[Total PoP ]],WWWW[[#This Row],[Total PoP ]],WWWW[[#This Row],['#_of water points in THF]]*500)</f>
        <v>0</v>
      </c>
      <c r="CO26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6" s="929">
        <f>IF(WWWW[[#This Row],[Location Type 1]]="Village",WWWW[[#This Row],[Access to safe drinking water for Village]],WWWW[[#This Row],[Access to safe drinking water for Camp]])</f>
        <v>1</v>
      </c>
      <c r="CR266" s="927">
        <f>WWWW[[#This Row],[%Equitable and continuous access to sufficient quantity of safe drinking water]]*WWWW[[#This Row],[Total PoP ]]</f>
        <v>1494</v>
      </c>
      <c r="CS266" s="929">
        <f>IF((WWWW[[#This Row],['#_Constructed/Existing protected/fenced ponds]]*250)/WWWW[[#This Row],[Total PoP ]]&gt;1,1,(WWWW[[#This Row],['#_Constructed/Existing protected/fenced ponds]]*250)/WWWW[[#This Row],[Total PoP ]])</f>
        <v>0</v>
      </c>
      <c r="CT266" s="927">
        <f>WWWW[[#This Row],[% Access to unimproved water points]]*WWWW[[#This Row],[Total PoP ]]</f>
        <v>0</v>
      </c>
      <c r="CU26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1494</v>
      </c>
      <c r="CW266" s="927">
        <f>WWWW[[#This Row],[HRP1]]/500</f>
        <v>2.988</v>
      </c>
      <c r="CX266" s="932">
        <f>1-WWWW[[#This Row],[% Equitable and continuous access to sufficient quantity of domestic water]]</f>
        <v>0</v>
      </c>
      <c r="CY266" s="927">
        <f>WWWW[[#This Row],[%equitable and continuous access to sufficient quantity of safe drinking and domestic water''s GAP]]*WWWW[[#This Row],[Total PoP ]]</f>
        <v>0</v>
      </c>
      <c r="CZ266" s="930">
        <f>IF(WWWW[[#This Row],[Total required water points]]-WWWW[[#This Row],['#Water points coverage]]&lt;0,0,WWWW[[#This Row],[Total required water points]]-WWWW[[#This Row],['#Water points coverage]])</f>
        <v>1.2000000000000011E-2</v>
      </c>
      <c r="DA266" s="930">
        <f>ROUND(IF(WWWW[[#This Row],[Total PoP ]]&lt;500,1,WWWW[[#This Row],[Total PoP ]]/500),0)</f>
        <v>3</v>
      </c>
      <c r="DB266" s="930">
        <f>(WWWW[[#This Row],['#_Constructed latrines_by_WASHAgencies]]+WWWW[[#This Row],['#_Non Cluster partner latrines]])-WWWW[[#This Row],['#_Non-functional latrines]]</f>
        <v>97</v>
      </c>
      <c r="DC266" s="634">
        <f>WWWW[[#This Row],[HRP2]]/WWWW[[#This Row],[Total PoP ]]</f>
        <v>1</v>
      </c>
      <c r="DD26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1494</v>
      </c>
      <c r="DE26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6" s="425">
        <f>IF(WWWW[[#This Row],['# of functional latrines in THF supported by WASH partners during the reporting period2]]="",0,WWWW[[#This Row],['# of functional latrines in THF supported by WASH partners during the reporting period2]]*50)</f>
        <v>0</v>
      </c>
      <c r="DH266" s="930">
        <f>ROUND(IF(WWWW[[#This Row],[Location Type 1]]="camp",WWWW[[#This Row],[Total PoP ]]/20,IF(WWWW[[#This Row],[Location Type 1]]="Temporary Location",WWWW[[#This Row],[Total PoP ]]/50,(WWWW[[#This Row],[Total PoP ]]/6))),0)</f>
        <v>75</v>
      </c>
      <c r="DI266" s="930">
        <f>IF(WWWW[[#This Row],[Total required Latrines]]-(WWWW[[#This Row],['#_Constructed latrines_by_WASHAgencies]]+WWWW[[#This Row],['#_Non Cluster partner latrines]])&lt;0,0,WWWW[[#This Row],[Total required Latrines]]-(WWWW[[#This Row],['#_Constructed latrines_by_WASHAgencies]]+WWWW[[#This Row],['#_Non Cluster partner latrines]]))</f>
        <v>0</v>
      </c>
      <c r="DJ266" s="932">
        <f>1-WWWW[[#This Row],[% people access to functioning Latrine]]</f>
        <v>0</v>
      </c>
      <c r="DK266" s="931">
        <f>IF(OR(WWWW[[#This Row],['#_Non-functional latrines]]="",WWWW[[#This Row],['#_Non-functional latrines]]=0),0,WWWW[[#This Row],['#_Non-functional latrines]]/(WWWW[[#This Row],['#_Constructed latrines_by_WASHAgencies]]+WWWW[[#This Row],['#_Non Cluster partner latrines]]))</f>
        <v>0</v>
      </c>
      <c r="DL266" s="927">
        <f>IF(500*(WWWW[[#This Row],['#_male hygiene promoters]]+WWWW[[#This Row],['#_female hygiene promoters]])&gt;WWWW[[#This Row],[Total PoP ]],WWWW[[#This Row],[Total PoP ]],500*(WWWW[[#This Row],['#_male hygiene promoters]]+WWWW[[#This Row],['#_female hygiene promoters]]))</f>
        <v>1000</v>
      </c>
      <c r="DM26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1494</v>
      </c>
      <c r="DN26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320.46300000000002</v>
      </c>
      <c r="DO266" s="930">
        <f>IF(WWWW[[#This Row],['# People with access to soap]]&gt;WWWW[[#This Row],['# People with access to Sanity Pads]],WWWW[[#This Row],['# People with access to soap]],WWWW[[#This Row],['# People with access to Sanity Pads]])</f>
        <v>1494</v>
      </c>
      <c r="DP266" s="930">
        <f>IF(WWWW[[#This Row],['# people reached by regular dedicated hygiene promotion_5]]&gt;WWWW[[#This Row],['# People received regular supply of hygiene items_6]],WWWW[[#This Row],['# people reached by regular dedicated hygiene promotion_5]],WWWW[[#This Row],['# People received regular supply of hygiene items_6]])</f>
        <v>1494</v>
      </c>
      <c r="DQ266" s="932">
        <f>IF(WWWW[[#This Row],[HRP3]]/WWWW[[#This Row],[Total PoP ]]&gt;1,1,WWWW[[#This Row],[HRP3]]/WWWW[[#This Row],[Total PoP ]])</f>
        <v>1</v>
      </c>
      <c r="DR266" s="931">
        <f>1-WWWW[[#This Row],[Hygiene Coverage%]]</f>
        <v>0</v>
      </c>
      <c r="DS266" s="929">
        <f>WWWW[[#This Row],['# people reached by regular dedicated hygiene promotion_5]]/WWWW[[#This Row],[Total PoP ]]</f>
        <v>0.66934404283801874</v>
      </c>
      <c r="DT26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6" s="930">
        <f>WWWW[[#This Row],['#_Constructed/Existing hand washing stations]]-WWWW[[#This Row],['#_Non-Functional_hand_washing_stations]]</f>
        <v>1</v>
      </c>
      <c r="DW266" s="927">
        <f>IF(WWWW[[#This Row],['# Functional hand washing stations during reporting period]]*20&gt;WWWW[[#This Row],[Total HH]],WWWW[[#This Row],[Total HH]],WWWW[[#This Row],['# Functional hand washing stations during reporting period]]*20)</f>
        <v>20</v>
      </c>
      <c r="DX266" s="927">
        <f>IF(WWWW[[#This Row],[Is sufficient soap available for TLS? (Yes/No)]]="yes",WWWW[[#This Row],['#_Constructed/Existing hand washing stations at TLS/CFS/THF]],0)</f>
        <v>5</v>
      </c>
      <c r="DY266" s="429">
        <f>IF(WWWW[[#This Row],['# Functional hand washing stations during reporting period]]*100&gt;WWWW[[#This Row],[Total PoP ]],WWWW[[#This Row],[Total PoP ]],WWWW[[#This Row],['# Functional hand washing stations during reporting period]]*100)</f>
        <v>100</v>
      </c>
      <c r="DZ266" s="429" t="str">
        <f>IF(OR(WWWW[[#This Row],['#_students at TLS_CFS]]="",WWWW[[#This Row],['#_students at TLS_CFS]]=0),"No","Yes")</f>
        <v>No</v>
      </c>
      <c r="EA26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6" s="923" t="str">
        <f>VLOOKUP(WWWW[[#This Row],[Site Name]],SiteDB6[[Site Name]:[CCCM Management]],6,FALSE)</f>
        <v>Yes</v>
      </c>
      <c r="EF266" s="923" t="str">
        <f>VLOOKUP(WWWW[[#This Row],[Site Name]],SiteDB6[[Site Name]:[CCCM Focal Agency]],7,FALSE)</f>
        <v>KMSS-MYT</v>
      </c>
      <c r="EG266" s="923" t="str">
        <f>VLOOKUP(WWWW[[#This Row],[Site Name]],SiteDB6[[Site Name]:[Location Type 1]],9,FALSE)</f>
        <v>Camp</v>
      </c>
      <c r="EH266" s="923" t="str">
        <f>VLOOKUP(WWWW[[#This Row],[Site Name]],SiteDB6[[Site Name]:[Type of Accommodation]],10,FALSE)</f>
        <v>Camp</v>
      </c>
      <c r="EI266" s="923" t="str">
        <f>VLOOKUP(WWWW[[#This Row],[Site Name]],SiteDB6[[Site Name]:[Ethnic or GCA/NGCA]],11,FALSE)</f>
        <v>GCA</v>
      </c>
      <c r="EJ266" s="923">
        <f>VLOOKUP(WWWW[[#This Row],[Site Name]],SiteDB6[[Site Name]:[Lat]],12,FALSE)</f>
        <v>25.415667500000001</v>
      </c>
      <c r="EK266" s="923">
        <f>VLOOKUP(WWWW[[#This Row],[Site Name]],SiteDB6[[Site Name]:[Long]],13,FALSE)</f>
        <v>97.437782499999997</v>
      </c>
      <c r="EL266" s="923" t="str">
        <f>VLOOKUP(WWWW[[#This Row],[Site Name]],SiteDB6[[Site Name]:[Pcode]],3,FALSE)</f>
        <v>MMR001CMP029</v>
      </c>
      <c r="EM266" s="928" t="str">
        <f t="shared" si="4"/>
        <v>Covered</v>
      </c>
      <c r="EN266" s="928"/>
      <c r="EO266" s="923">
        <f>VLOOKUP(WWWW[[#This Row],[Site Name]],SiteDB6[[Site Name]:[Pop
(Kachin/Shan-CCCM as of July 2021)]],16,FALSE)</f>
        <v>276</v>
      </c>
      <c r="EP266" s="923">
        <f>VLOOKUP(WWWW[[#This Row],[Site Name]],SiteDB6[[Site Name]:[Pop
(Kachin/Shan-CCCM as of July 2021)]],17,FALSE)</f>
        <v>1492</v>
      </c>
    </row>
    <row r="267" spans="1:146">
      <c r="A267" s="921" t="s">
        <v>2786</v>
      </c>
      <c r="B267" s="921" t="s">
        <v>36</v>
      </c>
      <c r="C267" s="922" t="s">
        <v>36</v>
      </c>
      <c r="D267" s="922" t="s">
        <v>241</v>
      </c>
      <c r="E267" s="922" t="s">
        <v>37</v>
      </c>
      <c r="F267" s="922" t="s">
        <v>142</v>
      </c>
      <c r="G267" s="594" t="str">
        <f>VLOOKUP(WWWW[[#This Row],[Site Name]],SiteDB6[[Site Name]:[Location Type]],8,FALSE)</f>
        <v>Camp</v>
      </c>
      <c r="H267" s="1078" t="s">
        <v>3024</v>
      </c>
      <c r="I267" s="924">
        <v>57</v>
      </c>
      <c r="J267" s="924">
        <v>344</v>
      </c>
      <c r="K267" s="925">
        <v>44414</v>
      </c>
      <c r="L267" s="926">
        <v>44778</v>
      </c>
      <c r="M267" s="924"/>
      <c r="N267" s="924">
        <v>3</v>
      </c>
      <c r="O267" s="924"/>
      <c r="P267" s="924"/>
      <c r="Q267" s="927" t="s">
        <v>41</v>
      </c>
      <c r="R267" s="924">
        <v>3</v>
      </c>
      <c r="S267" s="924">
        <v>4</v>
      </c>
      <c r="T267" s="449">
        <v>2</v>
      </c>
      <c r="U267" s="924">
        <v>1</v>
      </c>
      <c r="V267" s="924">
        <v>1</v>
      </c>
      <c r="W267" s="924">
        <v>1</v>
      </c>
      <c r="X267" s="924"/>
      <c r="Y267" s="924"/>
      <c r="Z267" s="924"/>
      <c r="AA267" s="924">
        <v>1</v>
      </c>
      <c r="AB267" s="924"/>
      <c r="AC267" s="924"/>
      <c r="AD267" s="924"/>
      <c r="AE267" s="924"/>
      <c r="AF267" s="924"/>
      <c r="AG267" s="924"/>
      <c r="AH267" s="924"/>
      <c r="AI267" s="924"/>
      <c r="AJ267" s="924"/>
      <c r="AK267" s="924"/>
      <c r="AL267" s="924"/>
      <c r="AM267" s="924">
        <v>4</v>
      </c>
      <c r="AN267" s="924"/>
      <c r="AO267" s="449"/>
      <c r="AP267" s="928"/>
      <c r="AQ267" s="924">
        <v>98</v>
      </c>
      <c r="AR267" s="924"/>
      <c r="AS267" s="929"/>
      <c r="AT267" s="924"/>
      <c r="AU267" s="924"/>
      <c r="AV267" s="924"/>
      <c r="AW267" s="924"/>
      <c r="AX267" s="924"/>
      <c r="AY267" s="923" t="s">
        <v>41</v>
      </c>
      <c r="AZ267" s="928" t="s">
        <v>137</v>
      </c>
      <c r="BA267" s="924">
        <v>3</v>
      </c>
      <c r="BB267" s="924"/>
      <c r="BC267" s="924"/>
      <c r="BD267" s="449"/>
      <c r="BE267" s="449"/>
      <c r="BF267" s="923"/>
      <c r="BG267" s="924">
        <v>1</v>
      </c>
      <c r="BH267" s="924"/>
      <c r="BI267" s="924"/>
      <c r="BJ267" s="924">
        <v>4</v>
      </c>
      <c r="BK267" s="924">
        <v>1</v>
      </c>
      <c r="BL267" s="924"/>
      <c r="BM267" s="924">
        <v>1</v>
      </c>
      <c r="BN267" s="924">
        <v>57</v>
      </c>
      <c r="BO267" s="924">
        <v>73.787999999999997</v>
      </c>
      <c r="BP267" s="923" t="s">
        <v>41</v>
      </c>
      <c r="BQ267" s="930">
        <v>100</v>
      </c>
      <c r="BR267" s="929"/>
      <c r="BS267" s="923" t="s">
        <v>3060</v>
      </c>
      <c r="BT267" s="424"/>
      <c r="BU267" s="424"/>
      <c r="BV267" s="426"/>
      <c r="BW267" s="424">
        <v>0.01</v>
      </c>
      <c r="BX267" s="449"/>
      <c r="BY267" s="449"/>
      <c r="BZ267" s="449"/>
      <c r="CA267" s="449"/>
      <c r="CB267" s="449"/>
      <c r="CC267" s="807"/>
      <c r="CD267" s="449"/>
      <c r="CE267" s="931" t="str">
        <f>IFERROR(WWWW[[#This Row],['#_Water sources passed]]/WWWW[[#This Row],['#_Water sources tested for fecal coliform ]],"no test")</f>
        <v>no test</v>
      </c>
      <c r="CF267" s="929" t="str">
        <f>IFERROR(WWWW[[#This Row],['#_Household passed]]/WWWW[[#This Row],['#_Household water samples tested for fecal coliform]],"no test")</f>
        <v>no test</v>
      </c>
      <c r="CG267" s="930" t="str">
        <f>IF(AND(WWWW[[#This Row],[% of water sources passed]]="no test",WWWW[[#This Row],[% Household passed]]="no test"),"No Test","Tested")</f>
        <v>No Test</v>
      </c>
      <c r="CH267" s="930">
        <f>WWWW[[#This Row],['#_Constructed/existing protected hand dug well]]-WWWW[[#This Row],['#_Non-functional protected hand dug well]]</f>
        <v>1</v>
      </c>
      <c r="CI267" s="930">
        <f>(WWWW[[#This Row],['#_Constructed/Existing tube wells/boreholes/handpumps_WASH_agency]]+WWWW[[#This Row],['#_Non-Cluster partner water tube-wells/boreholes/handpumps]])-WWWW[[#This Row],['#_Non-functional tube wells/boreholes/handpumps]]</f>
        <v>1</v>
      </c>
      <c r="CJ267" s="930">
        <f>WWWW[[#This Row],['#_Constructed/Existingwater storage tank with gravity fed reticulation system]]-WWWW[[#This Row],['#_Non-functional storage tank gravity fed reticulation system]]</f>
        <v>1</v>
      </c>
      <c r="CK267" s="930">
        <f>(WWWW[[#This Row],['#_Water_Liters_supplied_by_Water boating or water trucking]]/90)/15</f>
        <v>0</v>
      </c>
      <c r="CL267" s="930">
        <f>WWWW[[#This Row],['#_Water_Liters_from_Constructed/Existing water distribution system from river or natural spring]]/90/15</f>
        <v>0</v>
      </c>
      <c r="CM267" s="425">
        <f>IF(WWWW[[#This Row],['#_of water points in TLS/CFS]]*500&gt;WWWW[[#This Row],[Total PoP ]],WWWW[[#This Row],[Total PoP ]],WWWW[[#This Row],['#_of water points in TLS/CFS]]*500)</f>
        <v>0</v>
      </c>
      <c r="CN267" s="425">
        <f>IF(WWWW[[#This Row],['#_of water points in THF]]*500&gt;WWWW[[#This Row],[Total PoP ]],WWWW[[#This Row],[Total PoP ]],WWWW[[#This Row],['#_of water points in THF]]*500)</f>
        <v>0</v>
      </c>
      <c r="CO26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7" s="929">
        <f>IF(WWWW[[#This Row],[Location Type 1]]="Village",WWWW[[#This Row],[Access to safe drinking water for Village]],WWWW[[#This Row],[Access to safe drinking water for Camp]])</f>
        <v>1</v>
      </c>
      <c r="CR267" s="927">
        <f>WWWW[[#This Row],[%Equitable and continuous access to sufficient quantity of safe drinking water]]*WWWW[[#This Row],[Total PoP ]]</f>
        <v>344</v>
      </c>
      <c r="CS267" s="929">
        <f>IF((WWWW[[#This Row],['#_Constructed/Existing protected/fenced ponds]]*250)/WWWW[[#This Row],[Total PoP ]]&gt;1,1,(WWWW[[#This Row],['#_Constructed/Existing protected/fenced ponds]]*250)/WWWW[[#This Row],[Total PoP ]])</f>
        <v>0</v>
      </c>
      <c r="CT267" s="927">
        <f>WWWW[[#This Row],[% Access to unimproved water points]]*WWWW[[#This Row],[Total PoP ]]</f>
        <v>0</v>
      </c>
      <c r="CU26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W267" s="927">
        <f>WWWW[[#This Row],[HRP1]]/500</f>
        <v>0.68799999999999994</v>
      </c>
      <c r="CX267" s="932">
        <f>1-WWWW[[#This Row],[% Equitable and continuous access to sufficient quantity of domestic water]]</f>
        <v>0</v>
      </c>
      <c r="CY267" s="927">
        <f>WWWW[[#This Row],[%equitable and continuous access to sufficient quantity of safe drinking and domestic water''s GAP]]*WWWW[[#This Row],[Total PoP ]]</f>
        <v>0</v>
      </c>
      <c r="CZ267" s="930">
        <f>IF(WWWW[[#This Row],[Total required water points]]-WWWW[[#This Row],['#Water points coverage]]&lt;0,0,WWWW[[#This Row],[Total required water points]]-WWWW[[#This Row],['#Water points coverage]])</f>
        <v>0.31200000000000006</v>
      </c>
      <c r="DA267" s="930">
        <f>ROUND(IF(WWWW[[#This Row],[Total PoP ]]&lt;500,1,WWWW[[#This Row],[Total PoP ]]/500),0)</f>
        <v>1</v>
      </c>
      <c r="DB267" s="930">
        <f>(WWWW[[#This Row],['#_Constructed latrines_by_WASHAgencies]]+WWWW[[#This Row],['#_Non Cluster partner latrines]])-WWWW[[#This Row],['#_Non-functional latrines]]</f>
        <v>98</v>
      </c>
      <c r="DC267" s="634">
        <f>WWWW[[#This Row],[HRP2]]/WWWW[[#This Row],[Total PoP ]]</f>
        <v>1</v>
      </c>
      <c r="DD26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344</v>
      </c>
      <c r="DE26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7" s="425">
        <f>IF(WWWW[[#This Row],['# of functional latrines in THF supported by WASH partners during the reporting period2]]="",0,WWWW[[#This Row],['# of functional latrines in THF supported by WASH partners during the reporting period2]]*50)</f>
        <v>0</v>
      </c>
      <c r="DH267" s="930">
        <f>ROUND(IF(WWWW[[#This Row],[Location Type 1]]="camp",WWWW[[#This Row],[Total PoP ]]/20,IF(WWWW[[#This Row],[Location Type 1]]="Temporary Location",WWWW[[#This Row],[Total PoP ]]/50,(WWWW[[#This Row],[Total PoP ]]/6))),0)</f>
        <v>17</v>
      </c>
      <c r="DI267" s="930">
        <f>IF(WWWW[[#This Row],[Total required Latrines]]-(WWWW[[#This Row],['#_Constructed latrines_by_WASHAgencies]]+WWWW[[#This Row],['#_Non Cluster partner latrines]])&lt;0,0,WWWW[[#This Row],[Total required Latrines]]-(WWWW[[#This Row],['#_Constructed latrines_by_WASHAgencies]]+WWWW[[#This Row],['#_Non Cluster partner latrines]]))</f>
        <v>0</v>
      </c>
      <c r="DJ267" s="932">
        <f>1-WWWW[[#This Row],[% people access to functioning Latrine]]</f>
        <v>0</v>
      </c>
      <c r="DK267" s="931">
        <f>IF(OR(WWWW[[#This Row],['#_Non-functional latrines]]="",WWWW[[#This Row],['#_Non-functional latrines]]=0),0,WWWW[[#This Row],['#_Non-functional latrines]]/(WWWW[[#This Row],['#_Constructed latrines_by_WASHAgencies]]+WWWW[[#This Row],['#_Non Cluster partner latrines]]))</f>
        <v>0</v>
      </c>
      <c r="DL267" s="927">
        <f>IF(500*(WWWW[[#This Row],['#_male hygiene promoters]]+WWWW[[#This Row],['#_female hygiene promoters]])&gt;WWWW[[#This Row],[Total PoP ]],WWWW[[#This Row],[Total PoP ]],500*(WWWW[[#This Row],['#_male hygiene promoters]]+WWWW[[#This Row],['#_female hygiene promoters]]))</f>
        <v>344</v>
      </c>
      <c r="DM26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344</v>
      </c>
      <c r="DN26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73.787999999999997</v>
      </c>
      <c r="DO267" s="930">
        <f>IF(WWWW[[#This Row],['# People with access to soap]]&gt;WWWW[[#This Row],['# People with access to Sanity Pads]],WWWW[[#This Row],['# People with access to soap]],WWWW[[#This Row],['# People with access to Sanity Pads]])</f>
        <v>344</v>
      </c>
      <c r="DP267" s="930">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Q267" s="932">
        <f>IF(WWWW[[#This Row],[HRP3]]/WWWW[[#This Row],[Total PoP ]]&gt;1,1,WWWW[[#This Row],[HRP3]]/WWWW[[#This Row],[Total PoP ]])</f>
        <v>1</v>
      </c>
      <c r="DR267" s="931">
        <f>1-WWWW[[#This Row],[Hygiene Coverage%]]</f>
        <v>0</v>
      </c>
      <c r="DS267" s="929">
        <f>WWWW[[#This Row],['# people reached by regular dedicated hygiene promotion_5]]/WWWW[[#This Row],[Total PoP ]]</f>
        <v>1</v>
      </c>
      <c r="DT26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67" s="930">
        <f>WWWW[[#This Row],['#_Constructed/Existing hand washing stations]]-WWWW[[#This Row],['#_Non-Functional_hand_washing_stations]]</f>
        <v>1</v>
      </c>
      <c r="DW267" s="927">
        <f>IF(WWWW[[#This Row],['# Functional hand washing stations during reporting period]]*20&gt;WWWW[[#This Row],[Total HH]],WWWW[[#This Row],[Total HH]],WWWW[[#This Row],['# Functional hand washing stations during reporting period]]*20)</f>
        <v>20</v>
      </c>
      <c r="DX267" s="927">
        <f>IF(WWWW[[#This Row],[Is sufficient soap available for TLS? (Yes/No)]]="yes",WWWW[[#This Row],['#_Constructed/Existing hand washing stations at TLS/CFS/THF]],0)</f>
        <v>4</v>
      </c>
      <c r="DY267" s="429">
        <f>IF(WWWW[[#This Row],['# Functional hand washing stations during reporting period]]*100&gt;WWWW[[#This Row],[Total PoP ]],WWWW[[#This Row],[Total PoP ]],WWWW[[#This Row],['# Functional hand washing stations during reporting period]]*100)</f>
        <v>100</v>
      </c>
      <c r="DZ267" s="429" t="str">
        <f>IF(OR(WWWW[[#This Row],['#_students at TLS_CFS]]="",WWWW[[#This Row],['#_students at TLS_CFS]]=0),"No","Yes")</f>
        <v>No</v>
      </c>
      <c r="EA26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7" s="923">
        <f>VLOOKUP(WWWW[[#This Row],[Site Name]],SiteDB6[[Site Name]:[CCCM Management]],6,FALSE)</f>
        <v>0</v>
      </c>
      <c r="EF267" s="923">
        <f>VLOOKUP(WWWW[[#This Row],[Site Name]],SiteDB6[[Site Name]:[CCCM Focal Agency]],7,FALSE)</f>
        <v>0</v>
      </c>
      <c r="EG267" s="923" t="str">
        <f>VLOOKUP(WWWW[[#This Row],[Site Name]],SiteDB6[[Site Name]:[Location Type 1]],9,FALSE)</f>
        <v>Camp</v>
      </c>
      <c r="EH267" s="923" t="str">
        <f>VLOOKUP(WWWW[[#This Row],[Site Name]],SiteDB6[[Site Name]:[Type of Accommodation]],10,FALSE)</f>
        <v>Camp</v>
      </c>
      <c r="EI267" s="923" t="str">
        <f>VLOOKUP(WWWW[[#This Row],[Site Name]],SiteDB6[[Site Name]:[Ethnic or GCA/NGCA]],11,FALSE)</f>
        <v>GCA</v>
      </c>
      <c r="EJ267" s="923">
        <f>VLOOKUP(WWWW[[#This Row],[Site Name]],SiteDB6[[Site Name]:[Lat]],12,FALSE)</f>
        <v>25.428995</v>
      </c>
      <c r="EK267" s="923">
        <f>VLOOKUP(WWWW[[#This Row],[Site Name]],SiteDB6[[Site Name]:[Long]],13,FALSE)</f>
        <v>97.957487999999998</v>
      </c>
      <c r="EL267" s="923" t="str">
        <f>VLOOKUP(WWWW[[#This Row],[Site Name]],SiteDB6[[Site Name]:[Pcode]],3,FALSE)</f>
        <v>MMR001CMP279</v>
      </c>
      <c r="EM267" s="928" t="str">
        <f t="shared" si="4"/>
        <v>Covered</v>
      </c>
      <c r="EN267" s="928"/>
      <c r="EO267" s="923">
        <f>VLOOKUP(WWWW[[#This Row],[Site Name]],SiteDB6[[Site Name]:[Pop
(Kachin/Shan-CCCM as of July 2021)]],16,FALSE)</f>
        <v>55</v>
      </c>
      <c r="EP267" s="923">
        <f>VLOOKUP(WWWW[[#This Row],[Site Name]],SiteDB6[[Site Name]:[Pop
(Kachin/Shan-CCCM as of July 2021)]],17,FALSE)</f>
        <v>320</v>
      </c>
    </row>
    <row r="268" spans="1:146">
      <c r="A268" s="921" t="s">
        <v>2786</v>
      </c>
      <c r="B268" s="921" t="s">
        <v>2752</v>
      </c>
      <c r="C268" s="922" t="s">
        <v>2752</v>
      </c>
      <c r="D268" s="922" t="s">
        <v>2753</v>
      </c>
      <c r="E268" s="922" t="s">
        <v>37</v>
      </c>
      <c r="F268" s="922" t="s">
        <v>38</v>
      </c>
      <c r="G268" s="594" t="str">
        <f>VLOOKUP(WWWW[[#This Row],[Site Name]],SiteDB6[[Site Name]:[Location Type]],8,FALSE)</f>
        <v>Camp</v>
      </c>
      <c r="H268" s="922" t="s">
        <v>298</v>
      </c>
      <c r="I268" s="924">
        <v>155</v>
      </c>
      <c r="J268" s="924">
        <v>655</v>
      </c>
      <c r="K268" s="591" t="s">
        <v>3057</v>
      </c>
      <c r="L268" s="592" t="s">
        <v>3058</v>
      </c>
      <c r="M268" s="924"/>
      <c r="N268" s="924">
        <v>2</v>
      </c>
      <c r="O268" s="924"/>
      <c r="P268" s="924"/>
      <c r="Q268" s="927" t="s">
        <v>41</v>
      </c>
      <c r="R268" s="924">
        <v>4</v>
      </c>
      <c r="S268" s="924">
        <v>3</v>
      </c>
      <c r="T268" s="449">
        <v>2</v>
      </c>
      <c r="U268" s="924">
        <v>1</v>
      </c>
      <c r="V268" s="924">
        <v>1</v>
      </c>
      <c r="W268" s="924"/>
      <c r="X268" s="924">
        <v>1</v>
      </c>
      <c r="Y268" s="924"/>
      <c r="Z268" s="924"/>
      <c r="AA268" s="924">
        <v>1</v>
      </c>
      <c r="AB268" s="924"/>
      <c r="AC268" s="924">
        <v>1</v>
      </c>
      <c r="AD268" s="924"/>
      <c r="AE268" s="924"/>
      <c r="AF268" s="924"/>
      <c r="AG268" s="924"/>
      <c r="AH268" s="924"/>
      <c r="AI268" s="924"/>
      <c r="AJ268" s="924"/>
      <c r="AK268" s="924"/>
      <c r="AL268" s="924"/>
      <c r="AM268" s="924"/>
      <c r="AN268" s="924"/>
      <c r="AO268" s="449"/>
      <c r="AP268" s="928"/>
      <c r="AQ268" s="924">
        <v>18</v>
      </c>
      <c r="AR268" s="924"/>
      <c r="AS268" s="929"/>
      <c r="AT268" s="924"/>
      <c r="AU268" s="924"/>
      <c r="AV268" s="924"/>
      <c r="AW268" s="924"/>
      <c r="AX268" s="924"/>
      <c r="AY268" s="923" t="s">
        <v>140</v>
      </c>
      <c r="AZ268" s="928" t="s">
        <v>140</v>
      </c>
      <c r="BA268" s="924"/>
      <c r="BB268" s="924"/>
      <c r="BC268" s="924"/>
      <c r="BD268" s="449"/>
      <c r="BE268" s="449"/>
      <c r="BF268" s="923"/>
      <c r="BG268" s="924">
        <v>3</v>
      </c>
      <c r="BH268" s="924"/>
      <c r="BI268" s="924"/>
      <c r="BJ268" s="924">
        <v>2</v>
      </c>
      <c r="BK268" s="924"/>
      <c r="BL268" s="924"/>
      <c r="BM268" s="924">
        <v>2</v>
      </c>
      <c r="BN268" s="924">
        <v>155</v>
      </c>
      <c r="BO268" s="924">
        <v>140.4975</v>
      </c>
      <c r="BP268" s="923" t="s">
        <v>41</v>
      </c>
      <c r="BQ268" s="930">
        <v>100</v>
      </c>
      <c r="BR268" s="929"/>
      <c r="BS268" s="923" t="s">
        <v>3059</v>
      </c>
      <c r="BT268" s="424"/>
      <c r="BU268" s="424"/>
      <c r="BV268" s="426"/>
      <c r="BW268" s="424">
        <v>0.01</v>
      </c>
      <c r="BX268" s="449"/>
      <c r="BY268" s="449"/>
      <c r="BZ268" s="449"/>
      <c r="CA268" s="449"/>
      <c r="CB268" s="449"/>
      <c r="CC268" s="807"/>
      <c r="CD268" s="449"/>
      <c r="CE268" s="931" t="str">
        <f>IFERROR(WWWW[[#This Row],['#_Water sources passed]]/WWWW[[#This Row],['#_Water sources tested for fecal coliform ]],"no test")</f>
        <v>no test</v>
      </c>
      <c r="CF268" s="929" t="str">
        <f>IFERROR(WWWW[[#This Row],['#_Household passed]]/WWWW[[#This Row],['#_Household water samples tested for fecal coliform]],"no test")</f>
        <v>no test</v>
      </c>
      <c r="CG268" s="930" t="str">
        <f>IF(AND(WWWW[[#This Row],[% of water sources passed]]="no test",WWWW[[#This Row],[% Household passed]]="no test"),"No Test","Tested")</f>
        <v>No Test</v>
      </c>
      <c r="CH268" s="930">
        <f>WWWW[[#This Row],['#_Constructed/existing protected hand dug well]]-WWWW[[#This Row],['#_Non-functional protected hand dug well]]</f>
        <v>1</v>
      </c>
      <c r="CI268" s="930">
        <f>(WWWW[[#This Row],['#_Constructed/Existing tube wells/boreholes/handpumps_WASH_agency]]+WWWW[[#This Row],['#_Non-Cluster partner water tube-wells/boreholes/handpumps]])-WWWW[[#This Row],['#_Non-functional tube wells/boreholes/handpumps]]</f>
        <v>1</v>
      </c>
      <c r="CJ268" s="930">
        <f>WWWW[[#This Row],['#_Constructed/Existingwater storage tank with gravity fed reticulation system]]-WWWW[[#This Row],['#_Non-functional storage tank gravity fed reticulation system]]</f>
        <v>1</v>
      </c>
      <c r="CK268" s="930">
        <f>(WWWW[[#This Row],['#_Water_Liters_supplied_by_Water boating or water trucking]]/90)/15</f>
        <v>0</v>
      </c>
      <c r="CL268" s="930">
        <f>WWWW[[#This Row],['#_Water_Liters_from_Constructed/Existing water distribution system from river or natural spring]]/90/15</f>
        <v>0</v>
      </c>
      <c r="CM268" s="425">
        <f>IF(WWWW[[#This Row],['#_of water points in TLS/CFS]]*500&gt;WWWW[[#This Row],[Total PoP ]],WWWW[[#This Row],[Total PoP ]],WWWW[[#This Row],['#_of water points in TLS/CFS]]*500)</f>
        <v>0</v>
      </c>
      <c r="CN268" s="425">
        <f>IF(WWWW[[#This Row],['#_of water points in THF]]*500&gt;WWWW[[#This Row],[Total PoP ]],WWWW[[#This Row],[Total PoP ]],WWWW[[#This Row],['#_of water points in THF]]*500)</f>
        <v>0</v>
      </c>
      <c r="CO26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0.86513994910941472</v>
      </c>
      <c r="CQ268" s="929">
        <f>IF(WWWW[[#This Row],[Location Type 1]]="Village",WWWW[[#This Row],[Access to safe drinking water for Village]],WWWW[[#This Row],[Access to safe drinking water for Camp]])</f>
        <v>1</v>
      </c>
      <c r="CR268" s="927">
        <f>WWWW[[#This Row],[%Equitable and continuous access to sufficient quantity of safe drinking water]]*WWWW[[#This Row],[Total PoP ]]</f>
        <v>655</v>
      </c>
      <c r="CS268" s="929">
        <f>IF((WWWW[[#This Row],['#_Constructed/Existing protected/fenced ponds]]*250)/WWWW[[#This Row],[Total PoP ]]&gt;1,1,(WWWW[[#This Row],['#_Constructed/Existing protected/fenced ponds]]*250)/WWWW[[#This Row],[Total PoP ]])</f>
        <v>0</v>
      </c>
      <c r="CT268" s="927">
        <f>WWWW[[#This Row],[% Access to unimproved water points]]*WWWW[[#This Row],[Total PoP ]]</f>
        <v>0</v>
      </c>
      <c r="CU26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W268" s="927">
        <f>WWWW[[#This Row],[HRP1]]/500</f>
        <v>1.31</v>
      </c>
      <c r="CX268" s="932">
        <f>1-WWWW[[#This Row],[% Equitable and continuous access to sufficient quantity of domestic water]]</f>
        <v>0</v>
      </c>
      <c r="CY268" s="927">
        <f>WWWW[[#This Row],[%equitable and continuous access to sufficient quantity of safe drinking and domestic water''s GAP]]*WWWW[[#This Row],[Total PoP ]]</f>
        <v>0</v>
      </c>
      <c r="CZ268" s="930">
        <f>IF(WWWW[[#This Row],[Total required water points]]-WWWW[[#This Row],['#Water points coverage]]&lt;0,0,WWWW[[#This Row],[Total required water points]]-WWWW[[#This Row],['#Water points coverage]])</f>
        <v>0</v>
      </c>
      <c r="DA268" s="930">
        <f>ROUND(IF(WWWW[[#This Row],[Total PoP ]]&lt;500,1,WWWW[[#This Row],[Total PoP ]]/500),0)</f>
        <v>1</v>
      </c>
      <c r="DB268" s="930">
        <f>(WWWW[[#This Row],['#_Constructed latrines_by_WASHAgencies]]+WWWW[[#This Row],['#_Non Cluster partner latrines]])-WWWW[[#This Row],['#_Non-functional latrines]]</f>
        <v>18</v>
      </c>
      <c r="DC268" s="634">
        <f>WWWW[[#This Row],[HRP2]]/WWWW[[#This Row],[Total PoP ]]</f>
        <v>0.54961832061068705</v>
      </c>
      <c r="DD26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360</v>
      </c>
      <c r="DE26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8" s="425">
        <f>IF(WWWW[[#This Row],['# of functional latrines in THF supported by WASH partners during the reporting period2]]="",0,WWWW[[#This Row],['# of functional latrines in THF supported by WASH partners during the reporting period2]]*50)</f>
        <v>0</v>
      </c>
      <c r="DH268" s="930">
        <f>ROUND(IF(WWWW[[#This Row],[Location Type 1]]="camp",WWWW[[#This Row],[Total PoP ]]/20,IF(WWWW[[#This Row],[Location Type 1]]="Temporary Location",WWWW[[#This Row],[Total PoP ]]/50,(WWWW[[#This Row],[Total PoP ]]/6))),0)</f>
        <v>33</v>
      </c>
      <c r="DI268" s="930">
        <f>IF(WWWW[[#This Row],[Total required Latrines]]-(WWWW[[#This Row],['#_Constructed latrines_by_WASHAgencies]]+WWWW[[#This Row],['#_Non Cluster partner latrines]])&lt;0,0,WWWW[[#This Row],[Total required Latrines]]-(WWWW[[#This Row],['#_Constructed latrines_by_WASHAgencies]]+WWWW[[#This Row],['#_Non Cluster partner latrines]]))</f>
        <v>15</v>
      </c>
      <c r="DJ268" s="932">
        <f>1-WWWW[[#This Row],[% people access to functioning Latrine]]</f>
        <v>0.45038167938931295</v>
      </c>
      <c r="DK268" s="931">
        <f>IF(OR(WWWW[[#This Row],['#_Non-functional latrines]]="",WWWW[[#This Row],['#_Non-functional latrines]]=0),0,WWWW[[#This Row],['#_Non-functional latrines]]/(WWWW[[#This Row],['#_Constructed latrines_by_WASHAgencies]]+WWWW[[#This Row],['#_Non Cluster partner latrines]]))</f>
        <v>0</v>
      </c>
      <c r="DL268" s="927">
        <f>IF(500*(WWWW[[#This Row],['#_male hygiene promoters]]+WWWW[[#This Row],['#_female hygiene promoters]])&gt;WWWW[[#This Row],[Total PoP ]],WWWW[[#This Row],[Total PoP ]],500*(WWWW[[#This Row],['#_male hygiene promoters]]+WWWW[[#This Row],['#_female hygiene promoters]]))</f>
        <v>655</v>
      </c>
      <c r="DM26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655</v>
      </c>
      <c r="DN26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140.4975</v>
      </c>
      <c r="DO268" s="930">
        <f>IF(WWWW[[#This Row],['# People with access to soap]]&gt;WWWW[[#This Row],['# People with access to Sanity Pads]],WWWW[[#This Row],['# People with access to soap]],WWWW[[#This Row],['# People with access to Sanity Pads]])</f>
        <v>655</v>
      </c>
      <c r="DP268" s="930">
        <f>IF(WWWW[[#This Row],['# people reached by regular dedicated hygiene promotion_5]]&gt;WWWW[[#This Row],['# People received regular supply of hygiene items_6]],WWWW[[#This Row],['# people reached by regular dedicated hygiene promotion_5]],WWWW[[#This Row],['# People received regular supply of hygiene items_6]])</f>
        <v>655</v>
      </c>
      <c r="DQ268" s="932">
        <f>IF(WWWW[[#This Row],[HRP3]]/WWWW[[#This Row],[Total PoP ]]&gt;1,1,WWWW[[#This Row],[HRP3]]/WWWW[[#This Row],[Total PoP ]])</f>
        <v>1</v>
      </c>
      <c r="DR268" s="931">
        <f>1-WWWW[[#This Row],[Hygiene Coverage%]]</f>
        <v>0</v>
      </c>
      <c r="DS268" s="929">
        <f>WWWW[[#This Row],['# people reached by regular dedicated hygiene promotion_5]]/WWWW[[#This Row],[Total PoP ]]</f>
        <v>1</v>
      </c>
      <c r="DT26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0.90643548387096773</v>
      </c>
      <c r="DV268" s="930">
        <f>WWWW[[#This Row],['#_Constructed/Existing hand washing stations]]-WWWW[[#This Row],['#_Non-Functional_hand_washing_stations]]</f>
        <v>3</v>
      </c>
      <c r="DW268" s="927">
        <f>IF(WWWW[[#This Row],['# Functional hand washing stations during reporting period]]*20&gt;WWWW[[#This Row],[Total HH]],WWWW[[#This Row],[Total HH]],WWWW[[#This Row],['# Functional hand washing stations during reporting period]]*20)</f>
        <v>60</v>
      </c>
      <c r="DX268" s="927">
        <f>IF(WWWW[[#This Row],[Is sufficient soap available for TLS? (Yes/No)]]="yes",WWWW[[#This Row],['#_Constructed/Existing hand washing stations at TLS/CFS/THF]],0)</f>
        <v>0</v>
      </c>
      <c r="DY268" s="429">
        <f>IF(WWWW[[#This Row],['# Functional hand washing stations during reporting period]]*100&gt;WWWW[[#This Row],[Total PoP ]],WWWW[[#This Row],[Total PoP ]],WWWW[[#This Row],['# Functional hand washing stations during reporting period]]*100)</f>
        <v>300</v>
      </c>
      <c r="DZ268" s="429" t="str">
        <f>IF(OR(WWWW[[#This Row],['#_students at TLS_CFS]]="",WWWW[[#This Row],['#_students at TLS_CFS]]=0),"No","Yes")</f>
        <v>No</v>
      </c>
      <c r="EA26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8" s="923" t="str">
        <f>VLOOKUP(WWWW[[#This Row],[Site Name]],SiteDB6[[Site Name]:[CCCM Management]],6,FALSE)</f>
        <v>Yes</v>
      </c>
      <c r="EF268" s="923" t="str">
        <f>VLOOKUP(WWWW[[#This Row],[Site Name]],SiteDB6[[Site Name]:[CCCM Focal Agency]],7,FALSE)</f>
        <v>KBC-NSS</v>
      </c>
      <c r="EG268" s="923" t="str">
        <f>VLOOKUP(WWWW[[#This Row],[Site Name]],SiteDB6[[Site Name]:[Location Type 1]],9,FALSE)</f>
        <v>Camp</v>
      </c>
      <c r="EH268" s="923" t="str">
        <f>VLOOKUP(WWWW[[#This Row],[Site Name]],SiteDB6[[Site Name]:[Type of Accommodation]],10,FALSE)</f>
        <v>Camp</v>
      </c>
      <c r="EI268" s="923" t="str">
        <f>VLOOKUP(WWWW[[#This Row],[Site Name]],SiteDB6[[Site Name]:[Ethnic or GCA/NGCA]],11,FALSE)</f>
        <v>GCA</v>
      </c>
      <c r="EJ268" s="923">
        <f>VLOOKUP(WWWW[[#This Row],[Site Name]],SiteDB6[[Site Name]:[Lat]],12,FALSE)</f>
        <v>23.83013</v>
      </c>
      <c r="EK268" s="923">
        <f>VLOOKUP(WWWW[[#This Row],[Site Name]],SiteDB6[[Site Name]:[Long]],13,FALSE)</f>
        <v>97.589979999999997</v>
      </c>
      <c r="EL268" s="923" t="str">
        <f>VLOOKUP(WWWW[[#This Row],[Site Name]],SiteDB6[[Site Name]:[Pcode]],3,FALSE)</f>
        <v>MMR001CMP133</v>
      </c>
      <c r="EM268" s="928" t="str">
        <f t="shared" si="4"/>
        <v>Covered</v>
      </c>
      <c r="EN268" s="928"/>
      <c r="EO268" s="923">
        <f>VLOOKUP(WWWW[[#This Row],[Site Name]],SiteDB6[[Site Name]:[Pop
(Kachin/Shan-CCCM as of July 2021)]],16,FALSE)</f>
        <v>132</v>
      </c>
      <c r="EP268" s="923">
        <f>VLOOKUP(WWWW[[#This Row],[Site Name]],SiteDB6[[Site Name]:[Pop
(Kachin/Shan-CCCM as of July 2021)]],17,FALSE)</f>
        <v>630</v>
      </c>
    </row>
    <row r="269" spans="1:146">
      <c r="A269" s="921" t="s">
        <v>2786</v>
      </c>
      <c r="B269" s="921" t="s">
        <v>2752</v>
      </c>
      <c r="C269" s="922" t="s">
        <v>2752</v>
      </c>
      <c r="D269" s="922" t="s">
        <v>2753</v>
      </c>
      <c r="E269" s="922" t="s">
        <v>37</v>
      </c>
      <c r="F269" s="922" t="s">
        <v>38</v>
      </c>
      <c r="G269" s="594" t="str">
        <f>VLOOKUP(WWWW[[#This Row],[Site Name]],SiteDB6[[Site Name]:[Location Type]],8,FALSE)</f>
        <v>Camp</v>
      </c>
      <c r="H269" s="922" t="s">
        <v>300</v>
      </c>
      <c r="I269" s="924">
        <v>119</v>
      </c>
      <c r="J269" s="924">
        <v>538</v>
      </c>
      <c r="K269" s="591" t="s">
        <v>3057</v>
      </c>
      <c r="L269" s="592" t="s">
        <v>3058</v>
      </c>
      <c r="M269" s="924"/>
      <c r="N269" s="924">
        <v>2</v>
      </c>
      <c r="O269" s="924"/>
      <c r="P269" s="924"/>
      <c r="Q269" s="927" t="s">
        <v>41</v>
      </c>
      <c r="R269" s="924">
        <v>3</v>
      </c>
      <c r="S269" s="924">
        <v>4</v>
      </c>
      <c r="T269" s="449">
        <v>3</v>
      </c>
      <c r="U269" s="924">
        <v>1</v>
      </c>
      <c r="V269" s="924">
        <v>1</v>
      </c>
      <c r="W269" s="924"/>
      <c r="X269" s="924">
        <v>2</v>
      </c>
      <c r="Y269" s="924"/>
      <c r="Z269" s="924"/>
      <c r="AA269" s="924">
        <v>1</v>
      </c>
      <c r="AB269" s="924"/>
      <c r="AC269" s="924">
        <v>1</v>
      </c>
      <c r="AD269" s="924"/>
      <c r="AE269" s="924"/>
      <c r="AF269" s="924"/>
      <c r="AG269" s="924"/>
      <c r="AH269" s="924"/>
      <c r="AI269" s="924"/>
      <c r="AJ269" s="924"/>
      <c r="AK269" s="924"/>
      <c r="AL269" s="924"/>
      <c r="AM269" s="924"/>
      <c r="AN269" s="924"/>
      <c r="AO269" s="449"/>
      <c r="AP269" s="928"/>
      <c r="AQ269" s="924">
        <v>29</v>
      </c>
      <c r="AR269" s="924"/>
      <c r="AS269" s="929"/>
      <c r="AT269" s="924">
        <v>2</v>
      </c>
      <c r="AU269" s="924"/>
      <c r="AV269" s="924"/>
      <c r="AW269" s="924"/>
      <c r="AX269" s="924"/>
      <c r="AY269" s="923" t="s">
        <v>140</v>
      </c>
      <c r="AZ269" s="928" t="s">
        <v>140</v>
      </c>
      <c r="BA269" s="924"/>
      <c r="BB269" s="924"/>
      <c r="BC269" s="924"/>
      <c r="BD269" s="449"/>
      <c r="BE269" s="449"/>
      <c r="BF269" s="923"/>
      <c r="BG269" s="924">
        <v>3</v>
      </c>
      <c r="BH269" s="924"/>
      <c r="BI269" s="924"/>
      <c r="BJ269" s="924">
        <v>2</v>
      </c>
      <c r="BK269" s="924"/>
      <c r="BL269" s="924"/>
      <c r="BM269" s="924">
        <v>2</v>
      </c>
      <c r="BN269" s="924">
        <v>119</v>
      </c>
      <c r="BO269" s="924">
        <v>115.401</v>
      </c>
      <c r="BP269" s="923" t="s">
        <v>41</v>
      </c>
      <c r="BQ269" s="930">
        <v>100</v>
      </c>
      <c r="BR269" s="929"/>
      <c r="BS269" s="923" t="s">
        <v>3059</v>
      </c>
      <c r="BT269" s="424"/>
      <c r="BU269" s="424"/>
      <c r="BV269" s="426"/>
      <c r="BW269" s="424">
        <v>0.01</v>
      </c>
      <c r="BX269" s="449"/>
      <c r="BY269" s="449"/>
      <c r="BZ269" s="449"/>
      <c r="CA269" s="449"/>
      <c r="CB269" s="449"/>
      <c r="CC269" s="807"/>
      <c r="CD269" s="449"/>
      <c r="CE269" s="931" t="str">
        <f>IFERROR(WWWW[[#This Row],['#_Water sources passed]]/WWWW[[#This Row],['#_Water sources tested for fecal coliform ]],"no test")</f>
        <v>no test</v>
      </c>
      <c r="CF269" s="929" t="str">
        <f>IFERROR(WWWW[[#This Row],['#_Household passed]]/WWWW[[#This Row],['#_Household water samples tested for fecal coliform]],"no test")</f>
        <v>no test</v>
      </c>
      <c r="CG269" s="930" t="str">
        <f>IF(AND(WWWW[[#This Row],[% of water sources passed]]="no test",WWWW[[#This Row],[% Household passed]]="no test"),"No Test","Tested")</f>
        <v>No Test</v>
      </c>
      <c r="CH269" s="930">
        <f>WWWW[[#This Row],['#_Constructed/existing protected hand dug well]]-WWWW[[#This Row],['#_Non-functional protected hand dug well]]</f>
        <v>2</v>
      </c>
      <c r="CI269" s="930">
        <f>(WWWW[[#This Row],['#_Constructed/Existing tube wells/boreholes/handpumps_WASH_agency]]+WWWW[[#This Row],['#_Non-Cluster partner water tube-wells/boreholes/handpumps]])-WWWW[[#This Row],['#_Non-functional tube wells/boreholes/handpumps]]</f>
        <v>2</v>
      </c>
      <c r="CJ269" s="930">
        <f>WWWW[[#This Row],['#_Constructed/Existingwater storage tank with gravity fed reticulation system]]-WWWW[[#This Row],['#_Non-functional storage tank gravity fed reticulation system]]</f>
        <v>1</v>
      </c>
      <c r="CK269" s="930">
        <f>(WWWW[[#This Row],['#_Water_Liters_supplied_by_Water boating or water trucking]]/90)/15</f>
        <v>0</v>
      </c>
      <c r="CL269" s="930">
        <f>WWWW[[#This Row],['#_Water_Liters_from_Constructed/Existing water distribution system from river or natural spring]]/90/15</f>
        <v>0</v>
      </c>
      <c r="CM269" s="425">
        <f>IF(WWWW[[#This Row],['#_of water points in TLS/CFS]]*500&gt;WWWW[[#This Row],[Total PoP ]],WWWW[[#This Row],[Total PoP ]],WWWW[[#This Row],['#_of water points in TLS/CFS]]*500)</f>
        <v>0</v>
      </c>
      <c r="CN269" s="425">
        <f>IF(WWWW[[#This Row],['#_of water points in THF]]*500&gt;WWWW[[#This Row],[Total PoP ]],WWWW[[#This Row],[Total PoP ]],WWWW[[#This Row],['#_of water points in THF]]*500)</f>
        <v>0</v>
      </c>
      <c r="CO26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6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69" s="929">
        <f>IF(WWWW[[#This Row],[Location Type 1]]="Village",WWWW[[#This Row],[Access to safe drinking water for Village]],WWWW[[#This Row],[Access to safe drinking water for Camp]])</f>
        <v>1</v>
      </c>
      <c r="CR269" s="927">
        <f>WWWW[[#This Row],[%Equitable and continuous access to sufficient quantity of safe drinking water]]*WWWW[[#This Row],[Total PoP ]]</f>
        <v>538</v>
      </c>
      <c r="CS269" s="929">
        <f>IF((WWWW[[#This Row],['#_Constructed/Existing protected/fenced ponds]]*250)/WWWW[[#This Row],[Total PoP ]]&gt;1,1,(WWWW[[#This Row],['#_Constructed/Existing protected/fenced ponds]]*250)/WWWW[[#This Row],[Total PoP ]])</f>
        <v>0</v>
      </c>
      <c r="CT269" s="927">
        <f>WWWW[[#This Row],[% Access to unimproved water points]]*WWWW[[#This Row],[Total PoP ]]</f>
        <v>0</v>
      </c>
      <c r="CU26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6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W269" s="927">
        <f>WWWW[[#This Row],[HRP1]]/500</f>
        <v>1.0760000000000001</v>
      </c>
      <c r="CX269" s="932">
        <f>1-WWWW[[#This Row],[% Equitable and continuous access to sufficient quantity of domestic water]]</f>
        <v>0</v>
      </c>
      <c r="CY269" s="927">
        <f>WWWW[[#This Row],[%equitable and continuous access to sufficient quantity of safe drinking and domestic water''s GAP]]*WWWW[[#This Row],[Total PoP ]]</f>
        <v>0</v>
      </c>
      <c r="CZ269" s="930">
        <f>IF(WWWW[[#This Row],[Total required water points]]-WWWW[[#This Row],['#Water points coverage]]&lt;0,0,WWWW[[#This Row],[Total required water points]]-WWWW[[#This Row],['#Water points coverage]])</f>
        <v>0</v>
      </c>
      <c r="DA269" s="930">
        <f>ROUND(IF(WWWW[[#This Row],[Total PoP ]]&lt;500,1,WWWW[[#This Row],[Total PoP ]]/500),0)</f>
        <v>1</v>
      </c>
      <c r="DB269" s="930">
        <f>(WWWW[[#This Row],['#_Constructed latrines_by_WASHAgencies]]+WWWW[[#This Row],['#_Non Cluster partner latrines]])-WWWW[[#This Row],['#_Non-functional latrines]]</f>
        <v>27</v>
      </c>
      <c r="DC269" s="634">
        <f>WWWW[[#This Row],[HRP2]]/WWWW[[#This Row],[Total PoP ]]</f>
        <v>1</v>
      </c>
      <c r="DD26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538</v>
      </c>
      <c r="DE26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6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69" s="425">
        <f>IF(WWWW[[#This Row],['# of functional latrines in THF supported by WASH partners during the reporting period2]]="",0,WWWW[[#This Row],['# of functional latrines in THF supported by WASH partners during the reporting period2]]*50)</f>
        <v>0</v>
      </c>
      <c r="DH269" s="930">
        <f>ROUND(IF(WWWW[[#This Row],[Location Type 1]]="camp",WWWW[[#This Row],[Total PoP ]]/20,IF(WWWW[[#This Row],[Location Type 1]]="Temporary Location",WWWW[[#This Row],[Total PoP ]]/50,(WWWW[[#This Row],[Total PoP ]]/6))),0)</f>
        <v>27</v>
      </c>
      <c r="DI269" s="930">
        <f>IF(WWWW[[#This Row],[Total required Latrines]]-(WWWW[[#This Row],['#_Constructed latrines_by_WASHAgencies]]+WWWW[[#This Row],['#_Non Cluster partner latrines]])&lt;0,0,WWWW[[#This Row],[Total required Latrines]]-(WWWW[[#This Row],['#_Constructed latrines_by_WASHAgencies]]+WWWW[[#This Row],['#_Non Cluster partner latrines]]))</f>
        <v>0</v>
      </c>
      <c r="DJ269" s="932">
        <f>1-WWWW[[#This Row],[% people access to functioning Latrine]]</f>
        <v>0</v>
      </c>
      <c r="DK269" s="931">
        <f>IF(OR(WWWW[[#This Row],['#_Non-functional latrines]]="",WWWW[[#This Row],['#_Non-functional latrines]]=0),0,WWWW[[#This Row],['#_Non-functional latrines]]/(WWWW[[#This Row],['#_Constructed latrines_by_WASHAgencies]]+WWWW[[#This Row],['#_Non Cluster partner latrines]]))</f>
        <v>6.8965517241379309E-2</v>
      </c>
      <c r="DL269" s="927">
        <f>IF(500*(WWWW[[#This Row],['#_male hygiene promoters]]+WWWW[[#This Row],['#_female hygiene promoters]])&gt;WWWW[[#This Row],[Total PoP ]],WWWW[[#This Row],[Total PoP ]],500*(WWWW[[#This Row],['#_male hygiene promoters]]+WWWW[[#This Row],['#_female hygiene promoters]]))</f>
        <v>538</v>
      </c>
      <c r="DM26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538</v>
      </c>
      <c r="DN26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115.401</v>
      </c>
      <c r="DO269" s="930">
        <f>IF(WWWW[[#This Row],['# People with access to soap]]&gt;WWWW[[#This Row],['# People with access to Sanity Pads]],WWWW[[#This Row],['# People with access to soap]],WWWW[[#This Row],['# People with access to Sanity Pads]])</f>
        <v>538</v>
      </c>
      <c r="DP269" s="930">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Q269" s="932">
        <f>IF(WWWW[[#This Row],[HRP3]]/WWWW[[#This Row],[Total PoP ]]&gt;1,1,WWWW[[#This Row],[HRP3]]/WWWW[[#This Row],[Total PoP ]])</f>
        <v>1</v>
      </c>
      <c r="DR269" s="931">
        <f>1-WWWW[[#This Row],[Hygiene Coverage%]]</f>
        <v>0</v>
      </c>
      <c r="DS269" s="929">
        <f>WWWW[[#This Row],['# people reached by regular dedicated hygiene promotion_5]]/WWWW[[#This Row],[Total PoP ]]</f>
        <v>1</v>
      </c>
      <c r="DT26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6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0.96975630252100842</v>
      </c>
      <c r="DV269" s="930">
        <f>WWWW[[#This Row],['#_Constructed/Existing hand washing stations]]-WWWW[[#This Row],['#_Non-Functional_hand_washing_stations]]</f>
        <v>3</v>
      </c>
      <c r="DW269" s="927">
        <f>IF(WWWW[[#This Row],['# Functional hand washing stations during reporting period]]*20&gt;WWWW[[#This Row],[Total HH]],WWWW[[#This Row],[Total HH]],WWWW[[#This Row],['# Functional hand washing stations during reporting period]]*20)</f>
        <v>60</v>
      </c>
      <c r="DX269" s="927">
        <f>IF(WWWW[[#This Row],[Is sufficient soap available for TLS? (Yes/No)]]="yes",WWWW[[#This Row],['#_Constructed/Existing hand washing stations at TLS/CFS/THF]],0)</f>
        <v>0</v>
      </c>
      <c r="DY269" s="429">
        <f>IF(WWWW[[#This Row],['# Functional hand washing stations during reporting period]]*100&gt;WWWW[[#This Row],[Total PoP ]],WWWW[[#This Row],[Total PoP ]],WWWW[[#This Row],['# Functional hand washing stations during reporting period]]*100)</f>
        <v>300</v>
      </c>
      <c r="DZ269" s="429" t="str">
        <f>IF(OR(WWWW[[#This Row],['#_students at TLS_CFS]]="",WWWW[[#This Row],['#_students at TLS_CFS]]=0),"No","Yes")</f>
        <v>No</v>
      </c>
      <c r="EA26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6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6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6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69" s="923" t="str">
        <f>VLOOKUP(WWWW[[#This Row],[Site Name]],SiteDB6[[Site Name]:[CCCM Management]],6,FALSE)</f>
        <v>Yes</v>
      </c>
      <c r="EF269" s="923" t="str">
        <f>VLOOKUP(WWWW[[#This Row],[Site Name]],SiteDB6[[Site Name]:[CCCM Focal Agency]],7,FALSE)</f>
        <v>KBC-NSS</v>
      </c>
      <c r="EG269" s="923" t="str">
        <f>VLOOKUP(WWWW[[#This Row],[Site Name]],SiteDB6[[Site Name]:[Location Type 1]],9,FALSE)</f>
        <v>Camp</v>
      </c>
      <c r="EH269" s="923" t="str">
        <f>VLOOKUP(WWWW[[#This Row],[Site Name]],SiteDB6[[Site Name]:[Type of Accommodation]],10,FALSE)</f>
        <v>Camp</v>
      </c>
      <c r="EI269" s="923" t="str">
        <f>VLOOKUP(WWWW[[#This Row],[Site Name]],SiteDB6[[Site Name]:[Ethnic or GCA/NGCA]],11,FALSE)</f>
        <v>GCA</v>
      </c>
      <c r="EJ269" s="923">
        <f>VLOOKUP(WWWW[[#This Row],[Site Name]],SiteDB6[[Site Name]:[Lat]],12,FALSE)</f>
        <v>23.829599000000002</v>
      </c>
      <c r="EK269" s="923">
        <f>VLOOKUP(WWWW[[#This Row],[Site Name]],SiteDB6[[Site Name]:[Long]],13,FALSE)</f>
        <v>97.590767</v>
      </c>
      <c r="EL269" s="923" t="str">
        <f>VLOOKUP(WWWW[[#This Row],[Site Name]],SiteDB6[[Site Name]:[Pcode]],3,FALSE)</f>
        <v>MMR001CMP230</v>
      </c>
      <c r="EM269" s="928" t="str">
        <f t="shared" si="4"/>
        <v>Covered</v>
      </c>
      <c r="EN269" s="928"/>
      <c r="EO269" s="923">
        <f>VLOOKUP(WWWW[[#This Row],[Site Name]],SiteDB6[[Site Name]:[Pop
(Kachin/Shan-CCCM as of July 2021)]],16,FALSE)</f>
        <v>155</v>
      </c>
      <c r="EP269" s="923">
        <f>VLOOKUP(WWWW[[#This Row],[Site Name]],SiteDB6[[Site Name]:[Pop
(Kachin/Shan-CCCM as of July 2021)]],17,FALSE)</f>
        <v>677</v>
      </c>
    </row>
    <row r="270" spans="1:146">
      <c r="A270" s="921" t="s">
        <v>2786</v>
      </c>
      <c r="B270" s="921" t="s">
        <v>2752</v>
      </c>
      <c r="C270" s="922" t="s">
        <v>2752</v>
      </c>
      <c r="D270" s="922" t="s">
        <v>2753</v>
      </c>
      <c r="E270" s="922" t="s">
        <v>37</v>
      </c>
      <c r="F270" s="922" t="s">
        <v>38</v>
      </c>
      <c r="G270" s="594" t="str">
        <f>VLOOKUP(WWWW[[#This Row],[Site Name]],SiteDB6[[Site Name]:[Location Type]],8,FALSE)</f>
        <v>Camp</v>
      </c>
      <c r="H270" s="922" t="s">
        <v>301</v>
      </c>
      <c r="I270" s="924">
        <v>454</v>
      </c>
      <c r="J270" s="924">
        <v>2354</v>
      </c>
      <c r="K270" s="925">
        <v>44409</v>
      </c>
      <c r="L270" s="926">
        <v>44774</v>
      </c>
      <c r="M270" s="924"/>
      <c r="N270" s="924">
        <v>3</v>
      </c>
      <c r="O270" s="924"/>
      <c r="P270" s="924"/>
      <c r="Q270" s="927" t="s">
        <v>41</v>
      </c>
      <c r="R270" s="924">
        <v>4</v>
      </c>
      <c r="S270" s="924">
        <v>3</v>
      </c>
      <c r="T270" s="449">
        <v>2</v>
      </c>
      <c r="U270" s="924">
        <v>1</v>
      </c>
      <c r="V270" s="924">
        <v>1</v>
      </c>
      <c r="W270" s="924"/>
      <c r="X270" s="924">
        <v>1</v>
      </c>
      <c r="Y270" s="924"/>
      <c r="Z270" s="924"/>
      <c r="AA270" s="924">
        <v>1</v>
      </c>
      <c r="AB270" s="924"/>
      <c r="AC270" s="924">
        <v>1</v>
      </c>
      <c r="AD270" s="924"/>
      <c r="AE270" s="924"/>
      <c r="AF270" s="924"/>
      <c r="AG270" s="924"/>
      <c r="AH270" s="924"/>
      <c r="AI270" s="924"/>
      <c r="AJ270" s="924"/>
      <c r="AK270" s="924"/>
      <c r="AL270" s="924"/>
      <c r="AM270" s="924"/>
      <c r="AN270" s="924"/>
      <c r="AO270" s="449"/>
      <c r="AP270" s="928"/>
      <c r="AQ270" s="924">
        <v>40</v>
      </c>
      <c r="AR270" s="924"/>
      <c r="AS270" s="929"/>
      <c r="AT270" s="924">
        <v>3</v>
      </c>
      <c r="AU270" s="924"/>
      <c r="AV270" s="924"/>
      <c r="AW270" s="924"/>
      <c r="AX270" s="924"/>
      <c r="AY270" s="923" t="s">
        <v>140</v>
      </c>
      <c r="AZ270" s="928" t="s">
        <v>140</v>
      </c>
      <c r="BA270" s="924"/>
      <c r="BB270" s="924"/>
      <c r="BC270" s="924"/>
      <c r="BD270" s="449"/>
      <c r="BE270" s="449"/>
      <c r="BF270" s="923"/>
      <c r="BG270" s="924">
        <v>1</v>
      </c>
      <c r="BH270" s="924"/>
      <c r="BI270" s="924"/>
      <c r="BJ270" s="924">
        <v>3</v>
      </c>
      <c r="BK270" s="924"/>
      <c r="BL270" s="924"/>
      <c r="BM270" s="924">
        <v>2</v>
      </c>
      <c r="BN270" s="924">
        <v>454</v>
      </c>
      <c r="BO270" s="924">
        <v>504.93300000000005</v>
      </c>
      <c r="BP270" s="923" t="s">
        <v>41</v>
      </c>
      <c r="BQ270" s="930">
        <v>100</v>
      </c>
      <c r="BR270" s="929"/>
      <c r="BS270" s="923" t="s">
        <v>3059</v>
      </c>
      <c r="BT270" s="424"/>
      <c r="BU270" s="424"/>
      <c r="BV270" s="426"/>
      <c r="BW270" s="424">
        <v>0.01</v>
      </c>
      <c r="BX270" s="449"/>
      <c r="BY270" s="449"/>
      <c r="BZ270" s="449"/>
      <c r="CA270" s="449"/>
      <c r="CB270" s="449"/>
      <c r="CC270" s="807"/>
      <c r="CD270" s="449"/>
      <c r="CE270" s="931" t="str">
        <f>IFERROR(WWWW[[#This Row],['#_Water sources passed]]/WWWW[[#This Row],['#_Water sources tested for fecal coliform ]],"no test")</f>
        <v>no test</v>
      </c>
      <c r="CF270" s="929" t="str">
        <f>IFERROR(WWWW[[#This Row],['#_Household passed]]/WWWW[[#This Row],['#_Household water samples tested for fecal coliform]],"no test")</f>
        <v>no test</v>
      </c>
      <c r="CG270" s="930" t="str">
        <f>IF(AND(WWWW[[#This Row],[% of water sources passed]]="no test",WWWW[[#This Row],[% Household passed]]="no test"),"No Test","Tested")</f>
        <v>No Test</v>
      </c>
      <c r="CH270" s="930">
        <f>WWWW[[#This Row],['#_Constructed/existing protected hand dug well]]-WWWW[[#This Row],['#_Non-functional protected hand dug well]]</f>
        <v>1</v>
      </c>
      <c r="CI270" s="930">
        <f>(WWWW[[#This Row],['#_Constructed/Existing tube wells/boreholes/handpumps_WASH_agency]]+WWWW[[#This Row],['#_Non-Cluster partner water tube-wells/boreholes/handpumps]])-WWWW[[#This Row],['#_Non-functional tube wells/boreholes/handpumps]]</f>
        <v>1</v>
      </c>
      <c r="CJ270" s="930">
        <f>WWWW[[#This Row],['#_Constructed/Existingwater storage tank with gravity fed reticulation system]]-WWWW[[#This Row],['#_Non-functional storage tank gravity fed reticulation system]]</f>
        <v>1</v>
      </c>
      <c r="CK270" s="930">
        <f>(WWWW[[#This Row],['#_Water_Liters_supplied_by_Water boating or water trucking]]/90)/15</f>
        <v>0</v>
      </c>
      <c r="CL270" s="930">
        <f>WWWW[[#This Row],['#_Water_Liters_from_Constructed/Existing water distribution system from river or natural spring]]/90/15</f>
        <v>0</v>
      </c>
      <c r="CM270" s="425">
        <f>IF(WWWW[[#This Row],['#_of water points in TLS/CFS]]*500&gt;WWWW[[#This Row],[Total PoP ]],WWWW[[#This Row],[Total PoP ]],WWWW[[#This Row],['#_of water points in TLS/CFS]]*500)</f>
        <v>0</v>
      </c>
      <c r="CN270" s="425">
        <f>IF(WWWW[[#This Row],['#_of water points in THF]]*500&gt;WWWW[[#This Row],[Total PoP ]],WWWW[[#This Row],[Total PoP ]],WWWW[[#This Row],['#_of water points in THF]]*500)</f>
        <v>0</v>
      </c>
      <c r="CO27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0.41064854148966295</v>
      </c>
      <c r="CP27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0.24072500708014724</v>
      </c>
      <c r="CQ270" s="929">
        <f>IF(WWWW[[#This Row],[Location Type 1]]="Village",WWWW[[#This Row],[Access to safe drinking water for Village]],WWWW[[#This Row],[Access to safe drinking water for Camp]])</f>
        <v>0.41064854148966295</v>
      </c>
      <c r="CR270" s="927">
        <f>WWWW[[#This Row],[%Equitable and continuous access to sufficient quantity of safe drinking water]]*WWWW[[#This Row],[Total PoP ]]</f>
        <v>966.66666666666663</v>
      </c>
      <c r="CS270" s="929">
        <f>IF((WWWW[[#This Row],['#_Constructed/Existing protected/fenced ponds]]*250)/WWWW[[#This Row],[Total PoP ]]&gt;1,1,(WWWW[[#This Row],['#_Constructed/Existing protected/fenced ponds]]*250)/WWWW[[#This Row],[Total PoP ]])</f>
        <v>0</v>
      </c>
      <c r="CT270" s="927">
        <f>WWWW[[#This Row],[% Access to unimproved water points]]*WWWW[[#This Row],[Total PoP ]]</f>
        <v>0</v>
      </c>
      <c r="CU27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0.41064854148966295</v>
      </c>
      <c r="CV27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966.66666666666663</v>
      </c>
      <c r="CW270" s="927">
        <f>WWWW[[#This Row],[HRP1]]/500</f>
        <v>1.9333333333333333</v>
      </c>
      <c r="CX270" s="932">
        <f>1-WWWW[[#This Row],[% Equitable and continuous access to sufficient quantity of domestic water]]</f>
        <v>0.58935145851033699</v>
      </c>
      <c r="CY270" s="927">
        <f>WWWW[[#This Row],[%equitable and continuous access to sufficient quantity of safe drinking and domestic water''s GAP]]*WWWW[[#This Row],[Total PoP ]]</f>
        <v>1387.3333333333333</v>
      </c>
      <c r="CZ270" s="930">
        <f>IF(WWWW[[#This Row],[Total required water points]]-WWWW[[#This Row],['#Water points coverage]]&lt;0,0,WWWW[[#This Row],[Total required water points]]-WWWW[[#This Row],['#Water points coverage]])</f>
        <v>3.0666666666666664</v>
      </c>
      <c r="DA270" s="930">
        <f>ROUND(IF(WWWW[[#This Row],[Total PoP ]]&lt;500,1,WWWW[[#This Row],[Total PoP ]]/500),0)</f>
        <v>5</v>
      </c>
      <c r="DB270" s="930">
        <f>(WWWW[[#This Row],['#_Constructed latrines_by_WASHAgencies]]+WWWW[[#This Row],['#_Non Cluster partner latrines]])-WWWW[[#This Row],['#_Non-functional latrines]]</f>
        <v>37</v>
      </c>
      <c r="DC270" s="634">
        <f>WWWW[[#This Row],[HRP2]]/WWWW[[#This Row],[Total PoP ]]</f>
        <v>0.3143585386576041</v>
      </c>
      <c r="DD27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740</v>
      </c>
      <c r="DE27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0" s="425">
        <f>IF(WWWW[[#This Row],['# of functional latrines in THF supported by WASH partners during the reporting period2]]="",0,WWWW[[#This Row],['# of functional latrines in THF supported by WASH partners during the reporting period2]]*50)</f>
        <v>0</v>
      </c>
      <c r="DH270" s="930">
        <f>ROUND(IF(WWWW[[#This Row],[Location Type 1]]="camp",WWWW[[#This Row],[Total PoP ]]/20,IF(WWWW[[#This Row],[Location Type 1]]="Temporary Location",WWWW[[#This Row],[Total PoP ]]/50,(WWWW[[#This Row],[Total PoP ]]/6))),0)</f>
        <v>118</v>
      </c>
      <c r="DI270" s="930">
        <f>IF(WWWW[[#This Row],[Total required Latrines]]-(WWWW[[#This Row],['#_Constructed latrines_by_WASHAgencies]]+WWWW[[#This Row],['#_Non Cluster partner latrines]])&lt;0,0,WWWW[[#This Row],[Total required Latrines]]-(WWWW[[#This Row],['#_Constructed latrines_by_WASHAgencies]]+WWWW[[#This Row],['#_Non Cluster partner latrines]]))</f>
        <v>78</v>
      </c>
      <c r="DJ270" s="932">
        <f>1-WWWW[[#This Row],[% people access to functioning Latrine]]</f>
        <v>0.6856414613423959</v>
      </c>
      <c r="DK270" s="931">
        <f>IF(OR(WWWW[[#This Row],['#_Non-functional latrines]]="",WWWW[[#This Row],['#_Non-functional latrines]]=0),0,WWWW[[#This Row],['#_Non-functional latrines]]/(WWWW[[#This Row],['#_Constructed latrines_by_WASHAgencies]]+WWWW[[#This Row],['#_Non Cluster partner latrines]]))</f>
        <v>7.4999999999999997E-2</v>
      </c>
      <c r="DL270" s="927">
        <f>IF(500*(WWWW[[#This Row],['#_male hygiene promoters]]+WWWW[[#This Row],['#_female hygiene promoters]])&gt;WWWW[[#This Row],[Total PoP ]],WWWW[[#This Row],[Total PoP ]],500*(WWWW[[#This Row],['#_male hygiene promoters]]+WWWW[[#This Row],['#_female hygiene promoters]]))</f>
        <v>1000</v>
      </c>
      <c r="DM27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2354</v>
      </c>
      <c r="DN27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504.93300000000005</v>
      </c>
      <c r="DO270" s="930">
        <f>IF(WWWW[[#This Row],['# People with access to soap]]&gt;WWWW[[#This Row],['# People with access to Sanity Pads]],WWWW[[#This Row],['# People with access to soap]],WWWW[[#This Row],['# People with access to Sanity Pads]])</f>
        <v>2354</v>
      </c>
      <c r="DP270" s="930">
        <f>IF(WWWW[[#This Row],['# people reached by regular dedicated hygiene promotion_5]]&gt;WWWW[[#This Row],['# People received regular supply of hygiene items_6]],WWWW[[#This Row],['# people reached by regular dedicated hygiene promotion_5]],WWWW[[#This Row],['# People received regular supply of hygiene items_6]])</f>
        <v>2354</v>
      </c>
      <c r="DQ270" s="932">
        <f>IF(WWWW[[#This Row],[HRP3]]/WWWW[[#This Row],[Total PoP ]]&gt;1,1,WWWW[[#This Row],[HRP3]]/WWWW[[#This Row],[Total PoP ]])</f>
        <v>1</v>
      </c>
      <c r="DR270" s="931">
        <f>1-WWWW[[#This Row],[Hygiene Coverage%]]</f>
        <v>0</v>
      </c>
      <c r="DS270" s="929">
        <f>WWWW[[#This Row],['# people reached by regular dedicated hygiene promotion_5]]/WWWW[[#This Row],[Total PoP ]]</f>
        <v>0.42480883602378927</v>
      </c>
      <c r="DT27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0" s="930">
        <f>WWWW[[#This Row],['#_Constructed/Existing hand washing stations]]-WWWW[[#This Row],['#_Non-Functional_hand_washing_stations]]</f>
        <v>1</v>
      </c>
      <c r="DW270" s="927">
        <f>IF(WWWW[[#This Row],['# Functional hand washing stations during reporting period]]*20&gt;WWWW[[#This Row],[Total HH]],WWWW[[#This Row],[Total HH]],WWWW[[#This Row],['# Functional hand washing stations during reporting period]]*20)</f>
        <v>20</v>
      </c>
      <c r="DX270" s="927">
        <f>IF(WWWW[[#This Row],[Is sufficient soap available for TLS? (Yes/No)]]="yes",WWWW[[#This Row],['#_Constructed/Existing hand washing stations at TLS/CFS/THF]],0)</f>
        <v>0</v>
      </c>
      <c r="DY270" s="429">
        <f>IF(WWWW[[#This Row],['# Functional hand washing stations during reporting period]]*100&gt;WWWW[[#This Row],[Total PoP ]],WWWW[[#This Row],[Total PoP ]],WWWW[[#This Row],['# Functional hand washing stations during reporting period]]*100)</f>
        <v>100</v>
      </c>
      <c r="DZ270" s="429" t="str">
        <f>IF(OR(WWWW[[#This Row],['#_students at TLS_CFS]]="",WWWW[[#This Row],['#_students at TLS_CFS]]=0),"No","Yes")</f>
        <v>No</v>
      </c>
      <c r="EA27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0" s="923" t="str">
        <f>VLOOKUP(WWWW[[#This Row],[Site Name]],SiteDB6[[Site Name]:[CCCM Management]],6,FALSE)</f>
        <v>Yes</v>
      </c>
      <c r="EF270" s="923" t="str">
        <f>VLOOKUP(WWWW[[#This Row],[Site Name]],SiteDB6[[Site Name]:[CCCM Focal Agency]],7,FALSE)</f>
        <v>KMSS-BMO</v>
      </c>
      <c r="EG270" s="923" t="str">
        <f>VLOOKUP(WWWW[[#This Row],[Site Name]],SiteDB6[[Site Name]:[Location Type 1]],9,FALSE)</f>
        <v>Camp</v>
      </c>
      <c r="EH270" s="923" t="str">
        <f>VLOOKUP(WWWW[[#This Row],[Site Name]],SiteDB6[[Site Name]:[Type of Accommodation]],10,FALSE)</f>
        <v>Camp</v>
      </c>
      <c r="EI270" s="923" t="str">
        <f>VLOOKUP(WWWW[[#This Row],[Site Name]],SiteDB6[[Site Name]:[Ethnic or GCA/NGCA]],11,FALSE)</f>
        <v>GCA</v>
      </c>
      <c r="EJ270" s="923">
        <f>VLOOKUP(WWWW[[#This Row],[Site Name]],SiteDB6[[Site Name]:[Lat]],12,FALSE)</f>
        <v>23.835319999999999</v>
      </c>
      <c r="EK270" s="923">
        <f>VLOOKUP(WWWW[[#This Row],[Site Name]],SiteDB6[[Site Name]:[Long]],13,FALSE)</f>
        <v>97.578490000000002</v>
      </c>
      <c r="EL270" s="923" t="str">
        <f>VLOOKUP(WWWW[[#This Row],[Site Name]],SiteDB6[[Site Name]:[Pcode]],3,FALSE)</f>
        <v>MMR001CMP132</v>
      </c>
      <c r="EM270" s="928" t="str">
        <f t="shared" si="4"/>
        <v>Covered</v>
      </c>
      <c r="EN270" s="928"/>
      <c r="EO270" s="923">
        <f>VLOOKUP(WWWW[[#This Row],[Site Name]],SiteDB6[[Site Name]:[Pop
(Kachin/Shan-CCCM as of July 2021)]],16,FALSE)</f>
        <v>622</v>
      </c>
      <c r="EP270" s="923">
        <f>VLOOKUP(WWWW[[#This Row],[Site Name]],SiteDB6[[Site Name]:[Pop
(Kachin/Shan-CCCM as of July 2021)]],17,FALSE)</f>
        <v>3302</v>
      </c>
    </row>
    <row r="271" spans="1:146">
      <c r="A271" s="921" t="s">
        <v>2786</v>
      </c>
      <c r="B271" s="921" t="s">
        <v>2752</v>
      </c>
      <c r="C271" s="922" t="s">
        <v>2752</v>
      </c>
      <c r="D271" s="922" t="s">
        <v>2753</v>
      </c>
      <c r="E271" s="922" t="s">
        <v>37</v>
      </c>
      <c r="F271" s="922" t="s">
        <v>38</v>
      </c>
      <c r="G271" s="594" t="str">
        <f>VLOOKUP(WWWW[[#This Row],[Site Name]],SiteDB6[[Site Name]:[Location Type]],8,FALSE)</f>
        <v>Camp</v>
      </c>
      <c r="H271" s="922" t="s">
        <v>302</v>
      </c>
      <c r="I271" s="924">
        <v>142</v>
      </c>
      <c r="J271" s="924">
        <v>737</v>
      </c>
      <c r="K271" s="925">
        <v>44409</v>
      </c>
      <c r="L271" s="926">
        <v>44774</v>
      </c>
      <c r="M271" s="924"/>
      <c r="N271" s="924">
        <v>3</v>
      </c>
      <c r="O271" s="924"/>
      <c r="P271" s="924"/>
      <c r="Q271" s="927" t="s">
        <v>41</v>
      </c>
      <c r="R271" s="924">
        <v>3</v>
      </c>
      <c r="S271" s="924">
        <v>4</v>
      </c>
      <c r="T271" s="449">
        <v>1</v>
      </c>
      <c r="U271" s="924">
        <v>1</v>
      </c>
      <c r="V271" s="924">
        <v>1</v>
      </c>
      <c r="W271" s="924"/>
      <c r="X271" s="924">
        <v>1</v>
      </c>
      <c r="Y271" s="924"/>
      <c r="Z271" s="924"/>
      <c r="AA271" s="924">
        <v>1</v>
      </c>
      <c r="AB271" s="924"/>
      <c r="AC271" s="924">
        <v>1</v>
      </c>
      <c r="AD271" s="924"/>
      <c r="AE271" s="924"/>
      <c r="AF271" s="924"/>
      <c r="AG271" s="924"/>
      <c r="AH271" s="924"/>
      <c r="AI271" s="924"/>
      <c r="AJ271" s="924"/>
      <c r="AK271" s="924"/>
      <c r="AL271" s="924"/>
      <c r="AM271" s="924"/>
      <c r="AN271" s="924"/>
      <c r="AO271" s="449"/>
      <c r="AP271" s="928"/>
      <c r="AQ271" s="924">
        <v>48</v>
      </c>
      <c r="AR271" s="924"/>
      <c r="AS271" s="929"/>
      <c r="AT271" s="924">
        <v>4</v>
      </c>
      <c r="AU271" s="924"/>
      <c r="AV271" s="924"/>
      <c r="AW271" s="924"/>
      <c r="AX271" s="924"/>
      <c r="AY271" s="923" t="s">
        <v>140</v>
      </c>
      <c r="AZ271" s="928" t="s">
        <v>140</v>
      </c>
      <c r="BA271" s="924"/>
      <c r="BB271" s="924"/>
      <c r="BC271" s="924"/>
      <c r="BD271" s="449"/>
      <c r="BE271" s="449"/>
      <c r="BF271" s="923"/>
      <c r="BG271" s="924">
        <v>1</v>
      </c>
      <c r="BH271" s="924"/>
      <c r="BI271" s="924"/>
      <c r="BJ271" s="924">
        <v>1</v>
      </c>
      <c r="BK271" s="924"/>
      <c r="BL271" s="924"/>
      <c r="BM271" s="924">
        <v>2</v>
      </c>
      <c r="BN271" s="924">
        <v>142</v>
      </c>
      <c r="BO271" s="924">
        <v>158.0865</v>
      </c>
      <c r="BP271" s="923" t="s">
        <v>41</v>
      </c>
      <c r="BQ271" s="930">
        <v>100</v>
      </c>
      <c r="BR271" s="929"/>
      <c r="BS271" s="923" t="s">
        <v>3059</v>
      </c>
      <c r="BT271" s="424"/>
      <c r="BU271" s="424"/>
      <c r="BV271" s="426"/>
      <c r="BW271" s="424">
        <v>0.01</v>
      </c>
      <c r="BX271" s="449"/>
      <c r="BY271" s="449"/>
      <c r="BZ271" s="449"/>
      <c r="CA271" s="449"/>
      <c r="CB271" s="449"/>
      <c r="CC271" s="807"/>
      <c r="CD271" s="449"/>
      <c r="CE271" s="931" t="str">
        <f>IFERROR(WWWW[[#This Row],['#_Water sources passed]]/WWWW[[#This Row],['#_Water sources tested for fecal coliform ]],"no test")</f>
        <v>no test</v>
      </c>
      <c r="CF271" s="929" t="str">
        <f>IFERROR(WWWW[[#This Row],['#_Household passed]]/WWWW[[#This Row],['#_Household water samples tested for fecal coliform]],"no test")</f>
        <v>no test</v>
      </c>
      <c r="CG271" s="930" t="str">
        <f>IF(AND(WWWW[[#This Row],[% of water sources passed]]="no test",WWWW[[#This Row],[% Household passed]]="no test"),"No Test","Tested")</f>
        <v>No Test</v>
      </c>
      <c r="CH271" s="930">
        <f>WWWW[[#This Row],['#_Constructed/existing protected hand dug well]]-WWWW[[#This Row],['#_Non-functional protected hand dug well]]</f>
        <v>0</v>
      </c>
      <c r="CI271" s="930">
        <f>(WWWW[[#This Row],['#_Constructed/Existing tube wells/boreholes/handpumps_WASH_agency]]+WWWW[[#This Row],['#_Non-Cluster partner water tube-wells/boreholes/handpumps]])-WWWW[[#This Row],['#_Non-functional tube wells/boreholes/handpumps]]</f>
        <v>1</v>
      </c>
      <c r="CJ271" s="930">
        <f>WWWW[[#This Row],['#_Constructed/Existingwater storage tank with gravity fed reticulation system]]-WWWW[[#This Row],['#_Non-functional storage tank gravity fed reticulation system]]</f>
        <v>1</v>
      </c>
      <c r="CK271" s="930">
        <f>(WWWW[[#This Row],['#_Water_Liters_supplied_by_Water boating or water trucking]]/90)/15</f>
        <v>0</v>
      </c>
      <c r="CL271" s="930">
        <f>WWWW[[#This Row],['#_Water_Liters_from_Constructed/Existing water distribution system from river or natural spring]]/90/15</f>
        <v>0</v>
      </c>
      <c r="CM271" s="425">
        <f>IF(WWWW[[#This Row],['#_of water points in TLS/CFS]]*500&gt;WWWW[[#This Row],[Total PoP ]],WWWW[[#This Row],[Total PoP ]],WWWW[[#This Row],['#_of water points in TLS/CFS]]*500)</f>
        <v>0</v>
      </c>
      <c r="CN271" s="425">
        <f>IF(WWWW[[#This Row],['#_of water points in THF]]*500&gt;WWWW[[#This Row],[Total PoP ]],WWWW[[#This Row],[Total PoP ]],WWWW[[#This Row],['#_of water points in THF]]*500)</f>
        <v>0</v>
      </c>
      <c r="CO27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0.76888285843509718</v>
      </c>
      <c r="CP27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0.42966983265490732</v>
      </c>
      <c r="CQ271" s="929">
        <f>IF(WWWW[[#This Row],[Location Type 1]]="Village",WWWW[[#This Row],[Access to safe drinking water for Village]],WWWW[[#This Row],[Access to safe drinking water for Camp]])</f>
        <v>0.76888285843509718</v>
      </c>
      <c r="CR271" s="927">
        <f>WWWW[[#This Row],[%Equitable and continuous access to sufficient quantity of safe drinking water]]*WWWW[[#This Row],[Total PoP ]]</f>
        <v>566.66666666666663</v>
      </c>
      <c r="CS271" s="929">
        <f>IF((WWWW[[#This Row],['#_Constructed/Existing protected/fenced ponds]]*250)/WWWW[[#This Row],[Total PoP ]]&gt;1,1,(WWWW[[#This Row],['#_Constructed/Existing protected/fenced ponds]]*250)/WWWW[[#This Row],[Total PoP ]])</f>
        <v>0</v>
      </c>
      <c r="CT271" s="927">
        <f>WWWW[[#This Row],[% Access to unimproved water points]]*WWWW[[#This Row],[Total PoP ]]</f>
        <v>0</v>
      </c>
      <c r="CU27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0.76888285843509718</v>
      </c>
      <c r="CV27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566.66666666666663</v>
      </c>
      <c r="CW271" s="927">
        <f>WWWW[[#This Row],[HRP1]]/500</f>
        <v>1.1333333333333333</v>
      </c>
      <c r="CX271" s="932">
        <f>1-WWWW[[#This Row],[% Equitable and continuous access to sufficient quantity of domestic water]]</f>
        <v>0.23111714156490282</v>
      </c>
      <c r="CY271" s="927">
        <f>WWWW[[#This Row],[%equitable and continuous access to sufficient quantity of safe drinking and domestic water''s GAP]]*WWWW[[#This Row],[Total PoP ]]</f>
        <v>170.33333333333337</v>
      </c>
      <c r="CZ271" s="930">
        <f>IF(WWWW[[#This Row],[Total required water points]]-WWWW[[#This Row],['#Water points coverage]]&lt;0,0,WWWW[[#This Row],[Total required water points]]-WWWW[[#This Row],['#Water points coverage]])</f>
        <v>0</v>
      </c>
      <c r="DA271" s="930">
        <f>ROUND(IF(WWWW[[#This Row],[Total PoP ]]&lt;500,1,WWWW[[#This Row],[Total PoP ]]/500),0)</f>
        <v>1</v>
      </c>
      <c r="DB271" s="930">
        <f>(WWWW[[#This Row],['#_Constructed latrines_by_WASHAgencies]]+WWWW[[#This Row],['#_Non Cluster partner latrines]])-WWWW[[#This Row],['#_Non-functional latrines]]</f>
        <v>44</v>
      </c>
      <c r="DC271" s="634">
        <f>WWWW[[#This Row],[HRP2]]/WWWW[[#This Row],[Total PoP ]]</f>
        <v>1</v>
      </c>
      <c r="DD27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737</v>
      </c>
      <c r="DE27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1" s="425">
        <f>IF(WWWW[[#This Row],['# of functional latrines in THF supported by WASH partners during the reporting period2]]="",0,WWWW[[#This Row],['# of functional latrines in THF supported by WASH partners during the reporting period2]]*50)</f>
        <v>0</v>
      </c>
      <c r="DH271" s="930">
        <f>ROUND(IF(WWWW[[#This Row],[Location Type 1]]="camp",WWWW[[#This Row],[Total PoP ]]/20,IF(WWWW[[#This Row],[Location Type 1]]="Temporary Location",WWWW[[#This Row],[Total PoP ]]/50,(WWWW[[#This Row],[Total PoP ]]/6))),0)</f>
        <v>37</v>
      </c>
      <c r="DI271" s="930">
        <f>IF(WWWW[[#This Row],[Total required Latrines]]-(WWWW[[#This Row],['#_Constructed latrines_by_WASHAgencies]]+WWWW[[#This Row],['#_Non Cluster partner latrines]])&lt;0,0,WWWW[[#This Row],[Total required Latrines]]-(WWWW[[#This Row],['#_Constructed latrines_by_WASHAgencies]]+WWWW[[#This Row],['#_Non Cluster partner latrines]]))</f>
        <v>0</v>
      </c>
      <c r="DJ271" s="932">
        <f>1-WWWW[[#This Row],[% people access to functioning Latrine]]</f>
        <v>0</v>
      </c>
      <c r="DK271" s="931">
        <f>IF(OR(WWWW[[#This Row],['#_Non-functional latrines]]="",WWWW[[#This Row],['#_Non-functional latrines]]=0),0,WWWW[[#This Row],['#_Non-functional latrines]]/(WWWW[[#This Row],['#_Constructed latrines_by_WASHAgencies]]+WWWW[[#This Row],['#_Non Cluster partner latrines]]))</f>
        <v>8.3333333333333329E-2</v>
      </c>
      <c r="DL271" s="927">
        <f>IF(500*(WWWW[[#This Row],['#_male hygiene promoters]]+WWWW[[#This Row],['#_female hygiene promoters]])&gt;WWWW[[#This Row],[Total PoP ]],WWWW[[#This Row],[Total PoP ]],500*(WWWW[[#This Row],['#_male hygiene promoters]]+WWWW[[#This Row],['#_female hygiene promoters]]))</f>
        <v>737</v>
      </c>
      <c r="DM27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737</v>
      </c>
      <c r="DN27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158.0865</v>
      </c>
      <c r="DO271" s="930">
        <f>IF(WWWW[[#This Row],['# People with access to soap]]&gt;WWWW[[#This Row],['# People with access to Sanity Pads]],WWWW[[#This Row],['# People with access to soap]],WWWW[[#This Row],['# People with access to Sanity Pads]])</f>
        <v>737</v>
      </c>
      <c r="DP271" s="930">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Q271" s="932">
        <f>IF(WWWW[[#This Row],[HRP3]]/WWWW[[#This Row],[Total PoP ]]&gt;1,1,WWWW[[#This Row],[HRP3]]/WWWW[[#This Row],[Total PoP ]])</f>
        <v>1</v>
      </c>
      <c r="DR271" s="931">
        <f>1-WWWW[[#This Row],[Hygiene Coverage%]]</f>
        <v>0</v>
      </c>
      <c r="DS271" s="929">
        <f>WWWW[[#This Row],['# people reached by regular dedicated hygiene promotion_5]]/WWWW[[#This Row],[Total PoP ]]</f>
        <v>1</v>
      </c>
      <c r="DT27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7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271" s="930">
        <f>WWWW[[#This Row],['#_Constructed/Existing hand washing stations]]-WWWW[[#This Row],['#_Non-Functional_hand_washing_stations]]</f>
        <v>1</v>
      </c>
      <c r="DW271" s="927">
        <f>IF(WWWW[[#This Row],['# Functional hand washing stations during reporting period]]*20&gt;WWWW[[#This Row],[Total HH]],WWWW[[#This Row],[Total HH]],WWWW[[#This Row],['# Functional hand washing stations during reporting period]]*20)</f>
        <v>20</v>
      </c>
      <c r="DX271" s="927">
        <f>IF(WWWW[[#This Row],[Is sufficient soap available for TLS? (Yes/No)]]="yes",WWWW[[#This Row],['#_Constructed/Existing hand washing stations at TLS/CFS/THF]],0)</f>
        <v>0</v>
      </c>
      <c r="DY271" s="429">
        <f>IF(WWWW[[#This Row],['# Functional hand washing stations during reporting period]]*100&gt;WWWW[[#This Row],[Total PoP ]],WWWW[[#This Row],[Total PoP ]],WWWW[[#This Row],['# Functional hand washing stations during reporting period]]*100)</f>
        <v>100</v>
      </c>
      <c r="DZ271" s="429" t="str">
        <f>IF(OR(WWWW[[#This Row],['#_students at TLS_CFS]]="",WWWW[[#This Row],['#_students at TLS_CFS]]=0),"No","Yes")</f>
        <v>No</v>
      </c>
      <c r="EA27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1" s="923" t="str">
        <f>VLOOKUP(WWWW[[#This Row],[Site Name]],SiteDB6[[Site Name]:[CCCM Management]],6,FALSE)</f>
        <v>Yes</v>
      </c>
      <c r="EF271" s="923" t="str">
        <f>VLOOKUP(WWWW[[#This Row],[Site Name]],SiteDB6[[Site Name]:[CCCM Focal Agency]],7,FALSE)</f>
        <v>KMSS-BMO</v>
      </c>
      <c r="EG271" s="923" t="str">
        <f>VLOOKUP(WWWW[[#This Row],[Site Name]],SiteDB6[[Site Name]:[Location Type 1]],9,FALSE)</f>
        <v>Camp</v>
      </c>
      <c r="EH271" s="923" t="str">
        <f>VLOOKUP(WWWW[[#This Row],[Site Name]],SiteDB6[[Site Name]:[Type of Accommodation]],10,FALSE)</f>
        <v>Camp</v>
      </c>
      <c r="EI271" s="923" t="str">
        <f>VLOOKUP(WWWW[[#This Row],[Site Name]],SiteDB6[[Site Name]:[Ethnic or GCA/NGCA]],11,FALSE)</f>
        <v>GCA</v>
      </c>
      <c r="EJ271" s="923">
        <f>VLOOKUP(WWWW[[#This Row],[Site Name]],SiteDB6[[Site Name]:[Lat]],12,FALSE)</f>
        <v>23.833477999999999</v>
      </c>
      <c r="EK271" s="923">
        <f>VLOOKUP(WWWW[[#This Row],[Site Name]],SiteDB6[[Site Name]:[Long]],13,FALSE)</f>
        <v>97.578367</v>
      </c>
      <c r="EL271" s="923" t="str">
        <f>VLOOKUP(WWWW[[#This Row],[Site Name]],SiteDB6[[Site Name]:[Pcode]],3,FALSE)</f>
        <v>MMR001CMP228</v>
      </c>
      <c r="EM271" s="928" t="str">
        <f t="shared" si="4"/>
        <v>Covered</v>
      </c>
      <c r="EN271" s="928"/>
      <c r="EO271" s="923">
        <f>VLOOKUP(WWWW[[#This Row],[Site Name]],SiteDB6[[Site Name]:[Pop
(Kachin/Shan-CCCM as of July 2021)]],16,FALSE)</f>
        <v>142</v>
      </c>
      <c r="EP271" s="923">
        <f>VLOOKUP(WWWW[[#This Row],[Site Name]],SiteDB6[[Site Name]:[Pop
(Kachin/Shan-CCCM as of July 2021)]],17,FALSE)</f>
        <v>830</v>
      </c>
    </row>
    <row r="272" spans="1:146" hidden="1">
      <c r="A272" s="921" t="s">
        <v>2786</v>
      </c>
      <c r="B272" s="921" t="s">
        <v>192</v>
      </c>
      <c r="C272" s="922" t="s">
        <v>192</v>
      </c>
      <c r="D272" s="922" t="s">
        <v>2695</v>
      </c>
      <c r="E272" s="922" t="s">
        <v>515</v>
      </c>
      <c r="F272" s="922" t="s">
        <v>534</v>
      </c>
      <c r="G272" s="594" t="str">
        <f>VLOOKUP(WWWW[[#This Row],[Site Name]],SiteDB6[[Site Name]:[Location Type]],8,FALSE)</f>
        <v>Camp</v>
      </c>
      <c r="H272" s="922" t="s">
        <v>535</v>
      </c>
      <c r="I272" s="924">
        <v>40</v>
      </c>
      <c r="J272" s="924">
        <v>206</v>
      </c>
      <c r="K272" s="925">
        <v>44511</v>
      </c>
      <c r="L272" s="926">
        <v>44845</v>
      </c>
      <c r="M272" s="924"/>
      <c r="N272" s="924"/>
      <c r="O272" s="924">
        <v>1</v>
      </c>
      <c r="P272" s="924"/>
      <c r="Q272" s="927" t="s">
        <v>41</v>
      </c>
      <c r="R272" s="924"/>
      <c r="S272" s="924">
        <v>5</v>
      </c>
      <c r="T272" s="449">
        <v>4</v>
      </c>
      <c r="U272" s="924"/>
      <c r="V272" s="924"/>
      <c r="W272" s="924">
        <v>1</v>
      </c>
      <c r="X272" s="924"/>
      <c r="Y272" s="924"/>
      <c r="Z272" s="924"/>
      <c r="AA272" s="924"/>
      <c r="AB272" s="924"/>
      <c r="AC272" s="924"/>
      <c r="AD272" s="924"/>
      <c r="AE272" s="924"/>
      <c r="AF272" s="924"/>
      <c r="AG272" s="924"/>
      <c r="AH272" s="924"/>
      <c r="AI272" s="924"/>
      <c r="AJ272" s="924"/>
      <c r="AK272" s="924"/>
      <c r="AL272" s="924"/>
      <c r="AM272" s="924"/>
      <c r="AN272" s="924"/>
      <c r="AO272" s="449"/>
      <c r="AP272" s="928"/>
      <c r="AQ272" s="924">
        <v>6</v>
      </c>
      <c r="AR272" s="924">
        <v>10</v>
      </c>
      <c r="AS272" s="929"/>
      <c r="AT272" s="924"/>
      <c r="AU272" s="924"/>
      <c r="AV272" s="924"/>
      <c r="AW272" s="924"/>
      <c r="AX272" s="924"/>
      <c r="AY272" s="923" t="s">
        <v>41</v>
      </c>
      <c r="AZ272" s="928" t="s">
        <v>137</v>
      </c>
      <c r="BA272" s="924"/>
      <c r="BB272" s="924"/>
      <c r="BC272" s="924"/>
      <c r="BD272" s="449"/>
      <c r="BE272" s="449"/>
      <c r="BF272" s="923"/>
      <c r="BG272" s="924"/>
      <c r="BH272" s="924"/>
      <c r="BI272" s="924"/>
      <c r="BJ272" s="924">
        <v>2</v>
      </c>
      <c r="BK272" s="924"/>
      <c r="BL272" s="924"/>
      <c r="BM272" s="924">
        <v>1</v>
      </c>
      <c r="BN272" s="924"/>
      <c r="BO272" s="924"/>
      <c r="BP272" s="426" t="s">
        <v>41</v>
      </c>
      <c r="BQ272" s="930"/>
      <c r="BR272" s="929">
        <v>1</v>
      </c>
      <c r="BS272" s="923"/>
      <c r="BT272" s="424"/>
      <c r="BU272" s="424"/>
      <c r="BV272" s="426"/>
      <c r="BW272" s="424"/>
      <c r="BX272" s="449"/>
      <c r="BY272" s="449"/>
      <c r="BZ272" s="449"/>
      <c r="CA272" s="449"/>
      <c r="CB272" s="449"/>
      <c r="CC272" s="807"/>
      <c r="CD272" s="449"/>
      <c r="CE272" s="931" t="str">
        <f>IFERROR(WWWW[[#This Row],['#_Water sources passed]]/WWWW[[#This Row],['#_Water sources tested for fecal coliform ]],"no test")</f>
        <v>no test</v>
      </c>
      <c r="CF272" s="929" t="str">
        <f>IFERROR(WWWW[[#This Row],['#_Household passed]]/WWWW[[#This Row],['#_Household water samples tested for fecal coliform]],"no test")</f>
        <v>no test</v>
      </c>
      <c r="CG272" s="930" t="str">
        <f>IF(AND(WWWW[[#This Row],[% of water sources passed]]="no test",WWWW[[#This Row],[% Household passed]]="no test"),"No Test","Tested")</f>
        <v>No Test</v>
      </c>
      <c r="CH272" s="930">
        <f>WWWW[[#This Row],['#_Constructed/existing protected hand dug well]]-WWWW[[#This Row],['#_Non-functional protected hand dug well]]</f>
        <v>4</v>
      </c>
      <c r="CI272" s="930">
        <f>(WWWW[[#This Row],['#_Constructed/Existing tube wells/boreholes/handpumps_WASH_agency]]+WWWW[[#This Row],['#_Non-Cluster partner water tube-wells/boreholes/handpumps]])-WWWW[[#This Row],['#_Non-functional tube wells/boreholes/handpumps]]</f>
        <v>1</v>
      </c>
      <c r="CJ272" s="930">
        <f>WWWW[[#This Row],['#_Constructed/Existingwater storage tank with gravity fed reticulation system]]-WWWW[[#This Row],['#_Non-functional storage tank gravity fed reticulation system]]</f>
        <v>0</v>
      </c>
      <c r="CK272" s="930">
        <f>(WWWW[[#This Row],['#_Water_Liters_supplied_by_Water boating or water trucking]]/90)/15</f>
        <v>0</v>
      </c>
      <c r="CL272" s="930">
        <f>WWWW[[#This Row],['#_Water_Liters_from_Constructed/Existing water distribution system from river or natural spring]]/90/15</f>
        <v>0</v>
      </c>
      <c r="CM272" s="425">
        <f>IF(WWWW[[#This Row],['#_of water points in TLS/CFS]]*500&gt;WWWW[[#This Row],[Total PoP ]],WWWW[[#This Row],[Total PoP ]],WWWW[[#This Row],['#_of water points in TLS/CFS]]*500)</f>
        <v>0</v>
      </c>
      <c r="CN272" s="425">
        <f>IF(WWWW[[#This Row],['#_of water points in THF]]*500&gt;WWWW[[#This Row],[Total PoP ]],WWWW[[#This Row],[Total PoP ]],WWWW[[#This Row],['#_of water points in THF]]*500)</f>
        <v>0</v>
      </c>
      <c r="CO27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2" s="929">
        <f>IF(WWWW[[#This Row],[Location Type 1]]="Village",WWWW[[#This Row],[Access to safe drinking water for Village]],WWWW[[#This Row],[Access to safe drinking water for Camp]])</f>
        <v>1</v>
      </c>
      <c r="CR272" s="927">
        <f>WWWW[[#This Row],[%Equitable and continuous access to sufficient quantity of safe drinking water]]*WWWW[[#This Row],[Total PoP ]]</f>
        <v>206</v>
      </c>
      <c r="CS272" s="929">
        <f>IF((WWWW[[#This Row],['#_Constructed/Existing protected/fenced ponds]]*250)/WWWW[[#This Row],[Total PoP ]]&gt;1,1,(WWWW[[#This Row],['#_Constructed/Existing protected/fenced ponds]]*250)/WWWW[[#This Row],[Total PoP ]])</f>
        <v>0</v>
      </c>
      <c r="CT272" s="927">
        <f>WWWW[[#This Row],[% Access to unimproved water points]]*WWWW[[#This Row],[Total PoP ]]</f>
        <v>0</v>
      </c>
      <c r="CU27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W272" s="927">
        <f>WWWW[[#This Row],[HRP1]]/500</f>
        <v>0.41199999999999998</v>
      </c>
      <c r="CX272" s="932">
        <f>1-WWWW[[#This Row],[% Equitable and continuous access to sufficient quantity of domestic water]]</f>
        <v>0</v>
      </c>
      <c r="CY272" s="927">
        <f>WWWW[[#This Row],[%equitable and continuous access to sufficient quantity of safe drinking and domestic water''s GAP]]*WWWW[[#This Row],[Total PoP ]]</f>
        <v>0</v>
      </c>
      <c r="CZ272" s="930">
        <f>IF(WWWW[[#This Row],[Total required water points]]-WWWW[[#This Row],['#Water points coverage]]&lt;0,0,WWWW[[#This Row],[Total required water points]]-WWWW[[#This Row],['#Water points coverage]])</f>
        <v>0.58800000000000008</v>
      </c>
      <c r="DA272" s="930">
        <f>ROUND(IF(WWWW[[#This Row],[Total PoP ]]&lt;500,1,WWWW[[#This Row],[Total PoP ]]/500),0)</f>
        <v>1</v>
      </c>
      <c r="DB272" s="930">
        <f>(WWWW[[#This Row],['#_Constructed latrines_by_WASHAgencies]]+WWWW[[#This Row],['#_Non Cluster partner latrines]])-WWWW[[#This Row],['#_Non-functional latrines]]</f>
        <v>16</v>
      </c>
      <c r="DC272" s="634">
        <f>WWWW[[#This Row],[HRP2]]/WWWW[[#This Row],[Total PoP ]]</f>
        <v>1</v>
      </c>
      <c r="DD27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206</v>
      </c>
      <c r="DE27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2" s="425">
        <f>IF(WWWW[[#This Row],['# of functional latrines in THF supported by WASH partners during the reporting period2]]="",0,WWWW[[#This Row],['# of functional latrines in THF supported by WASH partners during the reporting period2]]*50)</f>
        <v>0</v>
      </c>
      <c r="DH272" s="930">
        <f>ROUND(IF(WWWW[[#This Row],[Location Type 1]]="camp",WWWW[[#This Row],[Total PoP ]]/20,IF(WWWW[[#This Row],[Location Type 1]]="Temporary Location",WWWW[[#This Row],[Total PoP ]]/50,(WWWW[[#This Row],[Total PoP ]]/6))),0)</f>
        <v>10</v>
      </c>
      <c r="DI272" s="930">
        <f>IF(WWWW[[#This Row],[Total required Latrines]]-(WWWW[[#This Row],['#_Constructed latrines_by_WASHAgencies]]+WWWW[[#This Row],['#_Non Cluster partner latrines]])&lt;0,0,WWWW[[#This Row],[Total required Latrines]]-(WWWW[[#This Row],['#_Constructed latrines_by_WASHAgencies]]+WWWW[[#This Row],['#_Non Cluster partner latrines]]))</f>
        <v>0</v>
      </c>
      <c r="DJ272" s="932">
        <f>1-WWWW[[#This Row],[% people access to functioning Latrine]]</f>
        <v>0</v>
      </c>
      <c r="DK272" s="931">
        <f>IF(OR(WWWW[[#This Row],['#_Non-functional latrines]]="",WWWW[[#This Row],['#_Non-functional latrines]]=0),0,WWWW[[#This Row],['#_Non-functional latrines]]/(WWWW[[#This Row],['#_Constructed latrines_by_WASHAgencies]]+WWWW[[#This Row],['#_Non Cluster partner latrines]]))</f>
        <v>0</v>
      </c>
      <c r="DL272" s="927">
        <f>IF(500*(WWWW[[#This Row],['#_male hygiene promoters]]+WWWW[[#This Row],['#_female hygiene promoters]])&gt;WWWW[[#This Row],[Total PoP ]],WWWW[[#This Row],[Total PoP ]],500*(WWWW[[#This Row],['#_male hygiene promoters]]+WWWW[[#This Row],['#_female hygiene promoters]]))</f>
        <v>206</v>
      </c>
      <c r="DM27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2" s="930">
        <f>IF(WWWW[[#This Row],['# People with access to soap]]&gt;WWWW[[#This Row],['# People with access to Sanity Pads]],WWWW[[#This Row],['# People with access to soap]],WWWW[[#This Row],['# People with access to Sanity Pads]])</f>
        <v>0</v>
      </c>
      <c r="DP272" s="930">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Q272" s="932">
        <f>IF(WWWW[[#This Row],[HRP3]]/WWWW[[#This Row],[Total PoP ]]&gt;1,1,WWWW[[#This Row],[HRP3]]/WWWW[[#This Row],[Total PoP ]])</f>
        <v>1</v>
      </c>
      <c r="DR272" s="931">
        <f>1-WWWW[[#This Row],[Hygiene Coverage%]]</f>
        <v>0</v>
      </c>
      <c r="DS272" s="929">
        <f>WWWW[[#This Row],['# people reached by regular dedicated hygiene promotion_5]]/WWWW[[#This Row],[Total PoP ]]</f>
        <v>1</v>
      </c>
      <c r="DT27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2" s="930">
        <f>WWWW[[#This Row],['#_Constructed/Existing hand washing stations]]-WWWW[[#This Row],['#_Non-Functional_hand_washing_stations]]</f>
        <v>0</v>
      </c>
      <c r="DW272" s="927">
        <f>IF(WWWW[[#This Row],['# Functional hand washing stations during reporting period]]*20&gt;WWWW[[#This Row],[Total HH]],WWWW[[#This Row],[Total HH]],WWWW[[#This Row],['# Functional hand washing stations during reporting period]]*20)</f>
        <v>0</v>
      </c>
      <c r="DX272" s="927">
        <f>IF(WWWW[[#This Row],[Is sufficient soap available for TLS? (Yes/No)]]="yes",WWWW[[#This Row],['#_Constructed/Existing hand washing stations at TLS/CFS/THF]],0)</f>
        <v>0</v>
      </c>
      <c r="DY272" s="429">
        <f>IF(WWWW[[#This Row],['# Functional hand washing stations during reporting period]]*100&gt;WWWW[[#This Row],[Total PoP ]],WWWW[[#This Row],[Total PoP ]],WWWW[[#This Row],['# Functional hand washing stations during reporting period]]*100)</f>
        <v>0</v>
      </c>
      <c r="DZ272" s="429" t="str">
        <f>IF(OR(WWWW[[#This Row],['#_students at TLS_CFS]]="",WWWW[[#This Row],['#_students at TLS_CFS]]=0),"No","Yes")</f>
        <v>No</v>
      </c>
      <c r="EA27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2" s="923" t="str">
        <f>VLOOKUP(WWWW[[#This Row],[Site Name]],SiteDB6[[Site Name]:[CCCM Management]],6,FALSE)</f>
        <v>Yes</v>
      </c>
      <c r="EF272" s="923" t="str">
        <f>VLOOKUP(WWWW[[#This Row],[Site Name]],SiteDB6[[Site Name]:[CCCM Focal Agency]],7,FALSE)</f>
        <v>KBC-NSS</v>
      </c>
      <c r="EG272" s="923" t="str">
        <f>VLOOKUP(WWWW[[#This Row],[Site Name]],SiteDB6[[Site Name]:[Location Type 1]],9,FALSE)</f>
        <v>Camp</v>
      </c>
      <c r="EH272" s="923" t="str">
        <f>VLOOKUP(WWWW[[#This Row],[Site Name]],SiteDB6[[Site Name]:[Type of Accommodation]],10,FALSE)</f>
        <v>Camp</v>
      </c>
      <c r="EI272" s="923" t="str">
        <f>VLOOKUP(WWWW[[#This Row],[Site Name]],SiteDB6[[Site Name]:[Ethnic or GCA/NGCA]],11,FALSE)</f>
        <v>GCA</v>
      </c>
      <c r="EJ272" s="923">
        <f>VLOOKUP(WWWW[[#This Row],[Site Name]],SiteDB6[[Site Name]:[Lat]],12,FALSE)</f>
        <v>23.354268999999999</v>
      </c>
      <c r="EK272" s="923">
        <f>VLOOKUP(WWWW[[#This Row],[Site Name]],SiteDB6[[Site Name]:[Long]],13,FALSE)</f>
        <v>98.218626999999998</v>
      </c>
      <c r="EL272" s="923" t="str">
        <f>VLOOKUP(WWWW[[#This Row],[Site Name]],SiteDB6[[Site Name]:[Pcode]],3,FALSE)</f>
        <v>MMR015CMP036</v>
      </c>
      <c r="EM272" s="928" t="str">
        <f t="shared" si="4"/>
        <v>Covered</v>
      </c>
      <c r="EN272" s="928"/>
      <c r="EO272" s="923">
        <f>VLOOKUP(WWWW[[#This Row],[Site Name]],SiteDB6[[Site Name]:[Pop
(Kachin/Shan-CCCM as of July 2021)]],16,FALSE)</f>
        <v>36</v>
      </c>
      <c r="EP272" s="923">
        <f>VLOOKUP(WWWW[[#This Row],[Site Name]],SiteDB6[[Site Name]:[Pop
(Kachin/Shan-CCCM as of July 2021)]],17,FALSE)</f>
        <v>180</v>
      </c>
    </row>
    <row r="273" spans="1:146" hidden="1">
      <c r="A273" s="921" t="s">
        <v>2786</v>
      </c>
      <c r="B273" s="921" t="s">
        <v>192</v>
      </c>
      <c r="C273" s="922" t="s">
        <v>192</v>
      </c>
      <c r="D273" s="922" t="s">
        <v>2695</v>
      </c>
      <c r="E273" s="922" t="s">
        <v>515</v>
      </c>
      <c r="F273" s="922" t="s">
        <v>534</v>
      </c>
      <c r="G273" s="594" t="str">
        <f>VLOOKUP(WWWW[[#This Row],[Site Name]],SiteDB6[[Site Name]:[Location Type]],8,FALSE)</f>
        <v>Camp</v>
      </c>
      <c r="H273" s="922" t="s">
        <v>563</v>
      </c>
      <c r="I273" s="924">
        <v>42</v>
      </c>
      <c r="J273" s="924">
        <v>195</v>
      </c>
      <c r="K273" s="925">
        <v>44511</v>
      </c>
      <c r="L273" s="926">
        <v>44845</v>
      </c>
      <c r="M273" s="924"/>
      <c r="N273" s="924"/>
      <c r="O273" s="924"/>
      <c r="P273" s="924"/>
      <c r="Q273" s="927"/>
      <c r="R273" s="924">
        <v>4</v>
      </c>
      <c r="S273" s="924">
        <v>4</v>
      </c>
      <c r="T273" s="449"/>
      <c r="U273" s="924"/>
      <c r="V273" s="924"/>
      <c r="W273" s="924">
        <v>1</v>
      </c>
      <c r="X273" s="924"/>
      <c r="Y273" s="924"/>
      <c r="Z273" s="924"/>
      <c r="AA273" s="924">
        <v>1</v>
      </c>
      <c r="AB273" s="924"/>
      <c r="AC273" s="924"/>
      <c r="AD273" s="924"/>
      <c r="AE273" s="924"/>
      <c r="AF273" s="924"/>
      <c r="AG273" s="924"/>
      <c r="AH273" s="924">
        <v>1</v>
      </c>
      <c r="AI273" s="924"/>
      <c r="AJ273" s="924"/>
      <c r="AK273" s="924"/>
      <c r="AL273" s="924"/>
      <c r="AM273" s="924">
        <v>1</v>
      </c>
      <c r="AN273" s="924"/>
      <c r="AO273" s="449"/>
      <c r="AP273" s="928"/>
      <c r="AQ273" s="924">
        <v>38</v>
      </c>
      <c r="AR273" s="924"/>
      <c r="AS273" s="929"/>
      <c r="AT273" s="924"/>
      <c r="AU273" s="924"/>
      <c r="AV273" s="924"/>
      <c r="AW273" s="924"/>
      <c r="AX273" s="924"/>
      <c r="AY273" s="923" t="s">
        <v>136</v>
      </c>
      <c r="AZ273" s="928" t="s">
        <v>136</v>
      </c>
      <c r="BA273" s="924"/>
      <c r="BB273" s="924"/>
      <c r="BC273" s="924"/>
      <c r="BD273" s="449"/>
      <c r="BE273" s="449"/>
      <c r="BF273" s="923"/>
      <c r="BG273" s="924"/>
      <c r="BH273" s="924"/>
      <c r="BI273" s="924"/>
      <c r="BJ273" s="924"/>
      <c r="BK273" s="924"/>
      <c r="BL273" s="924"/>
      <c r="BM273" s="924">
        <v>1</v>
      </c>
      <c r="BN273" s="924"/>
      <c r="BO273" s="924"/>
      <c r="BP273" s="426" t="s">
        <v>41</v>
      </c>
      <c r="BQ273" s="930"/>
      <c r="BR273" s="929">
        <v>1</v>
      </c>
      <c r="BS273" s="923"/>
      <c r="BT273" s="424"/>
      <c r="BU273" s="424"/>
      <c r="BV273" s="426"/>
      <c r="BW273" s="424"/>
      <c r="BX273" s="449"/>
      <c r="BY273" s="449"/>
      <c r="BZ273" s="449"/>
      <c r="CA273" s="449"/>
      <c r="CB273" s="449"/>
      <c r="CC273" s="807"/>
      <c r="CD273" s="449"/>
      <c r="CE273" s="931" t="str">
        <f>IFERROR(WWWW[[#This Row],['#_Water sources passed]]/WWWW[[#This Row],['#_Water sources tested for fecal coliform ]],"no test")</f>
        <v>no test</v>
      </c>
      <c r="CF273" s="929" t="str">
        <f>IFERROR(WWWW[[#This Row],['#_Household passed]]/WWWW[[#This Row],['#_Household water samples tested for fecal coliform]],"no test")</f>
        <v>no test</v>
      </c>
      <c r="CG273" s="930" t="str">
        <f>IF(AND(WWWW[[#This Row],[% of water sources passed]]="no test",WWWW[[#This Row],[% Household passed]]="no test"),"No Test","Tested")</f>
        <v>No Test</v>
      </c>
      <c r="CH273" s="930">
        <f>WWWW[[#This Row],['#_Constructed/existing protected hand dug well]]-WWWW[[#This Row],['#_Non-functional protected hand dug well]]</f>
        <v>0</v>
      </c>
      <c r="CI273" s="930">
        <f>(WWWW[[#This Row],['#_Constructed/Existing tube wells/boreholes/handpumps_WASH_agency]]+WWWW[[#This Row],['#_Non-Cluster partner water tube-wells/boreholes/handpumps]])-WWWW[[#This Row],['#_Non-functional tube wells/boreholes/handpumps]]</f>
        <v>1</v>
      </c>
      <c r="CJ273" s="930">
        <f>WWWW[[#This Row],['#_Constructed/Existingwater storage tank with gravity fed reticulation system]]-WWWW[[#This Row],['#_Non-functional storage tank gravity fed reticulation system]]</f>
        <v>1</v>
      </c>
      <c r="CK273" s="930">
        <f>(WWWW[[#This Row],['#_Water_Liters_supplied_by_Water boating or water trucking]]/90)/15</f>
        <v>0</v>
      </c>
      <c r="CL273" s="930">
        <f>WWWW[[#This Row],['#_Water_Liters_from_Constructed/Existing water distribution system from river or natural spring]]/90/15</f>
        <v>0</v>
      </c>
      <c r="CM273" s="425">
        <f>IF(WWWW[[#This Row],['#_of water points in TLS/CFS]]*500&gt;WWWW[[#This Row],[Total PoP ]],WWWW[[#This Row],[Total PoP ]],WWWW[[#This Row],['#_of water points in TLS/CFS]]*500)</f>
        <v>0</v>
      </c>
      <c r="CN273" s="425">
        <f>IF(WWWW[[#This Row],['#_of water points in THF]]*500&gt;WWWW[[#This Row],[Total PoP ]],WWWW[[#This Row],[Total PoP ]],WWWW[[#This Row],['#_of water points in THF]]*500)</f>
        <v>0</v>
      </c>
      <c r="CO27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3" s="929">
        <f>IF(WWWW[[#This Row],[Location Type 1]]="Village",WWWW[[#This Row],[Access to safe drinking water for Village]],WWWW[[#This Row],[Access to safe drinking water for Camp]])</f>
        <v>1</v>
      </c>
      <c r="CR273" s="927">
        <f>WWWW[[#This Row],[%Equitable and continuous access to sufficient quantity of safe drinking water]]*WWWW[[#This Row],[Total PoP ]]</f>
        <v>195</v>
      </c>
      <c r="CS273" s="929">
        <f>IF((WWWW[[#This Row],['#_Constructed/Existing protected/fenced ponds]]*250)/WWWW[[#This Row],[Total PoP ]]&gt;1,1,(WWWW[[#This Row],['#_Constructed/Existing protected/fenced ponds]]*250)/WWWW[[#This Row],[Total PoP ]])</f>
        <v>0</v>
      </c>
      <c r="CT273" s="927">
        <f>WWWW[[#This Row],[% Access to unimproved water points]]*WWWW[[#This Row],[Total PoP ]]</f>
        <v>0</v>
      </c>
      <c r="CU27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W273" s="927">
        <f>WWWW[[#This Row],[HRP1]]/500</f>
        <v>0.39</v>
      </c>
      <c r="CX273" s="932">
        <f>1-WWWW[[#This Row],[% Equitable and continuous access to sufficient quantity of domestic water]]</f>
        <v>0</v>
      </c>
      <c r="CY273" s="927">
        <f>WWWW[[#This Row],[%equitable and continuous access to sufficient quantity of safe drinking and domestic water''s GAP]]*WWWW[[#This Row],[Total PoP ]]</f>
        <v>0</v>
      </c>
      <c r="CZ273" s="930">
        <f>IF(WWWW[[#This Row],[Total required water points]]-WWWW[[#This Row],['#Water points coverage]]&lt;0,0,WWWW[[#This Row],[Total required water points]]-WWWW[[#This Row],['#Water points coverage]])</f>
        <v>0.61</v>
      </c>
      <c r="DA273" s="930">
        <f>ROUND(IF(WWWW[[#This Row],[Total PoP ]]&lt;500,1,WWWW[[#This Row],[Total PoP ]]/500),0)</f>
        <v>1</v>
      </c>
      <c r="DB273" s="930">
        <f>(WWWW[[#This Row],['#_Constructed latrines_by_WASHAgencies]]+WWWW[[#This Row],['#_Non Cluster partner latrines]])-WWWW[[#This Row],['#_Non-functional latrines]]</f>
        <v>38</v>
      </c>
      <c r="DC273" s="634">
        <f>WWWW[[#This Row],[HRP2]]/WWWW[[#This Row],[Total PoP ]]</f>
        <v>1</v>
      </c>
      <c r="DD27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195</v>
      </c>
      <c r="DE27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3" s="425">
        <f>IF(WWWW[[#This Row],['# of functional latrines in THF supported by WASH partners during the reporting period2]]="",0,WWWW[[#This Row],['# of functional latrines in THF supported by WASH partners during the reporting period2]]*50)</f>
        <v>0</v>
      </c>
      <c r="DH273" s="930">
        <f>ROUND(IF(WWWW[[#This Row],[Location Type 1]]="camp",WWWW[[#This Row],[Total PoP ]]/20,IF(WWWW[[#This Row],[Location Type 1]]="Temporary Location",WWWW[[#This Row],[Total PoP ]]/50,(WWWW[[#This Row],[Total PoP ]]/6))),0)</f>
        <v>10</v>
      </c>
      <c r="DI273" s="930">
        <f>IF(WWWW[[#This Row],[Total required Latrines]]-(WWWW[[#This Row],['#_Constructed latrines_by_WASHAgencies]]+WWWW[[#This Row],['#_Non Cluster partner latrines]])&lt;0,0,WWWW[[#This Row],[Total required Latrines]]-(WWWW[[#This Row],['#_Constructed latrines_by_WASHAgencies]]+WWWW[[#This Row],['#_Non Cluster partner latrines]]))</f>
        <v>0</v>
      </c>
      <c r="DJ273" s="932">
        <f>1-WWWW[[#This Row],[% people access to functioning Latrine]]</f>
        <v>0</v>
      </c>
      <c r="DK273" s="931">
        <f>IF(OR(WWWW[[#This Row],['#_Non-functional latrines]]="",WWWW[[#This Row],['#_Non-functional latrines]]=0),0,WWWW[[#This Row],['#_Non-functional latrines]]/(WWWW[[#This Row],['#_Constructed latrines_by_WASHAgencies]]+WWWW[[#This Row],['#_Non Cluster partner latrines]]))</f>
        <v>0</v>
      </c>
      <c r="DL273" s="927">
        <f>IF(500*(WWWW[[#This Row],['#_male hygiene promoters]]+WWWW[[#This Row],['#_female hygiene promoters]])&gt;WWWW[[#This Row],[Total PoP ]],WWWW[[#This Row],[Total PoP ]],500*(WWWW[[#This Row],['#_male hygiene promoters]]+WWWW[[#This Row],['#_female hygiene promoters]]))</f>
        <v>195</v>
      </c>
      <c r="DM27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3" s="930">
        <f>IF(WWWW[[#This Row],['# People with access to soap]]&gt;WWWW[[#This Row],['# People with access to Sanity Pads]],WWWW[[#This Row],['# People with access to soap]],WWWW[[#This Row],['# People with access to Sanity Pads]])</f>
        <v>0</v>
      </c>
      <c r="DP273" s="930">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Q273" s="932">
        <f>IF(WWWW[[#This Row],[HRP3]]/WWWW[[#This Row],[Total PoP ]]&gt;1,1,WWWW[[#This Row],[HRP3]]/WWWW[[#This Row],[Total PoP ]])</f>
        <v>1</v>
      </c>
      <c r="DR273" s="931">
        <f>1-WWWW[[#This Row],[Hygiene Coverage%]]</f>
        <v>0</v>
      </c>
      <c r="DS273" s="929">
        <f>WWWW[[#This Row],['# people reached by regular dedicated hygiene promotion_5]]/WWWW[[#This Row],[Total PoP ]]</f>
        <v>1</v>
      </c>
      <c r="DT27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3" s="930">
        <f>WWWW[[#This Row],['#_Constructed/Existing hand washing stations]]-WWWW[[#This Row],['#_Non-Functional_hand_washing_stations]]</f>
        <v>0</v>
      </c>
      <c r="DW273" s="927">
        <f>IF(WWWW[[#This Row],['# Functional hand washing stations during reporting period]]*20&gt;WWWW[[#This Row],[Total HH]],WWWW[[#This Row],[Total HH]],WWWW[[#This Row],['# Functional hand washing stations during reporting period]]*20)</f>
        <v>0</v>
      </c>
      <c r="DX273" s="927">
        <f>IF(WWWW[[#This Row],[Is sufficient soap available for TLS? (Yes/No)]]="yes",WWWW[[#This Row],['#_Constructed/Existing hand washing stations at TLS/CFS/THF]],0)</f>
        <v>1</v>
      </c>
      <c r="DY273" s="429">
        <f>IF(WWWW[[#This Row],['# Functional hand washing stations during reporting period]]*100&gt;WWWW[[#This Row],[Total PoP ]],WWWW[[#This Row],[Total PoP ]],WWWW[[#This Row],['# Functional hand washing stations during reporting period]]*100)</f>
        <v>0</v>
      </c>
      <c r="DZ273" s="429" t="str">
        <f>IF(OR(WWWW[[#This Row],['#_students at TLS_CFS]]="",WWWW[[#This Row],['#_students at TLS_CFS]]=0),"No","Yes")</f>
        <v>No</v>
      </c>
      <c r="EA27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3" s="923">
        <f>VLOOKUP(WWWW[[#This Row],[Site Name]],SiteDB6[[Site Name]:[CCCM Management]],6,FALSE)</f>
        <v>0</v>
      </c>
      <c r="EF273" s="923">
        <f>VLOOKUP(WWWW[[#This Row],[Site Name]],SiteDB6[[Site Name]:[CCCM Focal Agency]],7,FALSE)</f>
        <v>0</v>
      </c>
      <c r="EG273" s="923" t="str">
        <f>VLOOKUP(WWWW[[#This Row],[Site Name]],SiteDB6[[Site Name]:[Location Type 1]],9,FALSE)</f>
        <v>Camp</v>
      </c>
      <c r="EH273" s="923" t="str">
        <f>VLOOKUP(WWWW[[#This Row],[Site Name]],SiteDB6[[Site Name]:[Type of Accommodation]],10,FALSE)</f>
        <v>Closed Camp</v>
      </c>
      <c r="EI273" s="923" t="str">
        <f>VLOOKUP(WWWW[[#This Row],[Site Name]],SiteDB6[[Site Name]:[Ethnic or GCA/NGCA]],11,FALSE)</f>
        <v>GCA</v>
      </c>
      <c r="EJ273" s="923">
        <f>VLOOKUP(WWWW[[#This Row],[Site Name]],SiteDB6[[Site Name]:[Lat]],12,FALSE)</f>
        <v>23.353999999999999</v>
      </c>
      <c r="EK273" s="923">
        <f>VLOOKUP(WWWW[[#This Row],[Site Name]],SiteDB6[[Site Name]:[Long]],13,FALSE)</f>
        <v>98.221000000000004</v>
      </c>
      <c r="EL273" s="923" t="str">
        <f>VLOOKUP(WWWW[[#This Row],[Site Name]],SiteDB6[[Site Name]:[Pcode]],3,FALSE)</f>
        <v>MMR015CMP226</v>
      </c>
      <c r="EM273" s="928" t="str">
        <f t="shared" si="4"/>
        <v>Covered</v>
      </c>
      <c r="EN273" s="928"/>
      <c r="EO273" s="923">
        <f>VLOOKUP(WWWW[[#This Row],[Site Name]],SiteDB6[[Site Name]:[Pop
(Kachin/Shan-CCCM as of July 2021)]],16,FALSE)</f>
        <v>0</v>
      </c>
      <c r="EP273" s="923">
        <f>VLOOKUP(WWWW[[#This Row],[Site Name]],SiteDB6[[Site Name]:[Pop
(Kachin/Shan-CCCM as of July 2021)]],17,FALSE)</f>
        <v>0</v>
      </c>
    </row>
    <row r="274" spans="1:146" hidden="1">
      <c r="A274" s="921" t="s">
        <v>2786</v>
      </c>
      <c r="B274" s="921" t="s">
        <v>192</v>
      </c>
      <c r="C274" s="922" t="s">
        <v>192</v>
      </c>
      <c r="D274" s="922" t="s">
        <v>241</v>
      </c>
      <c r="E274" s="922" t="s">
        <v>515</v>
      </c>
      <c r="F274" s="922" t="s">
        <v>519</v>
      </c>
      <c r="G274" s="594" t="str">
        <f>VLOOKUP(WWWW[[#This Row],[Site Name]],SiteDB6[[Site Name]:[Location Type]],8,FALSE)</f>
        <v>Camp</v>
      </c>
      <c r="H274" s="753" t="s">
        <v>3055</v>
      </c>
      <c r="I274" s="924">
        <v>27</v>
      </c>
      <c r="J274" s="924">
        <v>162</v>
      </c>
      <c r="K274" s="925">
        <v>44511</v>
      </c>
      <c r="L274" s="926">
        <v>44845</v>
      </c>
      <c r="M274" s="924"/>
      <c r="N274" s="924"/>
      <c r="O274" s="924"/>
      <c r="P274" s="924"/>
      <c r="Q274" s="927"/>
      <c r="R274" s="924"/>
      <c r="S274" s="924"/>
      <c r="T274" s="449"/>
      <c r="U274" s="924"/>
      <c r="V274" s="924"/>
      <c r="W274" s="924"/>
      <c r="X274" s="924"/>
      <c r="Y274" s="924"/>
      <c r="Z274" s="924"/>
      <c r="AA274" s="924"/>
      <c r="AB274" s="924"/>
      <c r="AC274" s="924"/>
      <c r="AD274" s="924"/>
      <c r="AE274" s="924"/>
      <c r="AF274" s="924"/>
      <c r="AG274" s="924"/>
      <c r="AH274" s="924"/>
      <c r="AI274" s="924"/>
      <c r="AJ274" s="924"/>
      <c r="AK274" s="924"/>
      <c r="AL274" s="924"/>
      <c r="AM274" s="924"/>
      <c r="AN274" s="924"/>
      <c r="AO274" s="449"/>
      <c r="AP274" s="928"/>
      <c r="AQ274" s="924"/>
      <c r="AR274" s="924"/>
      <c r="AS274" s="929"/>
      <c r="AT274" s="924"/>
      <c r="AU274" s="924"/>
      <c r="AV274" s="924"/>
      <c r="AW274" s="924"/>
      <c r="AX274" s="924"/>
      <c r="AY274" s="923" t="s">
        <v>140</v>
      </c>
      <c r="AZ274" s="928" t="s">
        <v>140</v>
      </c>
      <c r="BA274" s="924"/>
      <c r="BB274" s="924"/>
      <c r="BC274" s="924"/>
      <c r="BD274" s="449"/>
      <c r="BE274" s="449"/>
      <c r="BF274" s="923"/>
      <c r="BG274" s="924">
        <v>7</v>
      </c>
      <c r="BH274" s="924"/>
      <c r="BI274" s="924"/>
      <c r="BJ274" s="924">
        <v>4</v>
      </c>
      <c r="BK274" s="924"/>
      <c r="BL274" s="924"/>
      <c r="BM274" s="924"/>
      <c r="BN274" s="924"/>
      <c r="BO274" s="924"/>
      <c r="BP274" s="426" t="s">
        <v>41</v>
      </c>
      <c r="BQ274" s="930"/>
      <c r="BR274" s="929"/>
      <c r="BS274" s="923"/>
      <c r="BT274" s="424"/>
      <c r="BU274" s="424"/>
      <c r="BV274" s="426"/>
      <c r="BW274" s="424"/>
      <c r="BX274" s="449"/>
      <c r="BY274" s="449"/>
      <c r="BZ274" s="449"/>
      <c r="CA274" s="449"/>
      <c r="CB274" s="449"/>
      <c r="CC274" s="807"/>
      <c r="CD274" s="449"/>
      <c r="CE274" s="931" t="str">
        <f>IFERROR(WWWW[[#This Row],['#_Water sources passed]]/WWWW[[#This Row],['#_Water sources tested for fecal coliform ]],"no test")</f>
        <v>no test</v>
      </c>
      <c r="CF274" s="929" t="str">
        <f>IFERROR(WWWW[[#This Row],['#_Household passed]]/WWWW[[#This Row],['#_Household water samples tested for fecal coliform]],"no test")</f>
        <v>no test</v>
      </c>
      <c r="CG274" s="930" t="str">
        <f>IF(AND(WWWW[[#This Row],[% of water sources passed]]="no test",WWWW[[#This Row],[% Household passed]]="no test"),"No Test","Tested")</f>
        <v>No Test</v>
      </c>
      <c r="CH274" s="930">
        <f>WWWW[[#This Row],['#_Constructed/existing protected hand dug well]]-WWWW[[#This Row],['#_Non-functional protected hand dug well]]</f>
        <v>0</v>
      </c>
      <c r="CI274" s="930">
        <f>(WWWW[[#This Row],['#_Constructed/Existing tube wells/boreholes/handpumps_WASH_agency]]+WWWW[[#This Row],['#_Non-Cluster partner water tube-wells/boreholes/handpumps]])-WWWW[[#This Row],['#_Non-functional tube wells/boreholes/handpumps]]</f>
        <v>0</v>
      </c>
      <c r="CJ274" s="930">
        <f>WWWW[[#This Row],['#_Constructed/Existingwater storage tank with gravity fed reticulation system]]-WWWW[[#This Row],['#_Non-functional storage tank gravity fed reticulation system]]</f>
        <v>0</v>
      </c>
      <c r="CK274" s="930">
        <f>(WWWW[[#This Row],['#_Water_Liters_supplied_by_Water boating or water trucking]]/90)/15</f>
        <v>0</v>
      </c>
      <c r="CL274" s="930">
        <f>WWWW[[#This Row],['#_Water_Liters_from_Constructed/Existing water distribution system from river or natural spring]]/90/15</f>
        <v>0</v>
      </c>
      <c r="CM274" s="425">
        <f>IF(WWWW[[#This Row],['#_of water points in TLS/CFS]]*500&gt;WWWW[[#This Row],[Total PoP ]],WWWW[[#This Row],[Total PoP ]],WWWW[[#This Row],['#_of water points in TLS/CFS]]*500)</f>
        <v>0</v>
      </c>
      <c r="CN274" s="425">
        <f>IF(WWWW[[#This Row],['#_of water points in THF]]*500&gt;WWWW[[#This Row],[Total PoP ]],WWWW[[#This Row],[Total PoP ]],WWWW[[#This Row],['#_of water points in THF]]*500)</f>
        <v>0</v>
      </c>
      <c r="CO27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7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74" s="929">
        <f>IF(WWWW[[#This Row],[Location Type 1]]="Village",WWWW[[#This Row],[Access to safe drinking water for Village]],WWWW[[#This Row],[Access to safe drinking water for Camp]])</f>
        <v>0</v>
      </c>
      <c r="CR274" s="927">
        <f>WWWW[[#This Row],[%Equitable and continuous access to sufficient quantity of safe drinking water]]*WWWW[[#This Row],[Total PoP ]]</f>
        <v>0</v>
      </c>
      <c r="CS274" s="929">
        <f>IF((WWWW[[#This Row],['#_Constructed/Existing protected/fenced ponds]]*250)/WWWW[[#This Row],[Total PoP ]]&gt;1,1,(WWWW[[#This Row],['#_Constructed/Existing protected/fenced ponds]]*250)/WWWW[[#This Row],[Total PoP ]])</f>
        <v>0</v>
      </c>
      <c r="CT274" s="927">
        <f>WWWW[[#This Row],[% Access to unimproved water points]]*WWWW[[#This Row],[Total PoP ]]</f>
        <v>0</v>
      </c>
      <c r="CU27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7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74" s="927">
        <f>WWWW[[#This Row],[HRP1]]/500</f>
        <v>0</v>
      </c>
      <c r="CX274" s="932">
        <f>1-WWWW[[#This Row],[% Equitable and continuous access to sufficient quantity of domestic water]]</f>
        <v>1</v>
      </c>
      <c r="CY274" s="927">
        <f>WWWW[[#This Row],[%equitable and continuous access to sufficient quantity of safe drinking and domestic water''s GAP]]*WWWW[[#This Row],[Total PoP ]]</f>
        <v>162</v>
      </c>
      <c r="CZ274" s="930">
        <f>IF(WWWW[[#This Row],[Total required water points]]-WWWW[[#This Row],['#Water points coverage]]&lt;0,0,WWWW[[#This Row],[Total required water points]]-WWWW[[#This Row],['#Water points coverage]])</f>
        <v>1</v>
      </c>
      <c r="DA274" s="930">
        <f>ROUND(IF(WWWW[[#This Row],[Total PoP ]]&lt;500,1,WWWW[[#This Row],[Total PoP ]]/500),0)</f>
        <v>1</v>
      </c>
      <c r="DB274" s="930">
        <f>(WWWW[[#This Row],['#_Constructed latrines_by_WASHAgencies]]+WWWW[[#This Row],['#_Non Cluster partner latrines]])-WWWW[[#This Row],['#_Non-functional latrines]]</f>
        <v>0</v>
      </c>
      <c r="DC274" s="634">
        <f>WWWW[[#This Row],[HRP2]]/WWWW[[#This Row],[Total PoP ]]</f>
        <v>0</v>
      </c>
      <c r="DD27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7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4" s="425">
        <f>IF(WWWW[[#This Row],['# of functional latrines in THF supported by WASH partners during the reporting period2]]="",0,WWWW[[#This Row],['# of functional latrines in THF supported by WASH partners during the reporting period2]]*50)</f>
        <v>0</v>
      </c>
      <c r="DH274" s="930">
        <f>ROUND(IF(WWWW[[#This Row],[Location Type 1]]="camp",WWWW[[#This Row],[Total PoP ]]/20,IF(WWWW[[#This Row],[Location Type 1]]="Temporary Location",WWWW[[#This Row],[Total PoP ]]/50,(WWWW[[#This Row],[Total PoP ]]/6))),0)</f>
        <v>8</v>
      </c>
      <c r="DI274" s="930">
        <f>IF(WWWW[[#This Row],[Total required Latrines]]-(WWWW[[#This Row],['#_Constructed latrines_by_WASHAgencies]]+WWWW[[#This Row],['#_Non Cluster partner latrines]])&lt;0,0,WWWW[[#This Row],[Total required Latrines]]-(WWWW[[#This Row],['#_Constructed latrines_by_WASHAgencies]]+WWWW[[#This Row],['#_Non Cluster partner latrines]]))</f>
        <v>8</v>
      </c>
      <c r="DJ274" s="932">
        <f>1-WWWW[[#This Row],[% people access to functioning Latrine]]</f>
        <v>1</v>
      </c>
      <c r="DK274" s="931">
        <f>IF(OR(WWWW[[#This Row],['#_Non-functional latrines]]="",WWWW[[#This Row],['#_Non-functional latrines]]=0),0,WWWW[[#This Row],['#_Non-functional latrines]]/(WWWW[[#This Row],['#_Constructed latrines_by_WASHAgencies]]+WWWW[[#This Row],['#_Non Cluster partner latrines]]))</f>
        <v>0</v>
      </c>
      <c r="DL274" s="927">
        <f>IF(500*(WWWW[[#This Row],['#_male hygiene promoters]]+WWWW[[#This Row],['#_female hygiene promoters]])&gt;WWWW[[#This Row],[Total PoP ]],WWWW[[#This Row],[Total PoP ]],500*(WWWW[[#This Row],['#_male hygiene promoters]]+WWWW[[#This Row],['#_female hygiene promoters]]))</f>
        <v>0</v>
      </c>
      <c r="DM27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4" s="930">
        <f>IF(WWWW[[#This Row],['# People with access to soap]]&gt;WWWW[[#This Row],['# People with access to Sanity Pads]],WWWW[[#This Row],['# People with access to soap]],WWWW[[#This Row],['# People with access to Sanity Pads]])</f>
        <v>0</v>
      </c>
      <c r="DP27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74" s="932">
        <f>IF(WWWW[[#This Row],[HRP3]]/WWWW[[#This Row],[Total PoP ]]&gt;1,1,WWWW[[#This Row],[HRP3]]/WWWW[[#This Row],[Total PoP ]])</f>
        <v>0</v>
      </c>
      <c r="DR274" s="931">
        <f>1-WWWW[[#This Row],[Hygiene Coverage%]]</f>
        <v>1</v>
      </c>
      <c r="DS274" s="929">
        <f>WWWW[[#This Row],['# people reached by regular dedicated hygiene promotion_5]]/WWWW[[#This Row],[Total PoP ]]</f>
        <v>0</v>
      </c>
      <c r="DT27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4" s="930">
        <f>WWWW[[#This Row],['#_Constructed/Existing hand washing stations]]-WWWW[[#This Row],['#_Non-Functional_hand_washing_stations]]</f>
        <v>7</v>
      </c>
      <c r="DW274" s="927">
        <f>IF(WWWW[[#This Row],['# Functional hand washing stations during reporting period]]*20&gt;WWWW[[#This Row],[Total HH]],WWWW[[#This Row],[Total HH]],WWWW[[#This Row],['# Functional hand washing stations during reporting period]]*20)</f>
        <v>27</v>
      </c>
      <c r="DX274" s="927">
        <f>IF(WWWW[[#This Row],[Is sufficient soap available for TLS? (Yes/No)]]="yes",WWWW[[#This Row],['#_Constructed/Existing hand washing stations at TLS/CFS/THF]],0)</f>
        <v>0</v>
      </c>
      <c r="DY274" s="429">
        <f>IF(WWWW[[#This Row],['# Functional hand washing stations during reporting period]]*100&gt;WWWW[[#This Row],[Total PoP ]],WWWW[[#This Row],[Total PoP ]],WWWW[[#This Row],['# Functional hand washing stations during reporting period]]*100)</f>
        <v>162</v>
      </c>
      <c r="DZ274" s="429" t="str">
        <f>IF(OR(WWWW[[#This Row],['#_students at TLS_CFS]]="",WWWW[[#This Row],['#_students at TLS_CFS]]=0),"No","Yes")</f>
        <v>No</v>
      </c>
      <c r="EA27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4" s="923">
        <f>VLOOKUP(WWWW[[#This Row],[Site Name]],SiteDB6[[Site Name]:[CCCM Management]],6,FALSE)</f>
        <v>0</v>
      </c>
      <c r="EF274" s="923">
        <f>VLOOKUP(WWWW[[#This Row],[Site Name]],SiteDB6[[Site Name]:[CCCM Focal Agency]],7,FALSE)</f>
        <v>0</v>
      </c>
      <c r="EG274" s="923" t="str">
        <f>VLOOKUP(WWWW[[#This Row],[Site Name]],SiteDB6[[Site Name]:[Location Type 1]],9,FALSE)</f>
        <v>Camp</v>
      </c>
      <c r="EH274" s="923" t="str">
        <f>VLOOKUP(WWWW[[#This Row],[Site Name]],SiteDB6[[Site Name]:[Type of Accommodation]],10,FALSE)</f>
        <v>IDPs in host</v>
      </c>
      <c r="EI274" s="923" t="str">
        <f>VLOOKUP(WWWW[[#This Row],[Site Name]],SiteDB6[[Site Name]:[Ethnic or GCA/NGCA]],11,FALSE)</f>
        <v>GCA</v>
      </c>
      <c r="EJ274" s="923">
        <f>VLOOKUP(WWWW[[#This Row],[Site Name]],SiteDB6[[Site Name]:[Lat]],12,FALSE)</f>
        <v>23.400155999999999</v>
      </c>
      <c r="EK274" s="923">
        <f>VLOOKUP(WWWW[[#This Row],[Site Name]],SiteDB6[[Site Name]:[Long]],13,FALSE)</f>
        <v>98.220614999999995</v>
      </c>
      <c r="EL274" s="923" t="str">
        <f>VLOOKUP(WWWW[[#This Row],[Site Name]],SiteDB6[[Site Name]:[Pcode]],3,FALSE)</f>
        <v>MMR015CMP071</v>
      </c>
      <c r="EM274" s="928" t="str">
        <f t="shared" si="4"/>
        <v>Covered</v>
      </c>
      <c r="EN274" s="928"/>
      <c r="EO274" s="923">
        <f>VLOOKUP(WWWW[[#This Row],[Site Name]],SiteDB6[[Site Name]:[Pop
(Kachin/Shan-CCCM as of July 2021)]],16,FALSE)</f>
        <v>27</v>
      </c>
      <c r="EP274" s="923">
        <f>VLOOKUP(WWWW[[#This Row],[Site Name]],SiteDB6[[Site Name]:[Pop
(Kachin/Shan-CCCM as of July 2021)]],17,FALSE)</f>
        <v>162</v>
      </c>
    </row>
    <row r="275" spans="1:146" hidden="1">
      <c r="A275" s="921" t="s">
        <v>2786</v>
      </c>
      <c r="B275" s="921" t="s">
        <v>192</v>
      </c>
      <c r="C275" s="922" t="s">
        <v>192</v>
      </c>
      <c r="D275" s="922" t="s">
        <v>2695</v>
      </c>
      <c r="E275" s="922" t="s">
        <v>515</v>
      </c>
      <c r="F275" s="922" t="s">
        <v>519</v>
      </c>
      <c r="G275" s="594" t="str">
        <f>VLOOKUP(WWWW[[#This Row],[Site Name]],SiteDB6[[Site Name]:[Location Type]],8,FALSE)</f>
        <v>Camp</v>
      </c>
      <c r="H275" s="922" t="s">
        <v>1721</v>
      </c>
      <c r="I275" s="924">
        <v>74</v>
      </c>
      <c r="J275" s="924">
        <v>439</v>
      </c>
      <c r="K275" s="925" t="s">
        <v>2789</v>
      </c>
      <c r="L275" s="926" t="s">
        <v>2790</v>
      </c>
      <c r="M275" s="924"/>
      <c r="N275" s="924">
        <v>1</v>
      </c>
      <c r="O275" s="924"/>
      <c r="P275" s="924"/>
      <c r="Q275" s="927" t="s">
        <v>41</v>
      </c>
      <c r="R275" s="924">
        <v>5</v>
      </c>
      <c r="S275" s="924">
        <v>1</v>
      </c>
      <c r="T275" s="449"/>
      <c r="U275" s="924"/>
      <c r="V275" s="924"/>
      <c r="W275" s="924"/>
      <c r="X275" s="924"/>
      <c r="Y275" s="924"/>
      <c r="Z275" s="924"/>
      <c r="AA275" s="924">
        <v>14</v>
      </c>
      <c r="AB275" s="924"/>
      <c r="AC275" s="924"/>
      <c r="AD275" s="924"/>
      <c r="AE275" s="924"/>
      <c r="AF275" s="924"/>
      <c r="AG275" s="924"/>
      <c r="AH275" s="924"/>
      <c r="AI275" s="924"/>
      <c r="AJ275" s="924"/>
      <c r="AK275" s="924"/>
      <c r="AL275" s="924"/>
      <c r="AM275" s="924"/>
      <c r="AN275" s="924"/>
      <c r="AO275" s="449"/>
      <c r="AP275" s="928"/>
      <c r="AQ275" s="924">
        <v>40</v>
      </c>
      <c r="AR275" s="924"/>
      <c r="AS275" s="929"/>
      <c r="AT275" s="924"/>
      <c r="AU275" s="924"/>
      <c r="AV275" s="924"/>
      <c r="AW275" s="924"/>
      <c r="AX275" s="924"/>
      <c r="AY275" s="923" t="s">
        <v>140</v>
      </c>
      <c r="AZ275" s="928" t="s">
        <v>140</v>
      </c>
      <c r="BA275" s="924"/>
      <c r="BB275" s="924"/>
      <c r="BC275" s="924"/>
      <c r="BD275" s="449"/>
      <c r="BE275" s="449"/>
      <c r="BF275" s="923"/>
      <c r="BG275" s="924">
        <v>3</v>
      </c>
      <c r="BH275" s="924"/>
      <c r="BI275" s="924"/>
      <c r="BJ275" s="924">
        <v>2</v>
      </c>
      <c r="BK275" s="924"/>
      <c r="BL275" s="924"/>
      <c r="BM275" s="924">
        <v>1</v>
      </c>
      <c r="BN275" s="924"/>
      <c r="BO275" s="924"/>
      <c r="BP275" s="426" t="s">
        <v>41</v>
      </c>
      <c r="BQ275" s="930"/>
      <c r="BR275" s="424">
        <v>1</v>
      </c>
      <c r="BS275" s="923"/>
      <c r="BT275" s="424"/>
      <c r="BU275" s="424"/>
      <c r="BV275" s="426"/>
      <c r="BW275" s="424"/>
      <c r="BX275" s="449"/>
      <c r="BY275" s="449"/>
      <c r="BZ275" s="449"/>
      <c r="CA275" s="449"/>
      <c r="CB275" s="449"/>
      <c r="CC275" s="807"/>
      <c r="CD275" s="449"/>
      <c r="CE275" s="931" t="str">
        <f>IFERROR(WWWW[[#This Row],['#_Water sources passed]]/WWWW[[#This Row],['#_Water sources tested for fecal coliform ]],"no test")</f>
        <v>no test</v>
      </c>
      <c r="CF275" s="929" t="str">
        <f>IFERROR(WWWW[[#This Row],['#_Household passed]]/WWWW[[#This Row],['#_Household water samples tested for fecal coliform]],"no test")</f>
        <v>no test</v>
      </c>
      <c r="CG275" s="930" t="str">
        <f>IF(AND(WWWW[[#This Row],[% of water sources passed]]="no test",WWWW[[#This Row],[% Household passed]]="no test"),"No Test","Tested")</f>
        <v>No Test</v>
      </c>
      <c r="CH275" s="930">
        <f>WWWW[[#This Row],['#_Constructed/existing protected hand dug well]]-WWWW[[#This Row],['#_Non-functional protected hand dug well]]</f>
        <v>0</v>
      </c>
      <c r="CI275" s="930">
        <f>(WWWW[[#This Row],['#_Constructed/Existing tube wells/boreholes/handpumps_WASH_agency]]+WWWW[[#This Row],['#_Non-Cluster partner water tube-wells/boreholes/handpumps]])-WWWW[[#This Row],['#_Non-functional tube wells/boreholes/handpumps]]</f>
        <v>0</v>
      </c>
      <c r="CJ275" s="930">
        <f>WWWW[[#This Row],['#_Constructed/Existingwater storage tank with gravity fed reticulation system]]-WWWW[[#This Row],['#_Non-functional storage tank gravity fed reticulation system]]</f>
        <v>14</v>
      </c>
      <c r="CK275" s="930">
        <f>(WWWW[[#This Row],['#_Water_Liters_supplied_by_Water boating or water trucking]]/90)/15</f>
        <v>0</v>
      </c>
      <c r="CL275" s="930">
        <f>WWWW[[#This Row],['#_Water_Liters_from_Constructed/Existing water distribution system from river or natural spring]]/90/15</f>
        <v>0</v>
      </c>
      <c r="CM275" s="425">
        <f>IF(WWWW[[#This Row],['#_of water points in TLS/CFS]]*500&gt;WWWW[[#This Row],[Total PoP ]],WWWW[[#This Row],[Total PoP ]],WWWW[[#This Row],['#_of water points in TLS/CFS]]*500)</f>
        <v>0</v>
      </c>
      <c r="CN275" s="425">
        <f>IF(WWWW[[#This Row],['#_of water points in THF]]*500&gt;WWWW[[#This Row],[Total PoP ]],WWWW[[#This Row],[Total PoP ]],WWWW[[#This Row],['#_of water points in THF]]*500)</f>
        <v>0</v>
      </c>
      <c r="CO27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5" s="929">
        <f>IF(WWWW[[#This Row],[Location Type 1]]="Village",WWWW[[#This Row],[Access to safe drinking water for Village]],WWWW[[#This Row],[Access to safe drinking water for Camp]])</f>
        <v>1</v>
      </c>
      <c r="CR275" s="927">
        <f>WWWW[[#This Row],[%Equitable and continuous access to sufficient quantity of safe drinking water]]*WWWW[[#This Row],[Total PoP ]]</f>
        <v>439</v>
      </c>
      <c r="CS275" s="929">
        <f>IF((WWWW[[#This Row],['#_Constructed/Existing protected/fenced ponds]]*250)/WWWW[[#This Row],[Total PoP ]]&gt;1,1,(WWWW[[#This Row],['#_Constructed/Existing protected/fenced ponds]]*250)/WWWW[[#This Row],[Total PoP ]])</f>
        <v>0</v>
      </c>
      <c r="CT275" s="927">
        <f>WWWW[[#This Row],[% Access to unimproved water points]]*WWWW[[#This Row],[Total PoP ]]</f>
        <v>0</v>
      </c>
      <c r="CU27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W275" s="927">
        <f>WWWW[[#This Row],[HRP1]]/500</f>
        <v>0.878</v>
      </c>
      <c r="CX275" s="932">
        <f>1-WWWW[[#This Row],[% Equitable and continuous access to sufficient quantity of domestic water]]</f>
        <v>0</v>
      </c>
      <c r="CY275" s="927">
        <f>WWWW[[#This Row],[%equitable and continuous access to sufficient quantity of safe drinking and domestic water''s GAP]]*WWWW[[#This Row],[Total PoP ]]</f>
        <v>0</v>
      </c>
      <c r="CZ275" s="930">
        <f>IF(WWWW[[#This Row],[Total required water points]]-WWWW[[#This Row],['#Water points coverage]]&lt;0,0,WWWW[[#This Row],[Total required water points]]-WWWW[[#This Row],['#Water points coverage]])</f>
        <v>0.122</v>
      </c>
      <c r="DA275" s="930">
        <f>ROUND(IF(WWWW[[#This Row],[Total PoP ]]&lt;500,1,WWWW[[#This Row],[Total PoP ]]/500),0)</f>
        <v>1</v>
      </c>
      <c r="DB275" s="930">
        <f>(WWWW[[#This Row],['#_Constructed latrines_by_WASHAgencies]]+WWWW[[#This Row],['#_Non Cluster partner latrines]])-WWWW[[#This Row],['#_Non-functional latrines]]</f>
        <v>40</v>
      </c>
      <c r="DC275" s="634">
        <f>WWWW[[#This Row],[HRP2]]/WWWW[[#This Row],[Total PoP ]]</f>
        <v>1</v>
      </c>
      <c r="DD27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439</v>
      </c>
      <c r="DE27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5" s="425">
        <f>IF(WWWW[[#This Row],['# of functional latrines in THF supported by WASH partners during the reporting period2]]="",0,WWWW[[#This Row],['# of functional latrines in THF supported by WASH partners during the reporting period2]]*50)</f>
        <v>0</v>
      </c>
      <c r="DH275" s="930">
        <f>ROUND(IF(WWWW[[#This Row],[Location Type 1]]="camp",WWWW[[#This Row],[Total PoP ]]/20,IF(WWWW[[#This Row],[Location Type 1]]="Temporary Location",WWWW[[#This Row],[Total PoP ]]/50,(WWWW[[#This Row],[Total PoP ]]/6))),0)</f>
        <v>22</v>
      </c>
      <c r="DI275" s="930">
        <f>IF(WWWW[[#This Row],[Total required Latrines]]-(WWWW[[#This Row],['#_Constructed latrines_by_WASHAgencies]]+WWWW[[#This Row],['#_Non Cluster partner latrines]])&lt;0,0,WWWW[[#This Row],[Total required Latrines]]-(WWWW[[#This Row],['#_Constructed latrines_by_WASHAgencies]]+WWWW[[#This Row],['#_Non Cluster partner latrines]]))</f>
        <v>0</v>
      </c>
      <c r="DJ275" s="932">
        <f>1-WWWW[[#This Row],[% people access to functioning Latrine]]</f>
        <v>0</v>
      </c>
      <c r="DK275" s="931">
        <f>IF(OR(WWWW[[#This Row],['#_Non-functional latrines]]="",WWWW[[#This Row],['#_Non-functional latrines]]=0),0,WWWW[[#This Row],['#_Non-functional latrines]]/(WWWW[[#This Row],['#_Constructed latrines_by_WASHAgencies]]+WWWW[[#This Row],['#_Non Cluster partner latrines]]))</f>
        <v>0</v>
      </c>
      <c r="DL275" s="927">
        <f>IF(500*(WWWW[[#This Row],['#_male hygiene promoters]]+WWWW[[#This Row],['#_female hygiene promoters]])&gt;WWWW[[#This Row],[Total PoP ]],WWWW[[#This Row],[Total PoP ]],500*(WWWW[[#This Row],['#_male hygiene promoters]]+WWWW[[#This Row],['#_female hygiene promoters]]))</f>
        <v>439</v>
      </c>
      <c r="DM27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5" s="930">
        <f>IF(WWWW[[#This Row],['# People with access to soap]]&gt;WWWW[[#This Row],['# People with access to Sanity Pads]],WWWW[[#This Row],['# People with access to soap]],WWWW[[#This Row],['# People with access to Sanity Pads]])</f>
        <v>0</v>
      </c>
      <c r="DP275" s="930">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Q275" s="932">
        <f>IF(WWWW[[#This Row],[HRP3]]/WWWW[[#This Row],[Total PoP ]]&gt;1,1,WWWW[[#This Row],[HRP3]]/WWWW[[#This Row],[Total PoP ]])</f>
        <v>1</v>
      </c>
      <c r="DR275" s="931">
        <f>1-WWWW[[#This Row],[Hygiene Coverage%]]</f>
        <v>0</v>
      </c>
      <c r="DS275" s="929">
        <f>WWWW[[#This Row],['# people reached by regular dedicated hygiene promotion_5]]/WWWW[[#This Row],[Total PoP ]]</f>
        <v>1</v>
      </c>
      <c r="DT27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5" s="930">
        <f>WWWW[[#This Row],['#_Constructed/Existing hand washing stations]]-WWWW[[#This Row],['#_Non-Functional_hand_washing_stations]]</f>
        <v>3</v>
      </c>
      <c r="DW275" s="927">
        <f>IF(WWWW[[#This Row],['# Functional hand washing stations during reporting period]]*20&gt;WWWW[[#This Row],[Total HH]],WWWW[[#This Row],[Total HH]],WWWW[[#This Row],['# Functional hand washing stations during reporting period]]*20)</f>
        <v>60</v>
      </c>
      <c r="DX275" s="927">
        <f>IF(WWWW[[#This Row],[Is sufficient soap available for TLS? (Yes/No)]]="yes",WWWW[[#This Row],['#_Constructed/Existing hand washing stations at TLS/CFS/THF]],0)</f>
        <v>0</v>
      </c>
      <c r="DY275" s="429">
        <f>IF(WWWW[[#This Row],['# Functional hand washing stations during reporting period]]*100&gt;WWWW[[#This Row],[Total PoP ]],WWWW[[#This Row],[Total PoP ]],WWWW[[#This Row],['# Functional hand washing stations during reporting period]]*100)</f>
        <v>300</v>
      </c>
      <c r="DZ275" s="429" t="str">
        <f>IF(OR(WWWW[[#This Row],['#_students at TLS_CFS]]="",WWWW[[#This Row],['#_students at TLS_CFS]]=0),"No","Yes")</f>
        <v>No</v>
      </c>
      <c r="EA27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5" s="923">
        <f>VLOOKUP(WWWW[[#This Row],[Site Name]],SiteDB6[[Site Name]:[CCCM Management]],6,FALSE)</f>
        <v>0</v>
      </c>
      <c r="EF275" s="923" t="str">
        <f>VLOOKUP(WWWW[[#This Row],[Site Name]],SiteDB6[[Site Name]:[CCCM Focal Agency]],7,FALSE)</f>
        <v>uncovered</v>
      </c>
      <c r="EG275" s="923" t="str">
        <f>VLOOKUP(WWWW[[#This Row],[Site Name]],SiteDB6[[Site Name]:[Location Type 1]],9,FALSE)</f>
        <v>Camp</v>
      </c>
      <c r="EH275" s="923" t="str">
        <f>VLOOKUP(WWWW[[#This Row],[Site Name]],SiteDB6[[Site Name]:[Type of Accommodation]],10,FALSE)</f>
        <v>Camp like setting</v>
      </c>
      <c r="EI275" s="923" t="str">
        <f>VLOOKUP(WWWW[[#This Row],[Site Name]],SiteDB6[[Site Name]:[Ethnic or GCA/NGCA]],11,FALSE)</f>
        <v>GCA</v>
      </c>
      <c r="EJ275" s="923">
        <f>VLOOKUP(WWWW[[#This Row],[Site Name]],SiteDB6[[Site Name]:[Lat]],12,FALSE)</f>
        <v>23.234137</v>
      </c>
      <c r="EK275" s="923">
        <f>VLOOKUP(WWWW[[#This Row],[Site Name]],SiteDB6[[Site Name]:[Long]],13,FALSE)</f>
        <v>97.505339000000006</v>
      </c>
      <c r="EL275" s="923" t="str">
        <f>VLOOKUP(WWWW[[#This Row],[Site Name]],SiteDB6[[Site Name]:[Pcode]],3,FALSE)</f>
        <v>MMR015CMP030</v>
      </c>
      <c r="EM275" s="928" t="str">
        <f t="shared" si="4"/>
        <v>Covered</v>
      </c>
      <c r="EN275" s="928"/>
      <c r="EO275" s="923">
        <f>VLOOKUP(WWWW[[#This Row],[Site Name]],SiteDB6[[Site Name]:[Pop
(Kachin/Shan-CCCM as of July 2021)]],16,FALSE)</f>
        <v>86</v>
      </c>
      <c r="EP275" s="923">
        <f>VLOOKUP(WWWW[[#This Row],[Site Name]],SiteDB6[[Site Name]:[Pop
(Kachin/Shan-CCCM as of July 2021)]],17,FALSE)</f>
        <v>525</v>
      </c>
    </row>
    <row r="276" spans="1:146" hidden="1">
      <c r="A276" s="921" t="s">
        <v>2786</v>
      </c>
      <c r="B276" s="921" t="s">
        <v>192</v>
      </c>
      <c r="C276" s="921" t="s">
        <v>192</v>
      </c>
      <c r="D276" s="922" t="s">
        <v>2695</v>
      </c>
      <c r="E276" s="922" t="s">
        <v>515</v>
      </c>
      <c r="F276" s="922" t="s">
        <v>519</v>
      </c>
      <c r="G276" s="594" t="str">
        <f>VLOOKUP(WWWW[[#This Row],[Site Name]],SiteDB6[[Site Name]:[Location Type]],8,FALSE)</f>
        <v>Camp</v>
      </c>
      <c r="H276" s="753" t="s">
        <v>3056</v>
      </c>
      <c r="I276" s="924">
        <v>26</v>
      </c>
      <c r="J276" s="924">
        <v>132</v>
      </c>
      <c r="K276" s="925" t="s">
        <v>2789</v>
      </c>
      <c r="L276" s="926" t="s">
        <v>2790</v>
      </c>
      <c r="M276" s="924"/>
      <c r="N276" s="924"/>
      <c r="O276" s="924"/>
      <c r="P276" s="924"/>
      <c r="Q276" s="927"/>
      <c r="R276" s="924">
        <v>3</v>
      </c>
      <c r="S276" s="924">
        <v>2</v>
      </c>
      <c r="T276" s="449"/>
      <c r="U276" s="924"/>
      <c r="V276" s="924"/>
      <c r="W276" s="924"/>
      <c r="X276" s="924"/>
      <c r="Y276" s="924"/>
      <c r="Z276" s="924"/>
      <c r="AA276" s="924">
        <v>8</v>
      </c>
      <c r="AB276" s="924"/>
      <c r="AC276" s="924"/>
      <c r="AD276" s="924"/>
      <c r="AE276" s="924"/>
      <c r="AF276" s="924"/>
      <c r="AG276" s="924"/>
      <c r="AH276" s="924"/>
      <c r="AI276" s="924"/>
      <c r="AJ276" s="924"/>
      <c r="AK276" s="924"/>
      <c r="AL276" s="924"/>
      <c r="AM276" s="924"/>
      <c r="AN276" s="924"/>
      <c r="AO276" s="449"/>
      <c r="AP276" s="928"/>
      <c r="AQ276" s="924">
        <v>27</v>
      </c>
      <c r="AR276" s="924"/>
      <c r="AS276" s="929"/>
      <c r="AT276" s="924"/>
      <c r="AU276" s="924"/>
      <c r="AV276" s="924"/>
      <c r="AW276" s="924"/>
      <c r="AX276" s="924">
        <v>2</v>
      </c>
      <c r="AY276" s="923" t="s">
        <v>41</v>
      </c>
      <c r="AZ276" s="928" t="s">
        <v>136</v>
      </c>
      <c r="BA276" s="924"/>
      <c r="BB276" s="924"/>
      <c r="BC276" s="924"/>
      <c r="BD276" s="449"/>
      <c r="BE276" s="449"/>
      <c r="BF276" s="923"/>
      <c r="BG276" s="924">
        <v>7</v>
      </c>
      <c r="BH276" s="924"/>
      <c r="BI276" s="924"/>
      <c r="BJ276" s="924">
        <v>7</v>
      </c>
      <c r="BK276" s="924"/>
      <c r="BL276" s="924"/>
      <c r="BM276" s="924">
        <v>1</v>
      </c>
      <c r="BN276" s="924"/>
      <c r="BO276" s="924"/>
      <c r="BP276" s="923"/>
      <c r="BQ276" s="930"/>
      <c r="BR276" s="929"/>
      <c r="BS276" s="923"/>
      <c r="BT276" s="424"/>
      <c r="BU276" s="424"/>
      <c r="BV276" s="426"/>
      <c r="BW276" s="424"/>
      <c r="BX276" s="449"/>
      <c r="BY276" s="449"/>
      <c r="BZ276" s="449"/>
      <c r="CA276" s="449"/>
      <c r="CB276" s="449"/>
      <c r="CC276" s="807"/>
      <c r="CD276" s="449"/>
      <c r="CE276" s="931" t="str">
        <f>IFERROR(WWWW[[#This Row],['#_Water sources passed]]/WWWW[[#This Row],['#_Water sources tested for fecal coliform ]],"no test")</f>
        <v>no test</v>
      </c>
      <c r="CF276" s="929" t="str">
        <f>IFERROR(WWWW[[#This Row],['#_Household passed]]/WWWW[[#This Row],['#_Household water samples tested for fecal coliform]],"no test")</f>
        <v>no test</v>
      </c>
      <c r="CG276" s="930" t="str">
        <f>IF(AND(WWWW[[#This Row],[% of water sources passed]]="no test",WWWW[[#This Row],[% Household passed]]="no test"),"No Test","Tested")</f>
        <v>No Test</v>
      </c>
      <c r="CH276" s="930">
        <f>WWWW[[#This Row],['#_Constructed/existing protected hand dug well]]-WWWW[[#This Row],['#_Non-functional protected hand dug well]]</f>
        <v>0</v>
      </c>
      <c r="CI276" s="930">
        <f>(WWWW[[#This Row],['#_Constructed/Existing tube wells/boreholes/handpumps_WASH_agency]]+WWWW[[#This Row],['#_Non-Cluster partner water tube-wells/boreholes/handpumps]])-WWWW[[#This Row],['#_Non-functional tube wells/boreholes/handpumps]]</f>
        <v>0</v>
      </c>
      <c r="CJ276" s="930">
        <f>WWWW[[#This Row],['#_Constructed/Existingwater storage tank with gravity fed reticulation system]]-WWWW[[#This Row],['#_Non-functional storage tank gravity fed reticulation system]]</f>
        <v>8</v>
      </c>
      <c r="CK276" s="930">
        <f>(WWWW[[#This Row],['#_Water_Liters_supplied_by_Water boating or water trucking]]/90)/15</f>
        <v>0</v>
      </c>
      <c r="CL276" s="930">
        <f>WWWW[[#This Row],['#_Water_Liters_from_Constructed/Existing water distribution system from river or natural spring]]/90/15</f>
        <v>0</v>
      </c>
      <c r="CM276" s="425">
        <f>IF(WWWW[[#This Row],['#_of water points in TLS/CFS]]*500&gt;WWWW[[#This Row],[Total PoP ]],WWWW[[#This Row],[Total PoP ]],WWWW[[#This Row],['#_of water points in TLS/CFS]]*500)</f>
        <v>0</v>
      </c>
      <c r="CN276" s="425">
        <f>IF(WWWW[[#This Row],['#_of water points in THF]]*500&gt;WWWW[[#This Row],[Total PoP ]],WWWW[[#This Row],[Total PoP ]],WWWW[[#This Row],['#_of water points in THF]]*500)</f>
        <v>0</v>
      </c>
      <c r="CO27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6" s="929">
        <f>IF(WWWW[[#This Row],[Location Type 1]]="Village",WWWW[[#This Row],[Access to safe drinking water for Village]],WWWW[[#This Row],[Access to safe drinking water for Camp]])</f>
        <v>1</v>
      </c>
      <c r="CR276" s="927">
        <f>WWWW[[#This Row],[%Equitable and continuous access to sufficient quantity of safe drinking water]]*WWWW[[#This Row],[Total PoP ]]</f>
        <v>132</v>
      </c>
      <c r="CS276" s="929">
        <f>IF((WWWW[[#This Row],['#_Constructed/Existing protected/fenced ponds]]*250)/WWWW[[#This Row],[Total PoP ]]&gt;1,1,(WWWW[[#This Row],['#_Constructed/Existing protected/fenced ponds]]*250)/WWWW[[#This Row],[Total PoP ]])</f>
        <v>0</v>
      </c>
      <c r="CT276" s="927">
        <f>WWWW[[#This Row],[% Access to unimproved water points]]*WWWW[[#This Row],[Total PoP ]]</f>
        <v>0</v>
      </c>
      <c r="CU27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W276" s="927">
        <f>WWWW[[#This Row],[HRP1]]/500</f>
        <v>0.26400000000000001</v>
      </c>
      <c r="CX276" s="932">
        <f>1-WWWW[[#This Row],[% Equitable and continuous access to sufficient quantity of domestic water]]</f>
        <v>0</v>
      </c>
      <c r="CY276" s="927">
        <f>WWWW[[#This Row],[%equitable and continuous access to sufficient quantity of safe drinking and domestic water''s GAP]]*WWWW[[#This Row],[Total PoP ]]</f>
        <v>0</v>
      </c>
      <c r="CZ276" s="930">
        <f>IF(WWWW[[#This Row],[Total required water points]]-WWWW[[#This Row],['#Water points coverage]]&lt;0,0,WWWW[[#This Row],[Total required water points]]-WWWW[[#This Row],['#Water points coverage]])</f>
        <v>0.73599999999999999</v>
      </c>
      <c r="DA276" s="930">
        <f>ROUND(IF(WWWW[[#This Row],[Total PoP ]]&lt;500,1,WWWW[[#This Row],[Total PoP ]]/500),0)</f>
        <v>1</v>
      </c>
      <c r="DB276" s="930">
        <f>(WWWW[[#This Row],['#_Constructed latrines_by_WASHAgencies]]+WWWW[[#This Row],['#_Non Cluster partner latrines]])-WWWW[[#This Row],['#_Non-functional latrines]]</f>
        <v>27</v>
      </c>
      <c r="DC276" s="634">
        <f>WWWW[[#This Row],[HRP2]]/WWWW[[#This Row],[Total PoP ]]</f>
        <v>1</v>
      </c>
      <c r="DD27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132</v>
      </c>
      <c r="DE27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6" s="425">
        <f>IF(WWWW[[#This Row],['# of functional latrines in THF supported by WASH partners during the reporting period2]]="",0,WWWW[[#This Row],['# of functional latrines in THF supported by WASH partners during the reporting period2]]*50)</f>
        <v>0</v>
      </c>
      <c r="DH276" s="930">
        <f>ROUND(IF(WWWW[[#This Row],[Location Type 1]]="camp",WWWW[[#This Row],[Total PoP ]]/20,IF(WWWW[[#This Row],[Location Type 1]]="Temporary Location",WWWW[[#This Row],[Total PoP ]]/50,(WWWW[[#This Row],[Total PoP ]]/6))),0)</f>
        <v>7</v>
      </c>
      <c r="DI276" s="930">
        <f>IF(WWWW[[#This Row],[Total required Latrines]]-(WWWW[[#This Row],['#_Constructed latrines_by_WASHAgencies]]+WWWW[[#This Row],['#_Non Cluster partner latrines]])&lt;0,0,WWWW[[#This Row],[Total required Latrines]]-(WWWW[[#This Row],['#_Constructed latrines_by_WASHAgencies]]+WWWW[[#This Row],['#_Non Cluster partner latrines]]))</f>
        <v>0</v>
      </c>
      <c r="DJ276" s="932">
        <f>1-WWWW[[#This Row],[% people access to functioning Latrine]]</f>
        <v>0</v>
      </c>
      <c r="DK276" s="931">
        <f>IF(OR(WWWW[[#This Row],['#_Non-functional latrines]]="",WWWW[[#This Row],['#_Non-functional latrines]]=0),0,WWWW[[#This Row],['#_Non-functional latrines]]/(WWWW[[#This Row],['#_Constructed latrines_by_WASHAgencies]]+WWWW[[#This Row],['#_Non Cluster partner latrines]]))</f>
        <v>0</v>
      </c>
      <c r="DL276" s="927">
        <f>IF(500*(WWWW[[#This Row],['#_male hygiene promoters]]+WWWW[[#This Row],['#_female hygiene promoters]])&gt;WWWW[[#This Row],[Total PoP ]],WWWW[[#This Row],[Total PoP ]],500*(WWWW[[#This Row],['#_male hygiene promoters]]+WWWW[[#This Row],['#_female hygiene promoters]]))</f>
        <v>132</v>
      </c>
      <c r="DM27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6" s="930">
        <f>IF(WWWW[[#This Row],['# People with access to soap]]&gt;WWWW[[#This Row],['# People with access to Sanity Pads]],WWWW[[#This Row],['# People with access to soap]],WWWW[[#This Row],['# People with access to Sanity Pads]])</f>
        <v>0</v>
      </c>
      <c r="DP276" s="930">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Q276" s="932">
        <f>IF(WWWW[[#This Row],[HRP3]]/WWWW[[#This Row],[Total PoP ]]&gt;1,1,WWWW[[#This Row],[HRP3]]/WWWW[[#This Row],[Total PoP ]])</f>
        <v>1</v>
      </c>
      <c r="DR276" s="931">
        <f>1-WWWW[[#This Row],[Hygiene Coverage%]]</f>
        <v>0</v>
      </c>
      <c r="DS276" s="929">
        <f>WWWW[[#This Row],['# people reached by regular dedicated hygiene promotion_5]]/WWWW[[#This Row],[Total PoP ]]</f>
        <v>1</v>
      </c>
      <c r="DT27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6" s="930">
        <f>WWWW[[#This Row],['#_Constructed/Existing hand washing stations]]-WWWW[[#This Row],['#_Non-Functional_hand_washing_stations]]</f>
        <v>7</v>
      </c>
      <c r="DW276" s="927">
        <f>IF(WWWW[[#This Row],['# Functional hand washing stations during reporting period]]*20&gt;WWWW[[#This Row],[Total HH]],WWWW[[#This Row],[Total HH]],WWWW[[#This Row],['# Functional hand washing stations during reporting period]]*20)</f>
        <v>26</v>
      </c>
      <c r="DX276" s="927">
        <f>IF(WWWW[[#This Row],[Is sufficient soap available for TLS? (Yes/No)]]="yes",WWWW[[#This Row],['#_Constructed/Existing hand washing stations at TLS/CFS/THF]],0)</f>
        <v>0</v>
      </c>
      <c r="DY276" s="429">
        <f>IF(WWWW[[#This Row],['# Functional hand washing stations during reporting period]]*100&gt;WWWW[[#This Row],[Total PoP ]],WWWW[[#This Row],[Total PoP ]],WWWW[[#This Row],['# Functional hand washing stations during reporting period]]*100)</f>
        <v>132</v>
      </c>
      <c r="DZ276" s="429" t="str">
        <f>IF(OR(WWWW[[#This Row],['#_students at TLS_CFS]]="",WWWW[[#This Row],['#_students at TLS_CFS]]=0),"No","Yes")</f>
        <v>No</v>
      </c>
      <c r="EA27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6" s="923" t="str">
        <f>VLOOKUP(WWWW[[#This Row],[Site Name]],SiteDB6[[Site Name]:[CCCM Management]],6,FALSE)</f>
        <v>Yes</v>
      </c>
      <c r="EF276" s="923" t="str">
        <f>VLOOKUP(WWWW[[#This Row],[Site Name]],SiteDB6[[Site Name]:[CCCM Focal Agency]],7,FALSE)</f>
        <v>KMSS-LSO</v>
      </c>
      <c r="EG276" s="923" t="str">
        <f>VLOOKUP(WWWW[[#This Row],[Site Name]],SiteDB6[[Site Name]:[Location Type 1]],9,FALSE)</f>
        <v>Camp</v>
      </c>
      <c r="EH276" s="923" t="str">
        <f>VLOOKUP(WWWW[[#This Row],[Site Name]],SiteDB6[[Site Name]:[Type of Accommodation]],10,FALSE)</f>
        <v>Camp</v>
      </c>
      <c r="EI276" s="923" t="str">
        <f>VLOOKUP(WWWW[[#This Row],[Site Name]],SiteDB6[[Site Name]:[Ethnic or GCA/NGCA]],11,FALSE)</f>
        <v>GCA</v>
      </c>
      <c r="EJ276" s="923">
        <f>VLOOKUP(WWWW[[#This Row],[Site Name]],SiteDB6[[Site Name]:[Lat]],12,FALSE)</f>
        <v>23.38503</v>
      </c>
      <c r="EK276" s="923">
        <f>VLOOKUP(WWWW[[#This Row],[Site Name]],SiteDB6[[Site Name]:[Long]],13,FALSE)</f>
        <v>97.837040000000002</v>
      </c>
      <c r="EL276" s="923" t="str">
        <f>VLOOKUP(WWWW[[#This Row],[Site Name]],SiteDB6[[Site Name]:[Pcode]],3,FALSE)</f>
        <v>MMR015CMP017</v>
      </c>
      <c r="EM276" s="928" t="str">
        <f t="shared" si="4"/>
        <v>Covered</v>
      </c>
      <c r="EN276" s="928"/>
      <c r="EO276" s="923">
        <f>VLOOKUP(WWWW[[#This Row],[Site Name]],SiteDB6[[Site Name]:[Pop
(Kachin/Shan-CCCM as of July 2021)]],16,FALSE)</f>
        <v>26</v>
      </c>
      <c r="EP276" s="923">
        <f>VLOOKUP(WWWW[[#This Row],[Site Name]],SiteDB6[[Site Name]:[Pop
(Kachin/Shan-CCCM as of July 2021)]],17,FALSE)</f>
        <v>133</v>
      </c>
    </row>
    <row r="277" spans="1:146" hidden="1">
      <c r="A277" s="921" t="s">
        <v>2786</v>
      </c>
      <c r="B277" s="921" t="s">
        <v>192</v>
      </c>
      <c r="C277" s="922" t="s">
        <v>192</v>
      </c>
      <c r="D277" s="922" t="s">
        <v>2695</v>
      </c>
      <c r="E277" s="922" t="s">
        <v>515</v>
      </c>
      <c r="F277" s="922" t="s">
        <v>519</v>
      </c>
      <c r="G277" s="594" t="str">
        <f>VLOOKUP(WWWW[[#This Row],[Site Name]],SiteDB6[[Site Name]:[Location Type]],8,FALSE)</f>
        <v>Camp</v>
      </c>
      <c r="H277" s="922" t="s">
        <v>1727</v>
      </c>
      <c r="I277" s="924">
        <v>29</v>
      </c>
      <c r="J277" s="924">
        <v>130</v>
      </c>
      <c r="K277" s="925" t="s">
        <v>2789</v>
      </c>
      <c r="L277" s="926" t="s">
        <v>2790</v>
      </c>
      <c r="M277" s="924"/>
      <c r="N277" s="924">
        <v>1</v>
      </c>
      <c r="O277" s="924"/>
      <c r="P277" s="924"/>
      <c r="Q277" s="927" t="s">
        <v>41</v>
      </c>
      <c r="R277" s="924">
        <v>4</v>
      </c>
      <c r="S277" s="924">
        <v>5</v>
      </c>
      <c r="T277" s="449"/>
      <c r="U277" s="924"/>
      <c r="V277" s="924"/>
      <c r="W277" s="924"/>
      <c r="X277" s="924"/>
      <c r="Y277" s="924"/>
      <c r="Z277" s="924"/>
      <c r="AA277" s="924">
        <v>13</v>
      </c>
      <c r="AB277" s="924"/>
      <c r="AC277" s="924"/>
      <c r="AD277" s="924"/>
      <c r="AE277" s="924"/>
      <c r="AF277" s="924"/>
      <c r="AG277" s="924"/>
      <c r="AH277" s="924"/>
      <c r="AI277" s="924"/>
      <c r="AJ277" s="924"/>
      <c r="AK277" s="924"/>
      <c r="AL277" s="924"/>
      <c r="AM277" s="924"/>
      <c r="AN277" s="924"/>
      <c r="AO277" s="449"/>
      <c r="AP277" s="928"/>
      <c r="AQ277" s="924">
        <v>30</v>
      </c>
      <c r="AR277" s="924"/>
      <c r="AS277" s="929"/>
      <c r="AT277" s="924"/>
      <c r="AU277" s="924"/>
      <c r="AV277" s="924"/>
      <c r="AW277" s="924"/>
      <c r="AX277" s="924"/>
      <c r="AY277" s="923" t="s">
        <v>41</v>
      </c>
      <c r="AZ277" s="928" t="s">
        <v>137</v>
      </c>
      <c r="BA277" s="924"/>
      <c r="BB277" s="924"/>
      <c r="BC277" s="924"/>
      <c r="BD277" s="449"/>
      <c r="BE277" s="449"/>
      <c r="BF277" s="923"/>
      <c r="BG277" s="924">
        <v>7</v>
      </c>
      <c r="BH277" s="924"/>
      <c r="BI277" s="924"/>
      <c r="BJ277" s="924">
        <v>1</v>
      </c>
      <c r="BK277" s="924"/>
      <c r="BL277" s="924"/>
      <c r="BM277" s="924">
        <v>1</v>
      </c>
      <c r="BN277" s="924"/>
      <c r="BO277" s="924"/>
      <c r="BP277" s="426" t="s">
        <v>41</v>
      </c>
      <c r="BQ277" s="930"/>
      <c r="BR277" s="424">
        <v>1</v>
      </c>
      <c r="BS277" s="923"/>
      <c r="BT277" s="424"/>
      <c r="BU277" s="424"/>
      <c r="BV277" s="426"/>
      <c r="BW277" s="424"/>
      <c r="BX277" s="449"/>
      <c r="BY277" s="449"/>
      <c r="BZ277" s="449"/>
      <c r="CA277" s="449"/>
      <c r="CB277" s="449"/>
      <c r="CC277" s="807"/>
      <c r="CD277" s="449"/>
      <c r="CE277" s="931" t="str">
        <f>IFERROR(WWWW[[#This Row],['#_Water sources passed]]/WWWW[[#This Row],['#_Water sources tested for fecal coliform ]],"no test")</f>
        <v>no test</v>
      </c>
      <c r="CF277" s="929" t="str">
        <f>IFERROR(WWWW[[#This Row],['#_Household passed]]/WWWW[[#This Row],['#_Household water samples tested for fecal coliform]],"no test")</f>
        <v>no test</v>
      </c>
      <c r="CG277" s="930" t="str">
        <f>IF(AND(WWWW[[#This Row],[% of water sources passed]]="no test",WWWW[[#This Row],[% Household passed]]="no test"),"No Test","Tested")</f>
        <v>No Test</v>
      </c>
      <c r="CH277" s="930">
        <f>WWWW[[#This Row],['#_Constructed/existing protected hand dug well]]-WWWW[[#This Row],['#_Non-functional protected hand dug well]]</f>
        <v>0</v>
      </c>
      <c r="CI277" s="930">
        <f>(WWWW[[#This Row],['#_Constructed/Existing tube wells/boreholes/handpumps_WASH_agency]]+WWWW[[#This Row],['#_Non-Cluster partner water tube-wells/boreholes/handpumps]])-WWWW[[#This Row],['#_Non-functional tube wells/boreholes/handpumps]]</f>
        <v>0</v>
      </c>
      <c r="CJ277" s="930">
        <f>WWWW[[#This Row],['#_Constructed/Existingwater storage tank with gravity fed reticulation system]]-WWWW[[#This Row],['#_Non-functional storage tank gravity fed reticulation system]]</f>
        <v>13</v>
      </c>
      <c r="CK277" s="930">
        <f>(WWWW[[#This Row],['#_Water_Liters_supplied_by_Water boating or water trucking]]/90)/15</f>
        <v>0</v>
      </c>
      <c r="CL277" s="930">
        <f>WWWW[[#This Row],['#_Water_Liters_from_Constructed/Existing water distribution system from river or natural spring]]/90/15</f>
        <v>0</v>
      </c>
      <c r="CM277" s="425">
        <f>IF(WWWW[[#This Row],['#_of water points in TLS/CFS]]*500&gt;WWWW[[#This Row],[Total PoP ]],WWWW[[#This Row],[Total PoP ]],WWWW[[#This Row],['#_of water points in TLS/CFS]]*500)</f>
        <v>0</v>
      </c>
      <c r="CN277" s="425">
        <f>IF(WWWW[[#This Row],['#_of water points in THF]]*500&gt;WWWW[[#This Row],[Total PoP ]],WWWW[[#This Row],[Total PoP ]],WWWW[[#This Row],['#_of water points in THF]]*500)</f>
        <v>0</v>
      </c>
      <c r="CO27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7" s="929">
        <f>IF(WWWW[[#This Row],[Location Type 1]]="Village",WWWW[[#This Row],[Access to safe drinking water for Village]],WWWW[[#This Row],[Access to safe drinking water for Camp]])</f>
        <v>1</v>
      </c>
      <c r="CR277" s="927">
        <f>WWWW[[#This Row],[%Equitable and continuous access to sufficient quantity of safe drinking water]]*WWWW[[#This Row],[Total PoP ]]</f>
        <v>130</v>
      </c>
      <c r="CS277" s="929">
        <f>IF((WWWW[[#This Row],['#_Constructed/Existing protected/fenced ponds]]*250)/WWWW[[#This Row],[Total PoP ]]&gt;1,1,(WWWW[[#This Row],['#_Constructed/Existing protected/fenced ponds]]*250)/WWWW[[#This Row],[Total PoP ]])</f>
        <v>0</v>
      </c>
      <c r="CT277" s="927">
        <f>WWWW[[#This Row],[% Access to unimproved water points]]*WWWW[[#This Row],[Total PoP ]]</f>
        <v>0</v>
      </c>
      <c r="CU27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W277" s="927">
        <f>WWWW[[#This Row],[HRP1]]/500</f>
        <v>0.26</v>
      </c>
      <c r="CX277" s="932">
        <f>1-WWWW[[#This Row],[% Equitable and continuous access to sufficient quantity of domestic water]]</f>
        <v>0</v>
      </c>
      <c r="CY277" s="927">
        <f>WWWW[[#This Row],[%equitable and continuous access to sufficient quantity of safe drinking and domestic water''s GAP]]*WWWW[[#This Row],[Total PoP ]]</f>
        <v>0</v>
      </c>
      <c r="CZ277" s="930">
        <f>IF(WWWW[[#This Row],[Total required water points]]-WWWW[[#This Row],['#Water points coverage]]&lt;0,0,WWWW[[#This Row],[Total required water points]]-WWWW[[#This Row],['#Water points coverage]])</f>
        <v>0.74</v>
      </c>
      <c r="DA277" s="930">
        <f>ROUND(IF(WWWW[[#This Row],[Total PoP ]]&lt;500,1,WWWW[[#This Row],[Total PoP ]]/500),0)</f>
        <v>1</v>
      </c>
      <c r="DB277" s="930">
        <f>(WWWW[[#This Row],['#_Constructed latrines_by_WASHAgencies]]+WWWW[[#This Row],['#_Non Cluster partner latrines]])-WWWW[[#This Row],['#_Non-functional latrines]]</f>
        <v>30</v>
      </c>
      <c r="DC277" s="634">
        <f>WWWW[[#This Row],[HRP2]]/WWWW[[#This Row],[Total PoP ]]</f>
        <v>1</v>
      </c>
      <c r="DD27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130</v>
      </c>
      <c r="DE27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7" s="425">
        <f>IF(WWWW[[#This Row],['# of functional latrines in THF supported by WASH partners during the reporting period2]]="",0,WWWW[[#This Row],['# of functional latrines in THF supported by WASH partners during the reporting period2]]*50)</f>
        <v>0</v>
      </c>
      <c r="DH277" s="930">
        <f>ROUND(IF(WWWW[[#This Row],[Location Type 1]]="camp",WWWW[[#This Row],[Total PoP ]]/20,IF(WWWW[[#This Row],[Location Type 1]]="Temporary Location",WWWW[[#This Row],[Total PoP ]]/50,(WWWW[[#This Row],[Total PoP ]]/6))),0)</f>
        <v>7</v>
      </c>
      <c r="DI277" s="930">
        <f>IF(WWWW[[#This Row],[Total required Latrines]]-(WWWW[[#This Row],['#_Constructed latrines_by_WASHAgencies]]+WWWW[[#This Row],['#_Non Cluster partner latrines]])&lt;0,0,WWWW[[#This Row],[Total required Latrines]]-(WWWW[[#This Row],['#_Constructed latrines_by_WASHAgencies]]+WWWW[[#This Row],['#_Non Cluster partner latrines]]))</f>
        <v>0</v>
      </c>
      <c r="DJ277" s="932">
        <f>1-WWWW[[#This Row],[% people access to functioning Latrine]]</f>
        <v>0</v>
      </c>
      <c r="DK277" s="931">
        <f>IF(OR(WWWW[[#This Row],['#_Non-functional latrines]]="",WWWW[[#This Row],['#_Non-functional latrines]]=0),0,WWWW[[#This Row],['#_Non-functional latrines]]/(WWWW[[#This Row],['#_Constructed latrines_by_WASHAgencies]]+WWWW[[#This Row],['#_Non Cluster partner latrines]]))</f>
        <v>0</v>
      </c>
      <c r="DL277" s="927">
        <f>IF(500*(WWWW[[#This Row],['#_male hygiene promoters]]+WWWW[[#This Row],['#_female hygiene promoters]])&gt;WWWW[[#This Row],[Total PoP ]],WWWW[[#This Row],[Total PoP ]],500*(WWWW[[#This Row],['#_male hygiene promoters]]+WWWW[[#This Row],['#_female hygiene promoters]]))</f>
        <v>130</v>
      </c>
      <c r="DM27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7" s="930">
        <f>IF(WWWW[[#This Row],['# People with access to soap]]&gt;WWWW[[#This Row],['# People with access to Sanity Pads]],WWWW[[#This Row],['# People with access to soap]],WWWW[[#This Row],['# People with access to Sanity Pads]])</f>
        <v>0</v>
      </c>
      <c r="DP277" s="930">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Q277" s="932">
        <f>IF(WWWW[[#This Row],[HRP3]]/WWWW[[#This Row],[Total PoP ]]&gt;1,1,WWWW[[#This Row],[HRP3]]/WWWW[[#This Row],[Total PoP ]])</f>
        <v>1</v>
      </c>
      <c r="DR277" s="931">
        <f>1-WWWW[[#This Row],[Hygiene Coverage%]]</f>
        <v>0</v>
      </c>
      <c r="DS277" s="929">
        <f>WWWW[[#This Row],['# people reached by regular dedicated hygiene promotion_5]]/WWWW[[#This Row],[Total PoP ]]</f>
        <v>1</v>
      </c>
      <c r="DT27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7" s="930">
        <f>WWWW[[#This Row],['#_Constructed/Existing hand washing stations]]-WWWW[[#This Row],['#_Non-Functional_hand_washing_stations]]</f>
        <v>7</v>
      </c>
      <c r="DW277" s="927">
        <f>IF(WWWW[[#This Row],['# Functional hand washing stations during reporting period]]*20&gt;WWWW[[#This Row],[Total HH]],WWWW[[#This Row],[Total HH]],WWWW[[#This Row],['# Functional hand washing stations during reporting period]]*20)</f>
        <v>29</v>
      </c>
      <c r="DX277" s="927">
        <f>IF(WWWW[[#This Row],[Is sufficient soap available for TLS? (Yes/No)]]="yes",WWWW[[#This Row],['#_Constructed/Existing hand washing stations at TLS/CFS/THF]],0)</f>
        <v>0</v>
      </c>
      <c r="DY277" s="429">
        <f>IF(WWWW[[#This Row],['# Functional hand washing stations during reporting period]]*100&gt;WWWW[[#This Row],[Total PoP ]],WWWW[[#This Row],[Total PoP ]],WWWW[[#This Row],['# Functional hand washing stations during reporting period]]*100)</f>
        <v>130</v>
      </c>
      <c r="DZ277" s="429" t="str">
        <f>IF(OR(WWWW[[#This Row],['#_students at TLS_CFS]]="",WWWW[[#This Row],['#_students at TLS_CFS]]=0),"No","Yes")</f>
        <v>No</v>
      </c>
      <c r="EA27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7" s="923" t="str">
        <f>VLOOKUP(WWWW[[#This Row],[Site Name]],SiteDB6[[Site Name]:[CCCM Management]],6,FALSE)</f>
        <v>Yes</v>
      </c>
      <c r="EF277" s="923" t="str">
        <f>VLOOKUP(WWWW[[#This Row],[Site Name]],SiteDB6[[Site Name]:[CCCM Focal Agency]],7,FALSE)</f>
        <v>KMSS-LSO</v>
      </c>
      <c r="EG277" s="923" t="str">
        <f>VLOOKUP(WWWW[[#This Row],[Site Name]],SiteDB6[[Site Name]:[Location Type 1]],9,FALSE)</f>
        <v>Camp</v>
      </c>
      <c r="EH277" s="923" t="str">
        <f>VLOOKUP(WWWW[[#This Row],[Site Name]],SiteDB6[[Site Name]:[Type of Accommodation]],10,FALSE)</f>
        <v>Camp</v>
      </c>
      <c r="EI277" s="923" t="str">
        <f>VLOOKUP(WWWW[[#This Row],[Site Name]],SiteDB6[[Site Name]:[Ethnic or GCA/NGCA]],11,FALSE)</f>
        <v>GCA</v>
      </c>
      <c r="EJ277" s="923">
        <f>VLOOKUP(WWWW[[#This Row],[Site Name]],SiteDB6[[Site Name]:[Lat]],12,FALSE)</f>
        <v>23.638999999999999</v>
      </c>
      <c r="EK277" s="923">
        <f>VLOOKUP(WWWW[[#This Row],[Site Name]],SiteDB6[[Site Name]:[Long]],13,FALSE)</f>
        <v>97.861999999999995</v>
      </c>
      <c r="EL277" s="923" t="str">
        <f>VLOOKUP(WWWW[[#This Row],[Site Name]],SiteDB6[[Site Name]:[Pcode]],3,FALSE)</f>
        <v>MMR015CMP068</v>
      </c>
      <c r="EM277" s="928" t="str">
        <f t="shared" si="4"/>
        <v>Covered</v>
      </c>
      <c r="EN277" s="928"/>
      <c r="EO277" s="923">
        <f>VLOOKUP(WWWW[[#This Row],[Site Name]],SiteDB6[[Site Name]:[Pop
(Kachin/Shan-CCCM as of July 2021)]],16,FALSE)</f>
        <v>31</v>
      </c>
      <c r="EP277" s="923">
        <f>VLOOKUP(WWWW[[#This Row],[Site Name]],SiteDB6[[Site Name]:[Pop
(Kachin/Shan-CCCM as of July 2021)]],17,FALSE)</f>
        <v>133</v>
      </c>
    </row>
    <row r="278" spans="1:146" hidden="1">
      <c r="A278" s="921" t="s">
        <v>2786</v>
      </c>
      <c r="B278" s="921" t="s">
        <v>192</v>
      </c>
      <c r="C278" s="922" t="s">
        <v>192</v>
      </c>
      <c r="D278" s="922" t="s">
        <v>2695</v>
      </c>
      <c r="E278" s="922" t="s">
        <v>515</v>
      </c>
      <c r="F278" s="922" t="s">
        <v>519</v>
      </c>
      <c r="G278" s="594" t="str">
        <f>VLOOKUP(WWWW[[#This Row],[Site Name]],SiteDB6[[Site Name]:[Location Type]],8,FALSE)</f>
        <v>Camp</v>
      </c>
      <c r="H278" s="922" t="s">
        <v>541</v>
      </c>
      <c r="I278" s="924">
        <v>40</v>
      </c>
      <c r="J278" s="924">
        <v>244</v>
      </c>
      <c r="K278" s="925" t="s">
        <v>2789</v>
      </c>
      <c r="L278" s="926" t="s">
        <v>2790</v>
      </c>
      <c r="M278" s="924"/>
      <c r="N278" s="924">
        <v>1</v>
      </c>
      <c r="O278" s="924"/>
      <c r="P278" s="924"/>
      <c r="Q278" s="927" t="s">
        <v>41</v>
      </c>
      <c r="R278" s="924">
        <v>3</v>
      </c>
      <c r="S278" s="924">
        <v>3</v>
      </c>
      <c r="T278" s="449">
        <v>1</v>
      </c>
      <c r="U278" s="924"/>
      <c r="V278" s="924"/>
      <c r="W278" s="924">
        <v>1</v>
      </c>
      <c r="X278" s="924">
        <v>2</v>
      </c>
      <c r="Y278" s="924"/>
      <c r="Z278" s="449">
        <v>1</v>
      </c>
      <c r="AA278" s="924"/>
      <c r="AB278" s="924"/>
      <c r="AC278" s="924"/>
      <c r="AD278" s="924"/>
      <c r="AE278" s="924"/>
      <c r="AF278" s="924"/>
      <c r="AG278" s="924"/>
      <c r="AH278" s="924"/>
      <c r="AI278" s="924"/>
      <c r="AJ278" s="924"/>
      <c r="AK278" s="924"/>
      <c r="AL278" s="924"/>
      <c r="AM278" s="924"/>
      <c r="AN278" s="924"/>
      <c r="AO278" s="449"/>
      <c r="AP278" s="928"/>
      <c r="AQ278" s="924">
        <v>12</v>
      </c>
      <c r="AR278" s="924"/>
      <c r="AS278" s="929"/>
      <c r="AT278" s="924"/>
      <c r="AU278" s="924"/>
      <c r="AV278" s="924"/>
      <c r="AW278" s="924"/>
      <c r="AX278" s="924"/>
      <c r="AY278" s="923" t="s">
        <v>41</v>
      </c>
      <c r="AZ278" s="928" t="s">
        <v>136</v>
      </c>
      <c r="BA278" s="924"/>
      <c r="BB278" s="924"/>
      <c r="BC278" s="924">
        <v>1</v>
      </c>
      <c r="BD278" s="449"/>
      <c r="BE278" s="449"/>
      <c r="BF278" s="923"/>
      <c r="BG278" s="449">
        <v>7</v>
      </c>
      <c r="BH278" s="924"/>
      <c r="BI278" s="924"/>
      <c r="BJ278" s="924">
        <v>1</v>
      </c>
      <c r="BK278" s="924"/>
      <c r="BL278" s="924"/>
      <c r="BM278" s="924">
        <v>1</v>
      </c>
      <c r="BN278" s="924"/>
      <c r="BO278" s="924"/>
      <c r="BP278" s="426" t="s">
        <v>41</v>
      </c>
      <c r="BQ278" s="930"/>
      <c r="BR278" s="424">
        <v>1</v>
      </c>
      <c r="BS278" s="923"/>
      <c r="BT278" s="424"/>
      <c r="BU278" s="424"/>
      <c r="BV278" s="426"/>
      <c r="BW278" s="424"/>
      <c r="BX278" s="449"/>
      <c r="BY278" s="449"/>
      <c r="BZ278" s="449"/>
      <c r="CA278" s="449"/>
      <c r="CB278" s="449"/>
      <c r="CC278" s="807"/>
      <c r="CD278" s="449"/>
      <c r="CE278" s="931" t="str">
        <f>IFERROR(WWWW[[#This Row],['#_Water sources passed]]/WWWW[[#This Row],['#_Water sources tested for fecal coliform ]],"no test")</f>
        <v>no test</v>
      </c>
      <c r="CF278" s="929" t="str">
        <f>IFERROR(WWWW[[#This Row],['#_Household passed]]/WWWW[[#This Row],['#_Household water samples tested for fecal coliform]],"no test")</f>
        <v>no test</v>
      </c>
      <c r="CG278" s="930" t="str">
        <f>IF(AND(WWWW[[#This Row],[% of water sources passed]]="no test",WWWW[[#This Row],[% Household passed]]="no test"),"No Test","Tested")</f>
        <v>No Test</v>
      </c>
      <c r="CH278" s="930">
        <f>WWWW[[#This Row],['#_Constructed/existing protected hand dug well]]-WWWW[[#This Row],['#_Non-functional protected hand dug well]]</f>
        <v>1</v>
      </c>
      <c r="CI278" s="930">
        <f>(WWWW[[#This Row],['#_Constructed/Existing tube wells/boreholes/handpumps_WASH_agency]]+WWWW[[#This Row],['#_Non-Cluster partner water tube-wells/boreholes/handpumps]])-WWWW[[#This Row],['#_Non-functional tube wells/boreholes/handpumps]]</f>
        <v>3</v>
      </c>
      <c r="CJ278" s="930">
        <f>WWWW[[#This Row],['#_Constructed/Existingwater storage tank with gravity fed reticulation system]]-WWWW[[#This Row],['#_Non-functional storage tank gravity fed reticulation system]]</f>
        <v>0</v>
      </c>
      <c r="CK278" s="930">
        <f>(WWWW[[#This Row],['#_Water_Liters_supplied_by_Water boating or water trucking]]/90)/15</f>
        <v>0</v>
      </c>
      <c r="CL278" s="930">
        <f>WWWW[[#This Row],['#_Water_Liters_from_Constructed/Existing water distribution system from river or natural spring]]/90/15</f>
        <v>0</v>
      </c>
      <c r="CM278" s="425">
        <f>IF(WWWW[[#This Row],['#_of water points in TLS/CFS]]*500&gt;WWWW[[#This Row],[Total PoP ]],WWWW[[#This Row],[Total PoP ]],WWWW[[#This Row],['#_of water points in TLS/CFS]]*500)</f>
        <v>0</v>
      </c>
      <c r="CN278" s="425">
        <f>IF(WWWW[[#This Row],['#_of water points in THF]]*500&gt;WWWW[[#This Row],[Total PoP ]],WWWW[[#This Row],[Total PoP ]],WWWW[[#This Row],['#_of water points in THF]]*500)</f>
        <v>0</v>
      </c>
      <c r="CO27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8" s="929">
        <f>IF(WWWW[[#This Row],[Location Type 1]]="Village",WWWW[[#This Row],[Access to safe drinking water for Village]],WWWW[[#This Row],[Access to safe drinking water for Camp]])</f>
        <v>1</v>
      </c>
      <c r="CR278" s="927">
        <f>WWWW[[#This Row],[%Equitable and continuous access to sufficient quantity of safe drinking water]]*WWWW[[#This Row],[Total PoP ]]</f>
        <v>244</v>
      </c>
      <c r="CS278" s="929">
        <f>IF((WWWW[[#This Row],['#_Constructed/Existing protected/fenced ponds]]*250)/WWWW[[#This Row],[Total PoP ]]&gt;1,1,(WWWW[[#This Row],['#_Constructed/Existing protected/fenced ponds]]*250)/WWWW[[#This Row],[Total PoP ]])</f>
        <v>0</v>
      </c>
      <c r="CT278" s="927">
        <f>WWWW[[#This Row],[% Access to unimproved water points]]*WWWW[[#This Row],[Total PoP ]]</f>
        <v>0</v>
      </c>
      <c r="CU27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W278" s="927">
        <f>WWWW[[#This Row],[HRP1]]/500</f>
        <v>0.48799999999999999</v>
      </c>
      <c r="CX278" s="932">
        <f>1-WWWW[[#This Row],[% Equitable and continuous access to sufficient quantity of domestic water]]</f>
        <v>0</v>
      </c>
      <c r="CY278" s="927">
        <f>WWWW[[#This Row],[%equitable and continuous access to sufficient quantity of safe drinking and domestic water''s GAP]]*WWWW[[#This Row],[Total PoP ]]</f>
        <v>0</v>
      </c>
      <c r="CZ278" s="930">
        <f>IF(WWWW[[#This Row],[Total required water points]]-WWWW[[#This Row],['#Water points coverage]]&lt;0,0,WWWW[[#This Row],[Total required water points]]-WWWW[[#This Row],['#Water points coverage]])</f>
        <v>0.51200000000000001</v>
      </c>
      <c r="DA278" s="930">
        <f>ROUND(IF(WWWW[[#This Row],[Total PoP ]]&lt;500,1,WWWW[[#This Row],[Total PoP ]]/500),0)</f>
        <v>1</v>
      </c>
      <c r="DB278" s="930">
        <f>(WWWW[[#This Row],['#_Constructed latrines_by_WASHAgencies]]+WWWW[[#This Row],['#_Non Cluster partner latrines]])-WWWW[[#This Row],['#_Non-functional latrines]]</f>
        <v>12</v>
      </c>
      <c r="DC278" s="634">
        <f>WWWW[[#This Row],[HRP2]]/WWWW[[#This Row],[Total PoP ]]</f>
        <v>0.98360655737704916</v>
      </c>
      <c r="DD27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240</v>
      </c>
      <c r="DE27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8" s="425">
        <f>IF(WWWW[[#This Row],['# of functional latrines in THF supported by WASH partners during the reporting period2]]="",0,WWWW[[#This Row],['# of functional latrines in THF supported by WASH partners during the reporting period2]]*50)</f>
        <v>0</v>
      </c>
      <c r="DH278" s="930">
        <f>ROUND(IF(WWWW[[#This Row],[Location Type 1]]="camp",WWWW[[#This Row],[Total PoP ]]/20,IF(WWWW[[#This Row],[Location Type 1]]="Temporary Location",WWWW[[#This Row],[Total PoP ]]/50,(WWWW[[#This Row],[Total PoP ]]/6))),0)</f>
        <v>12</v>
      </c>
      <c r="DI278" s="930">
        <f>IF(WWWW[[#This Row],[Total required Latrines]]-(WWWW[[#This Row],['#_Constructed latrines_by_WASHAgencies]]+WWWW[[#This Row],['#_Non Cluster partner latrines]])&lt;0,0,WWWW[[#This Row],[Total required Latrines]]-(WWWW[[#This Row],['#_Constructed latrines_by_WASHAgencies]]+WWWW[[#This Row],['#_Non Cluster partner latrines]]))</f>
        <v>0</v>
      </c>
      <c r="DJ278" s="932">
        <f>1-WWWW[[#This Row],[% people access to functioning Latrine]]</f>
        <v>1.6393442622950838E-2</v>
      </c>
      <c r="DK278" s="931">
        <f>IF(OR(WWWW[[#This Row],['#_Non-functional latrines]]="",WWWW[[#This Row],['#_Non-functional latrines]]=0),0,WWWW[[#This Row],['#_Non-functional latrines]]/(WWWW[[#This Row],['#_Constructed latrines_by_WASHAgencies]]+WWWW[[#This Row],['#_Non Cluster partner latrines]]))</f>
        <v>0</v>
      </c>
      <c r="DL278" s="927">
        <f>IF(500*(WWWW[[#This Row],['#_male hygiene promoters]]+WWWW[[#This Row],['#_female hygiene promoters]])&gt;WWWW[[#This Row],[Total PoP ]],WWWW[[#This Row],[Total PoP ]],500*(WWWW[[#This Row],['#_male hygiene promoters]]+WWWW[[#This Row],['#_female hygiene promoters]]))</f>
        <v>244</v>
      </c>
      <c r="DM27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8" s="930">
        <f>IF(WWWW[[#This Row],['# People with access to soap]]&gt;WWWW[[#This Row],['# People with access to Sanity Pads]],WWWW[[#This Row],['# People with access to soap]],WWWW[[#This Row],['# People with access to Sanity Pads]])</f>
        <v>0</v>
      </c>
      <c r="DP278" s="930">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Q278" s="932">
        <f>IF(WWWW[[#This Row],[HRP3]]/WWWW[[#This Row],[Total PoP ]]&gt;1,1,WWWW[[#This Row],[HRP3]]/WWWW[[#This Row],[Total PoP ]])</f>
        <v>1</v>
      </c>
      <c r="DR278" s="931">
        <f>1-WWWW[[#This Row],[Hygiene Coverage%]]</f>
        <v>0</v>
      </c>
      <c r="DS278" s="929">
        <f>WWWW[[#This Row],['# people reached by regular dedicated hygiene promotion_5]]/WWWW[[#This Row],[Total PoP ]]</f>
        <v>1</v>
      </c>
      <c r="DT27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8" s="930">
        <f>WWWW[[#This Row],['#_Constructed/Existing hand washing stations]]-WWWW[[#This Row],['#_Non-Functional_hand_washing_stations]]</f>
        <v>7</v>
      </c>
      <c r="DW278" s="927">
        <f>IF(WWWW[[#This Row],['# Functional hand washing stations during reporting period]]*20&gt;WWWW[[#This Row],[Total HH]],WWWW[[#This Row],[Total HH]],WWWW[[#This Row],['# Functional hand washing stations during reporting period]]*20)</f>
        <v>40</v>
      </c>
      <c r="DX278" s="927">
        <f>IF(WWWW[[#This Row],[Is sufficient soap available for TLS? (Yes/No)]]="yes",WWWW[[#This Row],['#_Constructed/Existing hand washing stations at TLS/CFS/THF]],0)</f>
        <v>0</v>
      </c>
      <c r="DY278" s="429">
        <f>IF(WWWW[[#This Row],['# Functional hand washing stations during reporting period]]*100&gt;WWWW[[#This Row],[Total PoP ]],WWWW[[#This Row],[Total PoP ]],WWWW[[#This Row],['# Functional hand washing stations during reporting period]]*100)</f>
        <v>244</v>
      </c>
      <c r="DZ278" s="429" t="str">
        <f>IF(OR(WWWW[[#This Row],['#_students at TLS_CFS]]="",WWWW[[#This Row],['#_students at TLS_CFS]]=0),"No","Yes")</f>
        <v>No</v>
      </c>
      <c r="EA27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8" s="923" t="str">
        <f>VLOOKUP(WWWW[[#This Row],[Site Name]],SiteDB6[[Site Name]:[CCCM Management]],6,FALSE)</f>
        <v>Yes</v>
      </c>
      <c r="EF278" s="923" t="str">
        <f>VLOOKUP(WWWW[[#This Row],[Site Name]],SiteDB6[[Site Name]:[CCCM Focal Agency]],7,FALSE)</f>
        <v>KBC-NSS</v>
      </c>
      <c r="EG278" s="923" t="str">
        <f>VLOOKUP(WWWW[[#This Row],[Site Name]],SiteDB6[[Site Name]:[Location Type 1]],9,FALSE)</f>
        <v>Camp</v>
      </c>
      <c r="EH278" s="923" t="str">
        <f>VLOOKUP(WWWW[[#This Row],[Site Name]],SiteDB6[[Site Name]:[Type of Accommodation]],10,FALSE)</f>
        <v>Camp</v>
      </c>
      <c r="EI278" s="923" t="str">
        <f>VLOOKUP(WWWW[[#This Row],[Site Name]],SiteDB6[[Site Name]:[Ethnic or GCA/NGCA]],11,FALSE)</f>
        <v>GCA</v>
      </c>
      <c r="EJ278" s="923">
        <f>VLOOKUP(WWWW[[#This Row],[Site Name]],SiteDB6[[Site Name]:[Lat]],12,FALSE)</f>
        <v>23.450914000000001</v>
      </c>
      <c r="EK278" s="923">
        <f>VLOOKUP(WWWW[[#This Row],[Site Name]],SiteDB6[[Site Name]:[Long]],13,FALSE)</f>
        <v>97.926813999999993</v>
      </c>
      <c r="EL278" s="923" t="str">
        <f>VLOOKUP(WWWW[[#This Row],[Site Name]],SiteDB6[[Site Name]:[Pcode]],3,FALSE)</f>
        <v>MMR015CMP016</v>
      </c>
      <c r="EM278" s="928" t="str">
        <f t="shared" si="4"/>
        <v>Covered</v>
      </c>
      <c r="EN278" s="928"/>
      <c r="EO278" s="923">
        <f>VLOOKUP(WWWW[[#This Row],[Site Name]],SiteDB6[[Site Name]:[Pop
(Kachin/Shan-CCCM as of July 2021)]],16,FALSE)</f>
        <v>40</v>
      </c>
      <c r="EP278" s="923">
        <f>VLOOKUP(WWWW[[#This Row],[Site Name]],SiteDB6[[Site Name]:[Pop
(Kachin/Shan-CCCM as of July 2021)]],17,FALSE)</f>
        <v>251</v>
      </c>
    </row>
    <row r="279" spans="1:146" hidden="1">
      <c r="A279" s="921" t="s">
        <v>2786</v>
      </c>
      <c r="B279" s="921" t="s">
        <v>192</v>
      </c>
      <c r="C279" s="922" t="s">
        <v>192</v>
      </c>
      <c r="D279" s="922" t="s">
        <v>2695</v>
      </c>
      <c r="E279" s="922" t="s">
        <v>515</v>
      </c>
      <c r="F279" s="922" t="s">
        <v>519</v>
      </c>
      <c r="G279" s="594" t="str">
        <f>VLOOKUP(WWWW[[#This Row],[Site Name]],SiteDB6[[Site Name]:[Location Type]],8,FALSE)</f>
        <v>Camp</v>
      </c>
      <c r="H279" s="922" t="s">
        <v>546</v>
      </c>
      <c r="I279" s="924">
        <v>38</v>
      </c>
      <c r="J279" s="924">
        <v>180</v>
      </c>
      <c r="K279" s="925" t="s">
        <v>2789</v>
      </c>
      <c r="L279" s="926" t="s">
        <v>2790</v>
      </c>
      <c r="M279" s="924"/>
      <c r="N279" s="924"/>
      <c r="O279" s="924"/>
      <c r="P279" s="924"/>
      <c r="Q279" s="927"/>
      <c r="R279" s="924">
        <v>4</v>
      </c>
      <c r="S279" s="924">
        <v>5</v>
      </c>
      <c r="T279" s="449">
        <v>1</v>
      </c>
      <c r="U279" s="924"/>
      <c r="V279" s="924"/>
      <c r="W279" s="924">
        <v>1</v>
      </c>
      <c r="X279" s="924"/>
      <c r="Y279" s="924"/>
      <c r="Z279" s="924"/>
      <c r="AA279" s="924"/>
      <c r="AB279" s="924"/>
      <c r="AC279" s="924"/>
      <c r="AD279" s="924"/>
      <c r="AE279" s="924"/>
      <c r="AF279" s="924"/>
      <c r="AG279" s="924"/>
      <c r="AH279" s="924"/>
      <c r="AI279" s="924"/>
      <c r="AJ279" s="924"/>
      <c r="AK279" s="924"/>
      <c r="AL279" s="924"/>
      <c r="AM279" s="924"/>
      <c r="AN279" s="924"/>
      <c r="AO279" s="449"/>
      <c r="AP279" s="928"/>
      <c r="AQ279" s="924">
        <v>9</v>
      </c>
      <c r="AR279" s="924"/>
      <c r="AS279" s="929"/>
      <c r="AT279" s="924"/>
      <c r="AU279" s="924"/>
      <c r="AV279" s="924"/>
      <c r="AW279" s="924"/>
      <c r="AX279" s="924"/>
      <c r="AY279" s="923" t="s">
        <v>41</v>
      </c>
      <c r="AZ279" s="928" t="s">
        <v>137</v>
      </c>
      <c r="BA279" s="924"/>
      <c r="BB279" s="924"/>
      <c r="BC279" s="924"/>
      <c r="BD279" s="449"/>
      <c r="BE279" s="449"/>
      <c r="BF279" s="923"/>
      <c r="BG279" s="449">
        <v>4</v>
      </c>
      <c r="BH279" s="924"/>
      <c r="BI279" s="924"/>
      <c r="BJ279" s="924">
        <v>2</v>
      </c>
      <c r="BK279" s="924"/>
      <c r="BL279" s="924"/>
      <c r="BM279" s="924">
        <v>1</v>
      </c>
      <c r="BN279" s="924"/>
      <c r="BO279" s="924"/>
      <c r="BP279" s="426" t="s">
        <v>41</v>
      </c>
      <c r="BQ279" s="930"/>
      <c r="BR279" s="424">
        <v>1</v>
      </c>
      <c r="BS279" s="923"/>
      <c r="BT279" s="424"/>
      <c r="BU279" s="424"/>
      <c r="BV279" s="426"/>
      <c r="BW279" s="424"/>
      <c r="BX279" s="449"/>
      <c r="BY279" s="449"/>
      <c r="BZ279" s="449"/>
      <c r="CA279" s="449"/>
      <c r="CB279" s="449"/>
      <c r="CC279" s="807"/>
      <c r="CD279" s="449"/>
      <c r="CE279" s="931" t="str">
        <f>IFERROR(WWWW[[#This Row],['#_Water sources passed]]/WWWW[[#This Row],['#_Water sources tested for fecal coliform ]],"no test")</f>
        <v>no test</v>
      </c>
      <c r="CF279" s="929" t="str">
        <f>IFERROR(WWWW[[#This Row],['#_Household passed]]/WWWW[[#This Row],['#_Household water samples tested for fecal coliform]],"no test")</f>
        <v>no test</v>
      </c>
      <c r="CG279" s="930" t="str">
        <f>IF(AND(WWWW[[#This Row],[% of water sources passed]]="no test",WWWW[[#This Row],[% Household passed]]="no test"),"No Test","Tested")</f>
        <v>No Test</v>
      </c>
      <c r="CH279" s="930">
        <f>WWWW[[#This Row],['#_Constructed/existing protected hand dug well]]-WWWW[[#This Row],['#_Non-functional protected hand dug well]]</f>
        <v>1</v>
      </c>
      <c r="CI279" s="930">
        <f>(WWWW[[#This Row],['#_Constructed/Existing tube wells/boreholes/handpumps_WASH_agency]]+WWWW[[#This Row],['#_Non-Cluster partner water tube-wells/boreholes/handpumps]])-WWWW[[#This Row],['#_Non-functional tube wells/boreholes/handpumps]]</f>
        <v>1</v>
      </c>
      <c r="CJ279" s="930">
        <f>WWWW[[#This Row],['#_Constructed/Existingwater storage tank with gravity fed reticulation system]]-WWWW[[#This Row],['#_Non-functional storage tank gravity fed reticulation system]]</f>
        <v>0</v>
      </c>
      <c r="CK279" s="930">
        <f>(WWWW[[#This Row],['#_Water_Liters_supplied_by_Water boating or water trucking]]/90)/15</f>
        <v>0</v>
      </c>
      <c r="CL279" s="930">
        <f>WWWW[[#This Row],['#_Water_Liters_from_Constructed/Existing water distribution system from river or natural spring]]/90/15</f>
        <v>0</v>
      </c>
      <c r="CM279" s="425">
        <f>IF(WWWW[[#This Row],['#_of water points in TLS/CFS]]*500&gt;WWWW[[#This Row],[Total PoP ]],WWWW[[#This Row],[Total PoP ]],WWWW[[#This Row],['#_of water points in TLS/CFS]]*500)</f>
        <v>0</v>
      </c>
      <c r="CN279" s="425">
        <f>IF(WWWW[[#This Row],['#_of water points in THF]]*500&gt;WWWW[[#This Row],[Total PoP ]],WWWW[[#This Row],[Total PoP ]],WWWW[[#This Row],['#_of water points in THF]]*500)</f>
        <v>0</v>
      </c>
      <c r="CO27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7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79" s="929">
        <f>IF(WWWW[[#This Row],[Location Type 1]]="Village",WWWW[[#This Row],[Access to safe drinking water for Village]],WWWW[[#This Row],[Access to safe drinking water for Camp]])</f>
        <v>1</v>
      </c>
      <c r="CR279" s="927">
        <f>WWWW[[#This Row],[%Equitable and continuous access to sufficient quantity of safe drinking water]]*WWWW[[#This Row],[Total PoP ]]</f>
        <v>180</v>
      </c>
      <c r="CS279" s="929">
        <f>IF((WWWW[[#This Row],['#_Constructed/Existing protected/fenced ponds]]*250)/WWWW[[#This Row],[Total PoP ]]&gt;1,1,(WWWW[[#This Row],['#_Constructed/Existing protected/fenced ponds]]*250)/WWWW[[#This Row],[Total PoP ]])</f>
        <v>0</v>
      </c>
      <c r="CT279" s="927">
        <f>WWWW[[#This Row],[% Access to unimproved water points]]*WWWW[[#This Row],[Total PoP ]]</f>
        <v>0</v>
      </c>
      <c r="CU27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7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W279" s="927">
        <f>WWWW[[#This Row],[HRP1]]/500</f>
        <v>0.36</v>
      </c>
      <c r="CX279" s="932">
        <f>1-WWWW[[#This Row],[% Equitable and continuous access to sufficient quantity of domestic water]]</f>
        <v>0</v>
      </c>
      <c r="CY279" s="927">
        <f>WWWW[[#This Row],[%equitable and continuous access to sufficient quantity of safe drinking and domestic water''s GAP]]*WWWW[[#This Row],[Total PoP ]]</f>
        <v>0</v>
      </c>
      <c r="CZ279" s="930">
        <f>IF(WWWW[[#This Row],[Total required water points]]-WWWW[[#This Row],['#Water points coverage]]&lt;0,0,WWWW[[#This Row],[Total required water points]]-WWWW[[#This Row],['#Water points coverage]])</f>
        <v>0.64</v>
      </c>
      <c r="DA279" s="930">
        <f>ROUND(IF(WWWW[[#This Row],[Total PoP ]]&lt;500,1,WWWW[[#This Row],[Total PoP ]]/500),0)</f>
        <v>1</v>
      </c>
      <c r="DB279" s="930">
        <f>(WWWW[[#This Row],['#_Constructed latrines_by_WASHAgencies]]+WWWW[[#This Row],['#_Non Cluster partner latrines]])-WWWW[[#This Row],['#_Non-functional latrines]]</f>
        <v>9</v>
      </c>
      <c r="DC279" s="634">
        <f>WWWW[[#This Row],[HRP2]]/WWWW[[#This Row],[Total PoP ]]</f>
        <v>1</v>
      </c>
      <c r="DD27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27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7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79" s="425">
        <f>IF(WWWW[[#This Row],['# of functional latrines in THF supported by WASH partners during the reporting period2]]="",0,WWWW[[#This Row],['# of functional latrines in THF supported by WASH partners during the reporting period2]]*50)</f>
        <v>0</v>
      </c>
      <c r="DH279" s="930">
        <f>ROUND(IF(WWWW[[#This Row],[Location Type 1]]="camp",WWWW[[#This Row],[Total PoP ]]/20,IF(WWWW[[#This Row],[Location Type 1]]="Temporary Location",WWWW[[#This Row],[Total PoP ]]/50,(WWWW[[#This Row],[Total PoP ]]/6))),0)</f>
        <v>9</v>
      </c>
      <c r="DI279" s="930">
        <f>IF(WWWW[[#This Row],[Total required Latrines]]-(WWWW[[#This Row],['#_Constructed latrines_by_WASHAgencies]]+WWWW[[#This Row],['#_Non Cluster partner latrines]])&lt;0,0,WWWW[[#This Row],[Total required Latrines]]-(WWWW[[#This Row],['#_Constructed latrines_by_WASHAgencies]]+WWWW[[#This Row],['#_Non Cluster partner latrines]]))</f>
        <v>0</v>
      </c>
      <c r="DJ279" s="932">
        <f>1-WWWW[[#This Row],[% people access to functioning Latrine]]</f>
        <v>0</v>
      </c>
      <c r="DK279" s="931">
        <f>IF(OR(WWWW[[#This Row],['#_Non-functional latrines]]="",WWWW[[#This Row],['#_Non-functional latrines]]=0),0,WWWW[[#This Row],['#_Non-functional latrines]]/(WWWW[[#This Row],['#_Constructed latrines_by_WASHAgencies]]+WWWW[[#This Row],['#_Non Cluster partner latrines]]))</f>
        <v>0</v>
      </c>
      <c r="DL279" s="927">
        <f>IF(500*(WWWW[[#This Row],['#_male hygiene promoters]]+WWWW[[#This Row],['#_female hygiene promoters]])&gt;WWWW[[#This Row],[Total PoP ]],WWWW[[#This Row],[Total PoP ]],500*(WWWW[[#This Row],['#_male hygiene promoters]]+WWWW[[#This Row],['#_female hygiene promoters]]))</f>
        <v>180</v>
      </c>
      <c r="DM27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7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79" s="930">
        <f>IF(WWWW[[#This Row],['# People with access to soap]]&gt;WWWW[[#This Row],['# People with access to Sanity Pads]],WWWW[[#This Row],['# People with access to soap]],WWWW[[#This Row],['# People with access to Sanity Pads]])</f>
        <v>0</v>
      </c>
      <c r="DP279" s="930">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Q279" s="932">
        <f>IF(WWWW[[#This Row],[HRP3]]/WWWW[[#This Row],[Total PoP ]]&gt;1,1,WWWW[[#This Row],[HRP3]]/WWWW[[#This Row],[Total PoP ]])</f>
        <v>1</v>
      </c>
      <c r="DR279" s="931">
        <f>1-WWWW[[#This Row],[Hygiene Coverage%]]</f>
        <v>0</v>
      </c>
      <c r="DS279" s="929">
        <f>WWWW[[#This Row],['# people reached by regular dedicated hygiene promotion_5]]/WWWW[[#This Row],[Total PoP ]]</f>
        <v>1</v>
      </c>
      <c r="DT27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7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79" s="930">
        <f>WWWW[[#This Row],['#_Constructed/Existing hand washing stations]]-WWWW[[#This Row],['#_Non-Functional_hand_washing_stations]]</f>
        <v>4</v>
      </c>
      <c r="DW279" s="927">
        <f>IF(WWWW[[#This Row],['# Functional hand washing stations during reporting period]]*20&gt;WWWW[[#This Row],[Total HH]],WWWW[[#This Row],[Total HH]],WWWW[[#This Row],['# Functional hand washing stations during reporting period]]*20)</f>
        <v>38</v>
      </c>
      <c r="DX279" s="927">
        <f>IF(WWWW[[#This Row],[Is sufficient soap available for TLS? (Yes/No)]]="yes",WWWW[[#This Row],['#_Constructed/Existing hand washing stations at TLS/CFS/THF]],0)</f>
        <v>0</v>
      </c>
      <c r="DY279" s="429">
        <f>IF(WWWW[[#This Row],['# Functional hand washing stations during reporting period]]*100&gt;WWWW[[#This Row],[Total PoP ]],WWWW[[#This Row],[Total PoP ]],WWWW[[#This Row],['# Functional hand washing stations during reporting period]]*100)</f>
        <v>180</v>
      </c>
      <c r="DZ279" s="429" t="str">
        <f>IF(OR(WWWW[[#This Row],['#_students at TLS_CFS]]="",WWWW[[#This Row],['#_students at TLS_CFS]]=0),"No","Yes")</f>
        <v>No</v>
      </c>
      <c r="EA27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7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7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7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79" s="923" t="str">
        <f>VLOOKUP(WWWW[[#This Row],[Site Name]],SiteDB6[[Site Name]:[CCCM Management]],6,FALSE)</f>
        <v>Yes</v>
      </c>
      <c r="EF279" s="923" t="str">
        <f>VLOOKUP(WWWW[[#This Row],[Site Name]],SiteDB6[[Site Name]:[CCCM Focal Agency]],7,FALSE)</f>
        <v>KBC-NSS</v>
      </c>
      <c r="EG279" s="923" t="str">
        <f>VLOOKUP(WWWW[[#This Row],[Site Name]],SiteDB6[[Site Name]:[Location Type 1]],9,FALSE)</f>
        <v>Camp</v>
      </c>
      <c r="EH279" s="923" t="str">
        <f>VLOOKUP(WWWW[[#This Row],[Site Name]],SiteDB6[[Site Name]:[Type of Accommodation]],10,FALSE)</f>
        <v>Camp</v>
      </c>
      <c r="EI279" s="923" t="str">
        <f>VLOOKUP(WWWW[[#This Row],[Site Name]],SiteDB6[[Site Name]:[Ethnic or GCA/NGCA]],11,FALSE)</f>
        <v>GCA</v>
      </c>
      <c r="EJ279" s="923">
        <f>VLOOKUP(WWWW[[#This Row],[Site Name]],SiteDB6[[Site Name]:[Lat]],12,FALSE)</f>
        <v>23.460349999999998</v>
      </c>
      <c r="EK279" s="923">
        <f>VLOOKUP(WWWW[[#This Row],[Site Name]],SiteDB6[[Site Name]:[Long]],13,FALSE)</f>
        <v>97.947360000000003</v>
      </c>
      <c r="EL279" s="923" t="str">
        <f>VLOOKUP(WWWW[[#This Row],[Site Name]],SiteDB6[[Site Name]:[Pcode]],3,FALSE)</f>
        <v>MMR015CMP063</v>
      </c>
      <c r="EM279" s="928" t="str">
        <f t="shared" si="4"/>
        <v>Covered</v>
      </c>
      <c r="EN279" s="928"/>
      <c r="EO279" s="923">
        <f>VLOOKUP(WWWW[[#This Row],[Site Name]],SiteDB6[[Site Name]:[Pop
(Kachin/Shan-CCCM as of July 2021)]],16,FALSE)</f>
        <v>36</v>
      </c>
      <c r="EP279" s="923">
        <f>VLOOKUP(WWWW[[#This Row],[Site Name]],SiteDB6[[Site Name]:[Pop
(Kachin/Shan-CCCM as of July 2021)]],17,FALSE)</f>
        <v>158</v>
      </c>
    </row>
    <row r="280" spans="1:146" hidden="1">
      <c r="A280" s="921" t="s">
        <v>2786</v>
      </c>
      <c r="B280" s="921" t="s">
        <v>192</v>
      </c>
      <c r="C280" s="922" t="s">
        <v>192</v>
      </c>
      <c r="D280" s="922" t="s">
        <v>2695</v>
      </c>
      <c r="E280" s="922" t="s">
        <v>515</v>
      </c>
      <c r="F280" s="922" t="s">
        <v>519</v>
      </c>
      <c r="G280" s="594" t="str">
        <f>VLOOKUP(WWWW[[#This Row],[Site Name]],SiteDB6[[Site Name]:[Location Type]],8,FALSE)</f>
        <v>Camp</v>
      </c>
      <c r="H280" s="922" t="s">
        <v>1617</v>
      </c>
      <c r="I280" s="924">
        <v>74</v>
      </c>
      <c r="J280" s="924">
        <v>502</v>
      </c>
      <c r="K280" s="925" t="s">
        <v>2789</v>
      </c>
      <c r="L280" s="926" t="s">
        <v>2790</v>
      </c>
      <c r="M280" s="924"/>
      <c r="N280" s="924"/>
      <c r="O280" s="924"/>
      <c r="P280" s="924"/>
      <c r="Q280" s="927"/>
      <c r="R280" s="924">
        <v>6</v>
      </c>
      <c r="S280" s="924">
        <v>3</v>
      </c>
      <c r="T280" s="449"/>
      <c r="U280" s="924"/>
      <c r="V280" s="924"/>
      <c r="W280" s="924"/>
      <c r="X280" s="924"/>
      <c r="Y280" s="924"/>
      <c r="Z280" s="924"/>
      <c r="AA280" s="924">
        <v>8</v>
      </c>
      <c r="AB280" s="924"/>
      <c r="AC280" s="924"/>
      <c r="AD280" s="924"/>
      <c r="AE280" s="924"/>
      <c r="AF280" s="924"/>
      <c r="AG280" s="924"/>
      <c r="AH280" s="924"/>
      <c r="AI280" s="924"/>
      <c r="AJ280" s="924"/>
      <c r="AK280" s="924"/>
      <c r="AL280" s="924"/>
      <c r="AM280" s="924">
        <v>1</v>
      </c>
      <c r="AN280" s="924">
        <v>2</v>
      </c>
      <c r="AO280" s="449"/>
      <c r="AP280" s="928"/>
      <c r="AQ280" s="924">
        <v>85</v>
      </c>
      <c r="AR280" s="924"/>
      <c r="AS280" s="929"/>
      <c r="AT280" s="924"/>
      <c r="AU280" s="924"/>
      <c r="AV280" s="924"/>
      <c r="AW280" s="924"/>
      <c r="AX280" s="924">
        <v>5</v>
      </c>
      <c r="AY280" s="923" t="s">
        <v>41</v>
      </c>
      <c r="AZ280" s="928" t="s">
        <v>904</v>
      </c>
      <c r="BA280" s="924"/>
      <c r="BB280" s="924"/>
      <c r="BC280" s="924"/>
      <c r="BD280" s="449"/>
      <c r="BE280" s="449"/>
      <c r="BF280" s="923"/>
      <c r="BG280" s="449">
        <v>2</v>
      </c>
      <c r="BH280" s="924"/>
      <c r="BI280" s="924"/>
      <c r="BJ280" s="924">
        <v>1</v>
      </c>
      <c r="BK280" s="924"/>
      <c r="BL280" s="924">
        <v>1</v>
      </c>
      <c r="BM280" s="924"/>
      <c r="BN280" s="924"/>
      <c r="BO280" s="924"/>
      <c r="BP280" s="426" t="s">
        <v>41</v>
      </c>
      <c r="BQ280" s="930"/>
      <c r="BR280" s="424">
        <v>1</v>
      </c>
      <c r="BS280" s="923"/>
      <c r="BT280" s="424"/>
      <c r="BU280" s="424"/>
      <c r="BV280" s="426"/>
      <c r="BW280" s="424"/>
      <c r="BX280" s="449"/>
      <c r="BY280" s="449"/>
      <c r="BZ280" s="449"/>
      <c r="CA280" s="449"/>
      <c r="CB280" s="449"/>
      <c r="CC280" s="807"/>
      <c r="CD280" s="449"/>
      <c r="CE280" s="931" t="str">
        <f>IFERROR(WWWW[[#This Row],['#_Water sources passed]]/WWWW[[#This Row],['#_Water sources tested for fecal coliform ]],"no test")</f>
        <v>no test</v>
      </c>
      <c r="CF280" s="929" t="str">
        <f>IFERROR(WWWW[[#This Row],['#_Household passed]]/WWWW[[#This Row],['#_Household water samples tested for fecal coliform]],"no test")</f>
        <v>no test</v>
      </c>
      <c r="CG280" s="930" t="str">
        <f>IF(AND(WWWW[[#This Row],[% of water sources passed]]="no test",WWWW[[#This Row],[% Household passed]]="no test"),"No Test","Tested")</f>
        <v>No Test</v>
      </c>
      <c r="CH280" s="930">
        <f>WWWW[[#This Row],['#_Constructed/existing protected hand dug well]]-WWWW[[#This Row],['#_Non-functional protected hand dug well]]</f>
        <v>0</v>
      </c>
      <c r="CI280" s="930">
        <f>(WWWW[[#This Row],['#_Constructed/Existing tube wells/boreholes/handpumps_WASH_agency]]+WWWW[[#This Row],['#_Non-Cluster partner water tube-wells/boreholes/handpumps]])-WWWW[[#This Row],['#_Non-functional tube wells/boreholes/handpumps]]</f>
        <v>0</v>
      </c>
      <c r="CJ280" s="930">
        <f>WWWW[[#This Row],['#_Constructed/Existingwater storage tank with gravity fed reticulation system]]-WWWW[[#This Row],['#_Non-functional storage tank gravity fed reticulation system]]</f>
        <v>8</v>
      </c>
      <c r="CK280" s="930">
        <f>(WWWW[[#This Row],['#_Water_Liters_supplied_by_Water boating or water trucking]]/90)/15</f>
        <v>0</v>
      </c>
      <c r="CL280" s="930">
        <f>WWWW[[#This Row],['#_Water_Liters_from_Constructed/Existing water distribution system from river or natural spring]]/90/15</f>
        <v>0</v>
      </c>
      <c r="CM280" s="425">
        <f>IF(WWWW[[#This Row],['#_of water points in TLS/CFS]]*500&gt;WWWW[[#This Row],[Total PoP ]],WWWW[[#This Row],[Total PoP ]],WWWW[[#This Row],['#_of water points in TLS/CFS]]*500)</f>
        <v>502</v>
      </c>
      <c r="CN280" s="425">
        <f>IF(WWWW[[#This Row],['#_of water points in THF]]*500&gt;WWWW[[#This Row],[Total PoP ]],WWWW[[#This Row],[Total PoP ]],WWWW[[#This Row],['#_of water points in THF]]*500)</f>
        <v>0</v>
      </c>
      <c r="CO28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0" s="929">
        <f>IF(WWWW[[#This Row],[Location Type 1]]="Village",WWWW[[#This Row],[Access to safe drinking water for Village]],WWWW[[#This Row],[Access to safe drinking water for Camp]])</f>
        <v>1</v>
      </c>
      <c r="CR280" s="927">
        <f>WWWW[[#This Row],[%Equitable and continuous access to sufficient quantity of safe drinking water]]*WWWW[[#This Row],[Total PoP ]]</f>
        <v>502</v>
      </c>
      <c r="CS280" s="929">
        <f>IF((WWWW[[#This Row],['#_Constructed/Existing protected/fenced ponds]]*250)/WWWW[[#This Row],[Total PoP ]]&gt;1,1,(WWWW[[#This Row],['#_Constructed/Existing protected/fenced ponds]]*250)/WWWW[[#This Row],[Total PoP ]])</f>
        <v>0</v>
      </c>
      <c r="CT280" s="927">
        <f>WWWW[[#This Row],[% Access to unimproved water points]]*WWWW[[#This Row],[Total PoP ]]</f>
        <v>0</v>
      </c>
      <c r="CU28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W280" s="927">
        <f>WWWW[[#This Row],[HRP1]]/500</f>
        <v>1.004</v>
      </c>
      <c r="CX280" s="932">
        <f>1-WWWW[[#This Row],[% Equitable and continuous access to sufficient quantity of domestic water]]</f>
        <v>0</v>
      </c>
      <c r="CY280" s="927">
        <f>WWWW[[#This Row],[%equitable and continuous access to sufficient quantity of safe drinking and domestic water''s GAP]]*WWWW[[#This Row],[Total PoP ]]</f>
        <v>0</v>
      </c>
      <c r="CZ280" s="930">
        <f>IF(WWWW[[#This Row],[Total required water points]]-WWWW[[#This Row],['#Water points coverage]]&lt;0,0,WWWW[[#This Row],[Total required water points]]-WWWW[[#This Row],['#Water points coverage]])</f>
        <v>0</v>
      </c>
      <c r="DA280" s="930">
        <f>ROUND(IF(WWWW[[#This Row],[Total PoP ]]&lt;500,1,WWWW[[#This Row],[Total PoP ]]/500),0)</f>
        <v>1</v>
      </c>
      <c r="DB280" s="930">
        <f>(WWWW[[#This Row],['#_Constructed latrines_by_WASHAgencies]]+WWWW[[#This Row],['#_Non Cluster partner latrines]])-WWWW[[#This Row],['#_Non-functional latrines]]</f>
        <v>85</v>
      </c>
      <c r="DC280" s="634">
        <f>WWWW[[#This Row],[HRP2]]/WWWW[[#This Row],[Total PoP ]]</f>
        <v>1</v>
      </c>
      <c r="DD28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502</v>
      </c>
      <c r="DE28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0" s="425">
        <f>IF(WWWW[[#This Row],['# of functional latrines in THF supported by WASH partners during the reporting period2]]="",0,WWWW[[#This Row],['# of functional latrines in THF supported by WASH partners during the reporting period2]]*50)</f>
        <v>0</v>
      </c>
      <c r="DH280" s="930">
        <f>ROUND(IF(WWWW[[#This Row],[Location Type 1]]="camp",WWWW[[#This Row],[Total PoP ]]/20,IF(WWWW[[#This Row],[Location Type 1]]="Temporary Location",WWWW[[#This Row],[Total PoP ]]/50,(WWWW[[#This Row],[Total PoP ]]/6))),0)</f>
        <v>25</v>
      </c>
      <c r="DI280" s="930">
        <f>IF(WWWW[[#This Row],[Total required Latrines]]-(WWWW[[#This Row],['#_Constructed latrines_by_WASHAgencies]]+WWWW[[#This Row],['#_Non Cluster partner latrines]])&lt;0,0,WWWW[[#This Row],[Total required Latrines]]-(WWWW[[#This Row],['#_Constructed latrines_by_WASHAgencies]]+WWWW[[#This Row],['#_Non Cluster partner latrines]]))</f>
        <v>0</v>
      </c>
      <c r="DJ280" s="932">
        <f>1-WWWW[[#This Row],[% people access to functioning Latrine]]</f>
        <v>0</v>
      </c>
      <c r="DK280" s="931">
        <f>IF(OR(WWWW[[#This Row],['#_Non-functional latrines]]="",WWWW[[#This Row],['#_Non-functional latrines]]=0),0,WWWW[[#This Row],['#_Non-functional latrines]]/(WWWW[[#This Row],['#_Constructed latrines_by_WASHAgencies]]+WWWW[[#This Row],['#_Non Cluster partner latrines]]))</f>
        <v>0</v>
      </c>
      <c r="DL280" s="927">
        <f>IF(500*(WWWW[[#This Row],['#_male hygiene promoters]]+WWWW[[#This Row],['#_female hygiene promoters]])&gt;WWWW[[#This Row],[Total PoP ]],WWWW[[#This Row],[Total PoP ]],500*(WWWW[[#This Row],['#_male hygiene promoters]]+WWWW[[#This Row],['#_female hygiene promoters]]))</f>
        <v>500</v>
      </c>
      <c r="DM28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0" s="930">
        <f>IF(WWWW[[#This Row],['# People with access to soap]]&gt;WWWW[[#This Row],['# People with access to Sanity Pads]],WWWW[[#This Row],['# People with access to soap]],WWWW[[#This Row],['# People with access to Sanity Pads]])</f>
        <v>0</v>
      </c>
      <c r="DP280"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80" s="932">
        <f>IF(WWWW[[#This Row],[HRP3]]/WWWW[[#This Row],[Total PoP ]]&gt;1,1,WWWW[[#This Row],[HRP3]]/WWWW[[#This Row],[Total PoP ]])</f>
        <v>0.99601593625498008</v>
      </c>
      <c r="DR280" s="931">
        <f>1-WWWW[[#This Row],[Hygiene Coverage%]]</f>
        <v>3.9840637450199168E-3</v>
      </c>
      <c r="DS280" s="929">
        <f>WWWW[[#This Row],['# people reached by regular dedicated hygiene promotion_5]]/WWWW[[#This Row],[Total PoP ]]</f>
        <v>0.99601593625498008</v>
      </c>
      <c r="DT28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0" s="930">
        <f>WWWW[[#This Row],['#_Constructed/Existing hand washing stations]]-WWWW[[#This Row],['#_Non-Functional_hand_washing_stations]]</f>
        <v>2</v>
      </c>
      <c r="DW280" s="927">
        <f>IF(WWWW[[#This Row],['# Functional hand washing stations during reporting period]]*20&gt;WWWW[[#This Row],[Total HH]],WWWW[[#This Row],[Total HH]],WWWW[[#This Row],['# Functional hand washing stations during reporting period]]*20)</f>
        <v>40</v>
      </c>
      <c r="DX280" s="927">
        <f>IF(WWWW[[#This Row],[Is sufficient soap available for TLS? (Yes/No)]]="yes",WWWW[[#This Row],['#_Constructed/Existing hand washing stations at TLS/CFS/THF]],0)</f>
        <v>1</v>
      </c>
      <c r="DY280" s="429">
        <f>IF(WWWW[[#This Row],['# Functional hand washing stations during reporting period]]*100&gt;WWWW[[#This Row],[Total PoP ]],WWWW[[#This Row],[Total PoP ]],WWWW[[#This Row],['# Functional hand washing stations during reporting period]]*100)</f>
        <v>200</v>
      </c>
      <c r="DZ280" s="429" t="str">
        <f>IF(OR(WWWW[[#This Row],['#_students at TLS_CFS]]="",WWWW[[#This Row],['#_students at TLS_CFS]]=0),"No","Yes")</f>
        <v>No</v>
      </c>
      <c r="EA28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D28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0" s="923" t="str">
        <f>VLOOKUP(WWWW[[#This Row],[Site Name]],SiteDB6[[Site Name]:[CCCM Management]],6,FALSE)</f>
        <v>Yes</v>
      </c>
      <c r="EF280" s="923" t="str">
        <f>VLOOKUP(WWWW[[#This Row],[Site Name]],SiteDB6[[Site Name]:[CCCM Focal Agency]],7,FALSE)</f>
        <v>KMSS-LSO</v>
      </c>
      <c r="EG280" s="923" t="str">
        <f>VLOOKUP(WWWW[[#This Row],[Site Name]],SiteDB6[[Site Name]:[Location Type 1]],9,FALSE)</f>
        <v>Camp</v>
      </c>
      <c r="EH280" s="923" t="str">
        <f>VLOOKUP(WWWW[[#This Row],[Site Name]],SiteDB6[[Site Name]:[Type of Accommodation]],10,FALSE)</f>
        <v>Camp</v>
      </c>
      <c r="EI280" s="923" t="str">
        <f>VLOOKUP(WWWW[[#This Row],[Site Name]],SiteDB6[[Site Name]:[Ethnic or GCA/NGCA]],11,FALSE)</f>
        <v>GCA</v>
      </c>
      <c r="EJ280" s="923">
        <f>VLOOKUP(WWWW[[#This Row],[Site Name]],SiteDB6[[Site Name]:[Lat]],12,FALSE)</f>
        <v>23.591999999999999</v>
      </c>
      <c r="EK280" s="923">
        <f>VLOOKUP(WWWW[[#This Row],[Site Name]],SiteDB6[[Site Name]:[Long]],13,FALSE)</f>
        <v>97.796999999999997</v>
      </c>
      <c r="EL280" s="923" t="str">
        <f>VLOOKUP(WWWW[[#This Row],[Site Name]],SiteDB6[[Site Name]:[Pcode]],3,FALSE)</f>
        <v>MMR015CMP038</v>
      </c>
      <c r="EM280" s="928" t="str">
        <f t="shared" si="4"/>
        <v>Covered</v>
      </c>
      <c r="EN280" s="928"/>
      <c r="EO280" s="923">
        <f>VLOOKUP(WWWW[[#This Row],[Site Name]],SiteDB6[[Site Name]:[Pop
(Kachin/Shan-CCCM as of July 2021)]],16,FALSE)</f>
        <v>75</v>
      </c>
      <c r="EP280" s="923">
        <f>VLOOKUP(WWWW[[#This Row],[Site Name]],SiteDB6[[Site Name]:[Pop
(Kachin/Shan-CCCM as of July 2021)]],17,FALSE)</f>
        <v>395</v>
      </c>
    </row>
    <row r="281" spans="1:146" hidden="1">
      <c r="A281" s="921" t="s">
        <v>2786</v>
      </c>
      <c r="B281" s="921" t="s">
        <v>192</v>
      </c>
      <c r="C281" s="922" t="s">
        <v>192</v>
      </c>
      <c r="D281" s="922" t="s">
        <v>2695</v>
      </c>
      <c r="E281" s="922" t="s">
        <v>515</v>
      </c>
      <c r="F281" s="922" t="s">
        <v>519</v>
      </c>
      <c r="G281" s="594" t="str">
        <f>VLOOKUP(WWWW[[#This Row],[Site Name]],SiteDB6[[Site Name]:[Location Type]],8,FALSE)</f>
        <v>Camp</v>
      </c>
      <c r="H281" s="922" t="s">
        <v>554</v>
      </c>
      <c r="I281" s="924">
        <v>26</v>
      </c>
      <c r="J281" s="924">
        <v>104</v>
      </c>
      <c r="K281" s="925" t="s">
        <v>2789</v>
      </c>
      <c r="L281" s="926" t="s">
        <v>2790</v>
      </c>
      <c r="M281" s="924"/>
      <c r="N281" s="924"/>
      <c r="O281" s="924"/>
      <c r="P281" s="924"/>
      <c r="Q281" s="927"/>
      <c r="R281" s="924"/>
      <c r="S281" s="924"/>
      <c r="T281" s="449"/>
      <c r="U281" s="924"/>
      <c r="V281" s="924"/>
      <c r="W281" s="924"/>
      <c r="X281" s="924">
        <v>1</v>
      </c>
      <c r="Y281" s="924"/>
      <c r="Z281" s="924"/>
      <c r="AA281" s="924"/>
      <c r="AB281" s="924"/>
      <c r="AC281" s="924"/>
      <c r="AD281" s="924"/>
      <c r="AE281" s="924"/>
      <c r="AF281" s="924"/>
      <c r="AG281" s="924"/>
      <c r="AH281" s="924"/>
      <c r="AI281" s="924"/>
      <c r="AJ281" s="924"/>
      <c r="AK281" s="924"/>
      <c r="AL281" s="924"/>
      <c r="AM281" s="924"/>
      <c r="AN281" s="924"/>
      <c r="AO281" s="449"/>
      <c r="AP281" s="928"/>
      <c r="AQ281" s="924">
        <v>4</v>
      </c>
      <c r="AR281" s="924"/>
      <c r="AS281" s="929"/>
      <c r="AT281" s="924"/>
      <c r="AU281" s="924"/>
      <c r="AV281" s="924"/>
      <c r="AW281" s="924"/>
      <c r="AX281" s="924"/>
      <c r="AY281" s="923" t="s">
        <v>140</v>
      </c>
      <c r="AZ281" s="928" t="s">
        <v>140</v>
      </c>
      <c r="BA281" s="924"/>
      <c r="BB281" s="924"/>
      <c r="BC281" s="924"/>
      <c r="BD281" s="449"/>
      <c r="BE281" s="449"/>
      <c r="BF281" s="923"/>
      <c r="BG281" s="924">
        <v>8</v>
      </c>
      <c r="BH281" s="924"/>
      <c r="BI281" s="924"/>
      <c r="BJ281" s="924">
        <v>3</v>
      </c>
      <c r="BK281" s="924"/>
      <c r="BL281" s="924"/>
      <c r="BM281" s="924"/>
      <c r="BN281" s="924"/>
      <c r="BO281" s="924"/>
      <c r="BP281" s="426" t="s">
        <v>41</v>
      </c>
      <c r="BQ281" s="930"/>
      <c r="BR281" s="929"/>
      <c r="BS281" s="923"/>
      <c r="BT281" s="424"/>
      <c r="BU281" s="424"/>
      <c r="BV281" s="426"/>
      <c r="BW281" s="424"/>
      <c r="BX281" s="449"/>
      <c r="BY281" s="449"/>
      <c r="BZ281" s="449"/>
      <c r="CA281" s="449"/>
      <c r="CB281" s="449"/>
      <c r="CC281" s="807"/>
      <c r="CD281" s="449"/>
      <c r="CE281" s="931" t="str">
        <f>IFERROR(WWWW[[#This Row],['#_Water sources passed]]/WWWW[[#This Row],['#_Water sources tested for fecal coliform ]],"no test")</f>
        <v>no test</v>
      </c>
      <c r="CF281" s="929" t="str">
        <f>IFERROR(WWWW[[#This Row],['#_Household passed]]/WWWW[[#This Row],['#_Household water samples tested for fecal coliform]],"no test")</f>
        <v>no test</v>
      </c>
      <c r="CG281" s="930" t="str">
        <f>IF(AND(WWWW[[#This Row],[% of water sources passed]]="no test",WWWW[[#This Row],[% Household passed]]="no test"),"No Test","Tested")</f>
        <v>No Test</v>
      </c>
      <c r="CH281" s="930">
        <f>WWWW[[#This Row],['#_Constructed/existing protected hand dug well]]-WWWW[[#This Row],['#_Non-functional protected hand dug well]]</f>
        <v>0</v>
      </c>
      <c r="CI281" s="930">
        <f>(WWWW[[#This Row],['#_Constructed/Existing tube wells/boreholes/handpumps_WASH_agency]]+WWWW[[#This Row],['#_Non-Cluster partner water tube-wells/boreholes/handpumps]])-WWWW[[#This Row],['#_Non-functional tube wells/boreholes/handpumps]]</f>
        <v>1</v>
      </c>
      <c r="CJ281" s="930">
        <f>WWWW[[#This Row],['#_Constructed/Existingwater storage tank with gravity fed reticulation system]]-WWWW[[#This Row],['#_Non-functional storage tank gravity fed reticulation system]]</f>
        <v>0</v>
      </c>
      <c r="CK281" s="930">
        <f>(WWWW[[#This Row],['#_Water_Liters_supplied_by_Water boating or water trucking]]/90)/15</f>
        <v>0</v>
      </c>
      <c r="CL281" s="930">
        <f>WWWW[[#This Row],['#_Water_Liters_from_Constructed/Existing water distribution system from river or natural spring]]/90/15</f>
        <v>0</v>
      </c>
      <c r="CM281" s="425">
        <f>IF(WWWW[[#This Row],['#_of water points in TLS/CFS]]*500&gt;WWWW[[#This Row],[Total PoP ]],WWWW[[#This Row],[Total PoP ]],WWWW[[#This Row],['#_of water points in TLS/CFS]]*500)</f>
        <v>0</v>
      </c>
      <c r="CN281" s="425">
        <f>IF(WWWW[[#This Row],['#_of water points in THF]]*500&gt;WWWW[[#This Row],[Total PoP ]],WWWW[[#This Row],[Total PoP ]],WWWW[[#This Row],['#_of water points in THF]]*500)</f>
        <v>0</v>
      </c>
      <c r="CO28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1" s="929">
        <f>IF(WWWW[[#This Row],[Location Type 1]]="Village",WWWW[[#This Row],[Access to safe drinking water for Village]],WWWW[[#This Row],[Access to safe drinking water for Camp]])</f>
        <v>1</v>
      </c>
      <c r="CR281" s="927">
        <f>WWWW[[#This Row],[%Equitable and continuous access to sufficient quantity of safe drinking water]]*WWWW[[#This Row],[Total PoP ]]</f>
        <v>104</v>
      </c>
      <c r="CS281" s="929">
        <f>IF((WWWW[[#This Row],['#_Constructed/Existing protected/fenced ponds]]*250)/WWWW[[#This Row],[Total PoP ]]&gt;1,1,(WWWW[[#This Row],['#_Constructed/Existing protected/fenced ponds]]*250)/WWWW[[#This Row],[Total PoP ]])</f>
        <v>0</v>
      </c>
      <c r="CT281" s="927">
        <f>WWWW[[#This Row],[% Access to unimproved water points]]*WWWW[[#This Row],[Total PoP ]]</f>
        <v>0</v>
      </c>
      <c r="CU28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W281" s="927">
        <f>WWWW[[#This Row],[HRP1]]/500</f>
        <v>0.20799999999999999</v>
      </c>
      <c r="CX281" s="932">
        <f>1-WWWW[[#This Row],[% Equitable and continuous access to sufficient quantity of domestic water]]</f>
        <v>0</v>
      </c>
      <c r="CY281" s="927">
        <f>WWWW[[#This Row],[%equitable and continuous access to sufficient quantity of safe drinking and domestic water''s GAP]]*WWWW[[#This Row],[Total PoP ]]</f>
        <v>0</v>
      </c>
      <c r="CZ281" s="930">
        <f>IF(WWWW[[#This Row],[Total required water points]]-WWWW[[#This Row],['#Water points coverage]]&lt;0,0,WWWW[[#This Row],[Total required water points]]-WWWW[[#This Row],['#Water points coverage]])</f>
        <v>0.79200000000000004</v>
      </c>
      <c r="DA281" s="930">
        <f>ROUND(IF(WWWW[[#This Row],[Total PoP ]]&lt;500,1,WWWW[[#This Row],[Total PoP ]]/500),0)</f>
        <v>1</v>
      </c>
      <c r="DB281" s="930">
        <f>(WWWW[[#This Row],['#_Constructed latrines_by_WASHAgencies]]+WWWW[[#This Row],['#_Non Cluster partner latrines]])-WWWW[[#This Row],['#_Non-functional latrines]]</f>
        <v>4</v>
      </c>
      <c r="DC281" s="634">
        <f>WWWW[[#This Row],[HRP2]]/WWWW[[#This Row],[Total PoP ]]</f>
        <v>0.76923076923076927</v>
      </c>
      <c r="DD28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28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1" s="425">
        <f>IF(WWWW[[#This Row],['# of functional latrines in THF supported by WASH partners during the reporting period2]]="",0,WWWW[[#This Row],['# of functional latrines in THF supported by WASH partners during the reporting period2]]*50)</f>
        <v>0</v>
      </c>
      <c r="DH281" s="930">
        <f>ROUND(IF(WWWW[[#This Row],[Location Type 1]]="camp",WWWW[[#This Row],[Total PoP ]]/20,IF(WWWW[[#This Row],[Location Type 1]]="Temporary Location",WWWW[[#This Row],[Total PoP ]]/50,(WWWW[[#This Row],[Total PoP ]]/6))),0)</f>
        <v>5</v>
      </c>
      <c r="DI281" s="930">
        <f>IF(WWWW[[#This Row],[Total required Latrines]]-(WWWW[[#This Row],['#_Constructed latrines_by_WASHAgencies]]+WWWW[[#This Row],['#_Non Cluster partner latrines]])&lt;0,0,WWWW[[#This Row],[Total required Latrines]]-(WWWW[[#This Row],['#_Constructed latrines_by_WASHAgencies]]+WWWW[[#This Row],['#_Non Cluster partner latrines]]))</f>
        <v>1</v>
      </c>
      <c r="DJ281" s="932">
        <f>1-WWWW[[#This Row],[% people access to functioning Latrine]]</f>
        <v>0.23076923076923073</v>
      </c>
      <c r="DK281" s="931">
        <f>IF(OR(WWWW[[#This Row],['#_Non-functional latrines]]="",WWWW[[#This Row],['#_Non-functional latrines]]=0),0,WWWW[[#This Row],['#_Non-functional latrines]]/(WWWW[[#This Row],['#_Constructed latrines_by_WASHAgencies]]+WWWW[[#This Row],['#_Non Cluster partner latrines]]))</f>
        <v>0</v>
      </c>
      <c r="DL281" s="927">
        <f>IF(500*(WWWW[[#This Row],['#_male hygiene promoters]]+WWWW[[#This Row],['#_female hygiene promoters]])&gt;WWWW[[#This Row],[Total PoP ]],WWWW[[#This Row],[Total PoP ]],500*(WWWW[[#This Row],['#_male hygiene promoters]]+WWWW[[#This Row],['#_female hygiene promoters]]))</f>
        <v>0</v>
      </c>
      <c r="DM28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1" s="930">
        <f>IF(WWWW[[#This Row],['# People with access to soap]]&gt;WWWW[[#This Row],['# People with access to Sanity Pads]],WWWW[[#This Row],['# People with access to soap]],WWWW[[#This Row],['# People with access to Sanity Pads]])</f>
        <v>0</v>
      </c>
      <c r="DP28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1" s="932">
        <f>IF(WWWW[[#This Row],[HRP3]]/WWWW[[#This Row],[Total PoP ]]&gt;1,1,WWWW[[#This Row],[HRP3]]/WWWW[[#This Row],[Total PoP ]])</f>
        <v>0</v>
      </c>
      <c r="DR281" s="931">
        <f>1-WWWW[[#This Row],[Hygiene Coverage%]]</f>
        <v>1</v>
      </c>
      <c r="DS281" s="929">
        <f>WWWW[[#This Row],['# people reached by regular dedicated hygiene promotion_5]]/WWWW[[#This Row],[Total PoP ]]</f>
        <v>0</v>
      </c>
      <c r="DT28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1" s="930">
        <f>WWWW[[#This Row],['#_Constructed/Existing hand washing stations]]-WWWW[[#This Row],['#_Non-Functional_hand_washing_stations]]</f>
        <v>8</v>
      </c>
      <c r="DW281" s="927">
        <f>IF(WWWW[[#This Row],['# Functional hand washing stations during reporting period]]*20&gt;WWWW[[#This Row],[Total HH]],WWWW[[#This Row],[Total HH]],WWWW[[#This Row],['# Functional hand washing stations during reporting period]]*20)</f>
        <v>26</v>
      </c>
      <c r="DX281" s="927">
        <f>IF(WWWW[[#This Row],[Is sufficient soap available for TLS? (Yes/No)]]="yes",WWWW[[#This Row],['#_Constructed/Existing hand washing stations at TLS/CFS/THF]],0)</f>
        <v>0</v>
      </c>
      <c r="DY281" s="429">
        <f>IF(WWWW[[#This Row],['# Functional hand washing stations during reporting period]]*100&gt;WWWW[[#This Row],[Total PoP ]],WWWW[[#This Row],[Total PoP ]],WWWW[[#This Row],['# Functional hand washing stations during reporting period]]*100)</f>
        <v>104</v>
      </c>
      <c r="DZ281" s="429" t="str">
        <f>IF(OR(WWWW[[#This Row],['#_students at TLS_CFS]]="",WWWW[[#This Row],['#_students at TLS_CFS]]=0),"No","Yes")</f>
        <v>No</v>
      </c>
      <c r="EA28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1" s="923">
        <f>VLOOKUP(WWWW[[#This Row],[Site Name]],SiteDB6[[Site Name]:[CCCM Management]],6,FALSE)</f>
        <v>0</v>
      </c>
      <c r="EF281" s="923" t="str">
        <f>VLOOKUP(WWWW[[#This Row],[Site Name]],SiteDB6[[Site Name]:[CCCM Focal Agency]],7,FALSE)</f>
        <v>uncovered</v>
      </c>
      <c r="EG281" s="923" t="str">
        <f>VLOOKUP(WWWW[[#This Row],[Site Name]],SiteDB6[[Site Name]:[Location Type 1]],9,FALSE)</f>
        <v>Camp</v>
      </c>
      <c r="EH281" s="923" t="str">
        <f>VLOOKUP(WWWW[[#This Row],[Site Name]],SiteDB6[[Site Name]:[Type of Accommodation]],10,FALSE)</f>
        <v>Camp like setting</v>
      </c>
      <c r="EI281" s="923" t="str">
        <f>VLOOKUP(WWWW[[#This Row],[Site Name]],SiteDB6[[Site Name]:[Ethnic or GCA/NGCA]],11,FALSE)</f>
        <v>GCA</v>
      </c>
      <c r="EJ281" s="923">
        <f>VLOOKUP(WWWW[[#This Row],[Site Name]],SiteDB6[[Site Name]:[Lat]],12,FALSE)</f>
        <v>23.621317999999999</v>
      </c>
      <c r="EK281" s="923">
        <f>VLOOKUP(WWWW[[#This Row],[Site Name]],SiteDB6[[Site Name]:[Long]],13,FALSE)</f>
        <v>97.795981999999995</v>
      </c>
      <c r="EL281" s="923" t="str">
        <f>VLOOKUP(WWWW[[#This Row],[Site Name]],SiteDB6[[Site Name]:[Pcode]],3,FALSE)</f>
        <v>MMR015CMP064</v>
      </c>
      <c r="EM281" s="928" t="str">
        <f t="shared" si="4"/>
        <v>Covered</v>
      </c>
      <c r="EN281" s="928"/>
      <c r="EO281" s="923">
        <f>VLOOKUP(WWWW[[#This Row],[Site Name]],SiteDB6[[Site Name]:[Pop
(Kachin/Shan-CCCM as of July 2021)]],16,FALSE)</f>
        <v>24</v>
      </c>
      <c r="EP281" s="923">
        <f>VLOOKUP(WWWW[[#This Row],[Site Name]],SiteDB6[[Site Name]:[Pop
(Kachin/Shan-CCCM as of July 2021)]],17,FALSE)</f>
        <v>84</v>
      </c>
    </row>
    <row r="282" spans="1:146" hidden="1">
      <c r="A282" s="921" t="s">
        <v>2786</v>
      </c>
      <c r="B282" s="921" t="s">
        <v>192</v>
      </c>
      <c r="C282" s="922" t="s">
        <v>192</v>
      </c>
      <c r="D282" s="922" t="s">
        <v>2695</v>
      </c>
      <c r="E282" s="922" t="s">
        <v>515</v>
      </c>
      <c r="F282" s="922" t="s">
        <v>519</v>
      </c>
      <c r="G282" s="594" t="str">
        <f>VLOOKUP(WWWW[[#This Row],[Site Name]],SiteDB6[[Site Name]:[Location Type]],8,FALSE)</f>
        <v>Camp</v>
      </c>
      <c r="H282" s="922" t="s">
        <v>1618</v>
      </c>
      <c r="I282" s="924">
        <v>64</v>
      </c>
      <c r="J282" s="924">
        <v>251</v>
      </c>
      <c r="K282" s="925" t="s">
        <v>2789</v>
      </c>
      <c r="L282" s="926" t="s">
        <v>2790</v>
      </c>
      <c r="M282" s="924"/>
      <c r="N282" s="924">
        <v>1</v>
      </c>
      <c r="O282" s="924"/>
      <c r="P282" s="924"/>
      <c r="Q282" s="927" t="s">
        <v>41</v>
      </c>
      <c r="R282" s="924">
        <v>4</v>
      </c>
      <c r="S282" s="924">
        <v>5</v>
      </c>
      <c r="T282" s="449"/>
      <c r="U282" s="924"/>
      <c r="V282" s="924"/>
      <c r="W282" s="924"/>
      <c r="X282" s="924"/>
      <c r="Y282" s="924"/>
      <c r="Z282" s="924"/>
      <c r="AA282" s="924">
        <v>14</v>
      </c>
      <c r="AB282" s="924"/>
      <c r="AC282" s="924"/>
      <c r="AD282" s="924"/>
      <c r="AE282" s="924"/>
      <c r="AF282" s="924"/>
      <c r="AG282" s="924"/>
      <c r="AH282" s="924">
        <v>1</v>
      </c>
      <c r="AI282" s="924"/>
      <c r="AJ282" s="924"/>
      <c r="AK282" s="924"/>
      <c r="AL282" s="924"/>
      <c r="AM282" s="924">
        <v>3</v>
      </c>
      <c r="AN282" s="924"/>
      <c r="AO282" s="449"/>
      <c r="AP282" s="928"/>
      <c r="AQ282" s="924">
        <v>71</v>
      </c>
      <c r="AR282" s="924"/>
      <c r="AS282" s="929"/>
      <c r="AT282" s="924"/>
      <c r="AU282" s="924"/>
      <c r="AV282" s="924"/>
      <c r="AW282" s="924"/>
      <c r="AX282" s="924"/>
      <c r="AY282" s="923" t="s">
        <v>136</v>
      </c>
      <c r="AZ282" s="928" t="s">
        <v>904</v>
      </c>
      <c r="BA282" s="924"/>
      <c r="BB282" s="924"/>
      <c r="BC282" s="924">
        <v>4</v>
      </c>
      <c r="BD282" s="449"/>
      <c r="BE282" s="449"/>
      <c r="BF282" s="923"/>
      <c r="BG282" s="449">
        <v>5</v>
      </c>
      <c r="BH282" s="924"/>
      <c r="BI282" s="924"/>
      <c r="BJ282" s="924">
        <v>3</v>
      </c>
      <c r="BK282" s="924"/>
      <c r="BL282" s="924">
        <v>1</v>
      </c>
      <c r="BM282" s="924"/>
      <c r="BN282" s="924"/>
      <c r="BO282" s="924"/>
      <c r="BP282" s="426" t="s">
        <v>41</v>
      </c>
      <c r="BQ282" s="930"/>
      <c r="BR282" s="424">
        <v>1</v>
      </c>
      <c r="BS282" s="923"/>
      <c r="BT282" s="424"/>
      <c r="BU282" s="424"/>
      <c r="BV282" s="426"/>
      <c r="BW282" s="424"/>
      <c r="BX282" s="449"/>
      <c r="BY282" s="449"/>
      <c r="BZ282" s="449"/>
      <c r="CA282" s="449"/>
      <c r="CB282" s="449"/>
      <c r="CC282" s="807"/>
      <c r="CD282" s="449"/>
      <c r="CE282" s="931" t="str">
        <f>IFERROR(WWWW[[#This Row],['#_Water sources passed]]/WWWW[[#This Row],['#_Water sources tested for fecal coliform ]],"no test")</f>
        <v>no test</v>
      </c>
      <c r="CF282" s="929" t="str">
        <f>IFERROR(WWWW[[#This Row],['#_Household passed]]/WWWW[[#This Row],['#_Household water samples tested for fecal coliform]],"no test")</f>
        <v>no test</v>
      </c>
      <c r="CG282" s="930" t="str">
        <f>IF(AND(WWWW[[#This Row],[% of water sources passed]]="no test",WWWW[[#This Row],[% Household passed]]="no test"),"No Test","Tested")</f>
        <v>No Test</v>
      </c>
      <c r="CH282" s="930">
        <f>WWWW[[#This Row],['#_Constructed/existing protected hand dug well]]-WWWW[[#This Row],['#_Non-functional protected hand dug well]]</f>
        <v>0</v>
      </c>
      <c r="CI282" s="930">
        <f>(WWWW[[#This Row],['#_Constructed/Existing tube wells/boreholes/handpumps_WASH_agency]]+WWWW[[#This Row],['#_Non-Cluster partner water tube-wells/boreholes/handpumps]])-WWWW[[#This Row],['#_Non-functional tube wells/boreholes/handpumps]]</f>
        <v>0</v>
      </c>
      <c r="CJ282" s="930">
        <f>WWWW[[#This Row],['#_Constructed/Existingwater storage tank with gravity fed reticulation system]]-WWWW[[#This Row],['#_Non-functional storage tank gravity fed reticulation system]]</f>
        <v>14</v>
      </c>
      <c r="CK282" s="930">
        <f>(WWWW[[#This Row],['#_Water_Liters_supplied_by_Water boating or water trucking]]/90)/15</f>
        <v>0</v>
      </c>
      <c r="CL282" s="930">
        <f>WWWW[[#This Row],['#_Water_Liters_from_Constructed/Existing water distribution system from river or natural spring]]/90/15</f>
        <v>0</v>
      </c>
      <c r="CM282" s="425">
        <f>IF(WWWW[[#This Row],['#_of water points in TLS/CFS]]*500&gt;WWWW[[#This Row],[Total PoP ]],WWWW[[#This Row],[Total PoP ]],WWWW[[#This Row],['#_of water points in TLS/CFS]]*500)</f>
        <v>0</v>
      </c>
      <c r="CN282" s="425">
        <f>IF(WWWW[[#This Row],['#_of water points in THF]]*500&gt;WWWW[[#This Row],[Total PoP ]],WWWW[[#This Row],[Total PoP ]],WWWW[[#This Row],['#_of water points in THF]]*500)</f>
        <v>0</v>
      </c>
      <c r="CO28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2" s="929">
        <f>IF(WWWW[[#This Row],[Location Type 1]]="Village",WWWW[[#This Row],[Access to safe drinking water for Village]],WWWW[[#This Row],[Access to safe drinking water for Camp]])</f>
        <v>1</v>
      </c>
      <c r="CR282" s="927">
        <f>WWWW[[#This Row],[%Equitable and continuous access to sufficient quantity of safe drinking water]]*WWWW[[#This Row],[Total PoP ]]</f>
        <v>251</v>
      </c>
      <c r="CS282" s="929">
        <f>IF((WWWW[[#This Row],['#_Constructed/Existing protected/fenced ponds]]*250)/WWWW[[#This Row],[Total PoP ]]&gt;1,1,(WWWW[[#This Row],['#_Constructed/Existing protected/fenced ponds]]*250)/WWWW[[#This Row],[Total PoP ]])</f>
        <v>0</v>
      </c>
      <c r="CT282" s="927">
        <f>WWWW[[#This Row],[% Access to unimproved water points]]*WWWW[[#This Row],[Total PoP ]]</f>
        <v>0</v>
      </c>
      <c r="CU28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W282" s="927">
        <f>WWWW[[#This Row],[HRP1]]/500</f>
        <v>0.502</v>
      </c>
      <c r="CX282" s="932">
        <f>1-WWWW[[#This Row],[% Equitable and continuous access to sufficient quantity of domestic water]]</f>
        <v>0</v>
      </c>
      <c r="CY282" s="927">
        <f>WWWW[[#This Row],[%equitable and continuous access to sufficient quantity of safe drinking and domestic water''s GAP]]*WWWW[[#This Row],[Total PoP ]]</f>
        <v>0</v>
      </c>
      <c r="CZ282" s="930">
        <f>IF(WWWW[[#This Row],[Total required water points]]-WWWW[[#This Row],['#Water points coverage]]&lt;0,0,WWWW[[#This Row],[Total required water points]]-WWWW[[#This Row],['#Water points coverage]])</f>
        <v>0.498</v>
      </c>
      <c r="DA282" s="930">
        <f>ROUND(IF(WWWW[[#This Row],[Total PoP ]]&lt;500,1,WWWW[[#This Row],[Total PoP ]]/500),0)</f>
        <v>1</v>
      </c>
      <c r="DB282" s="930">
        <f>(WWWW[[#This Row],['#_Constructed latrines_by_WASHAgencies]]+WWWW[[#This Row],['#_Non Cluster partner latrines]])-WWWW[[#This Row],['#_Non-functional latrines]]</f>
        <v>71</v>
      </c>
      <c r="DC282" s="634">
        <f>WWWW[[#This Row],[HRP2]]/WWWW[[#This Row],[Total PoP ]]</f>
        <v>1</v>
      </c>
      <c r="DD28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251</v>
      </c>
      <c r="DE28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2" s="425">
        <f>IF(WWWW[[#This Row],['# of functional latrines in THF supported by WASH partners during the reporting period2]]="",0,WWWW[[#This Row],['# of functional latrines in THF supported by WASH partners during the reporting period2]]*50)</f>
        <v>0</v>
      </c>
      <c r="DH282" s="930">
        <f>ROUND(IF(WWWW[[#This Row],[Location Type 1]]="camp",WWWW[[#This Row],[Total PoP ]]/20,IF(WWWW[[#This Row],[Location Type 1]]="Temporary Location",WWWW[[#This Row],[Total PoP ]]/50,(WWWW[[#This Row],[Total PoP ]]/6))),0)</f>
        <v>42</v>
      </c>
      <c r="DI282" s="930">
        <f>IF(WWWW[[#This Row],[Total required Latrines]]-(WWWW[[#This Row],['#_Constructed latrines_by_WASHAgencies]]+WWWW[[#This Row],['#_Non Cluster partner latrines]])&lt;0,0,WWWW[[#This Row],[Total required Latrines]]-(WWWW[[#This Row],['#_Constructed latrines_by_WASHAgencies]]+WWWW[[#This Row],['#_Non Cluster partner latrines]]))</f>
        <v>0</v>
      </c>
      <c r="DJ282" s="932">
        <f>1-WWWW[[#This Row],[% people access to functioning Latrine]]</f>
        <v>0</v>
      </c>
      <c r="DK282" s="931">
        <f>IF(OR(WWWW[[#This Row],['#_Non-functional latrines]]="",WWWW[[#This Row],['#_Non-functional latrines]]=0),0,WWWW[[#This Row],['#_Non-functional latrines]]/(WWWW[[#This Row],['#_Constructed latrines_by_WASHAgencies]]+WWWW[[#This Row],['#_Non Cluster partner latrines]]))</f>
        <v>0</v>
      </c>
      <c r="DL282" s="927">
        <f>IF(500*(WWWW[[#This Row],['#_male hygiene promoters]]+WWWW[[#This Row],['#_female hygiene promoters]])&gt;WWWW[[#This Row],[Total PoP ]],WWWW[[#This Row],[Total PoP ]],500*(WWWW[[#This Row],['#_male hygiene promoters]]+WWWW[[#This Row],['#_female hygiene promoters]]))</f>
        <v>251</v>
      </c>
      <c r="DM28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2" s="930">
        <f>IF(WWWW[[#This Row],['# People with access to soap]]&gt;WWWW[[#This Row],['# People with access to Sanity Pads]],WWWW[[#This Row],['# People with access to soap]],WWWW[[#This Row],['# People with access to Sanity Pads]])</f>
        <v>0</v>
      </c>
      <c r="DP282" s="930">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Q282" s="932">
        <f>IF(WWWW[[#This Row],[HRP3]]/WWWW[[#This Row],[Total PoP ]]&gt;1,1,WWWW[[#This Row],[HRP3]]/WWWW[[#This Row],[Total PoP ]])</f>
        <v>1</v>
      </c>
      <c r="DR282" s="931">
        <f>1-WWWW[[#This Row],[Hygiene Coverage%]]</f>
        <v>0</v>
      </c>
      <c r="DS282" s="929">
        <f>WWWW[[#This Row],['# people reached by regular dedicated hygiene promotion_5]]/WWWW[[#This Row],[Total PoP ]]</f>
        <v>1</v>
      </c>
      <c r="DT28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2" s="930">
        <f>WWWW[[#This Row],['#_Constructed/Existing hand washing stations]]-WWWW[[#This Row],['#_Non-Functional_hand_washing_stations]]</f>
        <v>5</v>
      </c>
      <c r="DW282" s="927">
        <f>IF(WWWW[[#This Row],['# Functional hand washing stations during reporting period]]*20&gt;WWWW[[#This Row],[Total HH]],WWWW[[#This Row],[Total HH]],WWWW[[#This Row],['# Functional hand washing stations during reporting period]]*20)</f>
        <v>64</v>
      </c>
      <c r="DX282" s="927">
        <f>IF(WWWW[[#This Row],[Is sufficient soap available for TLS? (Yes/No)]]="yes",WWWW[[#This Row],['#_Constructed/Existing hand washing stations at TLS/CFS/THF]],0)</f>
        <v>3</v>
      </c>
      <c r="DY282" s="429">
        <f>IF(WWWW[[#This Row],['# Functional hand washing stations during reporting period]]*100&gt;WWWW[[#This Row],[Total PoP ]],WWWW[[#This Row],[Total PoP ]],WWWW[[#This Row],['# Functional hand washing stations during reporting period]]*100)</f>
        <v>251</v>
      </c>
      <c r="DZ282" s="429" t="str">
        <f>IF(OR(WWWW[[#This Row],['#_students at TLS_CFS]]="",WWWW[[#This Row],['#_students at TLS_CFS]]=0),"No","Yes")</f>
        <v>No</v>
      </c>
      <c r="EA28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2" s="923" t="str">
        <f>VLOOKUP(WWWW[[#This Row],[Site Name]],SiteDB6[[Site Name]:[CCCM Management]],6,FALSE)</f>
        <v>Yes</v>
      </c>
      <c r="EF282" s="923" t="str">
        <f>VLOOKUP(WWWW[[#This Row],[Site Name]],SiteDB6[[Site Name]:[CCCM Focal Agency]],7,FALSE)</f>
        <v>KMSS-LSO</v>
      </c>
      <c r="EG282" s="923" t="str">
        <f>VLOOKUP(WWWW[[#This Row],[Site Name]],SiteDB6[[Site Name]:[Location Type 1]],9,FALSE)</f>
        <v>Village Type Camp</v>
      </c>
      <c r="EH282" s="923" t="str">
        <f>VLOOKUP(WWWW[[#This Row],[Site Name]],SiteDB6[[Site Name]:[Type of Accommodation]],10,FALSE)</f>
        <v>Camp</v>
      </c>
      <c r="EI282" s="923" t="str">
        <f>VLOOKUP(WWWW[[#This Row],[Site Name]],SiteDB6[[Site Name]:[Ethnic or GCA/NGCA]],11,FALSE)</f>
        <v>GCA</v>
      </c>
      <c r="EJ282" s="923">
        <f>VLOOKUP(WWWW[[#This Row],[Site Name]],SiteDB6[[Site Name]:[Lat]],12,FALSE)</f>
        <v>23.588920000000002</v>
      </c>
      <c r="EK282" s="923">
        <f>VLOOKUP(WWWW[[#This Row],[Site Name]],SiteDB6[[Site Name]:[Long]],13,FALSE)</f>
        <v>97.793019999999999</v>
      </c>
      <c r="EL282" s="923" t="str">
        <f>VLOOKUP(WWWW[[#This Row],[Site Name]],SiteDB6[[Site Name]:[Pcode]],3,FALSE)</f>
        <v>MMR015CMP018</v>
      </c>
      <c r="EM282" s="928" t="str">
        <f t="shared" si="4"/>
        <v>Covered</v>
      </c>
      <c r="EN282" s="928"/>
      <c r="EO282" s="923">
        <f>VLOOKUP(WWWW[[#This Row],[Site Name]],SiteDB6[[Site Name]:[Pop
(Kachin/Shan-CCCM as of July 2021)]],16,FALSE)</f>
        <v>66</v>
      </c>
      <c r="EP282" s="923">
        <f>VLOOKUP(WWWW[[#This Row],[Site Name]],SiteDB6[[Site Name]:[Pop
(Kachin/Shan-CCCM as of July 2021)]],17,FALSE)</f>
        <v>248</v>
      </c>
    </row>
    <row r="283" spans="1:146" hidden="1">
      <c r="A283" s="921" t="s">
        <v>2786</v>
      </c>
      <c r="B283" s="921" t="s">
        <v>192</v>
      </c>
      <c r="C283" s="922" t="s">
        <v>192</v>
      </c>
      <c r="D283" s="922" t="s">
        <v>2695</v>
      </c>
      <c r="E283" s="922" t="s">
        <v>515</v>
      </c>
      <c r="F283" s="922" t="s">
        <v>519</v>
      </c>
      <c r="G283" s="594" t="str">
        <f>VLOOKUP(WWWW[[#This Row],[Site Name]],SiteDB6[[Site Name]:[Location Type]],8,FALSE)</f>
        <v>Camp</v>
      </c>
      <c r="H283" s="922" t="s">
        <v>545</v>
      </c>
      <c r="I283" s="924">
        <v>31</v>
      </c>
      <c r="J283" s="924">
        <v>176</v>
      </c>
      <c r="K283" s="925" t="s">
        <v>2789</v>
      </c>
      <c r="L283" s="926" t="s">
        <v>2790</v>
      </c>
      <c r="M283" s="924"/>
      <c r="N283" s="924"/>
      <c r="O283" s="924"/>
      <c r="P283" s="924"/>
      <c r="Q283" s="927"/>
      <c r="R283" s="924">
        <v>5</v>
      </c>
      <c r="S283" s="924">
        <v>4</v>
      </c>
      <c r="T283" s="449"/>
      <c r="U283" s="924"/>
      <c r="V283" s="924"/>
      <c r="W283" s="924"/>
      <c r="X283" s="924"/>
      <c r="Y283" s="924"/>
      <c r="Z283" s="924"/>
      <c r="AA283" s="924">
        <v>14</v>
      </c>
      <c r="AB283" s="924"/>
      <c r="AC283" s="924"/>
      <c r="AD283" s="924"/>
      <c r="AE283" s="924"/>
      <c r="AF283" s="924"/>
      <c r="AG283" s="924"/>
      <c r="AH283" s="924"/>
      <c r="AI283" s="924"/>
      <c r="AJ283" s="924"/>
      <c r="AK283" s="924"/>
      <c r="AL283" s="924"/>
      <c r="AM283" s="924"/>
      <c r="AN283" s="924"/>
      <c r="AO283" s="449"/>
      <c r="AP283" s="928"/>
      <c r="AQ283" s="924">
        <v>34</v>
      </c>
      <c r="AR283" s="924"/>
      <c r="AS283" s="929"/>
      <c r="AT283" s="924"/>
      <c r="AU283" s="924"/>
      <c r="AV283" s="924"/>
      <c r="AW283" s="924"/>
      <c r="AX283" s="924"/>
      <c r="AY283" s="923" t="s">
        <v>41</v>
      </c>
      <c r="AZ283" s="928" t="s">
        <v>137</v>
      </c>
      <c r="BA283" s="924"/>
      <c r="BB283" s="924"/>
      <c r="BC283" s="924">
        <v>2</v>
      </c>
      <c r="BD283" s="449"/>
      <c r="BE283" s="449"/>
      <c r="BF283" s="923"/>
      <c r="BG283" s="449">
        <v>2</v>
      </c>
      <c r="BH283" s="924"/>
      <c r="BI283" s="924"/>
      <c r="BJ283" s="924">
        <v>2</v>
      </c>
      <c r="BK283" s="924"/>
      <c r="BL283" s="924"/>
      <c r="BM283" s="924">
        <v>1</v>
      </c>
      <c r="BN283" s="924"/>
      <c r="BO283" s="924"/>
      <c r="BP283" s="426" t="s">
        <v>41</v>
      </c>
      <c r="BQ283" s="930"/>
      <c r="BR283" s="424"/>
      <c r="BS283" s="923"/>
      <c r="BT283" s="424"/>
      <c r="BU283" s="424"/>
      <c r="BV283" s="426"/>
      <c r="BW283" s="424"/>
      <c r="BX283" s="449"/>
      <c r="BY283" s="449"/>
      <c r="BZ283" s="449"/>
      <c r="CA283" s="449"/>
      <c r="CB283" s="449"/>
      <c r="CC283" s="807"/>
      <c r="CD283" s="449"/>
      <c r="CE283" s="931" t="str">
        <f>IFERROR(WWWW[[#This Row],['#_Water sources passed]]/WWWW[[#This Row],['#_Water sources tested for fecal coliform ]],"no test")</f>
        <v>no test</v>
      </c>
      <c r="CF283" s="929" t="str">
        <f>IFERROR(WWWW[[#This Row],['#_Household passed]]/WWWW[[#This Row],['#_Household water samples tested for fecal coliform]],"no test")</f>
        <v>no test</v>
      </c>
      <c r="CG283" s="930" t="str">
        <f>IF(AND(WWWW[[#This Row],[% of water sources passed]]="no test",WWWW[[#This Row],[% Household passed]]="no test"),"No Test","Tested")</f>
        <v>No Test</v>
      </c>
      <c r="CH283" s="930">
        <f>WWWW[[#This Row],['#_Constructed/existing protected hand dug well]]-WWWW[[#This Row],['#_Non-functional protected hand dug well]]</f>
        <v>0</v>
      </c>
      <c r="CI283" s="930">
        <f>(WWWW[[#This Row],['#_Constructed/Existing tube wells/boreholes/handpumps_WASH_agency]]+WWWW[[#This Row],['#_Non-Cluster partner water tube-wells/boreholes/handpumps]])-WWWW[[#This Row],['#_Non-functional tube wells/boreholes/handpumps]]</f>
        <v>0</v>
      </c>
      <c r="CJ283" s="930">
        <f>WWWW[[#This Row],['#_Constructed/Existingwater storage tank with gravity fed reticulation system]]-WWWW[[#This Row],['#_Non-functional storage tank gravity fed reticulation system]]</f>
        <v>14</v>
      </c>
      <c r="CK283" s="930">
        <f>(WWWW[[#This Row],['#_Water_Liters_supplied_by_Water boating or water trucking]]/90)/15</f>
        <v>0</v>
      </c>
      <c r="CL283" s="930">
        <f>WWWW[[#This Row],['#_Water_Liters_from_Constructed/Existing water distribution system from river or natural spring]]/90/15</f>
        <v>0</v>
      </c>
      <c r="CM283" s="425">
        <f>IF(WWWW[[#This Row],['#_of water points in TLS/CFS]]*500&gt;WWWW[[#This Row],[Total PoP ]],WWWW[[#This Row],[Total PoP ]],WWWW[[#This Row],['#_of water points in TLS/CFS]]*500)</f>
        <v>0</v>
      </c>
      <c r="CN283" s="425">
        <f>IF(WWWW[[#This Row],['#_of water points in THF]]*500&gt;WWWW[[#This Row],[Total PoP ]],WWWW[[#This Row],[Total PoP ]],WWWW[[#This Row],['#_of water points in THF]]*500)</f>
        <v>0</v>
      </c>
      <c r="CO28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3" s="929">
        <f>IF(WWWW[[#This Row],[Location Type 1]]="Village",WWWW[[#This Row],[Access to safe drinking water for Village]],WWWW[[#This Row],[Access to safe drinking water for Camp]])</f>
        <v>1</v>
      </c>
      <c r="CR283" s="927">
        <f>WWWW[[#This Row],[%Equitable and continuous access to sufficient quantity of safe drinking water]]*WWWW[[#This Row],[Total PoP ]]</f>
        <v>176</v>
      </c>
      <c r="CS283" s="929">
        <f>IF((WWWW[[#This Row],['#_Constructed/Existing protected/fenced ponds]]*250)/WWWW[[#This Row],[Total PoP ]]&gt;1,1,(WWWW[[#This Row],['#_Constructed/Existing protected/fenced ponds]]*250)/WWWW[[#This Row],[Total PoP ]])</f>
        <v>0</v>
      </c>
      <c r="CT283" s="927">
        <f>WWWW[[#This Row],[% Access to unimproved water points]]*WWWW[[#This Row],[Total PoP ]]</f>
        <v>0</v>
      </c>
      <c r="CU28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W283" s="927">
        <f>WWWW[[#This Row],[HRP1]]/500</f>
        <v>0.35199999999999998</v>
      </c>
      <c r="CX283" s="932">
        <f>1-WWWW[[#This Row],[% Equitable and continuous access to sufficient quantity of domestic water]]</f>
        <v>0</v>
      </c>
      <c r="CY283" s="927">
        <f>WWWW[[#This Row],[%equitable and continuous access to sufficient quantity of safe drinking and domestic water''s GAP]]*WWWW[[#This Row],[Total PoP ]]</f>
        <v>0</v>
      </c>
      <c r="CZ283" s="930">
        <f>IF(WWWW[[#This Row],[Total required water points]]-WWWW[[#This Row],['#Water points coverage]]&lt;0,0,WWWW[[#This Row],[Total required water points]]-WWWW[[#This Row],['#Water points coverage]])</f>
        <v>0.64800000000000002</v>
      </c>
      <c r="DA283" s="930">
        <f>ROUND(IF(WWWW[[#This Row],[Total PoP ]]&lt;500,1,WWWW[[#This Row],[Total PoP ]]/500),0)</f>
        <v>1</v>
      </c>
      <c r="DB283" s="930">
        <f>(WWWW[[#This Row],['#_Constructed latrines_by_WASHAgencies]]+WWWW[[#This Row],['#_Non Cluster partner latrines]])-WWWW[[#This Row],['#_Non-functional latrines]]</f>
        <v>34</v>
      </c>
      <c r="DC283" s="634">
        <f>WWWW[[#This Row],[HRP2]]/WWWW[[#This Row],[Total PoP ]]</f>
        <v>1</v>
      </c>
      <c r="DD28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176</v>
      </c>
      <c r="DE28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3" s="425">
        <f>IF(WWWW[[#This Row],['# of functional latrines in THF supported by WASH partners during the reporting period2]]="",0,WWWW[[#This Row],['# of functional latrines in THF supported by WASH partners during the reporting period2]]*50)</f>
        <v>0</v>
      </c>
      <c r="DH283" s="930">
        <f>ROUND(IF(WWWW[[#This Row],[Location Type 1]]="camp",WWWW[[#This Row],[Total PoP ]]/20,IF(WWWW[[#This Row],[Location Type 1]]="Temporary Location",WWWW[[#This Row],[Total PoP ]]/50,(WWWW[[#This Row],[Total PoP ]]/6))),0)</f>
        <v>9</v>
      </c>
      <c r="DI283" s="930">
        <f>IF(WWWW[[#This Row],[Total required Latrines]]-(WWWW[[#This Row],['#_Constructed latrines_by_WASHAgencies]]+WWWW[[#This Row],['#_Non Cluster partner latrines]])&lt;0,0,WWWW[[#This Row],[Total required Latrines]]-(WWWW[[#This Row],['#_Constructed latrines_by_WASHAgencies]]+WWWW[[#This Row],['#_Non Cluster partner latrines]]))</f>
        <v>0</v>
      </c>
      <c r="DJ283" s="932">
        <f>1-WWWW[[#This Row],[% people access to functioning Latrine]]</f>
        <v>0</v>
      </c>
      <c r="DK283" s="931">
        <f>IF(OR(WWWW[[#This Row],['#_Non-functional latrines]]="",WWWW[[#This Row],['#_Non-functional latrines]]=0),0,WWWW[[#This Row],['#_Non-functional latrines]]/(WWWW[[#This Row],['#_Constructed latrines_by_WASHAgencies]]+WWWW[[#This Row],['#_Non Cluster partner latrines]]))</f>
        <v>0</v>
      </c>
      <c r="DL283" s="927">
        <f>IF(500*(WWWW[[#This Row],['#_male hygiene promoters]]+WWWW[[#This Row],['#_female hygiene promoters]])&gt;WWWW[[#This Row],[Total PoP ]],WWWW[[#This Row],[Total PoP ]],500*(WWWW[[#This Row],['#_male hygiene promoters]]+WWWW[[#This Row],['#_female hygiene promoters]]))</f>
        <v>176</v>
      </c>
      <c r="DM28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3" s="930">
        <f>IF(WWWW[[#This Row],['# People with access to soap]]&gt;WWWW[[#This Row],['# People with access to Sanity Pads]],WWWW[[#This Row],['# People with access to soap]],WWWW[[#This Row],['# People with access to Sanity Pads]])</f>
        <v>0</v>
      </c>
      <c r="DP283" s="930">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Q283" s="932">
        <f>IF(WWWW[[#This Row],[HRP3]]/WWWW[[#This Row],[Total PoP ]]&gt;1,1,WWWW[[#This Row],[HRP3]]/WWWW[[#This Row],[Total PoP ]])</f>
        <v>1</v>
      </c>
      <c r="DR283" s="931">
        <f>1-WWWW[[#This Row],[Hygiene Coverage%]]</f>
        <v>0</v>
      </c>
      <c r="DS283" s="929">
        <f>WWWW[[#This Row],['# people reached by regular dedicated hygiene promotion_5]]/WWWW[[#This Row],[Total PoP ]]</f>
        <v>1</v>
      </c>
      <c r="DT28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3" s="930">
        <f>WWWW[[#This Row],['#_Constructed/Existing hand washing stations]]-WWWW[[#This Row],['#_Non-Functional_hand_washing_stations]]</f>
        <v>2</v>
      </c>
      <c r="DW283" s="927">
        <f>IF(WWWW[[#This Row],['# Functional hand washing stations during reporting period]]*20&gt;WWWW[[#This Row],[Total HH]],WWWW[[#This Row],[Total HH]],WWWW[[#This Row],['# Functional hand washing stations during reporting period]]*20)</f>
        <v>31</v>
      </c>
      <c r="DX283" s="927">
        <f>IF(WWWW[[#This Row],[Is sufficient soap available for TLS? (Yes/No)]]="yes",WWWW[[#This Row],['#_Constructed/Existing hand washing stations at TLS/CFS/THF]],0)</f>
        <v>0</v>
      </c>
      <c r="DY283" s="429">
        <f>IF(WWWW[[#This Row],['# Functional hand washing stations during reporting period]]*100&gt;WWWW[[#This Row],[Total PoP ]],WWWW[[#This Row],[Total PoP ]],WWWW[[#This Row],['# Functional hand washing stations during reporting period]]*100)</f>
        <v>176</v>
      </c>
      <c r="DZ283" s="429" t="str">
        <f>IF(OR(WWWW[[#This Row],['#_students at TLS_CFS]]="",WWWW[[#This Row],['#_students at TLS_CFS]]=0),"No","Yes")</f>
        <v>No</v>
      </c>
      <c r="EA28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3" s="923">
        <f>VLOOKUP(WWWW[[#This Row],[Site Name]],SiteDB6[[Site Name]:[CCCM Management]],6,FALSE)</f>
        <v>0</v>
      </c>
      <c r="EF283" s="923" t="str">
        <f>VLOOKUP(WWWW[[#This Row],[Site Name]],SiteDB6[[Site Name]:[CCCM Focal Agency]],7,FALSE)</f>
        <v>uncovered</v>
      </c>
      <c r="EG283" s="923" t="str">
        <f>VLOOKUP(WWWW[[#This Row],[Site Name]],SiteDB6[[Site Name]:[Location Type 1]],9,FALSE)</f>
        <v>Camp</v>
      </c>
      <c r="EH283" s="923" t="str">
        <f>VLOOKUP(WWWW[[#This Row],[Site Name]],SiteDB6[[Site Name]:[Type of Accommodation]],10,FALSE)</f>
        <v>Camp like setting</v>
      </c>
      <c r="EI283" s="923" t="str">
        <f>VLOOKUP(WWWW[[#This Row],[Site Name]],SiteDB6[[Site Name]:[Ethnic or GCA/NGCA]],11,FALSE)</f>
        <v>GCA</v>
      </c>
      <c r="EJ283" s="923">
        <f>VLOOKUP(WWWW[[#This Row],[Site Name]],SiteDB6[[Site Name]:[Lat]],12,FALSE)</f>
        <v>23.850999999999999</v>
      </c>
      <c r="EK283" s="923">
        <f>VLOOKUP(WWWW[[#This Row],[Site Name]],SiteDB6[[Site Name]:[Long]],13,FALSE)</f>
        <v>98.337999999999994</v>
      </c>
      <c r="EL283" s="923" t="str">
        <f>VLOOKUP(WWWW[[#This Row],[Site Name]],SiteDB6[[Site Name]:[Pcode]],3,FALSE)</f>
        <v>MMR015CMP045</v>
      </c>
      <c r="EM283" s="928" t="str">
        <f t="shared" si="4"/>
        <v>Covered</v>
      </c>
      <c r="EN283" s="928"/>
      <c r="EO283" s="923">
        <f>VLOOKUP(WWWW[[#This Row],[Site Name]],SiteDB6[[Site Name]:[Pop
(Kachin/Shan-CCCM as of July 2021)]],16,FALSE)</f>
        <v>30</v>
      </c>
      <c r="EP283" s="923">
        <f>VLOOKUP(WWWW[[#This Row],[Site Name]],SiteDB6[[Site Name]:[Pop
(Kachin/Shan-CCCM as of July 2021)]],17,FALSE)</f>
        <v>170</v>
      </c>
    </row>
    <row r="284" spans="1:146" hidden="1">
      <c r="A284" s="921" t="s">
        <v>2786</v>
      </c>
      <c r="B284" s="921" t="s">
        <v>192</v>
      </c>
      <c r="C284" s="922" t="s">
        <v>192</v>
      </c>
      <c r="D284" s="922" t="s">
        <v>2695</v>
      </c>
      <c r="E284" s="922" t="s">
        <v>515</v>
      </c>
      <c r="F284" s="922" t="s">
        <v>519</v>
      </c>
      <c r="G284" s="594" t="str">
        <f>VLOOKUP(WWWW[[#This Row],[Site Name]],SiteDB6[[Site Name]:[Location Type]],8,FALSE)</f>
        <v>Camp</v>
      </c>
      <c r="H284" s="922" t="s">
        <v>531</v>
      </c>
      <c r="I284" s="924">
        <v>54</v>
      </c>
      <c r="J284" s="924">
        <v>250</v>
      </c>
      <c r="K284" s="925" t="s">
        <v>2789</v>
      </c>
      <c r="L284" s="926" t="s">
        <v>2790</v>
      </c>
      <c r="M284" s="924"/>
      <c r="N284" s="924">
        <v>1</v>
      </c>
      <c r="O284" s="924"/>
      <c r="P284" s="924"/>
      <c r="Q284" s="927" t="s">
        <v>41</v>
      </c>
      <c r="R284" s="924">
        <v>5</v>
      </c>
      <c r="S284" s="924">
        <v>4</v>
      </c>
      <c r="T284" s="449"/>
      <c r="U284" s="924"/>
      <c r="V284" s="924"/>
      <c r="W284" s="924"/>
      <c r="X284" s="924"/>
      <c r="Y284" s="924"/>
      <c r="Z284" s="924"/>
      <c r="AA284" s="924">
        <v>12</v>
      </c>
      <c r="AB284" s="924"/>
      <c r="AC284" s="924"/>
      <c r="AD284" s="924"/>
      <c r="AE284" s="924"/>
      <c r="AF284" s="924"/>
      <c r="AG284" s="924"/>
      <c r="AH284" s="924">
        <v>1</v>
      </c>
      <c r="AI284" s="924"/>
      <c r="AJ284" s="924"/>
      <c r="AK284" s="924"/>
      <c r="AL284" s="924"/>
      <c r="AM284" s="924"/>
      <c r="AN284" s="924"/>
      <c r="AO284" s="449"/>
      <c r="AP284" s="928"/>
      <c r="AQ284" s="924">
        <v>18</v>
      </c>
      <c r="AR284" s="924"/>
      <c r="AS284" s="929"/>
      <c r="AT284" s="924"/>
      <c r="AU284" s="924"/>
      <c r="AV284" s="924"/>
      <c r="AW284" s="924"/>
      <c r="AX284" s="924"/>
      <c r="AY284" s="923" t="s">
        <v>41</v>
      </c>
      <c r="AZ284" s="928" t="s">
        <v>137</v>
      </c>
      <c r="BA284" s="924"/>
      <c r="BB284" s="924"/>
      <c r="BC284" s="924"/>
      <c r="BD284" s="449"/>
      <c r="BE284" s="449"/>
      <c r="BF284" s="923"/>
      <c r="BG284" s="449">
        <v>6</v>
      </c>
      <c r="BH284" s="924"/>
      <c r="BI284" s="924"/>
      <c r="BJ284" s="924">
        <v>1</v>
      </c>
      <c r="BK284" s="924"/>
      <c r="BL284" s="924"/>
      <c r="BM284" s="924">
        <v>2</v>
      </c>
      <c r="BN284" s="924"/>
      <c r="BO284" s="924"/>
      <c r="BP284" s="426" t="s">
        <v>41</v>
      </c>
      <c r="BQ284" s="930"/>
      <c r="BR284" s="424">
        <v>1</v>
      </c>
      <c r="BS284" s="923"/>
      <c r="BT284" s="424"/>
      <c r="BU284" s="424"/>
      <c r="BV284" s="426"/>
      <c r="BW284" s="424"/>
      <c r="BX284" s="449"/>
      <c r="BY284" s="449"/>
      <c r="BZ284" s="449"/>
      <c r="CA284" s="449"/>
      <c r="CB284" s="449"/>
      <c r="CC284" s="807"/>
      <c r="CD284" s="449"/>
      <c r="CE284" s="931" t="str">
        <f>IFERROR(WWWW[[#This Row],['#_Water sources passed]]/WWWW[[#This Row],['#_Water sources tested for fecal coliform ]],"no test")</f>
        <v>no test</v>
      </c>
      <c r="CF284" s="929" t="str">
        <f>IFERROR(WWWW[[#This Row],['#_Household passed]]/WWWW[[#This Row],['#_Household water samples tested for fecal coliform]],"no test")</f>
        <v>no test</v>
      </c>
      <c r="CG284" s="930" t="str">
        <f>IF(AND(WWWW[[#This Row],[% of water sources passed]]="no test",WWWW[[#This Row],[% Household passed]]="no test"),"No Test","Tested")</f>
        <v>No Test</v>
      </c>
      <c r="CH284" s="930">
        <f>WWWW[[#This Row],['#_Constructed/existing protected hand dug well]]-WWWW[[#This Row],['#_Non-functional protected hand dug well]]</f>
        <v>0</v>
      </c>
      <c r="CI284" s="930">
        <f>(WWWW[[#This Row],['#_Constructed/Existing tube wells/boreholes/handpumps_WASH_agency]]+WWWW[[#This Row],['#_Non-Cluster partner water tube-wells/boreholes/handpumps]])-WWWW[[#This Row],['#_Non-functional tube wells/boreholes/handpumps]]</f>
        <v>0</v>
      </c>
      <c r="CJ284" s="930">
        <f>WWWW[[#This Row],['#_Constructed/Existingwater storage tank with gravity fed reticulation system]]-WWWW[[#This Row],['#_Non-functional storage tank gravity fed reticulation system]]</f>
        <v>12</v>
      </c>
      <c r="CK284" s="930">
        <f>(WWWW[[#This Row],['#_Water_Liters_supplied_by_Water boating or water trucking]]/90)/15</f>
        <v>0</v>
      </c>
      <c r="CL284" s="930">
        <f>WWWW[[#This Row],['#_Water_Liters_from_Constructed/Existing water distribution system from river or natural spring]]/90/15</f>
        <v>0</v>
      </c>
      <c r="CM284" s="425">
        <f>IF(WWWW[[#This Row],['#_of water points in TLS/CFS]]*500&gt;WWWW[[#This Row],[Total PoP ]],WWWW[[#This Row],[Total PoP ]],WWWW[[#This Row],['#_of water points in TLS/CFS]]*500)</f>
        <v>0</v>
      </c>
      <c r="CN284" s="425">
        <f>IF(WWWW[[#This Row],['#_of water points in THF]]*500&gt;WWWW[[#This Row],[Total PoP ]],WWWW[[#This Row],[Total PoP ]],WWWW[[#This Row],['#_of water points in THF]]*500)</f>
        <v>0</v>
      </c>
      <c r="CO28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4" s="929">
        <f>IF(WWWW[[#This Row],[Location Type 1]]="Village",WWWW[[#This Row],[Access to safe drinking water for Village]],WWWW[[#This Row],[Access to safe drinking water for Camp]])</f>
        <v>1</v>
      </c>
      <c r="CR284" s="927">
        <f>WWWW[[#This Row],[%Equitable and continuous access to sufficient quantity of safe drinking water]]*WWWW[[#This Row],[Total PoP ]]</f>
        <v>250</v>
      </c>
      <c r="CS284" s="929">
        <f>IF((WWWW[[#This Row],['#_Constructed/Existing protected/fenced ponds]]*250)/WWWW[[#This Row],[Total PoP ]]&gt;1,1,(WWWW[[#This Row],['#_Constructed/Existing protected/fenced ponds]]*250)/WWWW[[#This Row],[Total PoP ]])</f>
        <v>0</v>
      </c>
      <c r="CT284" s="927">
        <f>WWWW[[#This Row],[% Access to unimproved water points]]*WWWW[[#This Row],[Total PoP ]]</f>
        <v>0</v>
      </c>
      <c r="CU28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284" s="927">
        <f>WWWW[[#This Row],[HRP1]]/500</f>
        <v>0.5</v>
      </c>
      <c r="CX284" s="932">
        <f>1-WWWW[[#This Row],[% Equitable and continuous access to sufficient quantity of domestic water]]</f>
        <v>0</v>
      </c>
      <c r="CY284" s="927">
        <f>WWWW[[#This Row],[%equitable and continuous access to sufficient quantity of safe drinking and domestic water''s GAP]]*WWWW[[#This Row],[Total PoP ]]</f>
        <v>0</v>
      </c>
      <c r="CZ284" s="930">
        <f>IF(WWWW[[#This Row],[Total required water points]]-WWWW[[#This Row],['#Water points coverage]]&lt;0,0,WWWW[[#This Row],[Total required water points]]-WWWW[[#This Row],['#Water points coverage]])</f>
        <v>0.5</v>
      </c>
      <c r="DA284" s="930">
        <f>ROUND(IF(WWWW[[#This Row],[Total PoP ]]&lt;500,1,WWWW[[#This Row],[Total PoP ]]/500),0)</f>
        <v>1</v>
      </c>
      <c r="DB284" s="930">
        <f>(WWWW[[#This Row],['#_Constructed latrines_by_WASHAgencies]]+WWWW[[#This Row],['#_Non Cluster partner latrines]])-WWWW[[#This Row],['#_Non-functional latrines]]</f>
        <v>18</v>
      </c>
      <c r="DC284" s="634">
        <f>WWWW[[#This Row],[HRP2]]/WWWW[[#This Row],[Total PoP ]]</f>
        <v>1</v>
      </c>
      <c r="DD28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v>
      </c>
      <c r="DE28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4" s="425">
        <f>IF(WWWW[[#This Row],['# of functional latrines in THF supported by WASH partners during the reporting period2]]="",0,WWWW[[#This Row],['# of functional latrines in THF supported by WASH partners during the reporting period2]]*50)</f>
        <v>0</v>
      </c>
      <c r="DH284" s="930">
        <f>ROUND(IF(WWWW[[#This Row],[Location Type 1]]="camp",WWWW[[#This Row],[Total PoP ]]/20,IF(WWWW[[#This Row],[Location Type 1]]="Temporary Location",WWWW[[#This Row],[Total PoP ]]/50,(WWWW[[#This Row],[Total PoP ]]/6))),0)</f>
        <v>13</v>
      </c>
      <c r="DI284" s="930">
        <f>IF(WWWW[[#This Row],[Total required Latrines]]-(WWWW[[#This Row],['#_Constructed latrines_by_WASHAgencies]]+WWWW[[#This Row],['#_Non Cluster partner latrines]])&lt;0,0,WWWW[[#This Row],[Total required Latrines]]-(WWWW[[#This Row],['#_Constructed latrines_by_WASHAgencies]]+WWWW[[#This Row],['#_Non Cluster partner latrines]]))</f>
        <v>0</v>
      </c>
      <c r="DJ284" s="932">
        <f>1-WWWW[[#This Row],[% people access to functioning Latrine]]</f>
        <v>0</v>
      </c>
      <c r="DK284" s="931">
        <f>IF(OR(WWWW[[#This Row],['#_Non-functional latrines]]="",WWWW[[#This Row],['#_Non-functional latrines]]=0),0,WWWW[[#This Row],['#_Non-functional latrines]]/(WWWW[[#This Row],['#_Constructed latrines_by_WASHAgencies]]+WWWW[[#This Row],['#_Non Cluster partner latrines]]))</f>
        <v>0</v>
      </c>
      <c r="DL284" s="927">
        <f>IF(500*(WWWW[[#This Row],['#_male hygiene promoters]]+WWWW[[#This Row],['#_female hygiene promoters]])&gt;WWWW[[#This Row],[Total PoP ]],WWWW[[#This Row],[Total PoP ]],500*(WWWW[[#This Row],['#_male hygiene promoters]]+WWWW[[#This Row],['#_female hygiene promoters]]))</f>
        <v>250</v>
      </c>
      <c r="DM28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4" s="930">
        <f>IF(WWWW[[#This Row],['# People with access to soap]]&gt;WWWW[[#This Row],['# People with access to Sanity Pads]],WWWW[[#This Row],['# People with access to soap]],WWWW[[#This Row],['# People with access to Sanity Pads]])</f>
        <v>0</v>
      </c>
      <c r="DP284" s="930">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284" s="932">
        <f>IF(WWWW[[#This Row],[HRP3]]/WWWW[[#This Row],[Total PoP ]]&gt;1,1,WWWW[[#This Row],[HRP3]]/WWWW[[#This Row],[Total PoP ]])</f>
        <v>1</v>
      </c>
      <c r="DR284" s="931">
        <f>1-WWWW[[#This Row],[Hygiene Coverage%]]</f>
        <v>0</v>
      </c>
      <c r="DS284" s="929">
        <f>WWWW[[#This Row],['# people reached by regular dedicated hygiene promotion_5]]/WWWW[[#This Row],[Total PoP ]]</f>
        <v>1</v>
      </c>
      <c r="DT28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4" s="930">
        <f>WWWW[[#This Row],['#_Constructed/Existing hand washing stations]]-WWWW[[#This Row],['#_Non-Functional_hand_washing_stations]]</f>
        <v>6</v>
      </c>
      <c r="DW284" s="927">
        <f>IF(WWWW[[#This Row],['# Functional hand washing stations during reporting period]]*20&gt;WWWW[[#This Row],[Total HH]],WWWW[[#This Row],[Total HH]],WWWW[[#This Row],['# Functional hand washing stations during reporting period]]*20)</f>
        <v>54</v>
      </c>
      <c r="DX284" s="927">
        <f>IF(WWWW[[#This Row],[Is sufficient soap available for TLS? (Yes/No)]]="yes",WWWW[[#This Row],['#_Constructed/Existing hand washing stations at TLS/CFS/THF]],0)</f>
        <v>0</v>
      </c>
      <c r="DY284" s="429">
        <f>IF(WWWW[[#This Row],['# Functional hand washing stations during reporting period]]*100&gt;WWWW[[#This Row],[Total PoP ]],WWWW[[#This Row],[Total PoP ]],WWWW[[#This Row],['# Functional hand washing stations during reporting period]]*100)</f>
        <v>250</v>
      </c>
      <c r="DZ284" s="429" t="str">
        <f>IF(OR(WWWW[[#This Row],['#_students at TLS_CFS]]="",WWWW[[#This Row],['#_students at TLS_CFS]]=0),"No","Yes")</f>
        <v>No</v>
      </c>
      <c r="EA28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4" s="923" t="str">
        <f>VLOOKUP(WWWW[[#This Row],[Site Name]],SiteDB6[[Site Name]:[CCCM Management]],6,FALSE)</f>
        <v>Yes</v>
      </c>
      <c r="EF284" s="923" t="str">
        <f>VLOOKUP(WWWW[[#This Row],[Site Name]],SiteDB6[[Site Name]:[CCCM Focal Agency]],7,FALSE)</f>
        <v>KBC-NSS</v>
      </c>
      <c r="EG284" s="923" t="str">
        <f>VLOOKUP(WWWW[[#This Row],[Site Name]],SiteDB6[[Site Name]:[Location Type 1]],9,FALSE)</f>
        <v>Camp</v>
      </c>
      <c r="EH284" s="923" t="str">
        <f>VLOOKUP(WWWW[[#This Row],[Site Name]],SiteDB6[[Site Name]:[Type of Accommodation]],10,FALSE)</f>
        <v>Camp</v>
      </c>
      <c r="EI284" s="923" t="str">
        <f>VLOOKUP(WWWW[[#This Row],[Site Name]],SiteDB6[[Site Name]:[Ethnic or GCA/NGCA]],11,FALSE)</f>
        <v>GCA</v>
      </c>
      <c r="EJ284" s="923">
        <f>VLOOKUP(WWWW[[#This Row],[Site Name]],SiteDB6[[Site Name]:[Lat]],12,FALSE)</f>
        <v>23.694130000000001</v>
      </c>
      <c r="EK284" s="923">
        <f>VLOOKUP(WWWW[[#This Row],[Site Name]],SiteDB6[[Site Name]:[Long]],13,FALSE)</f>
        <v>97.818979999999996</v>
      </c>
      <c r="EL284" s="923" t="str">
        <f>VLOOKUP(WWWW[[#This Row],[Site Name]],SiteDB6[[Site Name]:[Pcode]],3,FALSE)</f>
        <v>MMR015CMP007</v>
      </c>
      <c r="EM284" s="928" t="str">
        <f t="shared" si="4"/>
        <v>Covered</v>
      </c>
      <c r="EN284" s="928"/>
      <c r="EO284" s="923">
        <f>VLOOKUP(WWWW[[#This Row],[Site Name]],SiteDB6[[Site Name]:[Pop
(Kachin/Shan-CCCM as of July 2021)]],16,FALSE)</f>
        <v>54</v>
      </c>
      <c r="EP284" s="923">
        <f>VLOOKUP(WWWW[[#This Row],[Site Name]],SiteDB6[[Site Name]:[Pop
(Kachin/Shan-CCCM as of July 2021)]],17,FALSE)</f>
        <v>279</v>
      </c>
    </row>
    <row r="285" spans="1:146" hidden="1">
      <c r="A285" s="921" t="s">
        <v>2786</v>
      </c>
      <c r="B285" s="921" t="s">
        <v>192</v>
      </c>
      <c r="C285" s="922" t="s">
        <v>192</v>
      </c>
      <c r="D285" s="922" t="s">
        <v>2695</v>
      </c>
      <c r="E285" s="922" t="s">
        <v>515</v>
      </c>
      <c r="F285" s="922" t="s">
        <v>519</v>
      </c>
      <c r="G285" s="594" t="str">
        <f>VLOOKUP(WWWW[[#This Row],[Site Name]],SiteDB6[[Site Name]:[Location Type]],8,FALSE)</f>
        <v>Camp</v>
      </c>
      <c r="H285" s="922" t="s">
        <v>1619</v>
      </c>
      <c r="I285" s="924">
        <v>35</v>
      </c>
      <c r="J285" s="924">
        <v>158</v>
      </c>
      <c r="K285" s="925" t="s">
        <v>2789</v>
      </c>
      <c r="L285" s="926" t="s">
        <v>2790</v>
      </c>
      <c r="M285" s="924"/>
      <c r="N285" s="924">
        <v>1</v>
      </c>
      <c r="O285" s="924"/>
      <c r="P285" s="924"/>
      <c r="Q285" s="927" t="s">
        <v>41</v>
      </c>
      <c r="R285" s="924">
        <v>5</v>
      </c>
      <c r="S285" s="924">
        <v>4</v>
      </c>
      <c r="T285" s="449"/>
      <c r="U285" s="924"/>
      <c r="V285" s="924"/>
      <c r="W285" s="924">
        <v>2</v>
      </c>
      <c r="X285" s="924"/>
      <c r="Y285" s="924"/>
      <c r="Z285" s="924"/>
      <c r="AA285" s="924"/>
      <c r="AB285" s="924"/>
      <c r="AC285" s="924"/>
      <c r="AD285" s="924"/>
      <c r="AE285" s="924"/>
      <c r="AF285" s="924"/>
      <c r="AG285" s="924"/>
      <c r="AH285" s="924">
        <v>1</v>
      </c>
      <c r="AI285" s="924"/>
      <c r="AJ285" s="924"/>
      <c r="AK285" s="924"/>
      <c r="AL285" s="924"/>
      <c r="AM285" s="924"/>
      <c r="AN285" s="924"/>
      <c r="AO285" s="449"/>
      <c r="AP285" s="928"/>
      <c r="AQ285" s="924">
        <v>8</v>
      </c>
      <c r="AR285" s="924"/>
      <c r="AS285" s="929"/>
      <c r="AT285" s="924"/>
      <c r="AU285" s="924"/>
      <c r="AV285" s="924"/>
      <c r="AW285" s="924"/>
      <c r="AX285" s="924"/>
      <c r="AY285" s="923" t="s">
        <v>41</v>
      </c>
      <c r="AZ285" s="928" t="s">
        <v>136</v>
      </c>
      <c r="BA285" s="924"/>
      <c r="BB285" s="924"/>
      <c r="BC285" s="924"/>
      <c r="BD285" s="449"/>
      <c r="BE285" s="449"/>
      <c r="BF285" s="923"/>
      <c r="BG285" s="449">
        <v>4</v>
      </c>
      <c r="BH285" s="924"/>
      <c r="BI285" s="924"/>
      <c r="BJ285" s="924">
        <v>1</v>
      </c>
      <c r="BK285" s="924"/>
      <c r="BL285" s="924"/>
      <c r="BM285" s="924">
        <v>2</v>
      </c>
      <c r="BN285" s="924"/>
      <c r="BO285" s="924"/>
      <c r="BP285" s="426" t="s">
        <v>41</v>
      </c>
      <c r="BQ285" s="930"/>
      <c r="BR285" s="424">
        <v>1</v>
      </c>
      <c r="BS285" s="923"/>
      <c r="BT285" s="424"/>
      <c r="BU285" s="424"/>
      <c r="BV285" s="426"/>
      <c r="BW285" s="424"/>
      <c r="BX285" s="449"/>
      <c r="BY285" s="449"/>
      <c r="BZ285" s="449"/>
      <c r="CA285" s="449"/>
      <c r="CB285" s="449"/>
      <c r="CC285" s="807"/>
      <c r="CD285" s="449"/>
      <c r="CE285" s="931" t="str">
        <f>IFERROR(WWWW[[#This Row],['#_Water sources passed]]/WWWW[[#This Row],['#_Water sources tested for fecal coliform ]],"no test")</f>
        <v>no test</v>
      </c>
      <c r="CF285" s="929" t="str">
        <f>IFERROR(WWWW[[#This Row],['#_Household passed]]/WWWW[[#This Row],['#_Household water samples tested for fecal coliform]],"no test")</f>
        <v>no test</v>
      </c>
      <c r="CG285" s="930" t="str">
        <f>IF(AND(WWWW[[#This Row],[% of water sources passed]]="no test",WWWW[[#This Row],[% Household passed]]="no test"),"No Test","Tested")</f>
        <v>No Test</v>
      </c>
      <c r="CH285" s="930">
        <f>WWWW[[#This Row],['#_Constructed/existing protected hand dug well]]-WWWW[[#This Row],['#_Non-functional protected hand dug well]]</f>
        <v>0</v>
      </c>
      <c r="CI285" s="930">
        <f>(WWWW[[#This Row],['#_Constructed/Existing tube wells/boreholes/handpumps_WASH_agency]]+WWWW[[#This Row],['#_Non-Cluster partner water tube-wells/boreholes/handpumps]])-WWWW[[#This Row],['#_Non-functional tube wells/boreholes/handpumps]]</f>
        <v>2</v>
      </c>
      <c r="CJ285" s="930">
        <f>WWWW[[#This Row],['#_Constructed/Existingwater storage tank with gravity fed reticulation system]]-WWWW[[#This Row],['#_Non-functional storage tank gravity fed reticulation system]]</f>
        <v>0</v>
      </c>
      <c r="CK285" s="930">
        <f>(WWWW[[#This Row],['#_Water_Liters_supplied_by_Water boating or water trucking]]/90)/15</f>
        <v>0</v>
      </c>
      <c r="CL285" s="930">
        <f>WWWW[[#This Row],['#_Water_Liters_from_Constructed/Existing water distribution system from river or natural spring]]/90/15</f>
        <v>0</v>
      </c>
      <c r="CM285" s="425">
        <f>IF(WWWW[[#This Row],['#_of water points in TLS/CFS]]*500&gt;WWWW[[#This Row],[Total PoP ]],WWWW[[#This Row],[Total PoP ]],WWWW[[#This Row],['#_of water points in TLS/CFS]]*500)</f>
        <v>0</v>
      </c>
      <c r="CN285" s="425">
        <f>IF(WWWW[[#This Row],['#_of water points in THF]]*500&gt;WWWW[[#This Row],[Total PoP ]],WWWW[[#This Row],[Total PoP ]],WWWW[[#This Row],['#_of water points in THF]]*500)</f>
        <v>0</v>
      </c>
      <c r="CO28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5" s="929">
        <f>IF(WWWW[[#This Row],[Location Type 1]]="Village",WWWW[[#This Row],[Access to safe drinking water for Village]],WWWW[[#This Row],[Access to safe drinking water for Camp]])</f>
        <v>1</v>
      </c>
      <c r="CR285" s="927">
        <f>WWWW[[#This Row],[%Equitable and continuous access to sufficient quantity of safe drinking water]]*WWWW[[#This Row],[Total PoP ]]</f>
        <v>158</v>
      </c>
      <c r="CS285" s="929">
        <f>IF((WWWW[[#This Row],['#_Constructed/Existing protected/fenced ponds]]*250)/WWWW[[#This Row],[Total PoP ]]&gt;1,1,(WWWW[[#This Row],['#_Constructed/Existing protected/fenced ponds]]*250)/WWWW[[#This Row],[Total PoP ]])</f>
        <v>0</v>
      </c>
      <c r="CT285" s="927">
        <f>WWWW[[#This Row],[% Access to unimproved water points]]*WWWW[[#This Row],[Total PoP ]]</f>
        <v>0</v>
      </c>
      <c r="CU28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W285" s="927">
        <f>WWWW[[#This Row],[HRP1]]/500</f>
        <v>0.316</v>
      </c>
      <c r="CX285" s="932">
        <f>1-WWWW[[#This Row],[% Equitable and continuous access to sufficient quantity of domestic water]]</f>
        <v>0</v>
      </c>
      <c r="CY285" s="927">
        <f>WWWW[[#This Row],[%equitable and continuous access to sufficient quantity of safe drinking and domestic water''s GAP]]*WWWW[[#This Row],[Total PoP ]]</f>
        <v>0</v>
      </c>
      <c r="CZ285" s="930">
        <f>IF(WWWW[[#This Row],[Total required water points]]-WWWW[[#This Row],['#Water points coverage]]&lt;0,0,WWWW[[#This Row],[Total required water points]]-WWWW[[#This Row],['#Water points coverage]])</f>
        <v>0.68399999999999994</v>
      </c>
      <c r="DA285" s="930">
        <f>ROUND(IF(WWWW[[#This Row],[Total PoP ]]&lt;500,1,WWWW[[#This Row],[Total PoP ]]/500),0)</f>
        <v>1</v>
      </c>
      <c r="DB285" s="930">
        <f>(WWWW[[#This Row],['#_Constructed latrines_by_WASHAgencies]]+WWWW[[#This Row],['#_Non Cluster partner latrines]])-WWWW[[#This Row],['#_Non-functional latrines]]</f>
        <v>8</v>
      </c>
      <c r="DC285" s="634">
        <f>WWWW[[#This Row],[HRP2]]/WWWW[[#This Row],[Total PoP ]]</f>
        <v>1</v>
      </c>
      <c r="DD28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158</v>
      </c>
      <c r="DE28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5" s="425">
        <f>IF(WWWW[[#This Row],['# of functional latrines in THF supported by WASH partners during the reporting period2]]="",0,WWWW[[#This Row],['# of functional latrines in THF supported by WASH partners during the reporting period2]]*50)</f>
        <v>0</v>
      </c>
      <c r="DH285" s="930">
        <f>ROUND(IF(WWWW[[#This Row],[Location Type 1]]="camp",WWWW[[#This Row],[Total PoP ]]/20,IF(WWWW[[#This Row],[Location Type 1]]="Temporary Location",WWWW[[#This Row],[Total PoP ]]/50,(WWWW[[#This Row],[Total PoP ]]/6))),0)</f>
        <v>8</v>
      </c>
      <c r="DI285" s="930">
        <f>IF(WWWW[[#This Row],[Total required Latrines]]-(WWWW[[#This Row],['#_Constructed latrines_by_WASHAgencies]]+WWWW[[#This Row],['#_Non Cluster partner latrines]])&lt;0,0,WWWW[[#This Row],[Total required Latrines]]-(WWWW[[#This Row],['#_Constructed latrines_by_WASHAgencies]]+WWWW[[#This Row],['#_Non Cluster partner latrines]]))</f>
        <v>0</v>
      </c>
      <c r="DJ285" s="932">
        <f>1-WWWW[[#This Row],[% people access to functioning Latrine]]</f>
        <v>0</v>
      </c>
      <c r="DK285" s="931">
        <f>IF(OR(WWWW[[#This Row],['#_Non-functional latrines]]="",WWWW[[#This Row],['#_Non-functional latrines]]=0),0,WWWW[[#This Row],['#_Non-functional latrines]]/(WWWW[[#This Row],['#_Constructed latrines_by_WASHAgencies]]+WWWW[[#This Row],['#_Non Cluster partner latrines]]))</f>
        <v>0</v>
      </c>
      <c r="DL285" s="927">
        <f>IF(500*(WWWW[[#This Row],['#_male hygiene promoters]]+WWWW[[#This Row],['#_female hygiene promoters]])&gt;WWWW[[#This Row],[Total PoP ]],WWWW[[#This Row],[Total PoP ]],500*(WWWW[[#This Row],['#_male hygiene promoters]]+WWWW[[#This Row],['#_female hygiene promoters]]))</f>
        <v>158</v>
      </c>
      <c r="DM28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5" s="930">
        <f>IF(WWWW[[#This Row],['# People with access to soap]]&gt;WWWW[[#This Row],['# People with access to Sanity Pads]],WWWW[[#This Row],['# People with access to soap]],WWWW[[#This Row],['# People with access to Sanity Pads]])</f>
        <v>0</v>
      </c>
      <c r="DP285" s="930">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Q285" s="932">
        <f>IF(WWWW[[#This Row],[HRP3]]/WWWW[[#This Row],[Total PoP ]]&gt;1,1,WWWW[[#This Row],[HRP3]]/WWWW[[#This Row],[Total PoP ]])</f>
        <v>1</v>
      </c>
      <c r="DR285" s="931">
        <f>1-WWWW[[#This Row],[Hygiene Coverage%]]</f>
        <v>0</v>
      </c>
      <c r="DS285" s="929">
        <f>WWWW[[#This Row],['# people reached by regular dedicated hygiene promotion_5]]/WWWW[[#This Row],[Total PoP ]]</f>
        <v>1</v>
      </c>
      <c r="DT28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5" s="930">
        <f>WWWW[[#This Row],['#_Constructed/Existing hand washing stations]]-WWWW[[#This Row],['#_Non-Functional_hand_washing_stations]]</f>
        <v>4</v>
      </c>
      <c r="DW285" s="927">
        <f>IF(WWWW[[#This Row],['# Functional hand washing stations during reporting period]]*20&gt;WWWW[[#This Row],[Total HH]],WWWW[[#This Row],[Total HH]],WWWW[[#This Row],['# Functional hand washing stations during reporting period]]*20)</f>
        <v>35</v>
      </c>
      <c r="DX285" s="927">
        <f>IF(WWWW[[#This Row],[Is sufficient soap available for TLS? (Yes/No)]]="yes",WWWW[[#This Row],['#_Constructed/Existing hand washing stations at TLS/CFS/THF]],0)</f>
        <v>0</v>
      </c>
      <c r="DY285" s="429">
        <f>IF(WWWW[[#This Row],['# Functional hand washing stations during reporting period]]*100&gt;WWWW[[#This Row],[Total PoP ]],WWWW[[#This Row],[Total PoP ]],WWWW[[#This Row],['# Functional hand washing stations during reporting period]]*100)</f>
        <v>158</v>
      </c>
      <c r="DZ285" s="429" t="str">
        <f>IF(OR(WWWW[[#This Row],['#_students at TLS_CFS]]="",WWWW[[#This Row],['#_students at TLS_CFS]]=0),"No","Yes")</f>
        <v>No</v>
      </c>
      <c r="EA28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5" s="923" t="str">
        <f>VLOOKUP(WWWW[[#This Row],[Site Name]],SiteDB6[[Site Name]:[CCCM Management]],6,FALSE)</f>
        <v>Yes</v>
      </c>
      <c r="EF285" s="923" t="str">
        <f>VLOOKUP(WWWW[[#This Row],[Site Name]],SiteDB6[[Site Name]:[CCCM Focal Agency]],7,FALSE)</f>
        <v>KMSS-LSO</v>
      </c>
      <c r="EG285" s="923" t="str">
        <f>VLOOKUP(WWWW[[#This Row],[Site Name]],SiteDB6[[Site Name]:[Location Type 1]],9,FALSE)</f>
        <v>Camp</v>
      </c>
      <c r="EH285" s="923" t="str">
        <f>VLOOKUP(WWWW[[#This Row],[Site Name]],SiteDB6[[Site Name]:[Type of Accommodation]],10,FALSE)</f>
        <v>Camp</v>
      </c>
      <c r="EI285" s="923" t="str">
        <f>VLOOKUP(WWWW[[#This Row],[Site Name]],SiteDB6[[Site Name]:[Ethnic or GCA/NGCA]],11,FALSE)</f>
        <v>GCA</v>
      </c>
      <c r="EJ285" s="923">
        <f>VLOOKUP(WWWW[[#This Row],[Site Name]],SiteDB6[[Site Name]:[Lat]],12,FALSE)</f>
        <v>23.682887999999998</v>
      </c>
      <c r="EK285" s="923">
        <f>VLOOKUP(WWWW[[#This Row],[Site Name]],SiteDB6[[Site Name]:[Long]],13,FALSE)</f>
        <v>97.810101000000003</v>
      </c>
      <c r="EL285" s="923" t="str">
        <f>VLOOKUP(WWWW[[#This Row],[Site Name]],SiteDB6[[Site Name]:[Pcode]],3,FALSE)</f>
        <v>MMR015CMP043</v>
      </c>
      <c r="EM285" s="928" t="str">
        <f t="shared" si="4"/>
        <v>Covered</v>
      </c>
      <c r="EN285" s="928"/>
      <c r="EO285" s="923">
        <f>VLOOKUP(WWWW[[#This Row],[Site Name]],SiteDB6[[Site Name]:[Pop
(Kachin/Shan-CCCM as of July 2021)]],16,FALSE)</f>
        <v>34</v>
      </c>
      <c r="EP285" s="923">
        <f>VLOOKUP(WWWW[[#This Row],[Site Name]],SiteDB6[[Site Name]:[Pop
(Kachin/Shan-CCCM as of July 2021)]],17,FALSE)</f>
        <v>144</v>
      </c>
    </row>
    <row r="286" spans="1:146" hidden="1">
      <c r="A286" s="921" t="s">
        <v>2786</v>
      </c>
      <c r="B286" s="921" t="s">
        <v>192</v>
      </c>
      <c r="C286" s="922" t="s">
        <v>192</v>
      </c>
      <c r="D286" s="922" t="s">
        <v>2695</v>
      </c>
      <c r="E286" s="922" t="s">
        <v>515</v>
      </c>
      <c r="F286" s="922" t="s">
        <v>519</v>
      </c>
      <c r="G286" s="594" t="str">
        <f>VLOOKUP(WWWW[[#This Row],[Site Name]],SiteDB6[[Site Name]:[Location Type]],8,FALSE)</f>
        <v>Camp</v>
      </c>
      <c r="H286" s="922" t="s">
        <v>542</v>
      </c>
      <c r="I286" s="924">
        <v>121</v>
      </c>
      <c r="J286" s="924">
        <v>664</v>
      </c>
      <c r="K286" s="925" t="s">
        <v>2789</v>
      </c>
      <c r="L286" s="926" t="s">
        <v>2790</v>
      </c>
      <c r="M286" s="924"/>
      <c r="N286" s="924">
        <v>1</v>
      </c>
      <c r="O286" s="924"/>
      <c r="P286" s="924"/>
      <c r="Q286" s="927" t="s">
        <v>41</v>
      </c>
      <c r="R286" s="924">
        <v>4</v>
      </c>
      <c r="S286" s="924">
        <v>5</v>
      </c>
      <c r="T286" s="449"/>
      <c r="U286" s="924"/>
      <c r="V286" s="924"/>
      <c r="W286" s="924"/>
      <c r="X286" s="924"/>
      <c r="Y286" s="924"/>
      <c r="Z286" s="924"/>
      <c r="AA286" s="924">
        <v>8</v>
      </c>
      <c r="AB286" s="924"/>
      <c r="AC286" s="924"/>
      <c r="AD286" s="924"/>
      <c r="AE286" s="924"/>
      <c r="AF286" s="924"/>
      <c r="AG286" s="924"/>
      <c r="AH286" s="924"/>
      <c r="AI286" s="924"/>
      <c r="AJ286" s="924"/>
      <c r="AK286" s="924"/>
      <c r="AL286" s="924"/>
      <c r="AM286" s="924">
        <v>1</v>
      </c>
      <c r="AN286" s="924"/>
      <c r="AO286" s="449"/>
      <c r="AP286" s="928"/>
      <c r="AQ286" s="924">
        <v>105</v>
      </c>
      <c r="AR286" s="924"/>
      <c r="AS286" s="929"/>
      <c r="AT286" s="924"/>
      <c r="AU286" s="924"/>
      <c r="AV286" s="924"/>
      <c r="AW286" s="924"/>
      <c r="AX286" s="924"/>
      <c r="AY286" s="923" t="s">
        <v>41</v>
      </c>
      <c r="AZ286" s="928" t="s">
        <v>137</v>
      </c>
      <c r="BA286" s="924"/>
      <c r="BB286" s="924"/>
      <c r="BC286" s="924"/>
      <c r="BD286" s="449"/>
      <c r="BE286" s="449"/>
      <c r="BF286" s="923"/>
      <c r="BG286" s="449">
        <v>2</v>
      </c>
      <c r="BH286" s="924"/>
      <c r="BI286" s="924"/>
      <c r="BJ286" s="924"/>
      <c r="BK286" s="924"/>
      <c r="BL286" s="924"/>
      <c r="BM286" s="924">
        <v>1</v>
      </c>
      <c r="BN286" s="924"/>
      <c r="BO286" s="924"/>
      <c r="BP286" s="426" t="s">
        <v>41</v>
      </c>
      <c r="BQ286" s="930"/>
      <c r="BR286" s="424">
        <v>1</v>
      </c>
      <c r="BS286" s="923"/>
      <c r="BT286" s="424"/>
      <c r="BU286" s="424"/>
      <c r="BV286" s="426"/>
      <c r="BW286" s="424"/>
      <c r="BX286" s="449"/>
      <c r="BY286" s="449"/>
      <c r="BZ286" s="449"/>
      <c r="CA286" s="449"/>
      <c r="CB286" s="449"/>
      <c r="CC286" s="807"/>
      <c r="CD286" s="449"/>
      <c r="CE286" s="931" t="str">
        <f>IFERROR(WWWW[[#This Row],['#_Water sources passed]]/WWWW[[#This Row],['#_Water sources tested for fecal coliform ]],"no test")</f>
        <v>no test</v>
      </c>
      <c r="CF286" s="929" t="str">
        <f>IFERROR(WWWW[[#This Row],['#_Household passed]]/WWWW[[#This Row],['#_Household water samples tested for fecal coliform]],"no test")</f>
        <v>no test</v>
      </c>
      <c r="CG286" s="930" t="str">
        <f>IF(AND(WWWW[[#This Row],[% of water sources passed]]="no test",WWWW[[#This Row],[% Household passed]]="no test"),"No Test","Tested")</f>
        <v>No Test</v>
      </c>
      <c r="CH286" s="930">
        <f>WWWW[[#This Row],['#_Constructed/existing protected hand dug well]]-WWWW[[#This Row],['#_Non-functional protected hand dug well]]</f>
        <v>0</v>
      </c>
      <c r="CI286" s="930">
        <f>(WWWW[[#This Row],['#_Constructed/Existing tube wells/boreholes/handpumps_WASH_agency]]+WWWW[[#This Row],['#_Non-Cluster partner water tube-wells/boreholes/handpumps]])-WWWW[[#This Row],['#_Non-functional tube wells/boreholes/handpumps]]</f>
        <v>0</v>
      </c>
      <c r="CJ286" s="930">
        <f>WWWW[[#This Row],['#_Constructed/Existingwater storage tank with gravity fed reticulation system]]-WWWW[[#This Row],['#_Non-functional storage tank gravity fed reticulation system]]</f>
        <v>8</v>
      </c>
      <c r="CK286" s="930">
        <f>(WWWW[[#This Row],['#_Water_Liters_supplied_by_Water boating or water trucking]]/90)/15</f>
        <v>0</v>
      </c>
      <c r="CL286" s="930">
        <f>WWWW[[#This Row],['#_Water_Liters_from_Constructed/Existing water distribution system from river or natural spring]]/90/15</f>
        <v>0</v>
      </c>
      <c r="CM286" s="425">
        <f>IF(WWWW[[#This Row],['#_of water points in TLS/CFS]]*500&gt;WWWW[[#This Row],[Total PoP ]],WWWW[[#This Row],[Total PoP ]],WWWW[[#This Row],['#_of water points in TLS/CFS]]*500)</f>
        <v>0</v>
      </c>
      <c r="CN286" s="425">
        <f>IF(WWWW[[#This Row],['#_of water points in THF]]*500&gt;WWWW[[#This Row],[Total PoP ]],WWWW[[#This Row],[Total PoP ]],WWWW[[#This Row],['#_of water points in THF]]*500)</f>
        <v>0</v>
      </c>
      <c r="CO28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P28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Q286" s="929">
        <f>IF(WWWW[[#This Row],[Location Type 1]]="Village",WWWW[[#This Row],[Access to safe drinking water for Village]],WWWW[[#This Row],[Access to safe drinking water for Camp]])</f>
        <v>0.8032128514056226</v>
      </c>
      <c r="CR286" s="927">
        <f>WWWW[[#This Row],[%Equitable and continuous access to sufficient quantity of safe drinking water]]*WWWW[[#This Row],[Total PoP ]]</f>
        <v>533.33333333333337</v>
      </c>
      <c r="CS286" s="929">
        <f>IF((WWWW[[#This Row],['#_Constructed/Existing protected/fenced ponds]]*250)/WWWW[[#This Row],[Total PoP ]]&gt;1,1,(WWWW[[#This Row],['#_Constructed/Existing protected/fenced ponds]]*250)/WWWW[[#This Row],[Total PoP ]])</f>
        <v>0</v>
      </c>
      <c r="CT286" s="927">
        <f>WWWW[[#This Row],[% Access to unimproved water points]]*WWWW[[#This Row],[Total PoP ]]</f>
        <v>0</v>
      </c>
      <c r="CU28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V28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W286" s="927">
        <f>WWWW[[#This Row],[HRP1]]/500</f>
        <v>1.0666666666666667</v>
      </c>
      <c r="CX286" s="932">
        <f>1-WWWW[[#This Row],[% Equitable and continuous access to sufficient quantity of domestic water]]</f>
        <v>0.1967871485943774</v>
      </c>
      <c r="CY286" s="927">
        <f>WWWW[[#This Row],[%equitable and continuous access to sufficient quantity of safe drinking and domestic water''s GAP]]*WWWW[[#This Row],[Total PoP ]]</f>
        <v>130.6666666666666</v>
      </c>
      <c r="CZ286" s="930">
        <f>IF(WWWW[[#This Row],[Total required water points]]-WWWW[[#This Row],['#Water points coverage]]&lt;0,0,WWWW[[#This Row],[Total required water points]]-WWWW[[#This Row],['#Water points coverage]])</f>
        <v>0</v>
      </c>
      <c r="DA286" s="930">
        <f>ROUND(IF(WWWW[[#This Row],[Total PoP ]]&lt;500,1,WWWW[[#This Row],[Total PoP ]]/500),0)</f>
        <v>1</v>
      </c>
      <c r="DB286" s="930">
        <f>(WWWW[[#This Row],['#_Constructed latrines_by_WASHAgencies]]+WWWW[[#This Row],['#_Non Cluster partner latrines]])-WWWW[[#This Row],['#_Non-functional latrines]]</f>
        <v>105</v>
      </c>
      <c r="DC286" s="634">
        <f>WWWW[[#This Row],[HRP2]]/WWWW[[#This Row],[Total PoP ]]</f>
        <v>0.79066265060240959</v>
      </c>
      <c r="DD28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525</v>
      </c>
      <c r="DE28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6" s="425">
        <f>IF(WWWW[[#This Row],['# of functional latrines in THF supported by WASH partners during the reporting period2]]="",0,WWWW[[#This Row],['# of functional latrines in THF supported by WASH partners during the reporting period2]]*50)</f>
        <v>0</v>
      </c>
      <c r="DH286" s="930">
        <f>ROUND(IF(WWWW[[#This Row],[Location Type 1]]="camp",WWWW[[#This Row],[Total PoP ]]/20,IF(WWWW[[#This Row],[Location Type 1]]="Temporary Location",WWWW[[#This Row],[Total PoP ]]/50,(WWWW[[#This Row],[Total PoP ]]/6))),0)</f>
        <v>111</v>
      </c>
      <c r="DI286" s="930">
        <f>IF(WWWW[[#This Row],[Total required Latrines]]-(WWWW[[#This Row],['#_Constructed latrines_by_WASHAgencies]]+WWWW[[#This Row],['#_Non Cluster partner latrines]])&lt;0,0,WWWW[[#This Row],[Total required Latrines]]-(WWWW[[#This Row],['#_Constructed latrines_by_WASHAgencies]]+WWWW[[#This Row],['#_Non Cluster partner latrines]]))</f>
        <v>6</v>
      </c>
      <c r="DJ286" s="932">
        <f>1-WWWW[[#This Row],[% people access to functioning Latrine]]</f>
        <v>0.20933734939759041</v>
      </c>
      <c r="DK286" s="931">
        <f>IF(OR(WWWW[[#This Row],['#_Non-functional latrines]]="",WWWW[[#This Row],['#_Non-functional latrines]]=0),0,WWWW[[#This Row],['#_Non-functional latrines]]/(WWWW[[#This Row],['#_Constructed latrines_by_WASHAgencies]]+WWWW[[#This Row],['#_Non Cluster partner latrines]]))</f>
        <v>0</v>
      </c>
      <c r="DL286" s="927">
        <f>IF(500*(WWWW[[#This Row],['#_male hygiene promoters]]+WWWW[[#This Row],['#_female hygiene promoters]])&gt;WWWW[[#This Row],[Total PoP ]],WWWW[[#This Row],[Total PoP ]],500*(WWWW[[#This Row],['#_male hygiene promoters]]+WWWW[[#This Row],['#_female hygiene promoters]]))</f>
        <v>500</v>
      </c>
      <c r="DM28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6" s="930">
        <f>IF(WWWW[[#This Row],['# People with access to soap]]&gt;WWWW[[#This Row],['# People with access to Sanity Pads]],WWWW[[#This Row],['# People with access to soap]],WWWW[[#This Row],['# People with access to Sanity Pads]])</f>
        <v>0</v>
      </c>
      <c r="DP286"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86" s="932">
        <f>IF(WWWW[[#This Row],[HRP3]]/WWWW[[#This Row],[Total PoP ]]&gt;1,1,WWWW[[#This Row],[HRP3]]/WWWW[[#This Row],[Total PoP ]])</f>
        <v>0.75301204819277112</v>
      </c>
      <c r="DR286" s="931">
        <f>1-WWWW[[#This Row],[Hygiene Coverage%]]</f>
        <v>0.24698795180722888</v>
      </c>
      <c r="DS286" s="929">
        <f>WWWW[[#This Row],['# people reached by regular dedicated hygiene promotion_5]]/WWWW[[#This Row],[Total PoP ]]</f>
        <v>0.75301204819277112</v>
      </c>
      <c r="DT28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6" s="930">
        <f>WWWW[[#This Row],['#_Constructed/Existing hand washing stations]]-WWWW[[#This Row],['#_Non-Functional_hand_washing_stations]]</f>
        <v>2</v>
      </c>
      <c r="DW286" s="927">
        <f>IF(WWWW[[#This Row],['# Functional hand washing stations during reporting period]]*20&gt;WWWW[[#This Row],[Total HH]],WWWW[[#This Row],[Total HH]],WWWW[[#This Row],['# Functional hand washing stations during reporting period]]*20)</f>
        <v>40</v>
      </c>
      <c r="DX286" s="927">
        <f>IF(WWWW[[#This Row],[Is sufficient soap available for TLS? (Yes/No)]]="yes",WWWW[[#This Row],['#_Constructed/Existing hand washing stations at TLS/CFS/THF]],0)</f>
        <v>1</v>
      </c>
      <c r="DY286" s="429">
        <f>IF(WWWW[[#This Row],['# Functional hand washing stations during reporting period]]*100&gt;WWWW[[#This Row],[Total PoP ]],WWWW[[#This Row],[Total PoP ]],WWWW[[#This Row],['# Functional hand washing stations during reporting period]]*100)</f>
        <v>200</v>
      </c>
      <c r="DZ286" s="429" t="str">
        <f>IF(OR(WWWW[[#This Row],['#_students at TLS_CFS]]="",WWWW[[#This Row],['#_students at TLS_CFS]]=0),"No","Yes")</f>
        <v>No</v>
      </c>
      <c r="EA28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6" s="923" t="str">
        <f>VLOOKUP(WWWW[[#This Row],[Site Name]],SiteDB6[[Site Name]:[CCCM Management]],6,FALSE)</f>
        <v>Yes</v>
      </c>
      <c r="EF286" s="923" t="str">
        <f>VLOOKUP(WWWW[[#This Row],[Site Name]],SiteDB6[[Site Name]:[CCCM Focal Agency]],7,FALSE)</f>
        <v>KMSS-LSO</v>
      </c>
      <c r="EG286" s="923" t="str">
        <f>VLOOKUP(WWWW[[#This Row],[Site Name]],SiteDB6[[Site Name]:[Location Type 1]],9,FALSE)</f>
        <v>Village Type Camp</v>
      </c>
      <c r="EH286" s="923" t="str">
        <f>VLOOKUP(WWWW[[#This Row],[Site Name]],SiteDB6[[Site Name]:[Type of Accommodation]],10,FALSE)</f>
        <v>Camp</v>
      </c>
      <c r="EI286" s="923" t="str">
        <f>VLOOKUP(WWWW[[#This Row],[Site Name]],SiteDB6[[Site Name]:[Ethnic or GCA/NGCA]],11,FALSE)</f>
        <v>GCA</v>
      </c>
      <c r="EJ286" s="923">
        <f>VLOOKUP(WWWW[[#This Row],[Site Name]],SiteDB6[[Site Name]:[Lat]],12,FALSE)</f>
        <v>23.447111</v>
      </c>
      <c r="EK286" s="923">
        <f>VLOOKUP(WWWW[[#This Row],[Site Name]],SiteDB6[[Site Name]:[Long]],13,FALSE)</f>
        <v>97.868876999999998</v>
      </c>
      <c r="EL286" s="923" t="str">
        <f>VLOOKUP(WWWW[[#This Row],[Site Name]],SiteDB6[[Site Name]:[Pcode]],3,FALSE)</f>
        <v>MMR015CMP037</v>
      </c>
      <c r="EM286" s="928" t="str">
        <f t="shared" si="4"/>
        <v>Covered</v>
      </c>
      <c r="EN286" s="928"/>
      <c r="EO286" s="923">
        <f>VLOOKUP(WWWW[[#This Row],[Site Name]],SiteDB6[[Site Name]:[Pop
(Kachin/Shan-CCCM as of July 2021)]],16,FALSE)</f>
        <v>123</v>
      </c>
      <c r="EP286" s="923">
        <f>VLOOKUP(WWWW[[#This Row],[Site Name]],SiteDB6[[Site Name]:[Pop
(Kachin/Shan-CCCM as of July 2021)]],17,FALSE)</f>
        <v>706</v>
      </c>
    </row>
    <row r="287" spans="1:146" hidden="1">
      <c r="A287" s="921" t="s">
        <v>2786</v>
      </c>
      <c r="B287" s="921" t="s">
        <v>192</v>
      </c>
      <c r="C287" s="922" t="s">
        <v>192</v>
      </c>
      <c r="D287" s="922" t="s">
        <v>2695</v>
      </c>
      <c r="E287" s="922" t="s">
        <v>515</v>
      </c>
      <c r="F287" s="922" t="s">
        <v>519</v>
      </c>
      <c r="G287" s="594" t="str">
        <f>VLOOKUP(WWWW[[#This Row],[Site Name]],SiteDB6[[Site Name]:[Location Type]],8,FALSE)</f>
        <v>Camp</v>
      </c>
      <c r="H287" s="922" t="s">
        <v>561</v>
      </c>
      <c r="I287" s="924">
        <v>45</v>
      </c>
      <c r="J287" s="924">
        <v>221</v>
      </c>
      <c r="K287" s="925" t="s">
        <v>2789</v>
      </c>
      <c r="L287" s="926" t="s">
        <v>2790</v>
      </c>
      <c r="M287" s="924"/>
      <c r="N287" s="924"/>
      <c r="O287" s="924"/>
      <c r="P287" s="924"/>
      <c r="Q287" s="927"/>
      <c r="R287" s="924">
        <v>5</v>
      </c>
      <c r="S287" s="924">
        <v>4</v>
      </c>
      <c r="T287" s="449"/>
      <c r="U287" s="924"/>
      <c r="V287" s="924"/>
      <c r="W287" s="924"/>
      <c r="X287" s="924"/>
      <c r="Y287" s="924"/>
      <c r="Z287" s="924"/>
      <c r="AA287" s="924">
        <v>8</v>
      </c>
      <c r="AB287" s="924"/>
      <c r="AC287" s="924"/>
      <c r="AD287" s="924"/>
      <c r="AE287" s="924"/>
      <c r="AF287" s="924"/>
      <c r="AG287" s="924"/>
      <c r="AH287" s="924">
        <v>1</v>
      </c>
      <c r="AI287" s="924"/>
      <c r="AJ287" s="924"/>
      <c r="AK287" s="924"/>
      <c r="AL287" s="924"/>
      <c r="AM287" s="924">
        <v>2</v>
      </c>
      <c r="AN287" s="924">
        <v>1</v>
      </c>
      <c r="AO287" s="449"/>
      <c r="AP287" s="928"/>
      <c r="AQ287" s="924">
        <v>37</v>
      </c>
      <c r="AR287" s="924"/>
      <c r="AS287" s="929"/>
      <c r="AT287" s="924"/>
      <c r="AU287" s="924"/>
      <c r="AV287" s="924"/>
      <c r="AW287" s="924"/>
      <c r="AX287" s="924">
        <v>3</v>
      </c>
      <c r="AY287" s="923" t="s">
        <v>136</v>
      </c>
      <c r="AZ287" s="928" t="s">
        <v>904</v>
      </c>
      <c r="BA287" s="924"/>
      <c r="BB287" s="924"/>
      <c r="BC287" s="924">
        <v>2</v>
      </c>
      <c r="BD287" s="449"/>
      <c r="BE287" s="449"/>
      <c r="BF287" s="923"/>
      <c r="BG287" s="449">
        <v>7</v>
      </c>
      <c r="BH287" s="924"/>
      <c r="BI287" s="924"/>
      <c r="BJ287" s="924"/>
      <c r="BK287" s="924"/>
      <c r="BL287" s="924"/>
      <c r="BM287" s="924">
        <v>1</v>
      </c>
      <c r="BN287" s="924"/>
      <c r="BO287" s="924"/>
      <c r="BP287" s="426" t="s">
        <v>41</v>
      </c>
      <c r="BQ287" s="930"/>
      <c r="BR287" s="424">
        <v>1</v>
      </c>
      <c r="BS287" s="923"/>
      <c r="BT287" s="424"/>
      <c r="BU287" s="424"/>
      <c r="BV287" s="426"/>
      <c r="BW287" s="424"/>
      <c r="BX287" s="449"/>
      <c r="BY287" s="449"/>
      <c r="BZ287" s="449"/>
      <c r="CA287" s="449"/>
      <c r="CB287" s="449"/>
      <c r="CC287" s="807"/>
      <c r="CD287" s="449"/>
      <c r="CE287" s="931" t="str">
        <f>IFERROR(WWWW[[#This Row],['#_Water sources passed]]/WWWW[[#This Row],['#_Water sources tested for fecal coliform ]],"no test")</f>
        <v>no test</v>
      </c>
      <c r="CF287" s="929" t="str">
        <f>IFERROR(WWWW[[#This Row],['#_Household passed]]/WWWW[[#This Row],['#_Household water samples tested for fecal coliform]],"no test")</f>
        <v>no test</v>
      </c>
      <c r="CG287" s="930" t="str">
        <f>IF(AND(WWWW[[#This Row],[% of water sources passed]]="no test",WWWW[[#This Row],[% Household passed]]="no test"),"No Test","Tested")</f>
        <v>No Test</v>
      </c>
      <c r="CH287" s="930">
        <f>WWWW[[#This Row],['#_Constructed/existing protected hand dug well]]-WWWW[[#This Row],['#_Non-functional protected hand dug well]]</f>
        <v>0</v>
      </c>
      <c r="CI287" s="930">
        <f>(WWWW[[#This Row],['#_Constructed/Existing tube wells/boreholes/handpumps_WASH_agency]]+WWWW[[#This Row],['#_Non-Cluster partner water tube-wells/boreholes/handpumps]])-WWWW[[#This Row],['#_Non-functional tube wells/boreholes/handpumps]]</f>
        <v>0</v>
      </c>
      <c r="CJ287" s="930">
        <f>WWWW[[#This Row],['#_Constructed/Existingwater storage tank with gravity fed reticulation system]]-WWWW[[#This Row],['#_Non-functional storage tank gravity fed reticulation system]]</f>
        <v>8</v>
      </c>
      <c r="CK287" s="930">
        <f>(WWWW[[#This Row],['#_Water_Liters_supplied_by_Water boating or water trucking]]/90)/15</f>
        <v>0</v>
      </c>
      <c r="CL287" s="930">
        <f>WWWW[[#This Row],['#_Water_Liters_from_Constructed/Existing water distribution system from river or natural spring]]/90/15</f>
        <v>0</v>
      </c>
      <c r="CM287" s="425">
        <f>IF(WWWW[[#This Row],['#_of water points in TLS/CFS]]*500&gt;WWWW[[#This Row],[Total PoP ]],WWWW[[#This Row],[Total PoP ]],WWWW[[#This Row],['#_of water points in TLS/CFS]]*500)</f>
        <v>221</v>
      </c>
      <c r="CN287" s="425">
        <f>IF(WWWW[[#This Row],['#_of water points in THF]]*500&gt;WWWW[[#This Row],[Total PoP ]],WWWW[[#This Row],[Total PoP ]],WWWW[[#This Row],['#_of water points in THF]]*500)</f>
        <v>0</v>
      </c>
      <c r="CO28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7" s="929">
        <f>IF(WWWW[[#This Row],[Location Type 1]]="Village",WWWW[[#This Row],[Access to safe drinking water for Village]],WWWW[[#This Row],[Access to safe drinking water for Camp]])</f>
        <v>1</v>
      </c>
      <c r="CR287" s="927">
        <f>WWWW[[#This Row],[%Equitable and continuous access to sufficient quantity of safe drinking water]]*WWWW[[#This Row],[Total PoP ]]</f>
        <v>221</v>
      </c>
      <c r="CS287" s="929">
        <f>IF((WWWW[[#This Row],['#_Constructed/Existing protected/fenced ponds]]*250)/WWWW[[#This Row],[Total PoP ]]&gt;1,1,(WWWW[[#This Row],['#_Constructed/Existing protected/fenced ponds]]*250)/WWWW[[#This Row],[Total PoP ]])</f>
        <v>0</v>
      </c>
      <c r="CT287" s="927">
        <f>WWWW[[#This Row],[% Access to unimproved water points]]*WWWW[[#This Row],[Total PoP ]]</f>
        <v>0</v>
      </c>
      <c r="CU28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287" s="927">
        <f>WWWW[[#This Row],[HRP1]]/500</f>
        <v>0.442</v>
      </c>
      <c r="CX287" s="932">
        <f>1-WWWW[[#This Row],[% Equitable and continuous access to sufficient quantity of domestic water]]</f>
        <v>0</v>
      </c>
      <c r="CY287" s="927">
        <f>WWWW[[#This Row],[%equitable and continuous access to sufficient quantity of safe drinking and domestic water''s GAP]]*WWWW[[#This Row],[Total PoP ]]</f>
        <v>0</v>
      </c>
      <c r="CZ287" s="930">
        <f>IF(WWWW[[#This Row],[Total required water points]]-WWWW[[#This Row],['#Water points coverage]]&lt;0,0,WWWW[[#This Row],[Total required water points]]-WWWW[[#This Row],['#Water points coverage]])</f>
        <v>0.55800000000000005</v>
      </c>
      <c r="DA287" s="930">
        <f>ROUND(IF(WWWW[[#This Row],[Total PoP ]]&lt;500,1,WWWW[[#This Row],[Total PoP ]]/500),0)</f>
        <v>1</v>
      </c>
      <c r="DB287" s="930">
        <f>(WWWW[[#This Row],['#_Constructed latrines_by_WASHAgencies]]+WWWW[[#This Row],['#_Non Cluster partner latrines]])-WWWW[[#This Row],['#_Non-functional latrines]]</f>
        <v>37</v>
      </c>
      <c r="DC287" s="634">
        <f>WWWW[[#This Row],[HRP2]]/WWWW[[#This Row],[Total PoP ]]</f>
        <v>1</v>
      </c>
      <c r="DD28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221</v>
      </c>
      <c r="DE28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7" s="425">
        <f>IF(WWWW[[#This Row],['# of functional latrines in THF supported by WASH partners during the reporting period2]]="",0,WWWW[[#This Row],['# of functional latrines in THF supported by WASH partners during the reporting period2]]*50)</f>
        <v>0</v>
      </c>
      <c r="DH287" s="930">
        <f>ROUND(IF(WWWW[[#This Row],[Location Type 1]]="camp",WWWW[[#This Row],[Total PoP ]]/20,IF(WWWW[[#This Row],[Location Type 1]]="Temporary Location",WWWW[[#This Row],[Total PoP ]]/50,(WWWW[[#This Row],[Total PoP ]]/6))),0)</f>
        <v>11</v>
      </c>
      <c r="DI287" s="930">
        <f>IF(WWWW[[#This Row],[Total required Latrines]]-(WWWW[[#This Row],['#_Constructed latrines_by_WASHAgencies]]+WWWW[[#This Row],['#_Non Cluster partner latrines]])&lt;0,0,WWWW[[#This Row],[Total required Latrines]]-(WWWW[[#This Row],['#_Constructed latrines_by_WASHAgencies]]+WWWW[[#This Row],['#_Non Cluster partner latrines]]))</f>
        <v>0</v>
      </c>
      <c r="DJ287" s="932">
        <f>1-WWWW[[#This Row],[% people access to functioning Latrine]]</f>
        <v>0</v>
      </c>
      <c r="DK287" s="931">
        <f>IF(OR(WWWW[[#This Row],['#_Non-functional latrines]]="",WWWW[[#This Row],['#_Non-functional latrines]]=0),0,WWWW[[#This Row],['#_Non-functional latrines]]/(WWWW[[#This Row],['#_Constructed latrines_by_WASHAgencies]]+WWWW[[#This Row],['#_Non Cluster partner latrines]]))</f>
        <v>0</v>
      </c>
      <c r="DL287" s="927">
        <f>IF(500*(WWWW[[#This Row],['#_male hygiene promoters]]+WWWW[[#This Row],['#_female hygiene promoters]])&gt;WWWW[[#This Row],[Total PoP ]],WWWW[[#This Row],[Total PoP ]],500*(WWWW[[#This Row],['#_male hygiene promoters]]+WWWW[[#This Row],['#_female hygiene promoters]]))</f>
        <v>221</v>
      </c>
      <c r="DM28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7" s="930">
        <f>IF(WWWW[[#This Row],['# People with access to soap]]&gt;WWWW[[#This Row],['# People with access to Sanity Pads]],WWWW[[#This Row],['# People with access to soap]],WWWW[[#This Row],['# People with access to Sanity Pads]])</f>
        <v>0</v>
      </c>
      <c r="DP287" s="930">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287" s="932">
        <f>IF(WWWW[[#This Row],[HRP3]]/WWWW[[#This Row],[Total PoP ]]&gt;1,1,WWWW[[#This Row],[HRP3]]/WWWW[[#This Row],[Total PoP ]])</f>
        <v>1</v>
      </c>
      <c r="DR287" s="931">
        <f>1-WWWW[[#This Row],[Hygiene Coverage%]]</f>
        <v>0</v>
      </c>
      <c r="DS287" s="929">
        <f>WWWW[[#This Row],['# people reached by regular dedicated hygiene promotion_5]]/WWWW[[#This Row],[Total PoP ]]</f>
        <v>1</v>
      </c>
      <c r="DT28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7" s="930">
        <f>WWWW[[#This Row],['#_Constructed/Existing hand washing stations]]-WWWW[[#This Row],['#_Non-Functional_hand_washing_stations]]</f>
        <v>7</v>
      </c>
      <c r="DW287" s="927">
        <f>IF(WWWW[[#This Row],['# Functional hand washing stations during reporting period]]*20&gt;WWWW[[#This Row],[Total HH]],WWWW[[#This Row],[Total HH]],WWWW[[#This Row],['# Functional hand washing stations during reporting period]]*20)</f>
        <v>45</v>
      </c>
      <c r="DX287" s="927">
        <f>IF(WWWW[[#This Row],[Is sufficient soap available for TLS? (Yes/No)]]="yes",WWWW[[#This Row],['#_Constructed/Existing hand washing stations at TLS/CFS/THF]],0)</f>
        <v>2</v>
      </c>
      <c r="DY287" s="429">
        <f>IF(WWWW[[#This Row],['# Functional hand washing stations during reporting period]]*100&gt;WWWW[[#This Row],[Total PoP ]],WWWW[[#This Row],[Total PoP ]],WWWW[[#This Row],['# Functional hand washing stations during reporting period]]*100)</f>
        <v>221</v>
      </c>
      <c r="DZ287" s="429" t="str">
        <f>IF(OR(WWWW[[#This Row],['#_students at TLS_CFS]]="",WWWW[[#This Row],['#_students at TLS_CFS]]=0),"No","Yes")</f>
        <v>No</v>
      </c>
      <c r="EA28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D28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7" s="923" t="str">
        <f>VLOOKUP(WWWW[[#This Row],[Site Name]],SiteDB6[[Site Name]:[CCCM Management]],6,FALSE)</f>
        <v>Yes</v>
      </c>
      <c r="EF287" s="923" t="str">
        <f>VLOOKUP(WWWW[[#This Row],[Site Name]],SiteDB6[[Site Name]:[CCCM Focal Agency]],7,FALSE)</f>
        <v>KMSS-LSO</v>
      </c>
      <c r="EG287" s="923" t="str">
        <f>VLOOKUP(WWWW[[#This Row],[Site Name]],SiteDB6[[Site Name]:[Location Type 1]],9,FALSE)</f>
        <v>Camp</v>
      </c>
      <c r="EH287" s="923" t="str">
        <f>VLOOKUP(WWWW[[#This Row],[Site Name]],SiteDB6[[Site Name]:[Type of Accommodation]],10,FALSE)</f>
        <v>Camp</v>
      </c>
      <c r="EI287" s="923" t="str">
        <f>VLOOKUP(WWWW[[#This Row],[Site Name]],SiteDB6[[Site Name]:[Ethnic or GCA/NGCA]],11,FALSE)</f>
        <v>GCA</v>
      </c>
      <c r="EJ287" s="923">
        <f>VLOOKUP(WWWW[[#This Row],[Site Name]],SiteDB6[[Site Name]:[Lat]],12,FALSE)</f>
        <v>23.59</v>
      </c>
      <c r="EK287" s="923">
        <f>VLOOKUP(WWWW[[#This Row],[Site Name]],SiteDB6[[Site Name]:[Long]],13,FALSE)</f>
        <v>97.805999999999997</v>
      </c>
      <c r="EL287" s="923" t="str">
        <f>VLOOKUP(WWWW[[#This Row],[Site Name]],SiteDB6[[Site Name]:[Pcode]],3,FALSE)</f>
        <v>MMR015CMP067</v>
      </c>
      <c r="EM287" s="928" t="str">
        <f t="shared" si="4"/>
        <v>Covered</v>
      </c>
      <c r="EN287" s="928"/>
      <c r="EO287" s="923">
        <f>VLOOKUP(WWWW[[#This Row],[Site Name]],SiteDB6[[Site Name]:[Pop
(Kachin/Shan-CCCM as of July 2021)]],16,FALSE)</f>
        <v>47</v>
      </c>
      <c r="EP287" s="923">
        <f>VLOOKUP(WWWW[[#This Row],[Site Name]],SiteDB6[[Site Name]:[Pop
(Kachin/Shan-CCCM as of July 2021)]],17,FALSE)</f>
        <v>230</v>
      </c>
    </row>
    <row r="288" spans="1:146" hidden="1">
      <c r="A288" s="921" t="s">
        <v>2786</v>
      </c>
      <c r="B288" s="921" t="s">
        <v>192</v>
      </c>
      <c r="C288" s="922" t="s">
        <v>192</v>
      </c>
      <c r="D288" s="922" t="s">
        <v>2695</v>
      </c>
      <c r="E288" s="922" t="s">
        <v>515</v>
      </c>
      <c r="F288" s="922" t="s">
        <v>519</v>
      </c>
      <c r="G288" s="594" t="str">
        <f>VLOOKUP(WWWW[[#This Row],[Site Name]],SiteDB6[[Site Name]:[Location Type]],8,FALSE)</f>
        <v>Camp</v>
      </c>
      <c r="H288" s="922" t="s">
        <v>538</v>
      </c>
      <c r="I288" s="924">
        <v>209</v>
      </c>
      <c r="J288" s="924">
        <v>1101</v>
      </c>
      <c r="K288" s="925" t="s">
        <v>2789</v>
      </c>
      <c r="L288" s="926" t="s">
        <v>2790</v>
      </c>
      <c r="M288" s="924"/>
      <c r="N288" s="924">
        <v>2</v>
      </c>
      <c r="O288" s="924"/>
      <c r="P288" s="924"/>
      <c r="Q288" s="927" t="s">
        <v>41</v>
      </c>
      <c r="R288" s="924">
        <v>5</v>
      </c>
      <c r="S288" s="924">
        <v>4</v>
      </c>
      <c r="T288" s="449">
        <v>2</v>
      </c>
      <c r="U288" s="924"/>
      <c r="V288" s="924"/>
      <c r="W288" s="924">
        <v>1</v>
      </c>
      <c r="X288" s="924"/>
      <c r="Y288" s="924"/>
      <c r="Z288" s="924"/>
      <c r="AA288" s="924">
        <v>48</v>
      </c>
      <c r="AB288" s="924"/>
      <c r="AC288" s="924"/>
      <c r="AD288" s="924"/>
      <c r="AE288" s="924"/>
      <c r="AF288" s="924"/>
      <c r="AG288" s="924"/>
      <c r="AH288" s="924">
        <v>1</v>
      </c>
      <c r="AI288" s="924"/>
      <c r="AJ288" s="924"/>
      <c r="AK288" s="924"/>
      <c r="AL288" s="924"/>
      <c r="AM288" s="924"/>
      <c r="AN288" s="924">
        <v>2</v>
      </c>
      <c r="AO288" s="449"/>
      <c r="AP288" s="928"/>
      <c r="AQ288" s="924">
        <v>200</v>
      </c>
      <c r="AR288" s="924">
        <v>5</v>
      </c>
      <c r="AS288" s="929"/>
      <c r="AT288" s="924"/>
      <c r="AU288" s="924"/>
      <c r="AV288" s="924"/>
      <c r="AW288" s="924"/>
      <c r="AX288" s="924">
        <v>18</v>
      </c>
      <c r="AY288" s="923" t="s">
        <v>136</v>
      </c>
      <c r="AZ288" s="928" t="s">
        <v>136</v>
      </c>
      <c r="BA288" s="924"/>
      <c r="BB288" s="924"/>
      <c r="BC288" s="924">
        <v>2</v>
      </c>
      <c r="BD288" s="449"/>
      <c r="BE288" s="449"/>
      <c r="BF288" s="923"/>
      <c r="BG288" s="449">
        <v>2</v>
      </c>
      <c r="BH288" s="924"/>
      <c r="BI288" s="924"/>
      <c r="BJ288" s="924">
        <v>5</v>
      </c>
      <c r="BK288" s="924"/>
      <c r="BL288" s="924"/>
      <c r="BM288" s="924">
        <v>1</v>
      </c>
      <c r="BN288" s="924"/>
      <c r="BO288" s="924"/>
      <c r="BP288" s="426" t="s">
        <v>41</v>
      </c>
      <c r="BQ288" s="930"/>
      <c r="BR288" s="424">
        <v>1</v>
      </c>
      <c r="BS288" s="923"/>
      <c r="BT288" s="424"/>
      <c r="BU288" s="424"/>
      <c r="BV288" s="426"/>
      <c r="BW288" s="424"/>
      <c r="BX288" s="449"/>
      <c r="BY288" s="449"/>
      <c r="BZ288" s="449"/>
      <c r="CA288" s="449"/>
      <c r="CB288" s="449"/>
      <c r="CC288" s="807"/>
      <c r="CD288" s="449"/>
      <c r="CE288" s="931" t="str">
        <f>IFERROR(WWWW[[#This Row],['#_Water sources passed]]/WWWW[[#This Row],['#_Water sources tested for fecal coliform ]],"no test")</f>
        <v>no test</v>
      </c>
      <c r="CF288" s="929" t="str">
        <f>IFERROR(WWWW[[#This Row],['#_Household passed]]/WWWW[[#This Row],['#_Household water samples tested for fecal coliform]],"no test")</f>
        <v>no test</v>
      </c>
      <c r="CG288" s="930" t="str">
        <f>IF(AND(WWWW[[#This Row],[% of water sources passed]]="no test",WWWW[[#This Row],[% Household passed]]="no test"),"No Test","Tested")</f>
        <v>No Test</v>
      </c>
      <c r="CH288" s="930">
        <f>WWWW[[#This Row],['#_Constructed/existing protected hand dug well]]-WWWW[[#This Row],['#_Non-functional protected hand dug well]]</f>
        <v>2</v>
      </c>
      <c r="CI288" s="930">
        <f>(WWWW[[#This Row],['#_Constructed/Existing tube wells/boreholes/handpumps_WASH_agency]]+WWWW[[#This Row],['#_Non-Cluster partner water tube-wells/boreholes/handpumps]])-WWWW[[#This Row],['#_Non-functional tube wells/boreholes/handpumps]]</f>
        <v>1</v>
      </c>
      <c r="CJ288" s="930">
        <f>WWWW[[#This Row],['#_Constructed/Existingwater storage tank with gravity fed reticulation system]]-WWWW[[#This Row],['#_Non-functional storage tank gravity fed reticulation system]]</f>
        <v>48</v>
      </c>
      <c r="CK288" s="930">
        <f>(WWWW[[#This Row],['#_Water_Liters_supplied_by_Water boating or water trucking]]/90)/15</f>
        <v>0</v>
      </c>
      <c r="CL288" s="930">
        <f>WWWW[[#This Row],['#_Water_Liters_from_Constructed/Existing water distribution system from river or natural spring]]/90/15</f>
        <v>0</v>
      </c>
      <c r="CM288" s="425">
        <f>IF(WWWW[[#This Row],['#_of water points in TLS/CFS]]*500&gt;WWWW[[#This Row],[Total PoP ]],WWWW[[#This Row],[Total PoP ]],WWWW[[#This Row],['#_of water points in TLS/CFS]]*500)</f>
        <v>1000</v>
      </c>
      <c r="CN288" s="425">
        <f>IF(WWWW[[#This Row],['#_of water points in THF]]*500&gt;WWWW[[#This Row],[Total PoP ]],WWWW[[#This Row],[Total PoP ]],WWWW[[#This Row],['#_of water points in THF]]*500)</f>
        <v>0</v>
      </c>
      <c r="CO28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8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88" s="929">
        <f>IF(WWWW[[#This Row],[Location Type 1]]="Village",WWWW[[#This Row],[Access to safe drinking water for Village]],WWWW[[#This Row],[Access to safe drinking water for Camp]])</f>
        <v>1</v>
      </c>
      <c r="CR288" s="927">
        <f>WWWW[[#This Row],[%Equitable and continuous access to sufficient quantity of safe drinking water]]*WWWW[[#This Row],[Total PoP ]]</f>
        <v>1101</v>
      </c>
      <c r="CS288" s="929">
        <f>IF((WWWW[[#This Row],['#_Constructed/Existing protected/fenced ponds]]*250)/WWWW[[#This Row],[Total PoP ]]&gt;1,1,(WWWW[[#This Row],['#_Constructed/Existing protected/fenced ponds]]*250)/WWWW[[#This Row],[Total PoP ]])</f>
        <v>0</v>
      </c>
      <c r="CT288" s="927">
        <f>WWWW[[#This Row],[% Access to unimproved water points]]*WWWW[[#This Row],[Total PoP ]]</f>
        <v>0</v>
      </c>
      <c r="CU28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8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W288" s="927">
        <f>WWWW[[#This Row],[HRP1]]/500</f>
        <v>2.202</v>
      </c>
      <c r="CX288" s="932">
        <f>1-WWWW[[#This Row],[% Equitable and continuous access to sufficient quantity of domestic water]]</f>
        <v>0</v>
      </c>
      <c r="CY288" s="927">
        <f>WWWW[[#This Row],[%equitable and continuous access to sufficient quantity of safe drinking and domestic water''s GAP]]*WWWW[[#This Row],[Total PoP ]]</f>
        <v>0</v>
      </c>
      <c r="CZ288" s="930">
        <f>IF(WWWW[[#This Row],[Total required water points]]-WWWW[[#This Row],['#Water points coverage]]&lt;0,0,WWWW[[#This Row],[Total required water points]]-WWWW[[#This Row],['#Water points coverage]])</f>
        <v>0</v>
      </c>
      <c r="DA288" s="930">
        <f>ROUND(IF(WWWW[[#This Row],[Total PoP ]]&lt;500,1,WWWW[[#This Row],[Total PoP ]]/500),0)</f>
        <v>2</v>
      </c>
      <c r="DB288" s="930">
        <f>(WWWW[[#This Row],['#_Constructed latrines_by_WASHAgencies]]+WWWW[[#This Row],['#_Non Cluster partner latrines]])-WWWW[[#This Row],['#_Non-functional latrines]]</f>
        <v>205</v>
      </c>
      <c r="DC288" s="634">
        <f>WWWW[[#This Row],[HRP2]]/WWWW[[#This Row],[Total PoP ]]</f>
        <v>0.93097184377838327</v>
      </c>
      <c r="DD28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1025</v>
      </c>
      <c r="DE28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8" s="425">
        <f>IF(WWWW[[#This Row],['# of functional latrines in THF supported by WASH partners during the reporting period2]]="",0,WWWW[[#This Row],['# of functional latrines in THF supported by WASH partners during the reporting period2]]*50)</f>
        <v>0</v>
      </c>
      <c r="DH288" s="930">
        <f>ROUND(IF(WWWW[[#This Row],[Location Type 1]]="camp",WWWW[[#This Row],[Total PoP ]]/20,IF(WWWW[[#This Row],[Location Type 1]]="Temporary Location",WWWW[[#This Row],[Total PoP ]]/50,(WWWW[[#This Row],[Total PoP ]]/6))),0)</f>
        <v>184</v>
      </c>
      <c r="DI288" s="930">
        <f>IF(WWWW[[#This Row],[Total required Latrines]]-(WWWW[[#This Row],['#_Constructed latrines_by_WASHAgencies]]+WWWW[[#This Row],['#_Non Cluster partner latrines]])&lt;0,0,WWWW[[#This Row],[Total required Latrines]]-(WWWW[[#This Row],['#_Constructed latrines_by_WASHAgencies]]+WWWW[[#This Row],['#_Non Cluster partner latrines]]))</f>
        <v>0</v>
      </c>
      <c r="DJ288" s="932">
        <f>1-WWWW[[#This Row],[% people access to functioning Latrine]]</f>
        <v>6.9028156221616732E-2</v>
      </c>
      <c r="DK288" s="931">
        <f>IF(OR(WWWW[[#This Row],['#_Non-functional latrines]]="",WWWW[[#This Row],['#_Non-functional latrines]]=0),0,WWWW[[#This Row],['#_Non-functional latrines]]/(WWWW[[#This Row],['#_Constructed latrines_by_WASHAgencies]]+WWWW[[#This Row],['#_Non Cluster partner latrines]]))</f>
        <v>0</v>
      </c>
      <c r="DL288" s="927">
        <f>IF(500*(WWWW[[#This Row],['#_male hygiene promoters]]+WWWW[[#This Row],['#_female hygiene promoters]])&gt;WWWW[[#This Row],[Total PoP ]],WWWW[[#This Row],[Total PoP ]],500*(WWWW[[#This Row],['#_male hygiene promoters]]+WWWW[[#This Row],['#_female hygiene promoters]]))</f>
        <v>500</v>
      </c>
      <c r="DM28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8" s="930">
        <f>IF(WWWW[[#This Row],['# People with access to soap]]&gt;WWWW[[#This Row],['# People with access to Sanity Pads]],WWWW[[#This Row],['# People with access to soap]],WWWW[[#This Row],['# People with access to Sanity Pads]])</f>
        <v>0</v>
      </c>
      <c r="DP288"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88" s="932">
        <f>IF(WWWW[[#This Row],[HRP3]]/WWWW[[#This Row],[Total PoP ]]&gt;1,1,WWWW[[#This Row],[HRP3]]/WWWW[[#This Row],[Total PoP ]])</f>
        <v>0.45413260672116257</v>
      </c>
      <c r="DR288" s="931">
        <f>1-WWWW[[#This Row],[Hygiene Coverage%]]</f>
        <v>0.54586739327883738</v>
      </c>
      <c r="DS288" s="929">
        <f>WWWW[[#This Row],['# people reached by regular dedicated hygiene promotion_5]]/WWWW[[#This Row],[Total PoP ]]</f>
        <v>0.45413260672116257</v>
      </c>
      <c r="DT28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8" s="930">
        <f>WWWW[[#This Row],['#_Constructed/Existing hand washing stations]]-WWWW[[#This Row],['#_Non-Functional_hand_washing_stations]]</f>
        <v>2</v>
      </c>
      <c r="DW288" s="927">
        <f>IF(WWWW[[#This Row],['# Functional hand washing stations during reporting period]]*20&gt;WWWW[[#This Row],[Total HH]],WWWW[[#This Row],[Total HH]],WWWW[[#This Row],['# Functional hand washing stations during reporting period]]*20)</f>
        <v>40</v>
      </c>
      <c r="DX288" s="927">
        <f>IF(WWWW[[#This Row],[Is sufficient soap available for TLS? (Yes/No)]]="yes",WWWW[[#This Row],['#_Constructed/Existing hand washing stations at TLS/CFS/THF]],0)</f>
        <v>0</v>
      </c>
      <c r="DY288" s="429">
        <f>IF(WWWW[[#This Row],['# Functional hand washing stations during reporting period]]*100&gt;WWWW[[#This Row],[Total PoP ]],WWWW[[#This Row],[Total PoP ]],WWWW[[#This Row],['# Functional hand washing stations during reporting period]]*100)</f>
        <v>200</v>
      </c>
      <c r="DZ288" s="429" t="str">
        <f>IF(OR(WWWW[[#This Row],['#_students at TLS_CFS]]="",WWWW[[#This Row],['#_students at TLS_CFS]]=0),"No","Yes")</f>
        <v>No</v>
      </c>
      <c r="EA28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28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8" s="923" t="str">
        <f>VLOOKUP(WWWW[[#This Row],[Site Name]],SiteDB6[[Site Name]:[CCCM Management]],6,FALSE)</f>
        <v>Yes</v>
      </c>
      <c r="EF288" s="923" t="str">
        <f>VLOOKUP(WWWW[[#This Row],[Site Name]],SiteDB6[[Site Name]:[CCCM Focal Agency]],7,FALSE)</f>
        <v>KBC-NSS</v>
      </c>
      <c r="EG288" s="923" t="str">
        <f>VLOOKUP(WWWW[[#This Row],[Site Name]],SiteDB6[[Site Name]:[Location Type 1]],9,FALSE)</f>
        <v>Village Type Camp</v>
      </c>
      <c r="EH288" s="923" t="str">
        <f>VLOOKUP(WWWW[[#This Row],[Site Name]],SiteDB6[[Site Name]:[Type of Accommodation]],10,FALSE)</f>
        <v>Camp</v>
      </c>
      <c r="EI288" s="923" t="str">
        <f>VLOOKUP(WWWW[[#This Row],[Site Name]],SiteDB6[[Site Name]:[Ethnic or GCA/NGCA]],11,FALSE)</f>
        <v>GCA</v>
      </c>
      <c r="EJ288" s="923">
        <f>VLOOKUP(WWWW[[#This Row],[Site Name]],SiteDB6[[Site Name]:[Lat]],12,FALSE)</f>
        <v>23.38503</v>
      </c>
      <c r="EK288" s="923">
        <f>VLOOKUP(WWWW[[#This Row],[Site Name]],SiteDB6[[Site Name]:[Long]],13,FALSE)</f>
        <v>97.837040000000002</v>
      </c>
      <c r="EL288" s="923" t="str">
        <f>VLOOKUP(WWWW[[#This Row],[Site Name]],SiteDB6[[Site Name]:[Pcode]],3,FALSE)</f>
        <v>MMR015CMP020</v>
      </c>
      <c r="EM288" s="928" t="str">
        <f t="shared" si="4"/>
        <v>Covered</v>
      </c>
      <c r="EN288" s="928"/>
      <c r="EO288" s="923">
        <f>VLOOKUP(WWWW[[#This Row],[Site Name]],SiteDB6[[Site Name]:[Pop
(Kachin/Shan-CCCM as of July 2021)]],16,FALSE)</f>
        <v>209</v>
      </c>
      <c r="EP288" s="923">
        <f>VLOOKUP(WWWW[[#This Row],[Site Name]],SiteDB6[[Site Name]:[Pop
(Kachin/Shan-CCCM as of July 2021)]],17,FALSE)</f>
        <v>1084</v>
      </c>
    </row>
    <row r="289" spans="1:146" hidden="1">
      <c r="A289" s="921" t="s">
        <v>2786</v>
      </c>
      <c r="B289" s="921" t="s">
        <v>192</v>
      </c>
      <c r="C289" s="921" t="s">
        <v>192</v>
      </c>
      <c r="D289" s="922" t="s">
        <v>241</v>
      </c>
      <c r="E289" s="922" t="s">
        <v>515</v>
      </c>
      <c r="F289" s="922" t="s">
        <v>960</v>
      </c>
      <c r="G289" s="923" t="str">
        <f>VLOOKUP(WWWW[[#This Row],[Site Name]],SiteDB6[[Site Name]:[Location Type]],8,FALSE)</f>
        <v>Camp</v>
      </c>
      <c r="H289" s="922" t="s">
        <v>3004</v>
      </c>
      <c r="I289" s="924">
        <v>11</v>
      </c>
      <c r="J289" s="924">
        <v>40</v>
      </c>
      <c r="K289" s="925">
        <v>44511</v>
      </c>
      <c r="L289" s="926">
        <v>44845</v>
      </c>
      <c r="M289" s="924"/>
      <c r="N289" s="924"/>
      <c r="O289" s="924"/>
      <c r="P289" s="924"/>
      <c r="Q289" s="927"/>
      <c r="R289" s="924"/>
      <c r="S289" s="924"/>
      <c r="T289" s="449"/>
      <c r="U289" s="924"/>
      <c r="V289" s="924"/>
      <c r="W289" s="924"/>
      <c r="X289" s="924"/>
      <c r="Y289" s="924"/>
      <c r="Z289" s="924"/>
      <c r="AA289" s="924"/>
      <c r="AB289" s="924"/>
      <c r="AC289" s="924"/>
      <c r="AD289" s="924"/>
      <c r="AE289" s="924"/>
      <c r="AF289" s="924"/>
      <c r="AG289" s="924"/>
      <c r="AH289" s="924"/>
      <c r="AI289" s="924"/>
      <c r="AJ289" s="924"/>
      <c r="AK289" s="924"/>
      <c r="AL289" s="924"/>
      <c r="AM289" s="924"/>
      <c r="AN289" s="924"/>
      <c r="AO289" s="449"/>
      <c r="AP289" s="928"/>
      <c r="AQ289" s="952"/>
      <c r="AR289" s="952">
        <v>3</v>
      </c>
      <c r="AS289" s="953"/>
      <c r="AT289" s="924"/>
      <c r="AU289" s="924"/>
      <c r="AV289" s="924"/>
      <c r="AW289" s="924"/>
      <c r="AX289" s="924"/>
      <c r="AY289" s="426" t="s">
        <v>140</v>
      </c>
      <c r="AZ289" s="426" t="s">
        <v>140</v>
      </c>
      <c r="BA289" s="924"/>
      <c r="BB289" s="924"/>
      <c r="BC289" s="924"/>
      <c r="BD289" s="449"/>
      <c r="BE289" s="449"/>
      <c r="BF289" s="923"/>
      <c r="BG289" s="952"/>
      <c r="BH289" s="924"/>
      <c r="BI289" s="924"/>
      <c r="BJ289" s="924"/>
      <c r="BK289" s="924"/>
      <c r="BL289" s="924"/>
      <c r="BM289" s="924"/>
      <c r="BN289" s="924"/>
      <c r="BO289" s="924"/>
      <c r="BP289" s="426" t="s">
        <v>41</v>
      </c>
      <c r="BQ289" s="930"/>
      <c r="BR289" s="929"/>
      <c r="BS289" s="923"/>
      <c r="BT289" s="424"/>
      <c r="BU289" s="424"/>
      <c r="BV289" s="426"/>
      <c r="BW289" s="424"/>
      <c r="BX289" s="449"/>
      <c r="BY289" s="449"/>
      <c r="BZ289" s="449"/>
      <c r="CA289" s="449"/>
      <c r="CB289" s="449"/>
      <c r="CC289" s="807"/>
      <c r="CD289" s="449"/>
      <c r="CE289" s="931" t="str">
        <f>IFERROR(WWWW[[#This Row],['#_Water sources passed]]/WWWW[[#This Row],['#_Water sources tested for fecal coliform ]],"no test")</f>
        <v>no test</v>
      </c>
      <c r="CF289" s="929" t="str">
        <f>IFERROR(WWWW[[#This Row],['#_Household passed]]/WWWW[[#This Row],['#_Household water samples tested for fecal coliform]],"no test")</f>
        <v>no test</v>
      </c>
      <c r="CG289" s="930" t="str">
        <f>IF(AND(WWWW[[#This Row],[% of water sources passed]]="no test",WWWW[[#This Row],[% Household passed]]="no test"),"No Test","Tested")</f>
        <v>No Test</v>
      </c>
      <c r="CH289" s="930">
        <f>WWWW[[#This Row],['#_Constructed/existing protected hand dug well]]-WWWW[[#This Row],['#_Non-functional protected hand dug well]]</f>
        <v>0</v>
      </c>
      <c r="CI289" s="930">
        <f>(WWWW[[#This Row],['#_Constructed/Existing tube wells/boreholes/handpumps_WASH_agency]]+WWWW[[#This Row],['#_Non-Cluster partner water tube-wells/boreholes/handpumps]])-WWWW[[#This Row],['#_Non-functional tube wells/boreholes/handpumps]]</f>
        <v>0</v>
      </c>
      <c r="CJ289" s="930">
        <f>WWWW[[#This Row],['#_Constructed/Existingwater storage tank with gravity fed reticulation system]]-WWWW[[#This Row],['#_Non-functional storage tank gravity fed reticulation system]]</f>
        <v>0</v>
      </c>
      <c r="CK289" s="930">
        <f>(WWWW[[#This Row],['#_Water_Liters_supplied_by_Water boating or water trucking]]/90)/15</f>
        <v>0</v>
      </c>
      <c r="CL289" s="930">
        <f>WWWW[[#This Row],['#_Water_Liters_from_Constructed/Existing water distribution system from river or natural spring]]/90/15</f>
        <v>0</v>
      </c>
      <c r="CM289" s="425">
        <f>IF(WWWW[[#This Row],['#_of water points in TLS/CFS]]*500&gt;WWWW[[#This Row],[Total PoP ]],WWWW[[#This Row],[Total PoP ]],WWWW[[#This Row],['#_of water points in TLS/CFS]]*500)</f>
        <v>0</v>
      </c>
      <c r="CN289" s="425">
        <f>IF(WWWW[[#This Row],['#_of water points in THF]]*500&gt;WWWW[[#This Row],[Total PoP ]],WWWW[[#This Row],[Total PoP ]],WWWW[[#This Row],['#_of water points in THF]]*500)</f>
        <v>0</v>
      </c>
      <c r="CO28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8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89" s="929">
        <f>IF(WWWW[[#This Row],[Location Type 1]]="Village",WWWW[[#This Row],[Access to safe drinking water for Village]],WWWW[[#This Row],[Access to safe drinking water for Camp]])</f>
        <v>0</v>
      </c>
      <c r="CR289" s="927">
        <f>WWWW[[#This Row],[%Equitable and continuous access to sufficient quantity of safe drinking water]]*WWWW[[#This Row],[Total PoP ]]</f>
        <v>0</v>
      </c>
      <c r="CS289" s="929">
        <f>IF((WWWW[[#This Row],['#_Constructed/Existing protected/fenced ponds]]*250)/WWWW[[#This Row],[Total PoP ]]&gt;1,1,(WWWW[[#This Row],['#_Constructed/Existing protected/fenced ponds]]*250)/WWWW[[#This Row],[Total PoP ]])</f>
        <v>0</v>
      </c>
      <c r="CT289" s="927">
        <f>WWWW[[#This Row],[% Access to unimproved water points]]*WWWW[[#This Row],[Total PoP ]]</f>
        <v>0</v>
      </c>
      <c r="CU28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8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89" s="927">
        <f>WWWW[[#This Row],[HRP1]]/500</f>
        <v>0</v>
      </c>
      <c r="CX289" s="932">
        <f>1-WWWW[[#This Row],[% Equitable and continuous access to sufficient quantity of domestic water]]</f>
        <v>1</v>
      </c>
      <c r="CY289" s="927">
        <f>WWWW[[#This Row],[%equitable and continuous access to sufficient quantity of safe drinking and domestic water''s GAP]]*WWWW[[#This Row],[Total PoP ]]</f>
        <v>40</v>
      </c>
      <c r="CZ289" s="930">
        <f>IF(WWWW[[#This Row],[Total required water points]]-WWWW[[#This Row],['#Water points coverage]]&lt;0,0,WWWW[[#This Row],[Total required water points]]-WWWW[[#This Row],['#Water points coverage]])</f>
        <v>1</v>
      </c>
      <c r="DA289" s="930">
        <f>ROUND(IF(WWWW[[#This Row],[Total PoP ]]&lt;500,1,WWWW[[#This Row],[Total PoP ]]/500),0)</f>
        <v>1</v>
      </c>
      <c r="DB289" s="930">
        <f>(WWWW[[#This Row],['#_Constructed latrines_by_WASHAgencies]]+WWWW[[#This Row],['#_Non Cluster partner latrines]])-WWWW[[#This Row],['#_Non-functional latrines]]</f>
        <v>3</v>
      </c>
      <c r="DC289" s="634">
        <f>WWWW[[#This Row],[HRP2]]/WWWW[[#This Row],[Total PoP ]]</f>
        <v>1</v>
      </c>
      <c r="DD28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28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8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89" s="425">
        <f>IF(WWWW[[#This Row],['# of functional latrines in THF supported by WASH partners during the reporting period2]]="",0,WWWW[[#This Row],['# of functional latrines in THF supported by WASH partners during the reporting period2]]*50)</f>
        <v>0</v>
      </c>
      <c r="DH289" s="930">
        <f>ROUND(IF(WWWW[[#This Row],[Location Type 1]]="camp",WWWW[[#This Row],[Total PoP ]]/20,IF(WWWW[[#This Row],[Location Type 1]]="Temporary Location",WWWW[[#This Row],[Total PoP ]]/50,(WWWW[[#This Row],[Total PoP ]]/6))),0)</f>
        <v>2</v>
      </c>
      <c r="DI289" s="930">
        <f>IF(WWWW[[#This Row],[Total required Latrines]]-(WWWW[[#This Row],['#_Constructed latrines_by_WASHAgencies]]+WWWW[[#This Row],['#_Non Cluster partner latrines]])&lt;0,0,WWWW[[#This Row],[Total required Latrines]]-(WWWW[[#This Row],['#_Constructed latrines_by_WASHAgencies]]+WWWW[[#This Row],['#_Non Cluster partner latrines]]))</f>
        <v>0</v>
      </c>
      <c r="DJ289" s="932">
        <f>1-WWWW[[#This Row],[% people access to functioning Latrine]]</f>
        <v>0</v>
      </c>
      <c r="DK289" s="931">
        <f>IF(OR(WWWW[[#This Row],['#_Non-functional latrines]]="",WWWW[[#This Row],['#_Non-functional latrines]]=0),0,WWWW[[#This Row],['#_Non-functional latrines]]/(WWWW[[#This Row],['#_Constructed latrines_by_WASHAgencies]]+WWWW[[#This Row],['#_Non Cluster partner latrines]]))</f>
        <v>0</v>
      </c>
      <c r="DL289" s="927">
        <f>IF(500*(WWWW[[#This Row],['#_male hygiene promoters]]+WWWW[[#This Row],['#_female hygiene promoters]])&gt;WWWW[[#This Row],[Total PoP ]],WWWW[[#This Row],[Total PoP ]],500*(WWWW[[#This Row],['#_male hygiene promoters]]+WWWW[[#This Row],['#_female hygiene promoters]]))</f>
        <v>0</v>
      </c>
      <c r="DM28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8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89" s="930">
        <f>IF(WWWW[[#This Row],['# People with access to soap]]&gt;WWWW[[#This Row],['# People with access to Sanity Pads]],WWWW[[#This Row],['# People with access to soap]],WWWW[[#This Row],['# People with access to Sanity Pads]])</f>
        <v>0</v>
      </c>
      <c r="DP28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89" s="932">
        <f>IF(WWWW[[#This Row],[HRP3]]/WWWW[[#This Row],[Total PoP ]]&gt;1,1,WWWW[[#This Row],[HRP3]]/WWWW[[#This Row],[Total PoP ]])</f>
        <v>0</v>
      </c>
      <c r="DR289" s="931">
        <f>1-WWWW[[#This Row],[Hygiene Coverage%]]</f>
        <v>1</v>
      </c>
      <c r="DS289" s="929">
        <f>WWWW[[#This Row],['# people reached by regular dedicated hygiene promotion_5]]/WWWW[[#This Row],[Total PoP ]]</f>
        <v>0</v>
      </c>
      <c r="DT28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8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89" s="930">
        <f>WWWW[[#This Row],['#_Constructed/Existing hand washing stations]]-WWWW[[#This Row],['#_Non-Functional_hand_washing_stations]]</f>
        <v>0</v>
      </c>
      <c r="DW289" s="927">
        <f>IF(WWWW[[#This Row],['# Functional hand washing stations during reporting period]]*20&gt;WWWW[[#This Row],[Total HH]],WWWW[[#This Row],[Total HH]],WWWW[[#This Row],['# Functional hand washing stations during reporting period]]*20)</f>
        <v>0</v>
      </c>
      <c r="DX289" s="927">
        <f>IF(WWWW[[#This Row],[Is sufficient soap available for TLS? (Yes/No)]]="yes",WWWW[[#This Row],['#_Constructed/Existing hand washing stations at TLS/CFS/THF]],0)</f>
        <v>0</v>
      </c>
      <c r="DY289" s="429">
        <f>IF(WWWW[[#This Row],['# Functional hand washing stations during reporting period]]*100&gt;WWWW[[#This Row],[Total PoP ]],WWWW[[#This Row],[Total PoP ]],WWWW[[#This Row],['# Functional hand washing stations during reporting period]]*100)</f>
        <v>0</v>
      </c>
      <c r="DZ289" s="429" t="str">
        <f>IF(OR(WWWW[[#This Row],['#_students at TLS_CFS]]="",WWWW[[#This Row],['#_students at TLS_CFS]]=0),"No","Yes")</f>
        <v>No</v>
      </c>
      <c r="EA28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8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8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8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89" s="923">
        <f>VLOOKUP(WWWW[[#This Row],[Site Name]],SiteDB6[[Site Name]:[CCCM Management]],6,FALSE)</f>
        <v>0</v>
      </c>
      <c r="EF289" s="923">
        <f>VLOOKUP(WWWW[[#This Row],[Site Name]],SiteDB6[[Site Name]:[CCCM Focal Agency]],7,FALSE)</f>
        <v>0</v>
      </c>
      <c r="EG289" s="923" t="str">
        <f>VLOOKUP(WWWW[[#This Row],[Site Name]],SiteDB6[[Site Name]:[Location Type 1]],9,FALSE)</f>
        <v>Camp</v>
      </c>
      <c r="EH289" s="923" t="str">
        <f>VLOOKUP(WWWW[[#This Row],[Site Name]],SiteDB6[[Site Name]:[Type of Accommodation]],10,FALSE)</f>
        <v>Camp like setting</v>
      </c>
      <c r="EI289" s="923" t="str">
        <f>VLOOKUP(WWWW[[#This Row],[Site Name]],SiteDB6[[Site Name]:[Ethnic or GCA/NGCA]],11,FALSE)</f>
        <v>GCA</v>
      </c>
      <c r="EJ289" s="923">
        <f>VLOOKUP(WWWW[[#This Row],[Site Name]],SiteDB6[[Site Name]:[Lat]],12,FALSE)</f>
        <v>0</v>
      </c>
      <c r="EK289" s="923">
        <f>VLOOKUP(WWWW[[#This Row],[Site Name]],SiteDB6[[Site Name]:[Long]],13,FALSE)</f>
        <v>0</v>
      </c>
      <c r="EL289" s="923" t="str">
        <f>VLOOKUP(WWWW[[#This Row],[Site Name]],SiteDB6[[Site Name]:[Pcode]],3,FALSE)</f>
        <v>MMR015CMP077</v>
      </c>
      <c r="EM289" s="928" t="str">
        <f t="shared" si="4"/>
        <v>Covered</v>
      </c>
      <c r="EN289" s="928"/>
      <c r="EO289" s="923">
        <f>VLOOKUP(WWWW[[#This Row],[Site Name]],SiteDB6[[Site Name]:[Pop
(Kachin/Shan-CCCM as of July 2021)]],16,FALSE)</f>
        <v>11</v>
      </c>
      <c r="EP289" s="923">
        <f>VLOOKUP(WWWW[[#This Row],[Site Name]],SiteDB6[[Site Name]:[Pop
(Kachin/Shan-CCCM as of July 2021)]],17,FALSE)</f>
        <v>40</v>
      </c>
    </row>
    <row r="290" spans="1:146" hidden="1">
      <c r="A290" s="921" t="s">
        <v>2786</v>
      </c>
      <c r="B290" s="921" t="s">
        <v>192</v>
      </c>
      <c r="C290" s="921" t="s">
        <v>192</v>
      </c>
      <c r="D290" s="922" t="s">
        <v>241</v>
      </c>
      <c r="E290" s="922" t="s">
        <v>515</v>
      </c>
      <c r="F290" s="922" t="s">
        <v>960</v>
      </c>
      <c r="G290" s="923" t="str">
        <f>VLOOKUP(WWWW[[#This Row],[Site Name]],SiteDB6[[Site Name]:[Location Type]],8,FALSE)</f>
        <v>Camp</v>
      </c>
      <c r="H290" s="922" t="s">
        <v>3005</v>
      </c>
      <c r="I290" s="924">
        <v>9</v>
      </c>
      <c r="J290" s="924">
        <v>28</v>
      </c>
      <c r="K290" s="925">
        <v>44511</v>
      </c>
      <c r="L290" s="926">
        <v>44845</v>
      </c>
      <c r="M290" s="924"/>
      <c r="N290" s="924"/>
      <c r="O290" s="924"/>
      <c r="P290" s="924"/>
      <c r="Q290" s="927"/>
      <c r="R290" s="924"/>
      <c r="S290" s="924"/>
      <c r="T290" s="449"/>
      <c r="U290" s="924"/>
      <c r="V290" s="924"/>
      <c r="W290" s="924"/>
      <c r="X290" s="924"/>
      <c r="Y290" s="924"/>
      <c r="Z290" s="924"/>
      <c r="AA290" s="924"/>
      <c r="AB290" s="924"/>
      <c r="AC290" s="924"/>
      <c r="AD290" s="924"/>
      <c r="AE290" s="924"/>
      <c r="AF290" s="924"/>
      <c r="AG290" s="924"/>
      <c r="AH290" s="924"/>
      <c r="AI290" s="924"/>
      <c r="AJ290" s="924"/>
      <c r="AK290" s="924"/>
      <c r="AL290" s="924"/>
      <c r="AM290" s="924"/>
      <c r="AN290" s="924"/>
      <c r="AO290" s="449"/>
      <c r="AP290" s="928"/>
      <c r="AQ290" s="952"/>
      <c r="AR290" s="952">
        <v>6</v>
      </c>
      <c r="AS290" s="953"/>
      <c r="AT290" s="924"/>
      <c r="AU290" s="924"/>
      <c r="AV290" s="924"/>
      <c r="AW290" s="924"/>
      <c r="AX290" s="924"/>
      <c r="AY290" s="426" t="s">
        <v>140</v>
      </c>
      <c r="AZ290" s="426" t="s">
        <v>140</v>
      </c>
      <c r="BA290" s="924"/>
      <c r="BB290" s="924"/>
      <c r="BC290" s="924"/>
      <c r="BD290" s="449"/>
      <c r="BE290" s="449"/>
      <c r="BF290" s="923"/>
      <c r="BG290" s="952"/>
      <c r="BH290" s="924"/>
      <c r="BI290" s="924"/>
      <c r="BJ290" s="924"/>
      <c r="BK290" s="924"/>
      <c r="BL290" s="924"/>
      <c r="BM290" s="924"/>
      <c r="BN290" s="924"/>
      <c r="BO290" s="924"/>
      <c r="BP290" s="426" t="s">
        <v>41</v>
      </c>
      <c r="BQ290" s="930"/>
      <c r="BR290" s="929"/>
      <c r="BS290" s="923"/>
      <c r="BT290" s="424"/>
      <c r="BU290" s="424"/>
      <c r="BV290" s="426"/>
      <c r="BW290" s="424"/>
      <c r="BX290" s="449"/>
      <c r="BY290" s="449"/>
      <c r="BZ290" s="449"/>
      <c r="CA290" s="449"/>
      <c r="CB290" s="449"/>
      <c r="CC290" s="807"/>
      <c r="CD290" s="449"/>
      <c r="CE290" s="931" t="str">
        <f>IFERROR(WWWW[[#This Row],['#_Water sources passed]]/WWWW[[#This Row],['#_Water sources tested for fecal coliform ]],"no test")</f>
        <v>no test</v>
      </c>
      <c r="CF290" s="929" t="str">
        <f>IFERROR(WWWW[[#This Row],['#_Household passed]]/WWWW[[#This Row],['#_Household water samples tested for fecal coliform]],"no test")</f>
        <v>no test</v>
      </c>
      <c r="CG290" s="930" t="str">
        <f>IF(AND(WWWW[[#This Row],[% of water sources passed]]="no test",WWWW[[#This Row],[% Household passed]]="no test"),"No Test","Tested")</f>
        <v>No Test</v>
      </c>
      <c r="CH290" s="930">
        <f>WWWW[[#This Row],['#_Constructed/existing protected hand dug well]]-WWWW[[#This Row],['#_Non-functional protected hand dug well]]</f>
        <v>0</v>
      </c>
      <c r="CI290" s="930">
        <f>(WWWW[[#This Row],['#_Constructed/Existing tube wells/boreholes/handpumps_WASH_agency]]+WWWW[[#This Row],['#_Non-Cluster partner water tube-wells/boreholes/handpumps]])-WWWW[[#This Row],['#_Non-functional tube wells/boreholes/handpumps]]</f>
        <v>0</v>
      </c>
      <c r="CJ290" s="930">
        <f>WWWW[[#This Row],['#_Constructed/Existingwater storage tank with gravity fed reticulation system]]-WWWW[[#This Row],['#_Non-functional storage tank gravity fed reticulation system]]</f>
        <v>0</v>
      </c>
      <c r="CK290" s="930">
        <f>(WWWW[[#This Row],['#_Water_Liters_supplied_by_Water boating or water trucking]]/90)/15</f>
        <v>0</v>
      </c>
      <c r="CL290" s="930">
        <f>WWWW[[#This Row],['#_Water_Liters_from_Constructed/Existing water distribution system from river or natural spring]]/90/15</f>
        <v>0</v>
      </c>
      <c r="CM290" s="425">
        <f>IF(WWWW[[#This Row],['#_of water points in TLS/CFS]]*500&gt;WWWW[[#This Row],[Total PoP ]],WWWW[[#This Row],[Total PoP ]],WWWW[[#This Row],['#_of water points in TLS/CFS]]*500)</f>
        <v>0</v>
      </c>
      <c r="CN290" s="425">
        <f>IF(WWWW[[#This Row],['#_of water points in THF]]*500&gt;WWWW[[#This Row],[Total PoP ]],WWWW[[#This Row],[Total PoP ]],WWWW[[#This Row],['#_of water points in THF]]*500)</f>
        <v>0</v>
      </c>
      <c r="CO29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0" s="929">
        <f>IF(WWWW[[#This Row],[Location Type 1]]="Village",WWWW[[#This Row],[Access to safe drinking water for Village]],WWWW[[#This Row],[Access to safe drinking water for Camp]])</f>
        <v>0</v>
      </c>
      <c r="CR290" s="927">
        <f>WWWW[[#This Row],[%Equitable and continuous access to sufficient quantity of safe drinking water]]*WWWW[[#This Row],[Total PoP ]]</f>
        <v>0</v>
      </c>
      <c r="CS290" s="929">
        <f>IF((WWWW[[#This Row],['#_Constructed/Existing protected/fenced ponds]]*250)/WWWW[[#This Row],[Total PoP ]]&gt;1,1,(WWWW[[#This Row],['#_Constructed/Existing protected/fenced ponds]]*250)/WWWW[[#This Row],[Total PoP ]])</f>
        <v>0</v>
      </c>
      <c r="CT290" s="927">
        <f>WWWW[[#This Row],[% Access to unimproved water points]]*WWWW[[#This Row],[Total PoP ]]</f>
        <v>0</v>
      </c>
      <c r="CU29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0" s="927">
        <f>WWWW[[#This Row],[HRP1]]/500</f>
        <v>0</v>
      </c>
      <c r="CX290" s="932">
        <f>1-WWWW[[#This Row],[% Equitable and continuous access to sufficient quantity of domestic water]]</f>
        <v>1</v>
      </c>
      <c r="CY290" s="927">
        <f>WWWW[[#This Row],[%equitable and continuous access to sufficient quantity of safe drinking and domestic water''s GAP]]*WWWW[[#This Row],[Total PoP ]]</f>
        <v>28</v>
      </c>
      <c r="CZ290" s="930">
        <f>IF(WWWW[[#This Row],[Total required water points]]-WWWW[[#This Row],['#Water points coverage]]&lt;0,0,WWWW[[#This Row],[Total required water points]]-WWWW[[#This Row],['#Water points coverage]])</f>
        <v>1</v>
      </c>
      <c r="DA290" s="930">
        <f>ROUND(IF(WWWW[[#This Row],[Total PoP ]]&lt;500,1,WWWW[[#This Row],[Total PoP ]]/500),0)</f>
        <v>1</v>
      </c>
      <c r="DB290" s="930">
        <f>(WWWW[[#This Row],['#_Constructed latrines_by_WASHAgencies]]+WWWW[[#This Row],['#_Non Cluster partner latrines]])-WWWW[[#This Row],['#_Non-functional latrines]]</f>
        <v>6</v>
      </c>
      <c r="DC290" s="634">
        <f>WWWW[[#This Row],[HRP2]]/WWWW[[#This Row],[Total PoP ]]</f>
        <v>1</v>
      </c>
      <c r="DD29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28</v>
      </c>
      <c r="DE29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0" s="425">
        <f>IF(WWWW[[#This Row],['# of functional latrines in THF supported by WASH partners during the reporting period2]]="",0,WWWW[[#This Row],['# of functional latrines in THF supported by WASH partners during the reporting period2]]*50)</f>
        <v>0</v>
      </c>
      <c r="DH290" s="930">
        <f>ROUND(IF(WWWW[[#This Row],[Location Type 1]]="camp",WWWW[[#This Row],[Total PoP ]]/20,IF(WWWW[[#This Row],[Location Type 1]]="Temporary Location",WWWW[[#This Row],[Total PoP ]]/50,(WWWW[[#This Row],[Total PoP ]]/6))),0)</f>
        <v>1</v>
      </c>
      <c r="DI290" s="930">
        <f>IF(WWWW[[#This Row],[Total required Latrines]]-(WWWW[[#This Row],['#_Constructed latrines_by_WASHAgencies]]+WWWW[[#This Row],['#_Non Cluster partner latrines]])&lt;0,0,WWWW[[#This Row],[Total required Latrines]]-(WWWW[[#This Row],['#_Constructed latrines_by_WASHAgencies]]+WWWW[[#This Row],['#_Non Cluster partner latrines]]))</f>
        <v>0</v>
      </c>
      <c r="DJ290" s="932">
        <f>1-WWWW[[#This Row],[% people access to functioning Latrine]]</f>
        <v>0</v>
      </c>
      <c r="DK290" s="931">
        <f>IF(OR(WWWW[[#This Row],['#_Non-functional latrines]]="",WWWW[[#This Row],['#_Non-functional latrines]]=0),0,WWWW[[#This Row],['#_Non-functional latrines]]/(WWWW[[#This Row],['#_Constructed latrines_by_WASHAgencies]]+WWWW[[#This Row],['#_Non Cluster partner latrines]]))</f>
        <v>0</v>
      </c>
      <c r="DL290" s="927">
        <f>IF(500*(WWWW[[#This Row],['#_male hygiene promoters]]+WWWW[[#This Row],['#_female hygiene promoters]])&gt;WWWW[[#This Row],[Total PoP ]],WWWW[[#This Row],[Total PoP ]],500*(WWWW[[#This Row],['#_male hygiene promoters]]+WWWW[[#This Row],['#_female hygiene promoters]]))</f>
        <v>0</v>
      </c>
      <c r="DM29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0" s="930">
        <f>IF(WWWW[[#This Row],['# People with access to soap]]&gt;WWWW[[#This Row],['# People with access to Sanity Pads]],WWWW[[#This Row],['# People with access to soap]],WWWW[[#This Row],['# People with access to Sanity Pads]])</f>
        <v>0</v>
      </c>
      <c r="DP29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0" s="932">
        <f>IF(WWWW[[#This Row],[HRP3]]/WWWW[[#This Row],[Total PoP ]]&gt;1,1,WWWW[[#This Row],[HRP3]]/WWWW[[#This Row],[Total PoP ]])</f>
        <v>0</v>
      </c>
      <c r="DR290" s="931">
        <f>1-WWWW[[#This Row],[Hygiene Coverage%]]</f>
        <v>1</v>
      </c>
      <c r="DS290" s="929">
        <f>WWWW[[#This Row],['# people reached by regular dedicated hygiene promotion_5]]/WWWW[[#This Row],[Total PoP ]]</f>
        <v>0</v>
      </c>
      <c r="DT29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0" s="930">
        <f>WWWW[[#This Row],['#_Constructed/Existing hand washing stations]]-WWWW[[#This Row],['#_Non-Functional_hand_washing_stations]]</f>
        <v>0</v>
      </c>
      <c r="DW290" s="927">
        <f>IF(WWWW[[#This Row],['# Functional hand washing stations during reporting period]]*20&gt;WWWW[[#This Row],[Total HH]],WWWW[[#This Row],[Total HH]],WWWW[[#This Row],['# Functional hand washing stations during reporting period]]*20)</f>
        <v>0</v>
      </c>
      <c r="DX290" s="927">
        <f>IF(WWWW[[#This Row],[Is sufficient soap available for TLS? (Yes/No)]]="yes",WWWW[[#This Row],['#_Constructed/Existing hand washing stations at TLS/CFS/THF]],0)</f>
        <v>0</v>
      </c>
      <c r="DY290" s="429">
        <f>IF(WWWW[[#This Row],['# Functional hand washing stations during reporting period]]*100&gt;WWWW[[#This Row],[Total PoP ]],WWWW[[#This Row],[Total PoP ]],WWWW[[#This Row],['# Functional hand washing stations during reporting period]]*100)</f>
        <v>0</v>
      </c>
      <c r="DZ290" s="429" t="str">
        <f>IF(OR(WWWW[[#This Row],['#_students at TLS_CFS]]="",WWWW[[#This Row],['#_students at TLS_CFS]]=0),"No","Yes")</f>
        <v>No</v>
      </c>
      <c r="EA29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0" s="923">
        <f>VLOOKUP(WWWW[[#This Row],[Site Name]],SiteDB6[[Site Name]:[CCCM Management]],6,FALSE)</f>
        <v>0</v>
      </c>
      <c r="EF290" s="923">
        <f>VLOOKUP(WWWW[[#This Row],[Site Name]],SiteDB6[[Site Name]:[CCCM Focal Agency]],7,FALSE)</f>
        <v>0</v>
      </c>
      <c r="EG290" s="923" t="str">
        <f>VLOOKUP(WWWW[[#This Row],[Site Name]],SiteDB6[[Site Name]:[Location Type 1]],9,FALSE)</f>
        <v>Camp</v>
      </c>
      <c r="EH290" s="923" t="str">
        <f>VLOOKUP(WWWW[[#This Row],[Site Name]],SiteDB6[[Site Name]:[Type of Accommodation]],10,FALSE)</f>
        <v>Camp like setting</v>
      </c>
      <c r="EI290" s="923" t="str">
        <f>VLOOKUP(WWWW[[#This Row],[Site Name]],SiteDB6[[Site Name]:[Ethnic or GCA/NGCA]],11,FALSE)</f>
        <v>GCA</v>
      </c>
      <c r="EJ290" s="923">
        <f>VLOOKUP(WWWW[[#This Row],[Site Name]],SiteDB6[[Site Name]:[Lat]],12,FALSE)</f>
        <v>0</v>
      </c>
      <c r="EK290" s="923">
        <f>VLOOKUP(WWWW[[#This Row],[Site Name]],SiteDB6[[Site Name]:[Long]],13,FALSE)</f>
        <v>0</v>
      </c>
      <c r="EL290" s="923" t="str">
        <f>VLOOKUP(WWWW[[#This Row],[Site Name]],SiteDB6[[Site Name]:[Pcode]],3,FALSE)</f>
        <v>MMR015CMP078</v>
      </c>
      <c r="EM290" s="928" t="str">
        <f t="shared" si="4"/>
        <v>Covered</v>
      </c>
      <c r="EN290" s="928"/>
      <c r="EO290" s="923">
        <f>VLOOKUP(WWWW[[#This Row],[Site Name]],SiteDB6[[Site Name]:[Pop
(Kachin/Shan-CCCM as of July 2021)]],16,FALSE)</f>
        <v>9</v>
      </c>
      <c r="EP290" s="923">
        <f>VLOOKUP(WWWW[[#This Row],[Site Name]],SiteDB6[[Site Name]:[Pop
(Kachin/Shan-CCCM as of July 2021)]],17,FALSE)</f>
        <v>28</v>
      </c>
    </row>
    <row r="291" spans="1:146" hidden="1">
      <c r="A291" s="921" t="s">
        <v>2786</v>
      </c>
      <c r="B291" s="921" t="s">
        <v>192</v>
      </c>
      <c r="C291" s="921" t="s">
        <v>192</v>
      </c>
      <c r="D291" s="922" t="s">
        <v>241</v>
      </c>
      <c r="E291" s="922" t="s">
        <v>515</v>
      </c>
      <c r="F291" s="922" t="s">
        <v>960</v>
      </c>
      <c r="G291" s="923" t="str">
        <f>VLOOKUP(WWWW[[#This Row],[Site Name]],SiteDB6[[Site Name]:[Location Type]],8,FALSE)</f>
        <v>Camp</v>
      </c>
      <c r="H291" s="922" t="s">
        <v>3006</v>
      </c>
      <c r="I291" s="924">
        <v>14</v>
      </c>
      <c r="J291" s="924">
        <v>31</v>
      </c>
      <c r="K291" s="925">
        <v>44511</v>
      </c>
      <c r="L291" s="926">
        <v>44845</v>
      </c>
      <c r="M291" s="924"/>
      <c r="N291" s="924"/>
      <c r="O291" s="924"/>
      <c r="P291" s="924"/>
      <c r="Q291" s="927"/>
      <c r="R291" s="924"/>
      <c r="S291" s="924"/>
      <c r="T291" s="449"/>
      <c r="U291" s="924"/>
      <c r="V291" s="924"/>
      <c r="W291" s="924"/>
      <c r="X291" s="924"/>
      <c r="Y291" s="924"/>
      <c r="Z291" s="924"/>
      <c r="AA291" s="924"/>
      <c r="AB291" s="924"/>
      <c r="AC291" s="924"/>
      <c r="AD291" s="924"/>
      <c r="AE291" s="924"/>
      <c r="AF291" s="924"/>
      <c r="AG291" s="924"/>
      <c r="AH291" s="924"/>
      <c r="AI291" s="924"/>
      <c r="AJ291" s="924"/>
      <c r="AK291" s="924"/>
      <c r="AL291" s="924"/>
      <c r="AM291" s="924"/>
      <c r="AN291" s="924"/>
      <c r="AO291" s="449"/>
      <c r="AP291" s="928"/>
      <c r="AQ291" s="952"/>
      <c r="AR291" s="952">
        <v>4</v>
      </c>
      <c r="AS291" s="953"/>
      <c r="AT291" s="924"/>
      <c r="AU291" s="924"/>
      <c r="AV291" s="924"/>
      <c r="AW291" s="924"/>
      <c r="AX291" s="924"/>
      <c r="AY291" s="426" t="s">
        <v>140</v>
      </c>
      <c r="AZ291" s="426" t="s">
        <v>140</v>
      </c>
      <c r="BA291" s="924"/>
      <c r="BB291" s="924"/>
      <c r="BC291" s="924"/>
      <c r="BD291" s="449"/>
      <c r="BE291" s="449"/>
      <c r="BF291" s="923"/>
      <c r="BG291" s="952"/>
      <c r="BH291" s="924"/>
      <c r="BI291" s="924"/>
      <c r="BJ291" s="924"/>
      <c r="BK291" s="924"/>
      <c r="BL291" s="924"/>
      <c r="BM291" s="924"/>
      <c r="BN291" s="924"/>
      <c r="BO291" s="924"/>
      <c r="BP291" s="426" t="s">
        <v>41</v>
      </c>
      <c r="BQ291" s="930"/>
      <c r="BR291" s="929"/>
      <c r="BS291" s="923"/>
      <c r="BT291" s="424"/>
      <c r="BU291" s="424"/>
      <c r="BV291" s="426"/>
      <c r="BW291" s="424"/>
      <c r="BX291" s="449"/>
      <c r="BY291" s="449"/>
      <c r="BZ291" s="449"/>
      <c r="CA291" s="449"/>
      <c r="CB291" s="449"/>
      <c r="CC291" s="807"/>
      <c r="CD291" s="449"/>
      <c r="CE291" s="931" t="str">
        <f>IFERROR(WWWW[[#This Row],['#_Water sources passed]]/WWWW[[#This Row],['#_Water sources tested for fecal coliform ]],"no test")</f>
        <v>no test</v>
      </c>
      <c r="CF291" s="929" t="str">
        <f>IFERROR(WWWW[[#This Row],['#_Household passed]]/WWWW[[#This Row],['#_Household water samples tested for fecal coliform]],"no test")</f>
        <v>no test</v>
      </c>
      <c r="CG291" s="930" t="str">
        <f>IF(AND(WWWW[[#This Row],[% of water sources passed]]="no test",WWWW[[#This Row],[% Household passed]]="no test"),"No Test","Tested")</f>
        <v>No Test</v>
      </c>
      <c r="CH291" s="930">
        <f>WWWW[[#This Row],['#_Constructed/existing protected hand dug well]]-WWWW[[#This Row],['#_Non-functional protected hand dug well]]</f>
        <v>0</v>
      </c>
      <c r="CI291" s="930">
        <f>(WWWW[[#This Row],['#_Constructed/Existing tube wells/boreholes/handpumps_WASH_agency]]+WWWW[[#This Row],['#_Non-Cluster partner water tube-wells/boreholes/handpumps]])-WWWW[[#This Row],['#_Non-functional tube wells/boreholes/handpumps]]</f>
        <v>0</v>
      </c>
      <c r="CJ291" s="930">
        <f>WWWW[[#This Row],['#_Constructed/Existingwater storage tank with gravity fed reticulation system]]-WWWW[[#This Row],['#_Non-functional storage tank gravity fed reticulation system]]</f>
        <v>0</v>
      </c>
      <c r="CK291" s="930">
        <f>(WWWW[[#This Row],['#_Water_Liters_supplied_by_Water boating or water trucking]]/90)/15</f>
        <v>0</v>
      </c>
      <c r="CL291" s="930">
        <f>WWWW[[#This Row],['#_Water_Liters_from_Constructed/Existing water distribution system from river or natural spring]]/90/15</f>
        <v>0</v>
      </c>
      <c r="CM291" s="425">
        <f>IF(WWWW[[#This Row],['#_of water points in TLS/CFS]]*500&gt;WWWW[[#This Row],[Total PoP ]],WWWW[[#This Row],[Total PoP ]],WWWW[[#This Row],['#_of water points in TLS/CFS]]*500)</f>
        <v>0</v>
      </c>
      <c r="CN291" s="425">
        <f>IF(WWWW[[#This Row],['#_of water points in THF]]*500&gt;WWWW[[#This Row],[Total PoP ]],WWWW[[#This Row],[Total PoP ]],WWWW[[#This Row],['#_of water points in THF]]*500)</f>
        <v>0</v>
      </c>
      <c r="CO29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1" s="929">
        <f>IF(WWWW[[#This Row],[Location Type 1]]="Village",WWWW[[#This Row],[Access to safe drinking water for Village]],WWWW[[#This Row],[Access to safe drinking water for Camp]])</f>
        <v>0</v>
      </c>
      <c r="CR291" s="927">
        <f>WWWW[[#This Row],[%Equitable and continuous access to sufficient quantity of safe drinking water]]*WWWW[[#This Row],[Total PoP ]]</f>
        <v>0</v>
      </c>
      <c r="CS291" s="929">
        <f>IF((WWWW[[#This Row],['#_Constructed/Existing protected/fenced ponds]]*250)/WWWW[[#This Row],[Total PoP ]]&gt;1,1,(WWWW[[#This Row],['#_Constructed/Existing protected/fenced ponds]]*250)/WWWW[[#This Row],[Total PoP ]])</f>
        <v>0</v>
      </c>
      <c r="CT291" s="927">
        <f>WWWW[[#This Row],[% Access to unimproved water points]]*WWWW[[#This Row],[Total PoP ]]</f>
        <v>0</v>
      </c>
      <c r="CU29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1" s="927">
        <f>WWWW[[#This Row],[HRP1]]/500</f>
        <v>0</v>
      </c>
      <c r="CX291" s="932">
        <f>1-WWWW[[#This Row],[% Equitable and continuous access to sufficient quantity of domestic water]]</f>
        <v>1</v>
      </c>
      <c r="CY291" s="927">
        <f>WWWW[[#This Row],[%equitable and continuous access to sufficient quantity of safe drinking and domestic water''s GAP]]*WWWW[[#This Row],[Total PoP ]]</f>
        <v>31</v>
      </c>
      <c r="CZ291" s="930">
        <f>IF(WWWW[[#This Row],[Total required water points]]-WWWW[[#This Row],['#Water points coverage]]&lt;0,0,WWWW[[#This Row],[Total required water points]]-WWWW[[#This Row],['#Water points coverage]])</f>
        <v>1</v>
      </c>
      <c r="DA291" s="930">
        <f>ROUND(IF(WWWW[[#This Row],[Total PoP ]]&lt;500,1,WWWW[[#This Row],[Total PoP ]]/500),0)</f>
        <v>1</v>
      </c>
      <c r="DB291" s="930">
        <f>(WWWW[[#This Row],['#_Constructed latrines_by_WASHAgencies]]+WWWW[[#This Row],['#_Non Cluster partner latrines]])-WWWW[[#This Row],['#_Non-functional latrines]]</f>
        <v>4</v>
      </c>
      <c r="DC291" s="634">
        <f>WWWW[[#This Row],[HRP2]]/WWWW[[#This Row],[Total PoP ]]</f>
        <v>1</v>
      </c>
      <c r="DD29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29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1" s="425">
        <f>IF(WWWW[[#This Row],['# of functional latrines in THF supported by WASH partners during the reporting period2]]="",0,WWWW[[#This Row],['# of functional latrines in THF supported by WASH partners during the reporting period2]]*50)</f>
        <v>0</v>
      </c>
      <c r="DH291" s="930">
        <f>ROUND(IF(WWWW[[#This Row],[Location Type 1]]="camp",WWWW[[#This Row],[Total PoP ]]/20,IF(WWWW[[#This Row],[Location Type 1]]="Temporary Location",WWWW[[#This Row],[Total PoP ]]/50,(WWWW[[#This Row],[Total PoP ]]/6))),0)</f>
        <v>2</v>
      </c>
      <c r="DI291" s="930">
        <f>IF(WWWW[[#This Row],[Total required Latrines]]-(WWWW[[#This Row],['#_Constructed latrines_by_WASHAgencies]]+WWWW[[#This Row],['#_Non Cluster partner latrines]])&lt;0,0,WWWW[[#This Row],[Total required Latrines]]-(WWWW[[#This Row],['#_Constructed latrines_by_WASHAgencies]]+WWWW[[#This Row],['#_Non Cluster partner latrines]]))</f>
        <v>0</v>
      </c>
      <c r="DJ291" s="932">
        <f>1-WWWW[[#This Row],[% people access to functioning Latrine]]</f>
        <v>0</v>
      </c>
      <c r="DK291" s="931">
        <f>IF(OR(WWWW[[#This Row],['#_Non-functional latrines]]="",WWWW[[#This Row],['#_Non-functional latrines]]=0),0,WWWW[[#This Row],['#_Non-functional latrines]]/(WWWW[[#This Row],['#_Constructed latrines_by_WASHAgencies]]+WWWW[[#This Row],['#_Non Cluster partner latrines]]))</f>
        <v>0</v>
      </c>
      <c r="DL291" s="927">
        <f>IF(500*(WWWW[[#This Row],['#_male hygiene promoters]]+WWWW[[#This Row],['#_female hygiene promoters]])&gt;WWWW[[#This Row],[Total PoP ]],WWWW[[#This Row],[Total PoP ]],500*(WWWW[[#This Row],['#_male hygiene promoters]]+WWWW[[#This Row],['#_female hygiene promoters]]))</f>
        <v>0</v>
      </c>
      <c r="DM29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1" s="930">
        <f>IF(WWWW[[#This Row],['# People with access to soap]]&gt;WWWW[[#This Row],['# People with access to Sanity Pads]],WWWW[[#This Row],['# People with access to soap]],WWWW[[#This Row],['# People with access to Sanity Pads]])</f>
        <v>0</v>
      </c>
      <c r="DP29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1" s="932">
        <f>IF(WWWW[[#This Row],[HRP3]]/WWWW[[#This Row],[Total PoP ]]&gt;1,1,WWWW[[#This Row],[HRP3]]/WWWW[[#This Row],[Total PoP ]])</f>
        <v>0</v>
      </c>
      <c r="DR291" s="931">
        <f>1-WWWW[[#This Row],[Hygiene Coverage%]]</f>
        <v>1</v>
      </c>
      <c r="DS291" s="929">
        <f>WWWW[[#This Row],['# people reached by regular dedicated hygiene promotion_5]]/WWWW[[#This Row],[Total PoP ]]</f>
        <v>0</v>
      </c>
      <c r="DT29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1" s="930">
        <f>WWWW[[#This Row],['#_Constructed/Existing hand washing stations]]-WWWW[[#This Row],['#_Non-Functional_hand_washing_stations]]</f>
        <v>0</v>
      </c>
      <c r="DW291" s="927">
        <f>IF(WWWW[[#This Row],['# Functional hand washing stations during reporting period]]*20&gt;WWWW[[#This Row],[Total HH]],WWWW[[#This Row],[Total HH]],WWWW[[#This Row],['# Functional hand washing stations during reporting period]]*20)</f>
        <v>0</v>
      </c>
      <c r="DX291" s="927">
        <f>IF(WWWW[[#This Row],[Is sufficient soap available for TLS? (Yes/No)]]="yes",WWWW[[#This Row],['#_Constructed/Existing hand washing stations at TLS/CFS/THF]],0)</f>
        <v>0</v>
      </c>
      <c r="DY291" s="429">
        <f>IF(WWWW[[#This Row],['# Functional hand washing stations during reporting period]]*100&gt;WWWW[[#This Row],[Total PoP ]],WWWW[[#This Row],[Total PoP ]],WWWW[[#This Row],['# Functional hand washing stations during reporting period]]*100)</f>
        <v>0</v>
      </c>
      <c r="DZ291" s="429" t="str">
        <f>IF(OR(WWWW[[#This Row],['#_students at TLS_CFS]]="",WWWW[[#This Row],['#_students at TLS_CFS]]=0),"No","Yes")</f>
        <v>No</v>
      </c>
      <c r="EA29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1" s="923">
        <f>VLOOKUP(WWWW[[#This Row],[Site Name]],SiteDB6[[Site Name]:[CCCM Management]],6,FALSE)</f>
        <v>0</v>
      </c>
      <c r="EF291" s="923">
        <f>VLOOKUP(WWWW[[#This Row],[Site Name]],SiteDB6[[Site Name]:[CCCM Focal Agency]],7,FALSE)</f>
        <v>0</v>
      </c>
      <c r="EG291" s="923" t="str">
        <f>VLOOKUP(WWWW[[#This Row],[Site Name]],SiteDB6[[Site Name]:[Location Type 1]],9,FALSE)</f>
        <v>Camp</v>
      </c>
      <c r="EH291" s="923" t="str">
        <f>VLOOKUP(WWWW[[#This Row],[Site Name]],SiteDB6[[Site Name]:[Type of Accommodation]],10,FALSE)</f>
        <v>Camp like setting</v>
      </c>
      <c r="EI291" s="923" t="str">
        <f>VLOOKUP(WWWW[[#This Row],[Site Name]],SiteDB6[[Site Name]:[Ethnic or GCA/NGCA]],11,FALSE)</f>
        <v>GCA</v>
      </c>
      <c r="EJ291" s="923">
        <f>VLOOKUP(WWWW[[#This Row],[Site Name]],SiteDB6[[Site Name]:[Lat]],12,FALSE)</f>
        <v>0</v>
      </c>
      <c r="EK291" s="923">
        <f>VLOOKUP(WWWW[[#This Row],[Site Name]],SiteDB6[[Site Name]:[Long]],13,FALSE)</f>
        <v>0</v>
      </c>
      <c r="EL291" s="923" t="str">
        <f>VLOOKUP(WWWW[[#This Row],[Site Name]],SiteDB6[[Site Name]:[Pcode]],3,FALSE)</f>
        <v>MMR015CMP079</v>
      </c>
      <c r="EM291" s="928" t="str">
        <f t="shared" si="4"/>
        <v>Covered</v>
      </c>
      <c r="EN291" s="928"/>
      <c r="EO291" s="923">
        <f>VLOOKUP(WWWW[[#This Row],[Site Name]],SiteDB6[[Site Name]:[Pop
(Kachin/Shan-CCCM as of July 2021)]],16,FALSE)</f>
        <v>14</v>
      </c>
      <c r="EP291" s="923">
        <f>VLOOKUP(WWWW[[#This Row],[Site Name]],SiteDB6[[Site Name]:[Pop
(Kachin/Shan-CCCM as of July 2021)]],17,FALSE)</f>
        <v>31</v>
      </c>
    </row>
    <row r="292" spans="1:146" hidden="1">
      <c r="A292" s="921" t="s">
        <v>2786</v>
      </c>
      <c r="B292" s="921" t="s">
        <v>192</v>
      </c>
      <c r="C292" s="921" t="s">
        <v>192</v>
      </c>
      <c r="D292" s="922" t="s">
        <v>241</v>
      </c>
      <c r="E292" s="922" t="s">
        <v>515</v>
      </c>
      <c r="F292" s="922" t="s">
        <v>960</v>
      </c>
      <c r="G292" s="923" t="str">
        <f>VLOOKUP(WWWW[[#This Row],[Site Name]],SiteDB6[[Site Name]:[Location Type]],8,FALSE)</f>
        <v>Camp</v>
      </c>
      <c r="H292" s="922" t="s">
        <v>3007</v>
      </c>
      <c r="I292" s="924">
        <v>54</v>
      </c>
      <c r="J292" s="924">
        <v>179</v>
      </c>
      <c r="K292" s="925">
        <v>44511</v>
      </c>
      <c r="L292" s="926">
        <v>44845</v>
      </c>
      <c r="M292" s="924"/>
      <c r="N292" s="924"/>
      <c r="O292" s="924"/>
      <c r="P292" s="924"/>
      <c r="Q292" s="927"/>
      <c r="R292" s="924"/>
      <c r="S292" s="924"/>
      <c r="T292" s="449"/>
      <c r="U292" s="924"/>
      <c r="V292" s="924"/>
      <c r="W292" s="924"/>
      <c r="X292" s="952">
        <v>2</v>
      </c>
      <c r="Y292" s="924"/>
      <c r="Z292" s="924"/>
      <c r="AA292" s="924"/>
      <c r="AB292" s="924"/>
      <c r="AC292" s="924"/>
      <c r="AD292" s="924"/>
      <c r="AE292" s="924"/>
      <c r="AF292" s="924"/>
      <c r="AG292" s="924"/>
      <c r="AH292" s="924"/>
      <c r="AI292" s="924"/>
      <c r="AJ292" s="924"/>
      <c r="AK292" s="924"/>
      <c r="AL292" s="924"/>
      <c r="AM292" s="924"/>
      <c r="AN292" s="924"/>
      <c r="AO292" s="449"/>
      <c r="AP292" s="928"/>
      <c r="AQ292" s="952">
        <v>24</v>
      </c>
      <c r="AR292" s="952">
        <v>6</v>
      </c>
      <c r="AS292" s="953"/>
      <c r="AT292" s="924"/>
      <c r="AU292" s="924"/>
      <c r="AV292" s="924"/>
      <c r="AW292" s="924"/>
      <c r="AX292" s="924"/>
      <c r="AY292" s="426" t="s">
        <v>140</v>
      </c>
      <c r="AZ292" s="426" t="s">
        <v>140</v>
      </c>
      <c r="BA292" s="924"/>
      <c r="BB292" s="924"/>
      <c r="BC292" s="924"/>
      <c r="BD292" s="449"/>
      <c r="BE292" s="449"/>
      <c r="BF292" s="923"/>
      <c r="BG292" s="952">
        <v>20</v>
      </c>
      <c r="BH292" s="924"/>
      <c r="BI292" s="952">
        <v>2</v>
      </c>
      <c r="BJ292" s="924"/>
      <c r="BK292" s="924"/>
      <c r="BL292" s="924"/>
      <c r="BM292" s="924"/>
      <c r="BN292" s="924"/>
      <c r="BO292" s="924"/>
      <c r="BP292" s="426" t="s">
        <v>41</v>
      </c>
      <c r="BQ292" s="930"/>
      <c r="BR292" s="929"/>
      <c r="BS292" s="923"/>
      <c r="BT292" s="424"/>
      <c r="BU292" s="424"/>
      <c r="BV292" s="426"/>
      <c r="BW292" s="424"/>
      <c r="BX292" s="449"/>
      <c r="BY292" s="449"/>
      <c r="BZ292" s="449"/>
      <c r="CA292" s="449"/>
      <c r="CB292" s="449"/>
      <c r="CC292" s="807"/>
      <c r="CD292" s="449"/>
      <c r="CE292" s="931" t="str">
        <f>IFERROR(WWWW[[#This Row],['#_Water sources passed]]/WWWW[[#This Row],['#_Water sources tested for fecal coliform ]],"no test")</f>
        <v>no test</v>
      </c>
      <c r="CF292" s="929" t="str">
        <f>IFERROR(WWWW[[#This Row],['#_Household passed]]/WWWW[[#This Row],['#_Household water samples tested for fecal coliform]],"no test")</f>
        <v>no test</v>
      </c>
      <c r="CG292" s="930" t="str">
        <f>IF(AND(WWWW[[#This Row],[% of water sources passed]]="no test",WWWW[[#This Row],[% Household passed]]="no test"),"No Test","Tested")</f>
        <v>No Test</v>
      </c>
      <c r="CH292" s="930">
        <f>WWWW[[#This Row],['#_Constructed/existing protected hand dug well]]-WWWW[[#This Row],['#_Non-functional protected hand dug well]]</f>
        <v>0</v>
      </c>
      <c r="CI292" s="930">
        <f>(WWWW[[#This Row],['#_Constructed/Existing tube wells/boreholes/handpumps_WASH_agency]]+WWWW[[#This Row],['#_Non-Cluster partner water tube-wells/boreholes/handpumps]])-WWWW[[#This Row],['#_Non-functional tube wells/boreholes/handpumps]]</f>
        <v>2</v>
      </c>
      <c r="CJ292" s="930">
        <f>WWWW[[#This Row],['#_Constructed/Existingwater storage tank with gravity fed reticulation system]]-WWWW[[#This Row],['#_Non-functional storage tank gravity fed reticulation system]]</f>
        <v>0</v>
      </c>
      <c r="CK292" s="930">
        <f>(WWWW[[#This Row],['#_Water_Liters_supplied_by_Water boating or water trucking]]/90)/15</f>
        <v>0</v>
      </c>
      <c r="CL292" s="930">
        <f>WWWW[[#This Row],['#_Water_Liters_from_Constructed/Existing water distribution system from river or natural spring]]/90/15</f>
        <v>0</v>
      </c>
      <c r="CM292" s="425">
        <f>IF(WWWW[[#This Row],['#_of water points in TLS/CFS]]*500&gt;WWWW[[#This Row],[Total PoP ]],WWWW[[#This Row],[Total PoP ]],WWWW[[#This Row],['#_of water points in TLS/CFS]]*500)</f>
        <v>0</v>
      </c>
      <c r="CN292" s="425">
        <f>IF(WWWW[[#This Row],['#_of water points in THF]]*500&gt;WWWW[[#This Row],[Total PoP ]],WWWW[[#This Row],[Total PoP ]],WWWW[[#This Row],['#_of water points in THF]]*500)</f>
        <v>0</v>
      </c>
      <c r="CO29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2" s="929">
        <f>IF(WWWW[[#This Row],[Location Type 1]]="Village",WWWW[[#This Row],[Access to safe drinking water for Village]],WWWW[[#This Row],[Access to safe drinking water for Camp]])</f>
        <v>1</v>
      </c>
      <c r="CR292" s="927">
        <f>WWWW[[#This Row],[%Equitable and continuous access to sufficient quantity of safe drinking water]]*WWWW[[#This Row],[Total PoP ]]</f>
        <v>179</v>
      </c>
      <c r="CS292" s="929">
        <f>IF((WWWW[[#This Row],['#_Constructed/Existing protected/fenced ponds]]*250)/WWWW[[#This Row],[Total PoP ]]&gt;1,1,(WWWW[[#This Row],['#_Constructed/Existing protected/fenced ponds]]*250)/WWWW[[#This Row],[Total PoP ]])</f>
        <v>0</v>
      </c>
      <c r="CT292" s="927">
        <f>WWWW[[#This Row],[% Access to unimproved water points]]*WWWW[[#This Row],[Total PoP ]]</f>
        <v>0</v>
      </c>
      <c r="CU29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W292" s="927">
        <f>WWWW[[#This Row],[HRP1]]/500</f>
        <v>0.35799999999999998</v>
      </c>
      <c r="CX292" s="932">
        <f>1-WWWW[[#This Row],[% Equitable and continuous access to sufficient quantity of domestic water]]</f>
        <v>0</v>
      </c>
      <c r="CY292" s="927">
        <f>WWWW[[#This Row],[%equitable and continuous access to sufficient quantity of safe drinking and domestic water''s GAP]]*WWWW[[#This Row],[Total PoP ]]</f>
        <v>0</v>
      </c>
      <c r="CZ292" s="930">
        <f>IF(WWWW[[#This Row],[Total required water points]]-WWWW[[#This Row],['#Water points coverage]]&lt;0,0,WWWW[[#This Row],[Total required water points]]-WWWW[[#This Row],['#Water points coverage]])</f>
        <v>0.64200000000000002</v>
      </c>
      <c r="DA292" s="930">
        <f>ROUND(IF(WWWW[[#This Row],[Total PoP ]]&lt;500,1,WWWW[[#This Row],[Total PoP ]]/500),0)</f>
        <v>1</v>
      </c>
      <c r="DB292" s="930">
        <f>(WWWW[[#This Row],['#_Constructed latrines_by_WASHAgencies]]+WWWW[[#This Row],['#_Non Cluster partner latrines]])-WWWW[[#This Row],['#_Non-functional latrines]]</f>
        <v>30</v>
      </c>
      <c r="DC292" s="634">
        <f>WWWW[[#This Row],[HRP2]]/WWWW[[#This Row],[Total PoP ]]</f>
        <v>1</v>
      </c>
      <c r="DD29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179</v>
      </c>
      <c r="DE29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2" s="425">
        <f>IF(WWWW[[#This Row],['# of functional latrines in THF supported by WASH partners during the reporting period2]]="",0,WWWW[[#This Row],['# of functional latrines in THF supported by WASH partners during the reporting period2]]*50)</f>
        <v>0</v>
      </c>
      <c r="DH292" s="930">
        <f>ROUND(IF(WWWW[[#This Row],[Location Type 1]]="camp",WWWW[[#This Row],[Total PoP ]]/20,IF(WWWW[[#This Row],[Location Type 1]]="Temporary Location",WWWW[[#This Row],[Total PoP ]]/50,(WWWW[[#This Row],[Total PoP ]]/6))),0)</f>
        <v>9</v>
      </c>
      <c r="DI292" s="930">
        <f>IF(WWWW[[#This Row],[Total required Latrines]]-(WWWW[[#This Row],['#_Constructed latrines_by_WASHAgencies]]+WWWW[[#This Row],['#_Non Cluster partner latrines]])&lt;0,0,WWWW[[#This Row],[Total required Latrines]]-(WWWW[[#This Row],['#_Constructed latrines_by_WASHAgencies]]+WWWW[[#This Row],['#_Non Cluster partner latrines]]))</f>
        <v>0</v>
      </c>
      <c r="DJ292" s="932">
        <f>1-WWWW[[#This Row],[% people access to functioning Latrine]]</f>
        <v>0</v>
      </c>
      <c r="DK292" s="931">
        <f>IF(OR(WWWW[[#This Row],['#_Non-functional latrines]]="",WWWW[[#This Row],['#_Non-functional latrines]]=0),0,WWWW[[#This Row],['#_Non-functional latrines]]/(WWWW[[#This Row],['#_Constructed latrines_by_WASHAgencies]]+WWWW[[#This Row],['#_Non Cluster partner latrines]]))</f>
        <v>0</v>
      </c>
      <c r="DL292" s="927">
        <f>IF(500*(WWWW[[#This Row],['#_male hygiene promoters]]+WWWW[[#This Row],['#_female hygiene promoters]])&gt;WWWW[[#This Row],[Total PoP ]],WWWW[[#This Row],[Total PoP ]],500*(WWWW[[#This Row],['#_male hygiene promoters]]+WWWW[[#This Row],['#_female hygiene promoters]]))</f>
        <v>0</v>
      </c>
      <c r="DM29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2" s="930">
        <f>IF(WWWW[[#This Row],['# People with access to soap]]&gt;WWWW[[#This Row],['# People with access to Sanity Pads]],WWWW[[#This Row],['# People with access to soap]],WWWW[[#This Row],['# People with access to Sanity Pads]])</f>
        <v>0</v>
      </c>
      <c r="DP292"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2" s="932">
        <f>IF(WWWW[[#This Row],[HRP3]]/WWWW[[#This Row],[Total PoP ]]&gt;1,1,WWWW[[#This Row],[HRP3]]/WWWW[[#This Row],[Total PoP ]])</f>
        <v>0</v>
      </c>
      <c r="DR292" s="931">
        <f>1-WWWW[[#This Row],[Hygiene Coverage%]]</f>
        <v>1</v>
      </c>
      <c r="DS292" s="929">
        <f>WWWW[[#This Row],['# people reached by regular dedicated hygiene promotion_5]]/WWWW[[#This Row],[Total PoP ]]</f>
        <v>0</v>
      </c>
      <c r="DT29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2" s="930">
        <f>WWWW[[#This Row],['#_Constructed/Existing hand washing stations]]-WWWW[[#This Row],['#_Non-Functional_hand_washing_stations]]</f>
        <v>20</v>
      </c>
      <c r="DW292" s="927">
        <f>IF(WWWW[[#This Row],['# Functional hand washing stations during reporting period]]*20&gt;WWWW[[#This Row],[Total HH]],WWWW[[#This Row],[Total HH]],WWWW[[#This Row],['# Functional hand washing stations during reporting period]]*20)</f>
        <v>54</v>
      </c>
      <c r="DX292" s="927">
        <f>IF(WWWW[[#This Row],[Is sufficient soap available for TLS? (Yes/No)]]="yes",WWWW[[#This Row],['#_Constructed/Existing hand washing stations at TLS/CFS/THF]],0)</f>
        <v>0</v>
      </c>
      <c r="DY292" s="429">
        <f>IF(WWWW[[#This Row],['# Functional hand washing stations during reporting period]]*100&gt;WWWW[[#This Row],[Total PoP ]],WWWW[[#This Row],[Total PoP ]],WWWW[[#This Row],['# Functional hand washing stations during reporting period]]*100)</f>
        <v>179</v>
      </c>
      <c r="DZ292" s="429" t="str">
        <f>IF(OR(WWWW[[#This Row],['#_students at TLS_CFS]]="",WWWW[[#This Row],['#_students at TLS_CFS]]=0),"No","Yes")</f>
        <v>No</v>
      </c>
      <c r="EA29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2" s="923">
        <f>VLOOKUP(WWWW[[#This Row],[Site Name]],SiteDB6[[Site Name]:[CCCM Management]],6,FALSE)</f>
        <v>0</v>
      </c>
      <c r="EF292" s="923">
        <f>VLOOKUP(WWWW[[#This Row],[Site Name]],SiteDB6[[Site Name]:[CCCM Focal Agency]],7,FALSE)</f>
        <v>0</v>
      </c>
      <c r="EG292" s="923" t="str">
        <f>VLOOKUP(WWWW[[#This Row],[Site Name]],SiteDB6[[Site Name]:[Location Type 1]],9,FALSE)</f>
        <v>Camp</v>
      </c>
      <c r="EH292" s="923" t="str">
        <f>VLOOKUP(WWWW[[#This Row],[Site Name]],SiteDB6[[Site Name]:[Type of Accommodation]],10,FALSE)</f>
        <v>Camp like setting</v>
      </c>
      <c r="EI292" s="923" t="str">
        <f>VLOOKUP(WWWW[[#This Row],[Site Name]],SiteDB6[[Site Name]:[Ethnic or GCA/NGCA]],11,FALSE)</f>
        <v>GCA</v>
      </c>
      <c r="EJ292" s="923">
        <f>VLOOKUP(WWWW[[#This Row],[Site Name]],SiteDB6[[Site Name]:[Lat]],12,FALSE)</f>
        <v>0</v>
      </c>
      <c r="EK292" s="923">
        <f>VLOOKUP(WWWW[[#This Row],[Site Name]],SiteDB6[[Site Name]:[Long]],13,FALSE)</f>
        <v>0</v>
      </c>
      <c r="EL292" s="923" t="str">
        <f>VLOOKUP(WWWW[[#This Row],[Site Name]],SiteDB6[[Site Name]:[Pcode]],3,FALSE)</f>
        <v>MMR015CMP080</v>
      </c>
      <c r="EM292" s="928" t="str">
        <f t="shared" si="4"/>
        <v>Covered</v>
      </c>
      <c r="EN292" s="928"/>
      <c r="EO292" s="923">
        <f>VLOOKUP(WWWW[[#This Row],[Site Name]],SiteDB6[[Site Name]:[Pop
(Kachin/Shan-CCCM as of July 2021)]],16,FALSE)</f>
        <v>54</v>
      </c>
      <c r="EP292" s="923">
        <f>VLOOKUP(WWWW[[#This Row],[Site Name]],SiteDB6[[Site Name]:[Pop
(Kachin/Shan-CCCM as of July 2021)]],17,FALSE)</f>
        <v>179</v>
      </c>
    </row>
    <row r="293" spans="1:146" hidden="1">
      <c r="A293" s="921" t="s">
        <v>2786</v>
      </c>
      <c r="B293" s="921" t="s">
        <v>192</v>
      </c>
      <c r="C293" s="921" t="s">
        <v>192</v>
      </c>
      <c r="D293" s="922" t="s">
        <v>241</v>
      </c>
      <c r="E293" s="922" t="s">
        <v>515</v>
      </c>
      <c r="F293" s="922" t="s">
        <v>960</v>
      </c>
      <c r="G293" s="923" t="str">
        <f>VLOOKUP(WWWW[[#This Row],[Site Name]],SiteDB6[[Site Name]:[Location Type]],8,FALSE)</f>
        <v>Camp</v>
      </c>
      <c r="H293" s="922" t="s">
        <v>3008</v>
      </c>
      <c r="I293" s="924">
        <v>12</v>
      </c>
      <c r="J293" s="924">
        <v>26</v>
      </c>
      <c r="K293" s="925">
        <v>44511</v>
      </c>
      <c r="L293" s="926">
        <v>44845</v>
      </c>
      <c r="M293" s="924"/>
      <c r="N293" s="924"/>
      <c r="O293" s="924"/>
      <c r="P293" s="924"/>
      <c r="Q293" s="927"/>
      <c r="R293" s="924"/>
      <c r="S293" s="924"/>
      <c r="T293" s="449"/>
      <c r="U293" s="924"/>
      <c r="V293" s="924"/>
      <c r="W293" s="924"/>
      <c r="X293" s="952">
        <v>1</v>
      </c>
      <c r="Y293" s="924"/>
      <c r="Z293" s="924"/>
      <c r="AA293" s="924"/>
      <c r="AB293" s="924"/>
      <c r="AC293" s="924"/>
      <c r="AD293" s="924"/>
      <c r="AE293" s="924"/>
      <c r="AF293" s="924"/>
      <c r="AG293" s="924"/>
      <c r="AH293" s="924"/>
      <c r="AI293" s="924"/>
      <c r="AJ293" s="924"/>
      <c r="AK293" s="924"/>
      <c r="AL293" s="924"/>
      <c r="AM293" s="924"/>
      <c r="AN293" s="924"/>
      <c r="AO293" s="449"/>
      <c r="AP293" s="928"/>
      <c r="AQ293" s="952">
        <v>2</v>
      </c>
      <c r="AR293" s="952"/>
      <c r="AS293" s="953"/>
      <c r="AT293" s="924"/>
      <c r="AU293" s="924"/>
      <c r="AV293" s="924"/>
      <c r="AW293" s="924"/>
      <c r="AX293" s="924"/>
      <c r="AY293" s="426" t="s">
        <v>140</v>
      </c>
      <c r="AZ293" s="426" t="s">
        <v>140</v>
      </c>
      <c r="BA293" s="924"/>
      <c r="BB293" s="924"/>
      <c r="BC293" s="924"/>
      <c r="BD293" s="449"/>
      <c r="BE293" s="449"/>
      <c r="BF293" s="923"/>
      <c r="BG293" s="952">
        <v>4</v>
      </c>
      <c r="BH293" s="924"/>
      <c r="BI293" s="924"/>
      <c r="BJ293" s="924"/>
      <c r="BK293" s="924"/>
      <c r="BL293" s="924"/>
      <c r="BM293" s="924"/>
      <c r="BN293" s="924"/>
      <c r="BO293" s="924"/>
      <c r="BP293" s="426" t="s">
        <v>41</v>
      </c>
      <c r="BQ293" s="930"/>
      <c r="BR293" s="929"/>
      <c r="BS293" s="923"/>
      <c r="BT293" s="424"/>
      <c r="BU293" s="424"/>
      <c r="BV293" s="426"/>
      <c r="BW293" s="424"/>
      <c r="BX293" s="449"/>
      <c r="BY293" s="449"/>
      <c r="BZ293" s="449"/>
      <c r="CA293" s="449"/>
      <c r="CB293" s="449"/>
      <c r="CC293" s="807"/>
      <c r="CD293" s="449"/>
      <c r="CE293" s="931" t="str">
        <f>IFERROR(WWWW[[#This Row],['#_Water sources passed]]/WWWW[[#This Row],['#_Water sources tested for fecal coliform ]],"no test")</f>
        <v>no test</v>
      </c>
      <c r="CF293" s="929" t="str">
        <f>IFERROR(WWWW[[#This Row],['#_Household passed]]/WWWW[[#This Row],['#_Household water samples tested for fecal coliform]],"no test")</f>
        <v>no test</v>
      </c>
      <c r="CG293" s="930" t="str">
        <f>IF(AND(WWWW[[#This Row],[% of water sources passed]]="no test",WWWW[[#This Row],[% Household passed]]="no test"),"No Test","Tested")</f>
        <v>No Test</v>
      </c>
      <c r="CH293" s="930">
        <f>WWWW[[#This Row],['#_Constructed/existing protected hand dug well]]-WWWW[[#This Row],['#_Non-functional protected hand dug well]]</f>
        <v>0</v>
      </c>
      <c r="CI293" s="930">
        <f>(WWWW[[#This Row],['#_Constructed/Existing tube wells/boreholes/handpumps_WASH_agency]]+WWWW[[#This Row],['#_Non-Cluster partner water tube-wells/boreholes/handpumps]])-WWWW[[#This Row],['#_Non-functional tube wells/boreholes/handpumps]]</f>
        <v>1</v>
      </c>
      <c r="CJ293" s="930">
        <f>WWWW[[#This Row],['#_Constructed/Existingwater storage tank with gravity fed reticulation system]]-WWWW[[#This Row],['#_Non-functional storage tank gravity fed reticulation system]]</f>
        <v>0</v>
      </c>
      <c r="CK293" s="930">
        <f>(WWWW[[#This Row],['#_Water_Liters_supplied_by_Water boating or water trucking]]/90)/15</f>
        <v>0</v>
      </c>
      <c r="CL293" s="930">
        <f>WWWW[[#This Row],['#_Water_Liters_from_Constructed/Existing water distribution system from river or natural spring]]/90/15</f>
        <v>0</v>
      </c>
      <c r="CM293" s="425">
        <f>IF(WWWW[[#This Row],['#_of water points in TLS/CFS]]*500&gt;WWWW[[#This Row],[Total PoP ]],WWWW[[#This Row],[Total PoP ]],WWWW[[#This Row],['#_of water points in TLS/CFS]]*500)</f>
        <v>0</v>
      </c>
      <c r="CN293" s="425">
        <f>IF(WWWW[[#This Row],['#_of water points in THF]]*500&gt;WWWW[[#This Row],[Total PoP ]],WWWW[[#This Row],[Total PoP ]],WWWW[[#This Row],['#_of water points in THF]]*500)</f>
        <v>0</v>
      </c>
      <c r="CO29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3" s="929">
        <f>IF(WWWW[[#This Row],[Location Type 1]]="Village",WWWW[[#This Row],[Access to safe drinking water for Village]],WWWW[[#This Row],[Access to safe drinking water for Camp]])</f>
        <v>1</v>
      </c>
      <c r="CR293" s="927">
        <f>WWWW[[#This Row],[%Equitable and continuous access to sufficient quantity of safe drinking water]]*WWWW[[#This Row],[Total PoP ]]</f>
        <v>26</v>
      </c>
      <c r="CS293" s="929">
        <f>IF((WWWW[[#This Row],['#_Constructed/Existing protected/fenced ponds]]*250)/WWWW[[#This Row],[Total PoP ]]&gt;1,1,(WWWW[[#This Row],['#_Constructed/Existing protected/fenced ponds]]*250)/WWWW[[#This Row],[Total PoP ]])</f>
        <v>0</v>
      </c>
      <c r="CT293" s="927">
        <f>WWWW[[#This Row],[% Access to unimproved water points]]*WWWW[[#This Row],[Total PoP ]]</f>
        <v>0</v>
      </c>
      <c r="CU29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W293" s="927">
        <f>WWWW[[#This Row],[HRP1]]/500</f>
        <v>5.1999999999999998E-2</v>
      </c>
      <c r="CX293" s="932">
        <f>1-WWWW[[#This Row],[% Equitable and continuous access to sufficient quantity of domestic water]]</f>
        <v>0</v>
      </c>
      <c r="CY293" s="927">
        <f>WWWW[[#This Row],[%equitable and continuous access to sufficient quantity of safe drinking and domestic water''s GAP]]*WWWW[[#This Row],[Total PoP ]]</f>
        <v>0</v>
      </c>
      <c r="CZ293" s="930">
        <f>IF(WWWW[[#This Row],[Total required water points]]-WWWW[[#This Row],['#Water points coverage]]&lt;0,0,WWWW[[#This Row],[Total required water points]]-WWWW[[#This Row],['#Water points coverage]])</f>
        <v>0.94799999999999995</v>
      </c>
      <c r="DA293" s="930">
        <f>ROUND(IF(WWWW[[#This Row],[Total PoP ]]&lt;500,1,WWWW[[#This Row],[Total PoP ]]/500),0)</f>
        <v>1</v>
      </c>
      <c r="DB293" s="930">
        <f>(WWWW[[#This Row],['#_Constructed latrines_by_WASHAgencies]]+WWWW[[#This Row],['#_Non Cluster partner latrines]])-WWWW[[#This Row],['#_Non-functional latrines]]</f>
        <v>2</v>
      </c>
      <c r="DC293" s="634">
        <f>WWWW[[#This Row],[HRP2]]/WWWW[[#This Row],[Total PoP ]]</f>
        <v>1</v>
      </c>
      <c r="DD29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v>
      </c>
      <c r="DE29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3" s="425">
        <f>IF(WWWW[[#This Row],['# of functional latrines in THF supported by WASH partners during the reporting period2]]="",0,WWWW[[#This Row],['# of functional latrines in THF supported by WASH partners during the reporting period2]]*50)</f>
        <v>0</v>
      </c>
      <c r="DH293" s="930">
        <f>ROUND(IF(WWWW[[#This Row],[Location Type 1]]="camp",WWWW[[#This Row],[Total PoP ]]/20,IF(WWWW[[#This Row],[Location Type 1]]="Temporary Location",WWWW[[#This Row],[Total PoP ]]/50,(WWWW[[#This Row],[Total PoP ]]/6))),0)</f>
        <v>1</v>
      </c>
      <c r="DI293" s="930">
        <f>IF(WWWW[[#This Row],[Total required Latrines]]-(WWWW[[#This Row],['#_Constructed latrines_by_WASHAgencies]]+WWWW[[#This Row],['#_Non Cluster partner latrines]])&lt;0,0,WWWW[[#This Row],[Total required Latrines]]-(WWWW[[#This Row],['#_Constructed latrines_by_WASHAgencies]]+WWWW[[#This Row],['#_Non Cluster partner latrines]]))</f>
        <v>0</v>
      </c>
      <c r="DJ293" s="932">
        <f>1-WWWW[[#This Row],[% people access to functioning Latrine]]</f>
        <v>0</v>
      </c>
      <c r="DK293" s="931">
        <f>IF(OR(WWWW[[#This Row],['#_Non-functional latrines]]="",WWWW[[#This Row],['#_Non-functional latrines]]=0),0,WWWW[[#This Row],['#_Non-functional latrines]]/(WWWW[[#This Row],['#_Constructed latrines_by_WASHAgencies]]+WWWW[[#This Row],['#_Non Cluster partner latrines]]))</f>
        <v>0</v>
      </c>
      <c r="DL293" s="927">
        <f>IF(500*(WWWW[[#This Row],['#_male hygiene promoters]]+WWWW[[#This Row],['#_female hygiene promoters]])&gt;WWWW[[#This Row],[Total PoP ]],WWWW[[#This Row],[Total PoP ]],500*(WWWW[[#This Row],['#_male hygiene promoters]]+WWWW[[#This Row],['#_female hygiene promoters]]))</f>
        <v>0</v>
      </c>
      <c r="DM29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3" s="930">
        <f>IF(WWWW[[#This Row],['# People with access to soap]]&gt;WWWW[[#This Row],['# People with access to Sanity Pads]],WWWW[[#This Row],['# People with access to soap]],WWWW[[#This Row],['# People with access to Sanity Pads]])</f>
        <v>0</v>
      </c>
      <c r="DP29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3" s="932">
        <f>IF(WWWW[[#This Row],[HRP3]]/WWWW[[#This Row],[Total PoP ]]&gt;1,1,WWWW[[#This Row],[HRP3]]/WWWW[[#This Row],[Total PoP ]])</f>
        <v>0</v>
      </c>
      <c r="DR293" s="931">
        <f>1-WWWW[[#This Row],[Hygiene Coverage%]]</f>
        <v>1</v>
      </c>
      <c r="DS293" s="929">
        <f>WWWW[[#This Row],['# people reached by regular dedicated hygiene promotion_5]]/WWWW[[#This Row],[Total PoP ]]</f>
        <v>0</v>
      </c>
      <c r="DT29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3" s="930">
        <f>WWWW[[#This Row],['#_Constructed/Existing hand washing stations]]-WWWW[[#This Row],['#_Non-Functional_hand_washing_stations]]</f>
        <v>4</v>
      </c>
      <c r="DW293" s="927">
        <f>IF(WWWW[[#This Row],['# Functional hand washing stations during reporting period]]*20&gt;WWWW[[#This Row],[Total HH]],WWWW[[#This Row],[Total HH]],WWWW[[#This Row],['# Functional hand washing stations during reporting period]]*20)</f>
        <v>12</v>
      </c>
      <c r="DX293" s="927">
        <f>IF(WWWW[[#This Row],[Is sufficient soap available for TLS? (Yes/No)]]="yes",WWWW[[#This Row],['#_Constructed/Existing hand washing stations at TLS/CFS/THF]],0)</f>
        <v>0</v>
      </c>
      <c r="DY293" s="429">
        <f>IF(WWWW[[#This Row],['# Functional hand washing stations during reporting period]]*100&gt;WWWW[[#This Row],[Total PoP ]],WWWW[[#This Row],[Total PoP ]],WWWW[[#This Row],['# Functional hand washing stations during reporting period]]*100)</f>
        <v>26</v>
      </c>
      <c r="DZ293" s="429" t="str">
        <f>IF(OR(WWWW[[#This Row],['#_students at TLS_CFS]]="",WWWW[[#This Row],['#_students at TLS_CFS]]=0),"No","Yes")</f>
        <v>No</v>
      </c>
      <c r="EA29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3" s="923">
        <f>VLOOKUP(WWWW[[#This Row],[Site Name]],SiteDB6[[Site Name]:[CCCM Management]],6,FALSE)</f>
        <v>0</v>
      </c>
      <c r="EF293" s="923">
        <f>VLOOKUP(WWWW[[#This Row],[Site Name]],SiteDB6[[Site Name]:[CCCM Focal Agency]],7,FALSE)</f>
        <v>0</v>
      </c>
      <c r="EG293" s="923" t="str">
        <f>VLOOKUP(WWWW[[#This Row],[Site Name]],SiteDB6[[Site Name]:[Location Type 1]],9,FALSE)</f>
        <v>Camp</v>
      </c>
      <c r="EH293" s="923" t="str">
        <f>VLOOKUP(WWWW[[#This Row],[Site Name]],SiteDB6[[Site Name]:[Type of Accommodation]],10,FALSE)</f>
        <v>Camp like setting</v>
      </c>
      <c r="EI293" s="923" t="str">
        <f>VLOOKUP(WWWW[[#This Row],[Site Name]],SiteDB6[[Site Name]:[Ethnic or GCA/NGCA]],11,FALSE)</f>
        <v>GCA</v>
      </c>
      <c r="EJ293" s="923">
        <f>VLOOKUP(WWWW[[#This Row],[Site Name]],SiteDB6[[Site Name]:[Lat]],12,FALSE)</f>
        <v>0</v>
      </c>
      <c r="EK293" s="923">
        <f>VLOOKUP(WWWW[[#This Row],[Site Name]],SiteDB6[[Site Name]:[Long]],13,FALSE)</f>
        <v>0</v>
      </c>
      <c r="EL293" s="923" t="str">
        <f>VLOOKUP(WWWW[[#This Row],[Site Name]],SiteDB6[[Site Name]:[Pcode]],3,FALSE)</f>
        <v>MMR015CMP081</v>
      </c>
      <c r="EM293" s="928" t="str">
        <f t="shared" si="4"/>
        <v>Covered</v>
      </c>
      <c r="EN293" s="928"/>
      <c r="EO293" s="923">
        <f>VLOOKUP(WWWW[[#This Row],[Site Name]],SiteDB6[[Site Name]:[Pop
(Kachin/Shan-CCCM as of July 2021)]],16,FALSE)</f>
        <v>12</v>
      </c>
      <c r="EP293" s="923">
        <f>VLOOKUP(WWWW[[#This Row],[Site Name]],SiteDB6[[Site Name]:[Pop
(Kachin/Shan-CCCM as of July 2021)]],17,FALSE)</f>
        <v>47</v>
      </c>
    </row>
    <row r="294" spans="1:146" hidden="1">
      <c r="A294" s="921" t="s">
        <v>2786</v>
      </c>
      <c r="B294" s="921" t="s">
        <v>192</v>
      </c>
      <c r="C294" s="922" t="s">
        <v>192</v>
      </c>
      <c r="D294" s="922" t="s">
        <v>2609</v>
      </c>
      <c r="E294" s="922" t="s">
        <v>515</v>
      </c>
      <c r="F294" s="922" t="s">
        <v>961</v>
      </c>
      <c r="G294" s="594" t="str">
        <f>VLOOKUP(WWWW[[#This Row],[Site Name]],SiteDB6[[Site Name]:[Location Type]],8,FALSE)</f>
        <v>Camp_not registered</v>
      </c>
      <c r="H294" s="922" t="s">
        <v>2160</v>
      </c>
      <c r="I294" s="924">
        <v>23</v>
      </c>
      <c r="J294" s="924">
        <v>103</v>
      </c>
      <c r="K294" s="925" t="s">
        <v>2789</v>
      </c>
      <c r="L294" s="926" t="s">
        <v>2790</v>
      </c>
      <c r="M294" s="924"/>
      <c r="N294" s="924"/>
      <c r="O294" s="924"/>
      <c r="P294" s="924"/>
      <c r="Q294" s="927" t="s">
        <v>41</v>
      </c>
      <c r="R294" s="924">
        <v>5</v>
      </c>
      <c r="S294" s="924">
        <v>1</v>
      </c>
      <c r="T294" s="449">
        <v>1</v>
      </c>
      <c r="U294" s="924"/>
      <c r="V294" s="924"/>
      <c r="W294" s="924"/>
      <c r="X294" s="924">
        <v>1</v>
      </c>
      <c r="Y294" s="924"/>
      <c r="Z294" s="924"/>
      <c r="AA294" s="924"/>
      <c r="AB294" s="924"/>
      <c r="AC294" s="924"/>
      <c r="AD294" s="924"/>
      <c r="AE294" s="924"/>
      <c r="AF294" s="924"/>
      <c r="AG294" s="924"/>
      <c r="AH294" s="924"/>
      <c r="AI294" s="924"/>
      <c r="AJ294" s="924"/>
      <c r="AK294" s="924"/>
      <c r="AL294" s="924"/>
      <c r="AM294" s="924"/>
      <c r="AN294" s="924"/>
      <c r="AO294" s="449"/>
      <c r="AP294" s="928"/>
      <c r="AQ294" s="924">
        <v>23</v>
      </c>
      <c r="AR294" s="924"/>
      <c r="AS294" s="929"/>
      <c r="AT294" s="924"/>
      <c r="AU294" s="924"/>
      <c r="AV294" s="924"/>
      <c r="AW294" s="924"/>
      <c r="AX294" s="924"/>
      <c r="AY294" s="923" t="s">
        <v>140</v>
      </c>
      <c r="AZ294" s="928" t="s">
        <v>140</v>
      </c>
      <c r="BA294" s="924"/>
      <c r="BB294" s="924"/>
      <c r="BC294" s="924"/>
      <c r="BD294" s="449"/>
      <c r="BE294" s="449"/>
      <c r="BF294" s="923"/>
      <c r="BG294" s="924">
        <v>3</v>
      </c>
      <c r="BH294" s="924"/>
      <c r="BI294" s="924"/>
      <c r="BJ294" s="924">
        <v>2</v>
      </c>
      <c r="BK294" s="924"/>
      <c r="BL294" s="924"/>
      <c r="BM294" s="924"/>
      <c r="BN294" s="924"/>
      <c r="BO294" s="924"/>
      <c r="BP294" s="426" t="s">
        <v>41</v>
      </c>
      <c r="BQ294" s="930"/>
      <c r="BR294" s="929"/>
      <c r="BS294" s="923"/>
      <c r="BT294" s="424"/>
      <c r="BU294" s="424"/>
      <c r="BV294" s="426"/>
      <c r="BW294" s="424"/>
      <c r="BX294" s="449"/>
      <c r="BY294" s="449"/>
      <c r="BZ294" s="449"/>
      <c r="CA294" s="449"/>
      <c r="CB294" s="449"/>
      <c r="CC294" s="807"/>
      <c r="CD294" s="449"/>
      <c r="CE294" s="931" t="str">
        <f>IFERROR(WWWW[[#This Row],['#_Water sources passed]]/WWWW[[#This Row],['#_Water sources tested for fecal coliform ]],"no test")</f>
        <v>no test</v>
      </c>
      <c r="CF294" s="929" t="str">
        <f>IFERROR(WWWW[[#This Row],['#_Household passed]]/WWWW[[#This Row],['#_Household water samples tested for fecal coliform]],"no test")</f>
        <v>no test</v>
      </c>
      <c r="CG294" s="930" t="str">
        <f>IF(AND(WWWW[[#This Row],[% of water sources passed]]="no test",WWWW[[#This Row],[% Household passed]]="no test"),"No Test","Tested")</f>
        <v>No Test</v>
      </c>
      <c r="CH294" s="930">
        <f>WWWW[[#This Row],['#_Constructed/existing protected hand dug well]]-WWWW[[#This Row],['#_Non-functional protected hand dug well]]</f>
        <v>1</v>
      </c>
      <c r="CI294" s="930">
        <f>(WWWW[[#This Row],['#_Constructed/Existing tube wells/boreholes/handpumps_WASH_agency]]+WWWW[[#This Row],['#_Non-Cluster partner water tube-wells/boreholes/handpumps]])-WWWW[[#This Row],['#_Non-functional tube wells/boreholes/handpumps]]</f>
        <v>1</v>
      </c>
      <c r="CJ294" s="930">
        <f>WWWW[[#This Row],['#_Constructed/Existingwater storage tank with gravity fed reticulation system]]-WWWW[[#This Row],['#_Non-functional storage tank gravity fed reticulation system]]</f>
        <v>0</v>
      </c>
      <c r="CK294" s="930">
        <f>(WWWW[[#This Row],['#_Water_Liters_supplied_by_Water boating or water trucking]]/90)/15</f>
        <v>0</v>
      </c>
      <c r="CL294" s="930">
        <f>WWWW[[#This Row],['#_Water_Liters_from_Constructed/Existing water distribution system from river or natural spring]]/90/15</f>
        <v>0</v>
      </c>
      <c r="CM294" s="425">
        <f>IF(WWWW[[#This Row],['#_of water points in TLS/CFS]]*500&gt;WWWW[[#This Row],[Total PoP ]],WWWW[[#This Row],[Total PoP ]],WWWW[[#This Row],['#_of water points in TLS/CFS]]*500)</f>
        <v>0</v>
      </c>
      <c r="CN294" s="425">
        <f>IF(WWWW[[#This Row],['#_of water points in THF]]*500&gt;WWWW[[#This Row],[Total PoP ]],WWWW[[#This Row],[Total PoP ]],WWWW[[#This Row],['#_of water points in THF]]*500)</f>
        <v>0</v>
      </c>
      <c r="CO29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4" s="929">
        <f>IF(WWWW[[#This Row],[Location Type 1]]="Village",WWWW[[#This Row],[Access to safe drinking water for Village]],WWWW[[#This Row],[Access to safe drinking water for Camp]])</f>
        <v>1</v>
      </c>
      <c r="CR294" s="927">
        <f>WWWW[[#This Row],[%Equitable and continuous access to sufficient quantity of safe drinking water]]*WWWW[[#This Row],[Total PoP ]]</f>
        <v>103</v>
      </c>
      <c r="CS294" s="929">
        <f>IF((WWWW[[#This Row],['#_Constructed/Existing protected/fenced ponds]]*250)/WWWW[[#This Row],[Total PoP ]]&gt;1,1,(WWWW[[#This Row],['#_Constructed/Existing protected/fenced ponds]]*250)/WWWW[[#This Row],[Total PoP ]])</f>
        <v>0</v>
      </c>
      <c r="CT294" s="927">
        <f>WWWW[[#This Row],[% Access to unimproved water points]]*WWWW[[#This Row],[Total PoP ]]</f>
        <v>0</v>
      </c>
      <c r="CU29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W294" s="927">
        <f>WWWW[[#This Row],[HRP1]]/500</f>
        <v>0.20599999999999999</v>
      </c>
      <c r="CX294" s="932">
        <f>1-WWWW[[#This Row],[% Equitable and continuous access to sufficient quantity of domestic water]]</f>
        <v>0</v>
      </c>
      <c r="CY294" s="927">
        <f>WWWW[[#This Row],[%equitable and continuous access to sufficient quantity of safe drinking and domestic water''s GAP]]*WWWW[[#This Row],[Total PoP ]]</f>
        <v>0</v>
      </c>
      <c r="CZ294" s="930">
        <f>IF(WWWW[[#This Row],[Total required water points]]-WWWW[[#This Row],['#Water points coverage]]&lt;0,0,WWWW[[#This Row],[Total required water points]]-WWWW[[#This Row],['#Water points coverage]])</f>
        <v>0.79400000000000004</v>
      </c>
      <c r="DA294" s="930">
        <f>ROUND(IF(WWWW[[#This Row],[Total PoP ]]&lt;500,1,WWWW[[#This Row],[Total PoP ]]/500),0)</f>
        <v>1</v>
      </c>
      <c r="DB294" s="930">
        <f>(WWWW[[#This Row],['#_Constructed latrines_by_WASHAgencies]]+WWWW[[#This Row],['#_Non Cluster partner latrines]])-WWWW[[#This Row],['#_Non-functional latrines]]</f>
        <v>23</v>
      </c>
      <c r="DC294" s="634">
        <f>WWWW[[#This Row],[HRP2]]/WWWW[[#This Row],[Total PoP ]]</f>
        <v>1</v>
      </c>
      <c r="DD29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29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4" s="425">
        <f>IF(WWWW[[#This Row],['# of functional latrines in THF supported by WASH partners during the reporting period2]]="",0,WWWW[[#This Row],['# of functional latrines in THF supported by WASH partners during the reporting period2]]*50)</f>
        <v>0</v>
      </c>
      <c r="DH294" s="930">
        <f>ROUND(IF(WWWW[[#This Row],[Location Type 1]]="camp",WWWW[[#This Row],[Total PoP ]]/20,IF(WWWW[[#This Row],[Location Type 1]]="Temporary Location",WWWW[[#This Row],[Total PoP ]]/50,(WWWW[[#This Row],[Total PoP ]]/6))),0)</f>
        <v>5</v>
      </c>
      <c r="DI294" s="930">
        <f>IF(WWWW[[#This Row],[Total required Latrines]]-(WWWW[[#This Row],['#_Constructed latrines_by_WASHAgencies]]+WWWW[[#This Row],['#_Non Cluster partner latrines]])&lt;0,0,WWWW[[#This Row],[Total required Latrines]]-(WWWW[[#This Row],['#_Constructed latrines_by_WASHAgencies]]+WWWW[[#This Row],['#_Non Cluster partner latrines]]))</f>
        <v>0</v>
      </c>
      <c r="DJ294" s="932">
        <f>1-WWWW[[#This Row],[% people access to functioning Latrine]]</f>
        <v>0</v>
      </c>
      <c r="DK294" s="931">
        <f>IF(OR(WWWW[[#This Row],['#_Non-functional latrines]]="",WWWW[[#This Row],['#_Non-functional latrines]]=0),0,WWWW[[#This Row],['#_Non-functional latrines]]/(WWWW[[#This Row],['#_Constructed latrines_by_WASHAgencies]]+WWWW[[#This Row],['#_Non Cluster partner latrines]]))</f>
        <v>0</v>
      </c>
      <c r="DL294" s="927">
        <f>IF(500*(WWWW[[#This Row],['#_male hygiene promoters]]+WWWW[[#This Row],['#_female hygiene promoters]])&gt;WWWW[[#This Row],[Total PoP ]],WWWW[[#This Row],[Total PoP ]],500*(WWWW[[#This Row],['#_male hygiene promoters]]+WWWW[[#This Row],['#_female hygiene promoters]]))</f>
        <v>0</v>
      </c>
      <c r="DM29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4" s="930">
        <f>IF(WWWW[[#This Row],['# People with access to soap]]&gt;WWWW[[#This Row],['# People with access to Sanity Pads]],WWWW[[#This Row],['# People with access to soap]],WWWW[[#This Row],['# People with access to Sanity Pads]])</f>
        <v>0</v>
      </c>
      <c r="DP29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4" s="932">
        <f>IF(WWWW[[#This Row],[HRP3]]/WWWW[[#This Row],[Total PoP ]]&gt;1,1,WWWW[[#This Row],[HRP3]]/WWWW[[#This Row],[Total PoP ]])</f>
        <v>0</v>
      </c>
      <c r="DR294" s="931">
        <f>1-WWWW[[#This Row],[Hygiene Coverage%]]</f>
        <v>1</v>
      </c>
      <c r="DS294" s="929">
        <f>WWWW[[#This Row],['# people reached by regular dedicated hygiene promotion_5]]/WWWW[[#This Row],[Total PoP ]]</f>
        <v>0</v>
      </c>
      <c r="DT29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4" s="930">
        <f>WWWW[[#This Row],['#_Constructed/Existing hand washing stations]]-WWWW[[#This Row],['#_Non-Functional_hand_washing_stations]]</f>
        <v>3</v>
      </c>
      <c r="DW294" s="927">
        <f>IF(WWWW[[#This Row],['# Functional hand washing stations during reporting period]]*20&gt;WWWW[[#This Row],[Total HH]],WWWW[[#This Row],[Total HH]],WWWW[[#This Row],['# Functional hand washing stations during reporting period]]*20)</f>
        <v>23</v>
      </c>
      <c r="DX294" s="927">
        <f>IF(WWWW[[#This Row],[Is sufficient soap available for TLS? (Yes/No)]]="yes",WWWW[[#This Row],['#_Constructed/Existing hand washing stations at TLS/CFS/THF]],0)</f>
        <v>0</v>
      </c>
      <c r="DY294" s="429">
        <f>IF(WWWW[[#This Row],['# Functional hand washing stations during reporting period]]*100&gt;WWWW[[#This Row],[Total PoP ]],WWWW[[#This Row],[Total PoP ]],WWWW[[#This Row],['# Functional hand washing stations during reporting period]]*100)</f>
        <v>103</v>
      </c>
      <c r="DZ294" s="429" t="str">
        <f>IF(OR(WWWW[[#This Row],['#_students at TLS_CFS]]="",WWWW[[#This Row],['#_students at TLS_CFS]]=0),"No","Yes")</f>
        <v>No</v>
      </c>
      <c r="EA29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4" s="923">
        <f>VLOOKUP(WWWW[[#This Row],[Site Name]],SiteDB6[[Site Name]:[CCCM Management]],6,FALSE)</f>
        <v>0</v>
      </c>
      <c r="EF294" s="923">
        <f>VLOOKUP(WWWW[[#This Row],[Site Name]],SiteDB6[[Site Name]:[CCCM Focal Agency]],7,FALSE)</f>
        <v>0</v>
      </c>
      <c r="EG294" s="923" t="str">
        <f>VLOOKUP(WWWW[[#This Row],[Site Name]],SiteDB6[[Site Name]:[Location Type 1]],9,FALSE)</f>
        <v>Camp</v>
      </c>
      <c r="EH294" s="923" t="str">
        <f>VLOOKUP(WWWW[[#This Row],[Site Name]],SiteDB6[[Site Name]:[Type of Accommodation]],10,FALSE)</f>
        <v>Camp like setting</v>
      </c>
      <c r="EI294" s="923" t="str">
        <f>VLOOKUP(WWWW[[#This Row],[Site Name]],SiteDB6[[Site Name]:[Ethnic or GCA/NGCA]],11,FALSE)</f>
        <v>GCA</v>
      </c>
      <c r="EJ294" s="923">
        <f>VLOOKUP(WWWW[[#This Row],[Site Name]],SiteDB6[[Site Name]:[Lat]],12,FALSE)</f>
        <v>0</v>
      </c>
      <c r="EK294" s="923">
        <f>VLOOKUP(WWWW[[#This Row],[Site Name]],SiteDB6[[Site Name]:[Long]],13,FALSE)</f>
        <v>0</v>
      </c>
      <c r="EL294" s="923">
        <f>VLOOKUP(WWWW[[#This Row],[Site Name]],SiteDB6[[Site Name]:[Pcode]],3,FALSE)</f>
        <v>0</v>
      </c>
      <c r="EM294" s="928" t="str">
        <f t="shared" si="4"/>
        <v>Covered</v>
      </c>
      <c r="EN294" s="928"/>
      <c r="EO294" s="923">
        <f>VLOOKUP(WWWW[[#This Row],[Site Name]],SiteDB6[[Site Name]:[Pop
(Kachin/Shan-CCCM as of July 2021)]],16,FALSE)</f>
        <v>0</v>
      </c>
      <c r="EP294" s="923">
        <f>VLOOKUP(WWWW[[#This Row],[Site Name]],SiteDB6[[Site Name]:[Pop
(Kachin/Shan-CCCM as of July 2021)]],17,FALSE)</f>
        <v>0</v>
      </c>
    </row>
    <row r="295" spans="1:146" hidden="1">
      <c r="A295" s="921" t="s">
        <v>2786</v>
      </c>
      <c r="B295" s="921" t="s">
        <v>192</v>
      </c>
      <c r="C295" s="922" t="s">
        <v>192</v>
      </c>
      <c r="D295" s="922" t="s">
        <v>2695</v>
      </c>
      <c r="E295" s="922" t="s">
        <v>515</v>
      </c>
      <c r="F295" s="922" t="s">
        <v>522</v>
      </c>
      <c r="G295" s="594" t="str">
        <f>VLOOKUP(WWWW[[#This Row],[Site Name]],SiteDB6[[Site Name]:[Location Type]],8,FALSE)</f>
        <v>Camp</v>
      </c>
      <c r="H295" s="922" t="s">
        <v>548</v>
      </c>
      <c r="I295" s="924">
        <v>28</v>
      </c>
      <c r="J295" s="924">
        <v>125</v>
      </c>
      <c r="K295" s="925" t="s">
        <v>2789</v>
      </c>
      <c r="L295" s="926" t="s">
        <v>2790</v>
      </c>
      <c r="M295" s="924"/>
      <c r="N295" s="924"/>
      <c r="O295" s="924">
        <v>1</v>
      </c>
      <c r="P295" s="924"/>
      <c r="Q295" s="927" t="s">
        <v>41</v>
      </c>
      <c r="R295" s="924"/>
      <c r="S295" s="924"/>
      <c r="T295" s="449"/>
      <c r="U295" s="924"/>
      <c r="V295" s="924"/>
      <c r="W295" s="924">
        <v>1</v>
      </c>
      <c r="X295" s="924">
        <v>1</v>
      </c>
      <c r="Y295" s="924"/>
      <c r="Z295" s="924"/>
      <c r="AA295" s="924"/>
      <c r="AB295" s="924"/>
      <c r="AC295" s="924"/>
      <c r="AD295" s="924"/>
      <c r="AE295" s="924"/>
      <c r="AF295" s="924"/>
      <c r="AG295" s="924"/>
      <c r="AH295" s="924"/>
      <c r="AI295" s="924"/>
      <c r="AJ295" s="924"/>
      <c r="AK295" s="924"/>
      <c r="AL295" s="924"/>
      <c r="AM295" s="924"/>
      <c r="AN295" s="924"/>
      <c r="AO295" s="449"/>
      <c r="AP295" s="928"/>
      <c r="AQ295" s="924">
        <v>18</v>
      </c>
      <c r="AR295" s="924"/>
      <c r="AS295" s="929"/>
      <c r="AT295" s="924"/>
      <c r="AU295" s="924"/>
      <c r="AV295" s="924"/>
      <c r="AW295" s="924"/>
      <c r="AX295" s="924"/>
      <c r="AY295" s="923" t="s">
        <v>41</v>
      </c>
      <c r="AZ295" s="928" t="s">
        <v>137</v>
      </c>
      <c r="BA295" s="924"/>
      <c r="BB295" s="924"/>
      <c r="BC295" s="924"/>
      <c r="BD295" s="449"/>
      <c r="BE295" s="449"/>
      <c r="BF295" s="923"/>
      <c r="BG295" s="924">
        <v>7</v>
      </c>
      <c r="BH295" s="924"/>
      <c r="BI295" s="924"/>
      <c r="BJ295" s="924">
        <v>5</v>
      </c>
      <c r="BK295" s="924"/>
      <c r="BL295" s="924"/>
      <c r="BM295" s="924">
        <v>1</v>
      </c>
      <c r="BN295" s="924"/>
      <c r="BO295" s="924"/>
      <c r="BP295" s="426" t="s">
        <v>41</v>
      </c>
      <c r="BQ295" s="930"/>
      <c r="BR295" s="929"/>
      <c r="BS295" s="923"/>
      <c r="BT295" s="424"/>
      <c r="BU295" s="424"/>
      <c r="BV295" s="426"/>
      <c r="BW295" s="424"/>
      <c r="BX295" s="449"/>
      <c r="BY295" s="449"/>
      <c r="BZ295" s="449"/>
      <c r="CA295" s="449"/>
      <c r="CB295" s="449"/>
      <c r="CC295" s="807"/>
      <c r="CD295" s="449"/>
      <c r="CE295" s="931" t="str">
        <f>IFERROR(WWWW[[#This Row],['#_Water sources passed]]/WWWW[[#This Row],['#_Water sources tested for fecal coliform ]],"no test")</f>
        <v>no test</v>
      </c>
      <c r="CF295" s="929" t="str">
        <f>IFERROR(WWWW[[#This Row],['#_Household passed]]/WWWW[[#This Row],['#_Household water samples tested for fecal coliform]],"no test")</f>
        <v>no test</v>
      </c>
      <c r="CG295" s="930" t="str">
        <f>IF(AND(WWWW[[#This Row],[% of water sources passed]]="no test",WWWW[[#This Row],[% Household passed]]="no test"),"No Test","Tested")</f>
        <v>No Test</v>
      </c>
      <c r="CH295" s="930">
        <f>WWWW[[#This Row],['#_Constructed/existing protected hand dug well]]-WWWW[[#This Row],['#_Non-functional protected hand dug well]]</f>
        <v>0</v>
      </c>
      <c r="CI295" s="930">
        <f>(WWWW[[#This Row],['#_Constructed/Existing tube wells/boreholes/handpumps_WASH_agency]]+WWWW[[#This Row],['#_Non-Cluster partner water tube-wells/boreholes/handpumps]])-WWWW[[#This Row],['#_Non-functional tube wells/boreholes/handpumps]]</f>
        <v>2</v>
      </c>
      <c r="CJ295" s="930">
        <f>WWWW[[#This Row],['#_Constructed/Existingwater storage tank with gravity fed reticulation system]]-WWWW[[#This Row],['#_Non-functional storage tank gravity fed reticulation system]]</f>
        <v>0</v>
      </c>
      <c r="CK295" s="930">
        <f>(WWWW[[#This Row],['#_Water_Liters_supplied_by_Water boating or water trucking]]/90)/15</f>
        <v>0</v>
      </c>
      <c r="CL295" s="930">
        <f>WWWW[[#This Row],['#_Water_Liters_from_Constructed/Existing water distribution system from river or natural spring]]/90/15</f>
        <v>0</v>
      </c>
      <c r="CM295" s="425">
        <f>IF(WWWW[[#This Row],['#_of water points in TLS/CFS]]*500&gt;WWWW[[#This Row],[Total PoP ]],WWWW[[#This Row],[Total PoP ]],WWWW[[#This Row],['#_of water points in TLS/CFS]]*500)</f>
        <v>0</v>
      </c>
      <c r="CN295" s="425">
        <f>IF(WWWW[[#This Row],['#_of water points in THF]]*500&gt;WWWW[[#This Row],[Total PoP ]],WWWW[[#This Row],[Total PoP ]],WWWW[[#This Row],['#_of water points in THF]]*500)</f>
        <v>0</v>
      </c>
      <c r="CO29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5" s="929">
        <f>IF(WWWW[[#This Row],[Location Type 1]]="Village",WWWW[[#This Row],[Access to safe drinking water for Village]],WWWW[[#This Row],[Access to safe drinking water for Camp]])</f>
        <v>1</v>
      </c>
      <c r="CR295" s="927">
        <f>WWWW[[#This Row],[%Equitable and continuous access to sufficient quantity of safe drinking water]]*WWWW[[#This Row],[Total PoP ]]</f>
        <v>125</v>
      </c>
      <c r="CS295" s="929">
        <f>IF((WWWW[[#This Row],['#_Constructed/Existing protected/fenced ponds]]*250)/WWWW[[#This Row],[Total PoP ]]&gt;1,1,(WWWW[[#This Row],['#_Constructed/Existing protected/fenced ponds]]*250)/WWWW[[#This Row],[Total PoP ]])</f>
        <v>0</v>
      </c>
      <c r="CT295" s="927">
        <f>WWWW[[#This Row],[% Access to unimproved water points]]*WWWW[[#This Row],[Total PoP ]]</f>
        <v>0</v>
      </c>
      <c r="CU29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W295" s="927">
        <f>WWWW[[#This Row],[HRP1]]/500</f>
        <v>0.25</v>
      </c>
      <c r="CX295" s="932">
        <f>1-WWWW[[#This Row],[% Equitable and continuous access to sufficient quantity of domestic water]]</f>
        <v>0</v>
      </c>
      <c r="CY295" s="927">
        <f>WWWW[[#This Row],[%equitable and continuous access to sufficient quantity of safe drinking and domestic water''s GAP]]*WWWW[[#This Row],[Total PoP ]]</f>
        <v>0</v>
      </c>
      <c r="CZ295" s="930">
        <f>IF(WWWW[[#This Row],[Total required water points]]-WWWW[[#This Row],['#Water points coverage]]&lt;0,0,WWWW[[#This Row],[Total required water points]]-WWWW[[#This Row],['#Water points coverage]])</f>
        <v>0.75</v>
      </c>
      <c r="DA295" s="930">
        <f>ROUND(IF(WWWW[[#This Row],[Total PoP ]]&lt;500,1,WWWW[[#This Row],[Total PoP ]]/500),0)</f>
        <v>1</v>
      </c>
      <c r="DB295" s="930">
        <f>(WWWW[[#This Row],['#_Constructed latrines_by_WASHAgencies]]+WWWW[[#This Row],['#_Non Cluster partner latrines]])-WWWW[[#This Row],['#_Non-functional latrines]]</f>
        <v>18</v>
      </c>
      <c r="DC295" s="634">
        <f>WWWW[[#This Row],[HRP2]]/WWWW[[#This Row],[Total PoP ]]</f>
        <v>1</v>
      </c>
      <c r="DD29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125</v>
      </c>
      <c r="DE29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5" s="425">
        <f>IF(WWWW[[#This Row],['# of functional latrines in THF supported by WASH partners during the reporting period2]]="",0,WWWW[[#This Row],['# of functional latrines in THF supported by WASH partners during the reporting period2]]*50)</f>
        <v>0</v>
      </c>
      <c r="DH295" s="930">
        <f>ROUND(IF(WWWW[[#This Row],[Location Type 1]]="camp",WWWW[[#This Row],[Total PoP ]]/20,IF(WWWW[[#This Row],[Location Type 1]]="Temporary Location",WWWW[[#This Row],[Total PoP ]]/50,(WWWW[[#This Row],[Total PoP ]]/6))),0)</f>
        <v>6</v>
      </c>
      <c r="DI295" s="930">
        <f>IF(WWWW[[#This Row],[Total required Latrines]]-(WWWW[[#This Row],['#_Constructed latrines_by_WASHAgencies]]+WWWW[[#This Row],['#_Non Cluster partner latrines]])&lt;0,0,WWWW[[#This Row],[Total required Latrines]]-(WWWW[[#This Row],['#_Constructed latrines_by_WASHAgencies]]+WWWW[[#This Row],['#_Non Cluster partner latrines]]))</f>
        <v>0</v>
      </c>
      <c r="DJ295" s="932">
        <f>1-WWWW[[#This Row],[% people access to functioning Latrine]]</f>
        <v>0</v>
      </c>
      <c r="DK295" s="931">
        <f>IF(OR(WWWW[[#This Row],['#_Non-functional latrines]]="",WWWW[[#This Row],['#_Non-functional latrines]]=0),0,WWWW[[#This Row],['#_Non-functional latrines]]/(WWWW[[#This Row],['#_Constructed latrines_by_WASHAgencies]]+WWWW[[#This Row],['#_Non Cluster partner latrines]]))</f>
        <v>0</v>
      </c>
      <c r="DL295" s="927">
        <f>IF(500*(WWWW[[#This Row],['#_male hygiene promoters]]+WWWW[[#This Row],['#_female hygiene promoters]])&gt;WWWW[[#This Row],[Total PoP ]],WWWW[[#This Row],[Total PoP ]],500*(WWWW[[#This Row],['#_male hygiene promoters]]+WWWW[[#This Row],['#_female hygiene promoters]]))</f>
        <v>125</v>
      </c>
      <c r="DM29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5" s="930">
        <f>IF(WWWW[[#This Row],['# People with access to soap]]&gt;WWWW[[#This Row],['# People with access to Sanity Pads]],WWWW[[#This Row],['# People with access to soap]],WWWW[[#This Row],['# People with access to Sanity Pads]])</f>
        <v>0</v>
      </c>
      <c r="DP295" s="930">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Q295" s="932">
        <f>IF(WWWW[[#This Row],[HRP3]]/WWWW[[#This Row],[Total PoP ]]&gt;1,1,WWWW[[#This Row],[HRP3]]/WWWW[[#This Row],[Total PoP ]])</f>
        <v>1</v>
      </c>
      <c r="DR295" s="931">
        <f>1-WWWW[[#This Row],[Hygiene Coverage%]]</f>
        <v>0</v>
      </c>
      <c r="DS295" s="929">
        <f>WWWW[[#This Row],['# people reached by regular dedicated hygiene promotion_5]]/WWWW[[#This Row],[Total PoP ]]</f>
        <v>1</v>
      </c>
      <c r="DT29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5" s="930">
        <f>WWWW[[#This Row],['#_Constructed/Existing hand washing stations]]-WWWW[[#This Row],['#_Non-Functional_hand_washing_stations]]</f>
        <v>7</v>
      </c>
      <c r="DW295" s="927">
        <f>IF(WWWW[[#This Row],['# Functional hand washing stations during reporting period]]*20&gt;WWWW[[#This Row],[Total HH]],WWWW[[#This Row],[Total HH]],WWWW[[#This Row],['# Functional hand washing stations during reporting period]]*20)</f>
        <v>28</v>
      </c>
      <c r="DX295" s="927">
        <f>IF(WWWW[[#This Row],[Is sufficient soap available for TLS? (Yes/No)]]="yes",WWWW[[#This Row],['#_Constructed/Existing hand washing stations at TLS/CFS/THF]],0)</f>
        <v>0</v>
      </c>
      <c r="DY295" s="429">
        <f>IF(WWWW[[#This Row],['# Functional hand washing stations during reporting period]]*100&gt;WWWW[[#This Row],[Total PoP ]],WWWW[[#This Row],[Total PoP ]],WWWW[[#This Row],['# Functional hand washing stations during reporting period]]*100)</f>
        <v>125</v>
      </c>
      <c r="DZ295" s="429" t="str">
        <f>IF(OR(WWWW[[#This Row],['#_students at TLS_CFS]]="",WWWW[[#This Row],['#_students at TLS_CFS]]=0),"No","Yes")</f>
        <v>No</v>
      </c>
      <c r="EA29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5" s="923" t="str">
        <f>VLOOKUP(WWWW[[#This Row],[Site Name]],SiteDB6[[Site Name]:[CCCM Management]],6,FALSE)</f>
        <v>Yes</v>
      </c>
      <c r="EF295" s="923" t="str">
        <f>VLOOKUP(WWWW[[#This Row],[Site Name]],SiteDB6[[Site Name]:[CCCM Focal Agency]],7,FALSE)</f>
        <v>KBC-NSS</v>
      </c>
      <c r="EG295" s="923" t="str">
        <f>VLOOKUP(WWWW[[#This Row],[Site Name]],SiteDB6[[Site Name]:[Location Type 1]],9,FALSE)</f>
        <v>Camp</v>
      </c>
      <c r="EH295" s="923" t="str">
        <f>VLOOKUP(WWWW[[#This Row],[Site Name]],SiteDB6[[Site Name]:[Type of Accommodation]],10,FALSE)</f>
        <v>Closed Camp</v>
      </c>
      <c r="EI295" s="923" t="str">
        <f>VLOOKUP(WWWW[[#This Row],[Site Name]],SiteDB6[[Site Name]:[Ethnic or GCA/NGCA]],11,FALSE)</f>
        <v>GCA</v>
      </c>
      <c r="EJ295" s="923">
        <f>VLOOKUP(WWWW[[#This Row],[Site Name]],SiteDB6[[Site Name]:[Lat]],12,FALSE)</f>
        <v>23.250678000000001</v>
      </c>
      <c r="EK295" s="923">
        <f>VLOOKUP(WWWW[[#This Row],[Site Name]],SiteDB6[[Site Name]:[Long]],13,FALSE)</f>
        <v>97.124403000000001</v>
      </c>
      <c r="EL295" s="923" t="str">
        <f>VLOOKUP(WWWW[[#This Row],[Site Name]],SiteDB6[[Site Name]:[Pcode]],3,FALSE)</f>
        <v>MMR015CMP009</v>
      </c>
      <c r="EM295" s="928" t="str">
        <f t="shared" si="4"/>
        <v>Covered</v>
      </c>
      <c r="EN295" s="928"/>
      <c r="EO295" s="923">
        <f>VLOOKUP(WWWW[[#This Row],[Site Name]],SiteDB6[[Site Name]:[Pop
(Kachin/Shan-CCCM as of July 2021)]],16,FALSE)</f>
        <v>28</v>
      </c>
      <c r="EP295" s="923">
        <f>VLOOKUP(WWWW[[#This Row],[Site Name]],SiteDB6[[Site Name]:[Pop
(Kachin/Shan-CCCM as of July 2021)]],17,FALSE)</f>
        <v>147</v>
      </c>
    </row>
    <row r="296" spans="1:146">
      <c r="A296" s="921" t="s">
        <v>2786</v>
      </c>
      <c r="B296" s="921" t="s">
        <v>192</v>
      </c>
      <c r="C296" s="922" t="s">
        <v>192</v>
      </c>
      <c r="D296" s="922" t="s">
        <v>3074</v>
      </c>
      <c r="E296" s="922" t="s">
        <v>37</v>
      </c>
      <c r="F296" s="922" t="s">
        <v>205</v>
      </c>
      <c r="G296" s="594" t="str">
        <f>VLOOKUP(WWWW[[#This Row],[Site Name]],SiteDB6[[Site Name]:[Location Type]],8,FALSE)</f>
        <v>Camp</v>
      </c>
      <c r="H296" s="922" t="s">
        <v>217</v>
      </c>
      <c r="I296" s="924">
        <v>715</v>
      </c>
      <c r="J296" s="924">
        <v>3789</v>
      </c>
      <c r="K296" s="925" t="s">
        <v>3075</v>
      </c>
      <c r="L296" s="926" t="s">
        <v>3076</v>
      </c>
      <c r="M296" s="924"/>
      <c r="N296" s="924"/>
      <c r="O296" s="924">
        <v>3</v>
      </c>
      <c r="P296" s="924"/>
      <c r="Q296" s="927" t="s">
        <v>41</v>
      </c>
      <c r="R296" s="924">
        <v>4</v>
      </c>
      <c r="S296" s="924">
        <v>3</v>
      </c>
      <c r="T296" s="449">
        <v>3</v>
      </c>
      <c r="U296" s="924"/>
      <c r="V296" s="924"/>
      <c r="W296" s="924"/>
      <c r="X296" s="924"/>
      <c r="Y296" s="924"/>
      <c r="Z296" s="924"/>
      <c r="AA296" s="924">
        <v>1</v>
      </c>
      <c r="AB296" s="924"/>
      <c r="AC296" s="924"/>
      <c r="AD296" s="924"/>
      <c r="AE296" s="924"/>
      <c r="AF296" s="924"/>
      <c r="AG296" s="924"/>
      <c r="AH296" s="924"/>
      <c r="AI296" s="924"/>
      <c r="AJ296" s="924"/>
      <c r="AK296" s="924"/>
      <c r="AL296" s="924"/>
      <c r="AM296" s="924">
        <v>4</v>
      </c>
      <c r="AN296" s="924">
        <v>3</v>
      </c>
      <c r="AO296" s="449"/>
      <c r="AP296" s="928"/>
      <c r="AQ296" s="924">
        <v>306</v>
      </c>
      <c r="AR296" s="924"/>
      <c r="AS296" s="929"/>
      <c r="AT296" s="924"/>
      <c r="AU296" s="924"/>
      <c r="AV296" s="924"/>
      <c r="AW296" s="924"/>
      <c r="AX296" s="924"/>
      <c r="AY296" s="923" t="s">
        <v>41</v>
      </c>
      <c r="AZ296" s="928" t="s">
        <v>137</v>
      </c>
      <c r="BA296" s="924">
        <v>13</v>
      </c>
      <c r="BB296" s="924"/>
      <c r="BC296" s="924">
        <v>46</v>
      </c>
      <c r="BD296" s="449">
        <v>4</v>
      </c>
      <c r="BE296" s="449"/>
      <c r="BF296" s="923"/>
      <c r="BG296" s="924">
        <v>1</v>
      </c>
      <c r="BH296" s="924"/>
      <c r="BI296" s="924"/>
      <c r="BJ296" s="924">
        <v>1</v>
      </c>
      <c r="BK296" s="924"/>
      <c r="BL296" s="924"/>
      <c r="BM296" s="924">
        <v>1</v>
      </c>
      <c r="BN296" s="924"/>
      <c r="BO296" s="924"/>
      <c r="BP296" s="923"/>
      <c r="BQ296" s="930"/>
      <c r="BR296" s="929"/>
      <c r="BS296" s="923"/>
      <c r="BT296" s="424"/>
      <c r="BU296" s="424"/>
      <c r="BV296" s="426"/>
      <c r="BW296" s="424"/>
      <c r="BX296" s="449"/>
      <c r="BY296" s="449"/>
      <c r="BZ296" s="449"/>
      <c r="CA296" s="449"/>
      <c r="CB296" s="449"/>
      <c r="CC296" s="807"/>
      <c r="CD296" s="449"/>
      <c r="CE296" s="931" t="str">
        <f>IFERROR(WWWW[[#This Row],['#_Water sources passed]]/WWWW[[#This Row],['#_Water sources tested for fecal coliform ]],"no test")</f>
        <v>no test</v>
      </c>
      <c r="CF296" s="929" t="str">
        <f>IFERROR(WWWW[[#This Row],['#_Household passed]]/WWWW[[#This Row],['#_Household water samples tested for fecal coliform]],"no test")</f>
        <v>no test</v>
      </c>
      <c r="CG296" s="930" t="str">
        <f>IF(AND(WWWW[[#This Row],[% of water sources passed]]="no test",WWWW[[#This Row],[% Household passed]]="no test"),"No Test","Tested")</f>
        <v>No Test</v>
      </c>
      <c r="CH296" s="930">
        <f>WWWW[[#This Row],['#_Constructed/existing protected hand dug well]]-WWWW[[#This Row],['#_Non-functional protected hand dug well]]</f>
        <v>3</v>
      </c>
      <c r="CI296" s="930">
        <f>(WWWW[[#This Row],['#_Constructed/Existing tube wells/boreholes/handpumps_WASH_agency]]+WWWW[[#This Row],['#_Non-Cluster partner water tube-wells/boreholes/handpumps]])-WWWW[[#This Row],['#_Non-functional tube wells/boreholes/handpumps]]</f>
        <v>0</v>
      </c>
      <c r="CJ296" s="930">
        <f>WWWW[[#This Row],['#_Constructed/Existingwater storage tank with gravity fed reticulation system]]-WWWW[[#This Row],['#_Non-functional storage tank gravity fed reticulation system]]</f>
        <v>1</v>
      </c>
      <c r="CK296" s="930">
        <f>(WWWW[[#This Row],['#_Water_Liters_supplied_by_Water boating or water trucking]]/90)/15</f>
        <v>0</v>
      </c>
      <c r="CL296" s="930">
        <f>WWWW[[#This Row],['#_Water_Liters_from_Constructed/Existing water distribution system from river or natural spring]]/90/15</f>
        <v>0</v>
      </c>
      <c r="CM296" s="425">
        <f>IF(WWWW[[#This Row],['#_of water points in TLS/CFS]]*500&gt;WWWW[[#This Row],[Total PoP ]],WWWW[[#This Row],[Total PoP ]],WWWW[[#This Row],['#_of water points in TLS/CFS]]*500)</f>
        <v>1500</v>
      </c>
      <c r="CN296" s="425">
        <f>IF(WWWW[[#This Row],['#_of water points in THF]]*500&gt;WWWW[[#This Row],[Total PoP ]],WWWW[[#This Row],[Total PoP ]],WWWW[[#This Row],['#_of water points in THF]]*500)</f>
        <v>0</v>
      </c>
      <c r="CO29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0.33430104689012052</v>
      </c>
      <c r="CP29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0.2155362012844198</v>
      </c>
      <c r="CQ296" s="929">
        <f>IF(WWWW[[#This Row],[Location Type 1]]="Village",WWWW[[#This Row],[Access to safe drinking water for Village]],WWWW[[#This Row],[Access to safe drinking water for Camp]])</f>
        <v>0.33430104689012052</v>
      </c>
      <c r="CR296" s="927">
        <f>WWWW[[#This Row],[%Equitable and continuous access to sufficient quantity of safe drinking water]]*WWWW[[#This Row],[Total PoP ]]</f>
        <v>1266.6666666666667</v>
      </c>
      <c r="CS296" s="929">
        <f>IF((WWWW[[#This Row],['#_Constructed/Existing protected/fenced ponds]]*250)/WWWW[[#This Row],[Total PoP ]]&gt;1,1,(WWWW[[#This Row],['#_Constructed/Existing protected/fenced ponds]]*250)/WWWW[[#This Row],[Total PoP ]])</f>
        <v>0</v>
      </c>
      <c r="CT296" s="927">
        <f>WWWW[[#This Row],[% Access to unimproved water points]]*WWWW[[#This Row],[Total PoP ]]</f>
        <v>0</v>
      </c>
      <c r="CU29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0.33430104689012052</v>
      </c>
      <c r="CV29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1266.6666666666667</v>
      </c>
      <c r="CW296" s="927">
        <f>WWWW[[#This Row],[HRP1]]/500</f>
        <v>2.5333333333333337</v>
      </c>
      <c r="CX296" s="932">
        <f>1-WWWW[[#This Row],[% Equitable and continuous access to sufficient quantity of domestic water]]</f>
        <v>0.66569895310987948</v>
      </c>
      <c r="CY296" s="927">
        <f>WWWW[[#This Row],[%equitable and continuous access to sufficient quantity of safe drinking and domestic water''s GAP]]*WWWW[[#This Row],[Total PoP ]]</f>
        <v>2522.3333333333335</v>
      </c>
      <c r="CZ296" s="930">
        <f>IF(WWWW[[#This Row],[Total required water points]]-WWWW[[#This Row],['#Water points coverage]]&lt;0,0,WWWW[[#This Row],[Total required water points]]-WWWW[[#This Row],['#Water points coverage]])</f>
        <v>5.4666666666666668</v>
      </c>
      <c r="DA296" s="930">
        <f>ROUND(IF(WWWW[[#This Row],[Total PoP ]]&lt;500,1,WWWW[[#This Row],[Total PoP ]]/500),0)</f>
        <v>8</v>
      </c>
      <c r="DB296" s="930">
        <f>(WWWW[[#This Row],['#_Constructed latrines_by_WASHAgencies]]+WWWW[[#This Row],['#_Non Cluster partner latrines]])-WWWW[[#This Row],['#_Non-functional latrines]]</f>
        <v>306</v>
      </c>
      <c r="DC296" s="634">
        <f>WWWW[[#This Row],[HRP2]]/WWWW[[#This Row],[Total PoP ]]</f>
        <v>1</v>
      </c>
      <c r="DD29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3789</v>
      </c>
      <c r="DE29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6" s="425">
        <f>IF(WWWW[[#This Row],['# of functional latrines in THF supported by WASH partners during the reporting period2]]="",0,WWWW[[#This Row],['# of functional latrines in THF supported by WASH partners during the reporting period2]]*50)</f>
        <v>200</v>
      </c>
      <c r="DH296" s="930">
        <f>ROUND(IF(WWWW[[#This Row],[Location Type 1]]="camp",WWWW[[#This Row],[Total PoP ]]/20,IF(WWWW[[#This Row],[Location Type 1]]="Temporary Location",WWWW[[#This Row],[Total PoP ]]/50,(WWWW[[#This Row],[Total PoP ]]/6))),0)</f>
        <v>189</v>
      </c>
      <c r="DI296" s="930">
        <f>IF(WWWW[[#This Row],[Total required Latrines]]-(WWWW[[#This Row],['#_Constructed latrines_by_WASHAgencies]]+WWWW[[#This Row],['#_Non Cluster partner latrines]])&lt;0,0,WWWW[[#This Row],[Total required Latrines]]-(WWWW[[#This Row],['#_Constructed latrines_by_WASHAgencies]]+WWWW[[#This Row],['#_Non Cluster partner latrines]]))</f>
        <v>0</v>
      </c>
      <c r="DJ296" s="932">
        <f>1-WWWW[[#This Row],[% people access to functioning Latrine]]</f>
        <v>0</v>
      </c>
      <c r="DK296" s="931">
        <f>IF(OR(WWWW[[#This Row],['#_Non-functional latrines]]="",WWWW[[#This Row],['#_Non-functional latrines]]=0),0,WWWW[[#This Row],['#_Non-functional latrines]]/(WWWW[[#This Row],['#_Constructed latrines_by_WASHAgencies]]+WWWW[[#This Row],['#_Non Cluster partner latrines]]))</f>
        <v>0</v>
      </c>
      <c r="DL296" s="927">
        <f>IF(500*(WWWW[[#This Row],['#_male hygiene promoters]]+WWWW[[#This Row],['#_female hygiene promoters]])&gt;WWWW[[#This Row],[Total PoP ]],WWWW[[#This Row],[Total PoP ]],500*(WWWW[[#This Row],['#_male hygiene promoters]]+WWWW[[#This Row],['#_female hygiene promoters]]))</f>
        <v>500</v>
      </c>
      <c r="DM29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6" s="930">
        <f>IF(WWWW[[#This Row],['# People with access to soap]]&gt;WWWW[[#This Row],['# People with access to Sanity Pads]],WWWW[[#This Row],['# People with access to soap]],WWWW[[#This Row],['# People with access to Sanity Pads]])</f>
        <v>0</v>
      </c>
      <c r="DP296"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296" s="932">
        <f>IF(WWWW[[#This Row],[HRP3]]/WWWW[[#This Row],[Total PoP ]]&gt;1,1,WWWW[[#This Row],[HRP3]]/WWWW[[#This Row],[Total PoP ]])</f>
        <v>0.13196093956188967</v>
      </c>
      <c r="DR296" s="931">
        <f>1-WWWW[[#This Row],[Hygiene Coverage%]]</f>
        <v>0.8680390604381103</v>
      </c>
      <c r="DS296" s="929">
        <f>WWWW[[#This Row],['# people reached by regular dedicated hygiene promotion_5]]/WWWW[[#This Row],[Total PoP ]]</f>
        <v>0.13196093956188967</v>
      </c>
      <c r="DT29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6" s="930">
        <f>WWWW[[#This Row],['#_Constructed/Existing hand washing stations]]-WWWW[[#This Row],['#_Non-Functional_hand_washing_stations]]</f>
        <v>1</v>
      </c>
      <c r="DW296" s="927">
        <f>IF(WWWW[[#This Row],['# Functional hand washing stations during reporting period]]*20&gt;WWWW[[#This Row],[Total HH]],WWWW[[#This Row],[Total HH]],WWWW[[#This Row],['# Functional hand washing stations during reporting period]]*20)</f>
        <v>20</v>
      </c>
      <c r="DX296" s="927">
        <f>IF(WWWW[[#This Row],[Is sufficient soap available for TLS? (Yes/No)]]="yes",WWWW[[#This Row],['#_Constructed/Existing hand washing stations at TLS/CFS/THF]],0)</f>
        <v>0</v>
      </c>
      <c r="DY296" s="429">
        <f>IF(WWWW[[#This Row],['# Functional hand washing stations during reporting period]]*100&gt;WWWW[[#This Row],[Total PoP ]],WWWW[[#This Row],[Total PoP ]],WWWW[[#This Row],['# Functional hand washing stations during reporting period]]*100)</f>
        <v>100</v>
      </c>
      <c r="DZ296" s="429" t="str">
        <f>IF(OR(WWWW[[#This Row],['#_students at TLS_CFS]]="",WWWW[[#This Row],['#_students at TLS_CFS]]=0),"No","Yes")</f>
        <v>No</v>
      </c>
      <c r="EA29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29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E296" s="923" t="str">
        <f>VLOOKUP(WWWW[[#This Row],[Site Name]],SiteDB6[[Site Name]:[CCCM Management]],6,FALSE)</f>
        <v>Yes</v>
      </c>
      <c r="EF296" s="923" t="str">
        <f>VLOOKUP(WWWW[[#This Row],[Site Name]],SiteDB6[[Site Name]:[CCCM Focal Agency]],7,FALSE)</f>
        <v>KMSS-MYT</v>
      </c>
      <c r="EG296" s="923" t="str">
        <f>VLOOKUP(WWWW[[#This Row],[Site Name]],SiteDB6[[Site Name]:[Location Type 1]],9,FALSE)</f>
        <v>Camp</v>
      </c>
      <c r="EH296" s="923" t="str">
        <f>VLOOKUP(WWWW[[#This Row],[Site Name]],SiteDB6[[Site Name]:[Type of Accommodation]],10,FALSE)</f>
        <v>Camp</v>
      </c>
      <c r="EI296" s="923" t="str">
        <f>VLOOKUP(WWWW[[#This Row],[Site Name]],SiteDB6[[Site Name]:[Ethnic or GCA/NGCA]],11,FALSE)</f>
        <v>NGCA</v>
      </c>
      <c r="EJ296" s="923">
        <f>VLOOKUP(WWWW[[#This Row],[Site Name]],SiteDB6[[Site Name]:[Lat]],12,FALSE)</f>
        <v>24.661905999999998</v>
      </c>
      <c r="EK296" s="923">
        <f>VLOOKUP(WWWW[[#This Row],[Site Name]],SiteDB6[[Site Name]:[Long]],13,FALSE)</f>
        <v>97.573126000000002</v>
      </c>
      <c r="EL296" s="923" t="str">
        <f>VLOOKUP(WWWW[[#This Row],[Site Name]],SiteDB6[[Site Name]:[Pcode]],3,FALSE)</f>
        <v>MMR001CMP122</v>
      </c>
      <c r="EM296" s="928" t="str">
        <f t="shared" si="4"/>
        <v>Covered</v>
      </c>
      <c r="EN296" s="928"/>
      <c r="EO296" s="923">
        <f>VLOOKUP(WWWW[[#This Row],[Site Name]],SiteDB6[[Site Name]:[Pop
(Kachin/Shan-CCCM as of July 2021)]],16,FALSE)</f>
        <v>664</v>
      </c>
      <c r="EP296" s="923">
        <f>VLOOKUP(WWWW[[#This Row],[Site Name]],SiteDB6[[Site Name]:[Pop
(Kachin/Shan-CCCM as of July 2021)]],17,FALSE)</f>
        <v>3491</v>
      </c>
    </row>
    <row r="297" spans="1:146" hidden="1">
      <c r="A297" s="921" t="s">
        <v>2786</v>
      </c>
      <c r="B297" s="921" t="s">
        <v>192</v>
      </c>
      <c r="C297" s="922" t="s">
        <v>192</v>
      </c>
      <c r="D297" s="922" t="s">
        <v>2695</v>
      </c>
      <c r="E297" s="922" t="s">
        <v>515</v>
      </c>
      <c r="F297" s="922" t="s">
        <v>525</v>
      </c>
      <c r="G297" s="594" t="str">
        <f>VLOOKUP(WWWW[[#This Row],[Site Name]],SiteDB6[[Site Name]:[Location Type]],8,FALSE)</f>
        <v>Camp</v>
      </c>
      <c r="H297" s="922" t="s">
        <v>555</v>
      </c>
      <c r="I297" s="946">
        <v>210</v>
      </c>
      <c r="J297" s="946">
        <v>806</v>
      </c>
      <c r="K297" s="925" t="s">
        <v>2789</v>
      </c>
      <c r="L297" s="926" t="s">
        <v>2790</v>
      </c>
      <c r="M297" s="924"/>
      <c r="N297" s="924"/>
      <c r="O297" s="924"/>
      <c r="P297" s="924"/>
      <c r="Q297" s="927"/>
      <c r="R297" s="924"/>
      <c r="S297" s="924"/>
      <c r="T297" s="449"/>
      <c r="U297" s="924"/>
      <c r="V297" s="924"/>
      <c r="W297" s="924"/>
      <c r="X297" s="924"/>
      <c r="Y297" s="924"/>
      <c r="Z297" s="924"/>
      <c r="AA297" s="924">
        <v>18</v>
      </c>
      <c r="AB297" s="924"/>
      <c r="AC297" s="924"/>
      <c r="AD297" s="924"/>
      <c r="AE297" s="924"/>
      <c r="AF297" s="924"/>
      <c r="AG297" s="924"/>
      <c r="AH297" s="924"/>
      <c r="AI297" s="924"/>
      <c r="AJ297" s="924"/>
      <c r="AK297" s="924"/>
      <c r="AL297" s="924"/>
      <c r="AM297" s="924"/>
      <c r="AN297" s="924"/>
      <c r="AO297" s="449"/>
      <c r="AP297" s="928"/>
      <c r="AQ297" s="946">
        <v>6</v>
      </c>
      <c r="AR297" s="924"/>
      <c r="AS297" s="929"/>
      <c r="AT297" s="924"/>
      <c r="AU297" s="924"/>
      <c r="AV297" s="924"/>
      <c r="AW297" s="924"/>
      <c r="AX297" s="924"/>
      <c r="AY297" s="923" t="s">
        <v>136</v>
      </c>
      <c r="AZ297" s="928" t="s">
        <v>904</v>
      </c>
      <c r="BA297" s="924"/>
      <c r="BB297" s="924"/>
      <c r="BC297" s="924"/>
      <c r="BD297" s="449"/>
      <c r="BE297" s="449"/>
      <c r="BF297" s="923"/>
      <c r="BG297" s="924">
        <v>1</v>
      </c>
      <c r="BH297" s="924"/>
      <c r="BI297" s="924"/>
      <c r="BJ297" s="924">
        <v>3</v>
      </c>
      <c r="BK297" s="924"/>
      <c r="BL297" s="924"/>
      <c r="BM297" s="924"/>
      <c r="BN297" s="924">
        <v>210</v>
      </c>
      <c r="BO297" s="924"/>
      <c r="BP297" s="426" t="s">
        <v>41</v>
      </c>
      <c r="BQ297" s="930"/>
      <c r="BR297" s="929"/>
      <c r="BS297" s="923"/>
      <c r="BT297" s="424"/>
      <c r="BU297" s="424"/>
      <c r="BV297" s="426"/>
      <c r="BW297" s="424"/>
      <c r="BX297" s="449"/>
      <c r="BY297" s="449"/>
      <c r="BZ297" s="449"/>
      <c r="CA297" s="449"/>
      <c r="CB297" s="449"/>
      <c r="CC297" s="807"/>
      <c r="CD297" s="449"/>
      <c r="CE297" s="931" t="str">
        <f>IFERROR(WWWW[[#This Row],['#_Water sources passed]]/WWWW[[#This Row],['#_Water sources tested for fecal coliform ]],"no test")</f>
        <v>no test</v>
      </c>
      <c r="CF297" s="929" t="str">
        <f>IFERROR(WWWW[[#This Row],['#_Household passed]]/WWWW[[#This Row],['#_Household water samples tested for fecal coliform]],"no test")</f>
        <v>no test</v>
      </c>
      <c r="CG297" s="930" t="str">
        <f>IF(AND(WWWW[[#This Row],[% of water sources passed]]="no test",WWWW[[#This Row],[% Household passed]]="no test"),"No Test","Tested")</f>
        <v>No Test</v>
      </c>
      <c r="CH297" s="930">
        <f>WWWW[[#This Row],['#_Constructed/existing protected hand dug well]]-WWWW[[#This Row],['#_Non-functional protected hand dug well]]</f>
        <v>0</v>
      </c>
      <c r="CI297" s="930">
        <f>(WWWW[[#This Row],['#_Constructed/Existing tube wells/boreholes/handpumps_WASH_agency]]+WWWW[[#This Row],['#_Non-Cluster partner water tube-wells/boreholes/handpumps]])-WWWW[[#This Row],['#_Non-functional tube wells/boreholes/handpumps]]</f>
        <v>0</v>
      </c>
      <c r="CJ297" s="930">
        <f>WWWW[[#This Row],['#_Constructed/Existingwater storage tank with gravity fed reticulation system]]-WWWW[[#This Row],['#_Non-functional storage tank gravity fed reticulation system]]</f>
        <v>18</v>
      </c>
      <c r="CK297" s="930">
        <f>(WWWW[[#This Row],['#_Water_Liters_supplied_by_Water boating or water trucking]]/90)/15</f>
        <v>0</v>
      </c>
      <c r="CL297" s="930">
        <f>WWWW[[#This Row],['#_Water_Liters_from_Constructed/Existing water distribution system from river or natural spring]]/90/15</f>
        <v>0</v>
      </c>
      <c r="CM297" s="425">
        <f>IF(WWWW[[#This Row],['#_of water points in TLS/CFS]]*500&gt;WWWW[[#This Row],[Total PoP ]],WWWW[[#This Row],[Total PoP ]],WWWW[[#This Row],['#_of water points in TLS/CFS]]*500)</f>
        <v>0</v>
      </c>
      <c r="CN297" s="425">
        <f>IF(WWWW[[#This Row],['#_of water points in THF]]*500&gt;WWWW[[#This Row],[Total PoP ]],WWWW[[#This Row],[Total PoP ]],WWWW[[#This Row],['#_of water points in THF]]*500)</f>
        <v>0</v>
      </c>
      <c r="CO29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29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297" s="929">
        <f>IF(WWWW[[#This Row],[Location Type 1]]="Village",WWWW[[#This Row],[Access to safe drinking water for Village]],WWWW[[#This Row],[Access to safe drinking water for Camp]])</f>
        <v>1</v>
      </c>
      <c r="CR297" s="927">
        <f>WWWW[[#This Row],[%Equitable and continuous access to sufficient quantity of safe drinking water]]*WWWW[[#This Row],[Total PoP ]]</f>
        <v>806</v>
      </c>
      <c r="CS297" s="929">
        <f>IF((WWWW[[#This Row],['#_Constructed/Existing protected/fenced ponds]]*250)/WWWW[[#This Row],[Total PoP ]]&gt;1,1,(WWWW[[#This Row],['#_Constructed/Existing protected/fenced ponds]]*250)/WWWW[[#This Row],[Total PoP ]])</f>
        <v>0</v>
      </c>
      <c r="CT297" s="927">
        <f>WWWW[[#This Row],[% Access to unimproved water points]]*WWWW[[#This Row],[Total PoP ]]</f>
        <v>0</v>
      </c>
      <c r="CU29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29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806</v>
      </c>
      <c r="CW297" s="927">
        <f>WWWW[[#This Row],[HRP1]]/500</f>
        <v>1.6120000000000001</v>
      </c>
      <c r="CX297" s="932">
        <f>1-WWWW[[#This Row],[% Equitable and continuous access to sufficient quantity of domestic water]]</f>
        <v>0</v>
      </c>
      <c r="CY297" s="927">
        <f>WWWW[[#This Row],[%equitable and continuous access to sufficient quantity of safe drinking and domestic water''s GAP]]*WWWW[[#This Row],[Total PoP ]]</f>
        <v>0</v>
      </c>
      <c r="CZ297" s="930">
        <f>IF(WWWW[[#This Row],[Total required water points]]-WWWW[[#This Row],['#Water points coverage]]&lt;0,0,WWWW[[#This Row],[Total required water points]]-WWWW[[#This Row],['#Water points coverage]])</f>
        <v>0.3879999999999999</v>
      </c>
      <c r="DA297" s="930">
        <f>ROUND(IF(WWWW[[#This Row],[Total PoP ]]&lt;500,1,WWWW[[#This Row],[Total PoP ]]/500),0)</f>
        <v>2</v>
      </c>
      <c r="DB297" s="930">
        <f>(WWWW[[#This Row],['#_Constructed latrines_by_WASHAgencies]]+WWWW[[#This Row],['#_Non Cluster partner latrines]])-WWWW[[#This Row],['#_Non-functional latrines]]</f>
        <v>6</v>
      </c>
      <c r="DC297" s="634">
        <f>WWWW[[#This Row],[HRP2]]/WWWW[[#This Row],[Total PoP ]]</f>
        <v>0.14888337468982629</v>
      </c>
      <c r="DD29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29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7" s="425">
        <f>IF(WWWW[[#This Row],['# of functional latrines in THF supported by WASH partners during the reporting period2]]="",0,WWWW[[#This Row],['# of functional latrines in THF supported by WASH partners during the reporting period2]]*50)</f>
        <v>0</v>
      </c>
      <c r="DH297" s="930">
        <f>ROUND(IF(WWWW[[#This Row],[Location Type 1]]="camp",WWWW[[#This Row],[Total PoP ]]/20,IF(WWWW[[#This Row],[Location Type 1]]="Temporary Location",WWWW[[#This Row],[Total PoP ]]/50,(WWWW[[#This Row],[Total PoP ]]/6))),0)</f>
        <v>40</v>
      </c>
      <c r="DI297" s="930">
        <f>IF(WWWW[[#This Row],[Total required Latrines]]-(WWWW[[#This Row],['#_Constructed latrines_by_WASHAgencies]]+WWWW[[#This Row],['#_Non Cluster partner latrines]])&lt;0,0,WWWW[[#This Row],[Total required Latrines]]-(WWWW[[#This Row],['#_Constructed latrines_by_WASHAgencies]]+WWWW[[#This Row],['#_Non Cluster partner latrines]]))</f>
        <v>34</v>
      </c>
      <c r="DJ297" s="932">
        <f>1-WWWW[[#This Row],[% people access to functioning Latrine]]</f>
        <v>0.85111662531017374</v>
      </c>
      <c r="DK297" s="931">
        <f>IF(OR(WWWW[[#This Row],['#_Non-functional latrines]]="",WWWW[[#This Row],['#_Non-functional latrines]]=0),0,WWWW[[#This Row],['#_Non-functional latrines]]/(WWWW[[#This Row],['#_Constructed latrines_by_WASHAgencies]]+WWWW[[#This Row],['#_Non Cluster partner latrines]]))</f>
        <v>0</v>
      </c>
      <c r="DL297" s="927">
        <f>IF(500*(WWWW[[#This Row],['#_male hygiene promoters]]+WWWW[[#This Row],['#_female hygiene promoters]])&gt;WWWW[[#This Row],[Total PoP ]],WWWW[[#This Row],[Total PoP ]],500*(WWWW[[#This Row],['#_male hygiene promoters]]+WWWW[[#This Row],['#_female hygiene promoters]]))</f>
        <v>0</v>
      </c>
      <c r="DM29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806</v>
      </c>
      <c r="DN29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7" s="930">
        <f>IF(WWWW[[#This Row],['# People with access to soap]]&gt;WWWW[[#This Row],['# People with access to Sanity Pads]],WWWW[[#This Row],['# People with access to soap]],WWWW[[#This Row],['# People with access to Sanity Pads]])</f>
        <v>806</v>
      </c>
      <c r="DP297" s="930">
        <f>IF(WWWW[[#This Row],['# people reached by regular dedicated hygiene promotion_5]]&gt;WWWW[[#This Row],['# People received regular supply of hygiene items_6]],WWWW[[#This Row],['# people reached by regular dedicated hygiene promotion_5]],WWWW[[#This Row],['# People received regular supply of hygiene items_6]])</f>
        <v>806</v>
      </c>
      <c r="DQ297" s="932">
        <f>IF(WWWW[[#This Row],[HRP3]]/WWWW[[#This Row],[Total PoP ]]&gt;1,1,WWWW[[#This Row],[HRP3]]/WWWW[[#This Row],[Total PoP ]])</f>
        <v>1</v>
      </c>
      <c r="DR297" s="931">
        <f>1-WWWW[[#This Row],[Hygiene Coverage%]]</f>
        <v>0</v>
      </c>
      <c r="DS297" s="929">
        <f>WWWW[[#This Row],['# people reached by regular dedicated hygiene promotion_5]]/WWWW[[#This Row],[Total PoP ]]</f>
        <v>0</v>
      </c>
      <c r="DT29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29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7" s="930">
        <f>WWWW[[#This Row],['#_Constructed/Existing hand washing stations]]-WWWW[[#This Row],['#_Non-Functional_hand_washing_stations]]</f>
        <v>1</v>
      </c>
      <c r="DW297" s="927">
        <f>IF(WWWW[[#This Row],['# Functional hand washing stations during reporting period]]*20&gt;WWWW[[#This Row],[Total HH]],WWWW[[#This Row],[Total HH]],WWWW[[#This Row],['# Functional hand washing stations during reporting period]]*20)</f>
        <v>20</v>
      </c>
      <c r="DX297" s="927">
        <f>IF(WWWW[[#This Row],[Is sufficient soap available for TLS? (Yes/No)]]="yes",WWWW[[#This Row],['#_Constructed/Existing hand washing stations at TLS/CFS/THF]],0)</f>
        <v>0</v>
      </c>
      <c r="DY297" s="429">
        <f>IF(WWWW[[#This Row],['# Functional hand washing stations during reporting period]]*100&gt;WWWW[[#This Row],[Total PoP ]],WWWW[[#This Row],[Total PoP ]],WWWW[[#This Row],['# Functional hand washing stations during reporting period]]*100)</f>
        <v>100</v>
      </c>
      <c r="DZ297" s="429" t="str">
        <f>IF(OR(WWWW[[#This Row],['#_students at TLS_CFS]]="",WWWW[[#This Row],['#_students at TLS_CFS]]=0),"No","Yes")</f>
        <v>No</v>
      </c>
      <c r="EA29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7" s="923" t="str">
        <f>VLOOKUP(WWWW[[#This Row],[Site Name]],SiteDB6[[Site Name]:[CCCM Management]],6,FALSE)</f>
        <v>Yes</v>
      </c>
      <c r="EF297" s="923" t="str">
        <f>VLOOKUP(WWWW[[#This Row],[Site Name]],SiteDB6[[Site Name]:[CCCM Focal Agency]],7,FALSE)</f>
        <v>KBC-NSS</v>
      </c>
      <c r="EG297" s="923" t="str">
        <f>VLOOKUP(WWWW[[#This Row],[Site Name]],SiteDB6[[Site Name]:[Location Type 1]],9,FALSE)</f>
        <v>Camp</v>
      </c>
      <c r="EH297" s="923" t="str">
        <f>VLOOKUP(WWWW[[#This Row],[Site Name]],SiteDB6[[Site Name]:[Type of Accommodation]],10,FALSE)</f>
        <v>Camp</v>
      </c>
      <c r="EI297" s="923" t="str">
        <f>VLOOKUP(WWWW[[#This Row],[Site Name]],SiteDB6[[Site Name]:[Ethnic or GCA/NGCA]],11,FALSE)</f>
        <v>GCA</v>
      </c>
      <c r="EJ297" s="923">
        <f>VLOOKUP(WWWW[[#This Row],[Site Name]],SiteDB6[[Site Name]:[Lat]],12,FALSE)</f>
        <v>24.08738</v>
      </c>
      <c r="EK297" s="923">
        <f>VLOOKUP(WWWW[[#This Row],[Site Name]],SiteDB6[[Site Name]:[Long]],13,FALSE)</f>
        <v>98.115809999999996</v>
      </c>
      <c r="EL297" s="923" t="str">
        <f>VLOOKUP(WWWW[[#This Row],[Site Name]],SiteDB6[[Site Name]:[Pcode]],3,FALSE)</f>
        <v>MMR015CMP065</v>
      </c>
      <c r="EM297" s="928" t="str">
        <f t="shared" si="4"/>
        <v>Covered</v>
      </c>
      <c r="EN297" s="928"/>
      <c r="EO297" s="923">
        <f>VLOOKUP(WWWW[[#This Row],[Site Name]],SiteDB6[[Site Name]:[Pop
(Kachin/Shan-CCCM as of July 2021)]],16,FALSE)</f>
        <v>306</v>
      </c>
      <c r="EP297" s="923">
        <f>VLOOKUP(WWWW[[#This Row],[Site Name]],SiteDB6[[Site Name]:[Pop
(Kachin/Shan-CCCM as of July 2021)]],17,FALSE)</f>
        <v>1573</v>
      </c>
    </row>
    <row r="298" spans="1:146" hidden="1">
      <c r="A298" s="921" t="s">
        <v>2786</v>
      </c>
      <c r="B298" s="921" t="s">
        <v>192</v>
      </c>
      <c r="C298" s="922" t="s">
        <v>192</v>
      </c>
      <c r="D298" s="370" t="s">
        <v>241</v>
      </c>
      <c r="E298" s="922" t="s">
        <v>515</v>
      </c>
      <c r="F298" s="922" t="s">
        <v>525</v>
      </c>
      <c r="G298" s="594" t="str">
        <f>VLOOKUP(WWWW[[#This Row],[Site Name]],SiteDB6[[Site Name]:[Location Type]],8,FALSE)</f>
        <v>Camp</v>
      </c>
      <c r="H298" s="922" t="s">
        <v>2716</v>
      </c>
      <c r="I298" s="449">
        <v>19</v>
      </c>
      <c r="J298" s="449">
        <v>60</v>
      </c>
      <c r="K298" s="954" t="s">
        <v>3040</v>
      </c>
      <c r="L298" s="955" t="s">
        <v>3041</v>
      </c>
      <c r="M298" s="924"/>
      <c r="N298" s="924"/>
      <c r="O298" s="924"/>
      <c r="P298" s="924"/>
      <c r="Q298" s="927"/>
      <c r="R298" s="924"/>
      <c r="S298" s="924"/>
      <c r="T298" s="449"/>
      <c r="U298" s="924"/>
      <c r="V298" s="924"/>
      <c r="W298" s="924"/>
      <c r="X298" s="924"/>
      <c r="Y298" s="924"/>
      <c r="Z298" s="924"/>
      <c r="AA298" s="924"/>
      <c r="AB298" s="924"/>
      <c r="AC298" s="924"/>
      <c r="AD298" s="924"/>
      <c r="AE298" s="924"/>
      <c r="AF298" s="924"/>
      <c r="AG298" s="924"/>
      <c r="AH298" s="924"/>
      <c r="AI298" s="924"/>
      <c r="AJ298" s="924"/>
      <c r="AK298" s="924"/>
      <c r="AL298" s="924"/>
      <c r="AM298" s="924"/>
      <c r="AN298" s="924"/>
      <c r="AO298" s="449"/>
      <c r="AP298" s="928"/>
      <c r="AQ298" s="924"/>
      <c r="AR298" s="924"/>
      <c r="AS298" s="929"/>
      <c r="AT298" s="924"/>
      <c r="AU298" s="924"/>
      <c r="AV298" s="924"/>
      <c r="AW298" s="924"/>
      <c r="AX298" s="924"/>
      <c r="AY298" s="923" t="s">
        <v>140</v>
      </c>
      <c r="AZ298" s="928" t="s">
        <v>140</v>
      </c>
      <c r="BA298" s="924"/>
      <c r="BB298" s="924"/>
      <c r="BC298" s="924"/>
      <c r="BD298" s="449"/>
      <c r="BE298" s="449"/>
      <c r="BF298" s="923"/>
      <c r="BG298" s="924">
        <v>8</v>
      </c>
      <c r="BH298" s="924"/>
      <c r="BI298" s="924"/>
      <c r="BJ298" s="924">
        <v>3</v>
      </c>
      <c r="BK298" s="924"/>
      <c r="BL298" s="924"/>
      <c r="BM298" s="924"/>
      <c r="BN298" s="924"/>
      <c r="BO298" s="924"/>
      <c r="BP298" s="426" t="s">
        <v>41</v>
      </c>
      <c r="BQ298" s="930"/>
      <c r="BR298" s="929"/>
      <c r="BS298" s="923"/>
      <c r="BT298" s="424"/>
      <c r="BU298" s="424"/>
      <c r="BV298" s="426"/>
      <c r="BW298" s="424"/>
      <c r="BX298" s="449"/>
      <c r="BY298" s="449"/>
      <c r="BZ298" s="449"/>
      <c r="CA298" s="449"/>
      <c r="CB298" s="449"/>
      <c r="CC298" s="807"/>
      <c r="CD298" s="449"/>
      <c r="CE298" s="931" t="str">
        <f>IFERROR(WWWW[[#This Row],['#_Water sources passed]]/WWWW[[#This Row],['#_Water sources tested for fecal coliform ]],"no test")</f>
        <v>no test</v>
      </c>
      <c r="CF298" s="929" t="str">
        <f>IFERROR(WWWW[[#This Row],['#_Household passed]]/WWWW[[#This Row],['#_Household water samples tested for fecal coliform]],"no test")</f>
        <v>no test</v>
      </c>
      <c r="CG298" s="930" t="str">
        <f>IF(AND(WWWW[[#This Row],[% of water sources passed]]="no test",WWWW[[#This Row],[% Household passed]]="no test"),"No Test","Tested")</f>
        <v>No Test</v>
      </c>
      <c r="CH298" s="930">
        <f>WWWW[[#This Row],['#_Constructed/existing protected hand dug well]]-WWWW[[#This Row],['#_Non-functional protected hand dug well]]</f>
        <v>0</v>
      </c>
      <c r="CI298" s="930">
        <f>(WWWW[[#This Row],['#_Constructed/Existing tube wells/boreholes/handpumps_WASH_agency]]+WWWW[[#This Row],['#_Non-Cluster partner water tube-wells/boreholes/handpumps]])-WWWW[[#This Row],['#_Non-functional tube wells/boreholes/handpumps]]</f>
        <v>0</v>
      </c>
      <c r="CJ298" s="930">
        <f>WWWW[[#This Row],['#_Constructed/Existingwater storage tank with gravity fed reticulation system]]-WWWW[[#This Row],['#_Non-functional storage tank gravity fed reticulation system]]</f>
        <v>0</v>
      </c>
      <c r="CK298" s="930">
        <f>(WWWW[[#This Row],['#_Water_Liters_supplied_by_Water boating or water trucking]]/90)/15</f>
        <v>0</v>
      </c>
      <c r="CL298" s="930">
        <f>WWWW[[#This Row],['#_Water_Liters_from_Constructed/Existing water distribution system from river or natural spring]]/90/15</f>
        <v>0</v>
      </c>
      <c r="CM298" s="425">
        <f>IF(WWWW[[#This Row],['#_of water points in TLS/CFS]]*500&gt;WWWW[[#This Row],[Total PoP ]],WWWW[[#This Row],[Total PoP ]],WWWW[[#This Row],['#_of water points in TLS/CFS]]*500)</f>
        <v>0</v>
      </c>
      <c r="CN298" s="425">
        <f>IF(WWWW[[#This Row],['#_of water points in THF]]*500&gt;WWWW[[#This Row],[Total PoP ]],WWWW[[#This Row],[Total PoP ]],WWWW[[#This Row],['#_of water points in THF]]*500)</f>
        <v>0</v>
      </c>
      <c r="CO29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8" s="929">
        <f>IF(WWWW[[#This Row],[Location Type 1]]="Village",WWWW[[#This Row],[Access to safe drinking water for Village]],WWWW[[#This Row],[Access to safe drinking water for Camp]])</f>
        <v>0</v>
      </c>
      <c r="CR298" s="927">
        <f>WWWW[[#This Row],[%Equitable and continuous access to sufficient quantity of safe drinking water]]*WWWW[[#This Row],[Total PoP ]]</f>
        <v>0</v>
      </c>
      <c r="CS298" s="929">
        <f>IF((WWWW[[#This Row],['#_Constructed/Existing protected/fenced ponds]]*250)/WWWW[[#This Row],[Total PoP ]]&gt;1,1,(WWWW[[#This Row],['#_Constructed/Existing protected/fenced ponds]]*250)/WWWW[[#This Row],[Total PoP ]])</f>
        <v>0</v>
      </c>
      <c r="CT298" s="927">
        <f>WWWW[[#This Row],[% Access to unimproved water points]]*WWWW[[#This Row],[Total PoP ]]</f>
        <v>0</v>
      </c>
      <c r="CU29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8" s="927">
        <f>WWWW[[#This Row],[HRP1]]/500</f>
        <v>0</v>
      </c>
      <c r="CX298" s="932">
        <f>1-WWWW[[#This Row],[% Equitable and continuous access to sufficient quantity of domestic water]]</f>
        <v>1</v>
      </c>
      <c r="CY298" s="927">
        <f>WWWW[[#This Row],[%equitable and continuous access to sufficient quantity of safe drinking and domestic water''s GAP]]*WWWW[[#This Row],[Total PoP ]]</f>
        <v>60</v>
      </c>
      <c r="CZ298" s="930">
        <f>IF(WWWW[[#This Row],[Total required water points]]-WWWW[[#This Row],['#Water points coverage]]&lt;0,0,WWWW[[#This Row],[Total required water points]]-WWWW[[#This Row],['#Water points coverage]])</f>
        <v>1</v>
      </c>
      <c r="DA298" s="930">
        <f>ROUND(IF(WWWW[[#This Row],[Total PoP ]]&lt;500,1,WWWW[[#This Row],[Total PoP ]]/500),0)</f>
        <v>1</v>
      </c>
      <c r="DB298" s="930">
        <f>(WWWW[[#This Row],['#_Constructed latrines_by_WASHAgencies]]+WWWW[[#This Row],['#_Non Cluster partner latrines]])-WWWW[[#This Row],['#_Non-functional latrines]]</f>
        <v>0</v>
      </c>
      <c r="DC298" s="634">
        <f>WWWW[[#This Row],[HRP2]]/WWWW[[#This Row],[Total PoP ]]</f>
        <v>0</v>
      </c>
      <c r="DD29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9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8" s="425">
        <f>IF(WWWW[[#This Row],['# of functional latrines in THF supported by WASH partners during the reporting period2]]="",0,WWWW[[#This Row],['# of functional latrines in THF supported by WASH partners during the reporting period2]]*50)</f>
        <v>0</v>
      </c>
      <c r="DH298" s="930">
        <f>ROUND(IF(WWWW[[#This Row],[Location Type 1]]="camp",WWWW[[#This Row],[Total PoP ]]/20,IF(WWWW[[#This Row],[Location Type 1]]="Temporary Location",WWWW[[#This Row],[Total PoP ]]/50,(WWWW[[#This Row],[Total PoP ]]/6))),0)</f>
        <v>3</v>
      </c>
      <c r="DI298" s="930">
        <f>IF(WWWW[[#This Row],[Total required Latrines]]-(WWWW[[#This Row],['#_Constructed latrines_by_WASHAgencies]]+WWWW[[#This Row],['#_Non Cluster partner latrines]])&lt;0,0,WWWW[[#This Row],[Total required Latrines]]-(WWWW[[#This Row],['#_Constructed latrines_by_WASHAgencies]]+WWWW[[#This Row],['#_Non Cluster partner latrines]]))</f>
        <v>3</v>
      </c>
      <c r="DJ298" s="932">
        <f>1-WWWW[[#This Row],[% people access to functioning Latrine]]</f>
        <v>1</v>
      </c>
      <c r="DK298" s="931">
        <f>IF(OR(WWWW[[#This Row],['#_Non-functional latrines]]="",WWWW[[#This Row],['#_Non-functional latrines]]=0),0,WWWW[[#This Row],['#_Non-functional latrines]]/(WWWW[[#This Row],['#_Constructed latrines_by_WASHAgencies]]+WWWW[[#This Row],['#_Non Cluster partner latrines]]))</f>
        <v>0</v>
      </c>
      <c r="DL298" s="927">
        <f>IF(500*(WWWW[[#This Row],['#_male hygiene promoters]]+WWWW[[#This Row],['#_female hygiene promoters]])&gt;WWWW[[#This Row],[Total PoP ]],WWWW[[#This Row],[Total PoP ]],500*(WWWW[[#This Row],['#_male hygiene promoters]]+WWWW[[#This Row],['#_female hygiene promoters]]))</f>
        <v>0</v>
      </c>
      <c r="DM29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8" s="930">
        <f>IF(WWWW[[#This Row],['# People with access to soap]]&gt;WWWW[[#This Row],['# People with access to Sanity Pads]],WWWW[[#This Row],['# People with access to soap]],WWWW[[#This Row],['# People with access to Sanity Pads]])</f>
        <v>0</v>
      </c>
      <c r="DP29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8" s="932">
        <f>IF(WWWW[[#This Row],[HRP3]]/WWWW[[#This Row],[Total PoP ]]&gt;1,1,WWWW[[#This Row],[HRP3]]/WWWW[[#This Row],[Total PoP ]])</f>
        <v>0</v>
      </c>
      <c r="DR298" s="931">
        <f>1-WWWW[[#This Row],[Hygiene Coverage%]]</f>
        <v>1</v>
      </c>
      <c r="DS298" s="929">
        <f>WWWW[[#This Row],['# people reached by regular dedicated hygiene promotion_5]]/WWWW[[#This Row],[Total PoP ]]</f>
        <v>0</v>
      </c>
      <c r="DT29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8" s="930">
        <f>WWWW[[#This Row],['#_Constructed/Existing hand washing stations]]-WWWW[[#This Row],['#_Non-Functional_hand_washing_stations]]</f>
        <v>8</v>
      </c>
      <c r="DW298" s="927">
        <f>IF(WWWW[[#This Row],['# Functional hand washing stations during reporting period]]*20&gt;WWWW[[#This Row],[Total HH]],WWWW[[#This Row],[Total HH]],WWWW[[#This Row],['# Functional hand washing stations during reporting period]]*20)</f>
        <v>19</v>
      </c>
      <c r="DX298" s="927">
        <f>IF(WWWW[[#This Row],[Is sufficient soap available for TLS? (Yes/No)]]="yes",WWWW[[#This Row],['#_Constructed/Existing hand washing stations at TLS/CFS/THF]],0)</f>
        <v>0</v>
      </c>
      <c r="DY298" s="429">
        <f>IF(WWWW[[#This Row],['# Functional hand washing stations during reporting period]]*100&gt;WWWW[[#This Row],[Total PoP ]],WWWW[[#This Row],[Total PoP ]],WWWW[[#This Row],['# Functional hand washing stations during reporting period]]*100)</f>
        <v>60</v>
      </c>
      <c r="DZ298" s="429" t="str">
        <f>IF(OR(WWWW[[#This Row],['#_students at TLS_CFS]]="",WWWW[[#This Row],['#_students at TLS_CFS]]=0),"No","Yes")</f>
        <v>No</v>
      </c>
      <c r="EA29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8" s="923">
        <f>VLOOKUP(WWWW[[#This Row],[Site Name]],SiteDB6[[Site Name]:[CCCM Management]],6,FALSE)</f>
        <v>0</v>
      </c>
      <c r="EF298" s="923">
        <f>VLOOKUP(WWWW[[#This Row],[Site Name]],SiteDB6[[Site Name]:[CCCM Focal Agency]],7,FALSE)</f>
        <v>0</v>
      </c>
      <c r="EG298" s="923" t="str">
        <f>VLOOKUP(WWWW[[#This Row],[Site Name]],SiteDB6[[Site Name]:[Location Type 1]],9,FALSE)</f>
        <v>Camp</v>
      </c>
      <c r="EH298" s="923" t="str">
        <f>VLOOKUP(WWWW[[#This Row],[Site Name]],SiteDB6[[Site Name]:[Type of Accommodation]],10,FALSE)</f>
        <v>IDPs in host</v>
      </c>
      <c r="EI298" s="923" t="str">
        <f>VLOOKUP(WWWW[[#This Row],[Site Name]],SiteDB6[[Site Name]:[Ethnic or GCA/NGCA]],11,FALSE)</f>
        <v>GCA</v>
      </c>
      <c r="EJ298" s="923">
        <f>VLOOKUP(WWWW[[#This Row],[Site Name]],SiteDB6[[Site Name]:[Lat]],12,FALSE)</f>
        <v>23.963060379028299</v>
      </c>
      <c r="EK298" s="923">
        <f>VLOOKUP(WWWW[[#This Row],[Site Name]],SiteDB6[[Site Name]:[Long]],13,FALSE)</f>
        <v>98.127189636230497</v>
      </c>
      <c r="EL298" s="923" t="str">
        <f>VLOOKUP(WWWW[[#This Row],[Site Name]],SiteDB6[[Site Name]:[Pcode]],3,FALSE)</f>
        <v>MMR015CMP076</v>
      </c>
      <c r="EM298" s="928" t="str">
        <f t="shared" si="4"/>
        <v>Covered</v>
      </c>
      <c r="EN298" s="928"/>
      <c r="EO298" s="923">
        <f>VLOOKUP(WWWW[[#This Row],[Site Name]],SiteDB6[[Site Name]:[Pop
(Kachin/Shan-CCCM as of July 2021)]],16,FALSE)</f>
        <v>19</v>
      </c>
      <c r="EP298" s="923">
        <f>VLOOKUP(WWWW[[#This Row],[Site Name]],SiteDB6[[Site Name]:[Pop
(Kachin/Shan-CCCM as of July 2021)]],17,FALSE)</f>
        <v>60</v>
      </c>
    </row>
    <row r="299" spans="1:146" hidden="1">
      <c r="A299" s="921" t="s">
        <v>2786</v>
      </c>
      <c r="B299" s="921" t="s">
        <v>192</v>
      </c>
      <c r="C299" s="922" t="s">
        <v>192</v>
      </c>
      <c r="D299" s="370" t="s">
        <v>241</v>
      </c>
      <c r="E299" s="922" t="s">
        <v>515</v>
      </c>
      <c r="F299" s="922" t="s">
        <v>525</v>
      </c>
      <c r="G299" s="923" t="str">
        <f>VLOOKUP(WWWW[[#This Row],[Site Name]],SiteDB6[[Site Name]:[Location Type]],8,FALSE)</f>
        <v>Camp</v>
      </c>
      <c r="H299" s="922" t="s">
        <v>3009</v>
      </c>
      <c r="I299" s="946">
        <v>31</v>
      </c>
      <c r="J299" s="946">
        <v>155</v>
      </c>
      <c r="K299" s="954" t="s">
        <v>3040</v>
      </c>
      <c r="L299" s="955" t="s">
        <v>3041</v>
      </c>
      <c r="M299" s="924"/>
      <c r="N299" s="924"/>
      <c r="O299" s="924"/>
      <c r="P299" s="924"/>
      <c r="Q299" s="927"/>
      <c r="R299" s="924"/>
      <c r="S299" s="924"/>
      <c r="T299" s="449"/>
      <c r="U299" s="924"/>
      <c r="V299" s="924"/>
      <c r="W299" s="924"/>
      <c r="X299" s="924"/>
      <c r="Y299" s="924"/>
      <c r="Z299" s="924"/>
      <c r="AA299" s="924"/>
      <c r="AB299" s="924"/>
      <c r="AC299" s="924"/>
      <c r="AD299" s="924"/>
      <c r="AE299" s="924"/>
      <c r="AF299" s="924"/>
      <c r="AG299" s="924"/>
      <c r="AH299" s="924"/>
      <c r="AI299" s="924"/>
      <c r="AJ299" s="924"/>
      <c r="AK299" s="924"/>
      <c r="AL299" s="924"/>
      <c r="AM299" s="924"/>
      <c r="AN299" s="924"/>
      <c r="AO299" s="449"/>
      <c r="AP299" s="928"/>
      <c r="AQ299" s="924"/>
      <c r="AR299" s="924"/>
      <c r="AS299" s="929"/>
      <c r="AT299" s="924"/>
      <c r="AU299" s="924"/>
      <c r="AV299" s="924"/>
      <c r="AW299" s="924"/>
      <c r="AX299" s="924"/>
      <c r="AY299" s="426" t="s">
        <v>140</v>
      </c>
      <c r="AZ299" s="426" t="s">
        <v>140</v>
      </c>
      <c r="BA299" s="924"/>
      <c r="BB299" s="924"/>
      <c r="BC299" s="924"/>
      <c r="BD299" s="449"/>
      <c r="BE299" s="449"/>
      <c r="BF299" s="923"/>
      <c r="BG299" s="924"/>
      <c r="BH299" s="924"/>
      <c r="BI299" s="924"/>
      <c r="BJ299" s="924"/>
      <c r="BK299" s="924"/>
      <c r="BL299" s="924"/>
      <c r="BM299" s="924"/>
      <c r="BN299" s="924"/>
      <c r="BO299" s="924"/>
      <c r="BP299" s="426" t="s">
        <v>41</v>
      </c>
      <c r="BQ299" s="930"/>
      <c r="BR299" s="929"/>
      <c r="BS299" s="923"/>
      <c r="BT299" s="424"/>
      <c r="BU299" s="424"/>
      <c r="BV299" s="426"/>
      <c r="BW299" s="424"/>
      <c r="BX299" s="449"/>
      <c r="BY299" s="449"/>
      <c r="BZ299" s="449"/>
      <c r="CA299" s="449"/>
      <c r="CB299" s="449"/>
      <c r="CC299" s="807"/>
      <c r="CD299" s="449"/>
      <c r="CE299" s="931" t="str">
        <f>IFERROR(WWWW[[#This Row],['#_Water sources passed]]/WWWW[[#This Row],['#_Water sources tested for fecal coliform ]],"no test")</f>
        <v>no test</v>
      </c>
      <c r="CF299" s="929" t="str">
        <f>IFERROR(WWWW[[#This Row],['#_Household passed]]/WWWW[[#This Row],['#_Household water samples tested for fecal coliform]],"no test")</f>
        <v>no test</v>
      </c>
      <c r="CG299" s="930" t="str">
        <f>IF(AND(WWWW[[#This Row],[% of water sources passed]]="no test",WWWW[[#This Row],[% Household passed]]="no test"),"No Test","Tested")</f>
        <v>No Test</v>
      </c>
      <c r="CH299" s="930">
        <f>WWWW[[#This Row],['#_Constructed/existing protected hand dug well]]-WWWW[[#This Row],['#_Non-functional protected hand dug well]]</f>
        <v>0</v>
      </c>
      <c r="CI299" s="930">
        <f>(WWWW[[#This Row],['#_Constructed/Existing tube wells/boreholes/handpumps_WASH_agency]]+WWWW[[#This Row],['#_Non-Cluster partner water tube-wells/boreholes/handpumps]])-WWWW[[#This Row],['#_Non-functional tube wells/boreholes/handpumps]]</f>
        <v>0</v>
      </c>
      <c r="CJ299" s="930">
        <f>WWWW[[#This Row],['#_Constructed/Existingwater storage tank with gravity fed reticulation system]]-WWWW[[#This Row],['#_Non-functional storage tank gravity fed reticulation system]]</f>
        <v>0</v>
      </c>
      <c r="CK299" s="930">
        <f>(WWWW[[#This Row],['#_Water_Liters_supplied_by_Water boating or water trucking]]/90)/15</f>
        <v>0</v>
      </c>
      <c r="CL299" s="930">
        <f>WWWW[[#This Row],['#_Water_Liters_from_Constructed/Existing water distribution system from river or natural spring]]/90/15</f>
        <v>0</v>
      </c>
      <c r="CM299" s="425">
        <f>IF(WWWW[[#This Row],['#_of water points in TLS/CFS]]*500&gt;WWWW[[#This Row],[Total PoP ]],WWWW[[#This Row],[Total PoP ]],WWWW[[#This Row],['#_of water points in TLS/CFS]]*500)</f>
        <v>0</v>
      </c>
      <c r="CN299" s="425">
        <f>IF(WWWW[[#This Row],['#_of water points in THF]]*500&gt;WWWW[[#This Row],[Total PoP ]],WWWW[[#This Row],[Total PoP ]],WWWW[[#This Row],['#_of water points in THF]]*500)</f>
        <v>0</v>
      </c>
      <c r="CO29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29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299" s="929">
        <f>IF(WWWW[[#This Row],[Location Type 1]]="Village",WWWW[[#This Row],[Access to safe drinking water for Village]],WWWW[[#This Row],[Access to safe drinking water for Camp]])</f>
        <v>0</v>
      </c>
      <c r="CR299" s="927">
        <f>WWWW[[#This Row],[%Equitable and continuous access to sufficient quantity of safe drinking water]]*WWWW[[#This Row],[Total PoP ]]</f>
        <v>0</v>
      </c>
      <c r="CS299" s="929">
        <f>IF((WWWW[[#This Row],['#_Constructed/Existing protected/fenced ponds]]*250)/WWWW[[#This Row],[Total PoP ]]&gt;1,1,(WWWW[[#This Row],['#_Constructed/Existing protected/fenced ponds]]*250)/WWWW[[#This Row],[Total PoP ]])</f>
        <v>0</v>
      </c>
      <c r="CT299" s="927">
        <f>WWWW[[#This Row],[% Access to unimproved water points]]*WWWW[[#This Row],[Total PoP ]]</f>
        <v>0</v>
      </c>
      <c r="CU29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29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299" s="927">
        <f>WWWW[[#This Row],[HRP1]]/500</f>
        <v>0</v>
      </c>
      <c r="CX299" s="932">
        <f>1-WWWW[[#This Row],[% Equitable and continuous access to sufficient quantity of domestic water]]</f>
        <v>1</v>
      </c>
      <c r="CY299" s="927">
        <f>WWWW[[#This Row],[%equitable and continuous access to sufficient quantity of safe drinking and domestic water''s GAP]]*WWWW[[#This Row],[Total PoP ]]</f>
        <v>155</v>
      </c>
      <c r="CZ299" s="930">
        <f>IF(WWWW[[#This Row],[Total required water points]]-WWWW[[#This Row],['#Water points coverage]]&lt;0,0,WWWW[[#This Row],[Total required water points]]-WWWW[[#This Row],['#Water points coverage]])</f>
        <v>1</v>
      </c>
      <c r="DA299" s="930">
        <f>ROUND(IF(WWWW[[#This Row],[Total PoP ]]&lt;500,1,WWWW[[#This Row],[Total PoP ]]/500),0)</f>
        <v>1</v>
      </c>
      <c r="DB299" s="930">
        <f>(WWWW[[#This Row],['#_Constructed latrines_by_WASHAgencies]]+WWWW[[#This Row],['#_Non Cluster partner latrines]])-WWWW[[#This Row],['#_Non-functional latrines]]</f>
        <v>0</v>
      </c>
      <c r="DC299" s="634">
        <f>WWWW[[#This Row],[HRP2]]/WWWW[[#This Row],[Total PoP ]]</f>
        <v>0</v>
      </c>
      <c r="DD29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29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29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299" s="425">
        <f>IF(WWWW[[#This Row],['# of functional latrines in THF supported by WASH partners during the reporting period2]]="",0,WWWW[[#This Row],['# of functional latrines in THF supported by WASH partners during the reporting period2]]*50)</f>
        <v>0</v>
      </c>
      <c r="DH299" s="930">
        <f>ROUND(IF(WWWW[[#This Row],[Location Type 1]]="camp",WWWW[[#This Row],[Total PoP ]]/20,IF(WWWW[[#This Row],[Location Type 1]]="Temporary Location",WWWW[[#This Row],[Total PoP ]]/50,(WWWW[[#This Row],[Total PoP ]]/6))),0)</f>
        <v>8</v>
      </c>
      <c r="DI299" s="930">
        <f>IF(WWWW[[#This Row],[Total required Latrines]]-(WWWW[[#This Row],['#_Constructed latrines_by_WASHAgencies]]+WWWW[[#This Row],['#_Non Cluster partner latrines]])&lt;0,0,WWWW[[#This Row],[Total required Latrines]]-(WWWW[[#This Row],['#_Constructed latrines_by_WASHAgencies]]+WWWW[[#This Row],['#_Non Cluster partner latrines]]))</f>
        <v>8</v>
      </c>
      <c r="DJ299" s="932">
        <f>1-WWWW[[#This Row],[% people access to functioning Latrine]]</f>
        <v>1</v>
      </c>
      <c r="DK299" s="931">
        <f>IF(OR(WWWW[[#This Row],['#_Non-functional latrines]]="",WWWW[[#This Row],['#_Non-functional latrines]]=0),0,WWWW[[#This Row],['#_Non-functional latrines]]/(WWWW[[#This Row],['#_Constructed latrines_by_WASHAgencies]]+WWWW[[#This Row],['#_Non Cluster partner latrines]]))</f>
        <v>0</v>
      </c>
      <c r="DL299" s="927">
        <f>IF(500*(WWWW[[#This Row],['#_male hygiene promoters]]+WWWW[[#This Row],['#_female hygiene promoters]])&gt;WWWW[[#This Row],[Total PoP ]],WWWW[[#This Row],[Total PoP ]],500*(WWWW[[#This Row],['#_male hygiene promoters]]+WWWW[[#This Row],['#_female hygiene promoters]]))</f>
        <v>0</v>
      </c>
      <c r="DM29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29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299" s="930">
        <f>IF(WWWW[[#This Row],['# People with access to soap]]&gt;WWWW[[#This Row],['# People with access to Sanity Pads]],WWWW[[#This Row],['# People with access to soap]],WWWW[[#This Row],['# People with access to Sanity Pads]])</f>
        <v>0</v>
      </c>
      <c r="DP29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299" s="932">
        <f>IF(WWWW[[#This Row],[HRP3]]/WWWW[[#This Row],[Total PoP ]]&gt;1,1,WWWW[[#This Row],[HRP3]]/WWWW[[#This Row],[Total PoP ]])</f>
        <v>0</v>
      </c>
      <c r="DR299" s="931">
        <f>1-WWWW[[#This Row],[Hygiene Coverage%]]</f>
        <v>1</v>
      </c>
      <c r="DS299" s="929">
        <f>WWWW[[#This Row],['# people reached by regular dedicated hygiene promotion_5]]/WWWW[[#This Row],[Total PoP ]]</f>
        <v>0</v>
      </c>
      <c r="DT29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29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299" s="930">
        <f>WWWW[[#This Row],['#_Constructed/Existing hand washing stations]]-WWWW[[#This Row],['#_Non-Functional_hand_washing_stations]]</f>
        <v>0</v>
      </c>
      <c r="DW299" s="927">
        <f>IF(WWWW[[#This Row],['# Functional hand washing stations during reporting period]]*20&gt;WWWW[[#This Row],[Total HH]],WWWW[[#This Row],[Total HH]],WWWW[[#This Row],['# Functional hand washing stations during reporting period]]*20)</f>
        <v>0</v>
      </c>
      <c r="DX299" s="927">
        <f>IF(WWWW[[#This Row],[Is sufficient soap available for TLS? (Yes/No)]]="yes",WWWW[[#This Row],['#_Constructed/Existing hand washing stations at TLS/CFS/THF]],0)</f>
        <v>0</v>
      </c>
      <c r="DY299" s="429">
        <f>IF(WWWW[[#This Row],['# Functional hand washing stations during reporting period]]*100&gt;WWWW[[#This Row],[Total PoP ]],WWWW[[#This Row],[Total PoP ]],WWWW[[#This Row],['# Functional hand washing stations during reporting period]]*100)</f>
        <v>0</v>
      </c>
      <c r="DZ299" s="429" t="str">
        <f>IF(OR(WWWW[[#This Row],['#_students at TLS_CFS]]="",WWWW[[#This Row],['#_students at TLS_CFS]]=0),"No","Yes")</f>
        <v>No</v>
      </c>
      <c r="EA29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29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29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29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299" s="923">
        <f>VLOOKUP(WWWW[[#This Row],[Site Name]],SiteDB6[[Site Name]:[CCCM Management]],6,FALSE)</f>
        <v>0</v>
      </c>
      <c r="EF299" s="923">
        <f>VLOOKUP(WWWW[[#This Row],[Site Name]],SiteDB6[[Site Name]:[CCCM Focal Agency]],7,FALSE)</f>
        <v>0</v>
      </c>
      <c r="EG299" s="923" t="str">
        <f>VLOOKUP(WWWW[[#This Row],[Site Name]],SiteDB6[[Site Name]:[Location Type 1]],9,FALSE)</f>
        <v>Camp</v>
      </c>
      <c r="EH299" s="923" t="str">
        <f>VLOOKUP(WWWW[[#This Row],[Site Name]],SiteDB6[[Site Name]:[Type of Accommodation]],10,FALSE)</f>
        <v>Camp like setting</v>
      </c>
      <c r="EI299" s="923" t="str">
        <f>VLOOKUP(WWWW[[#This Row],[Site Name]],SiteDB6[[Site Name]:[Ethnic or GCA/NGCA]],11,FALSE)</f>
        <v>GCA</v>
      </c>
      <c r="EJ299" s="923">
        <f>VLOOKUP(WWWW[[#This Row],[Site Name]],SiteDB6[[Site Name]:[Lat]],12,FALSE)</f>
        <v>0</v>
      </c>
      <c r="EK299" s="923">
        <f>VLOOKUP(WWWW[[#This Row],[Site Name]],SiteDB6[[Site Name]:[Long]],13,FALSE)</f>
        <v>0</v>
      </c>
      <c r="EL299" s="923" t="str">
        <f>VLOOKUP(WWWW[[#This Row],[Site Name]],SiteDB6[[Site Name]:[Pcode]],3,FALSE)</f>
        <v>MMR015CMP083</v>
      </c>
      <c r="EM299" s="928" t="str">
        <f t="shared" si="4"/>
        <v>Covered</v>
      </c>
      <c r="EN299" s="928"/>
      <c r="EO299" s="923">
        <f>VLOOKUP(WWWW[[#This Row],[Site Name]],SiteDB6[[Site Name]:[Pop
(Kachin/Shan-CCCM as of July 2021)]],16,FALSE)</f>
        <v>31</v>
      </c>
      <c r="EP299" s="923">
        <f>VLOOKUP(WWWW[[#This Row],[Site Name]],SiteDB6[[Site Name]:[Pop
(Kachin/Shan-CCCM as of July 2021)]],17,FALSE)</f>
        <v>155</v>
      </c>
    </row>
    <row r="300" spans="1:146" hidden="1">
      <c r="A300" s="921" t="s">
        <v>2786</v>
      </c>
      <c r="B300" s="921" t="s">
        <v>192</v>
      </c>
      <c r="C300" s="922" t="s">
        <v>192</v>
      </c>
      <c r="D300" s="922" t="s">
        <v>2695</v>
      </c>
      <c r="E300" s="922" t="s">
        <v>515</v>
      </c>
      <c r="F300" s="922" t="s">
        <v>516</v>
      </c>
      <c r="G300" s="594" t="str">
        <f>VLOOKUP(WWWW[[#This Row],[Site Name]],SiteDB6[[Site Name]:[Location Type]],8,FALSE)</f>
        <v>Relocated</v>
      </c>
      <c r="H300" s="922" t="s">
        <v>2975</v>
      </c>
      <c r="I300" s="924">
        <v>64</v>
      </c>
      <c r="J300" s="924">
        <v>292</v>
      </c>
      <c r="K300" s="925" t="s">
        <v>2789</v>
      </c>
      <c r="L300" s="926" t="s">
        <v>2790</v>
      </c>
      <c r="M300" s="924"/>
      <c r="N300" s="924"/>
      <c r="O300" s="924"/>
      <c r="P300" s="924"/>
      <c r="Q300" s="927"/>
      <c r="R300" s="924">
        <v>4</v>
      </c>
      <c r="S300" s="924">
        <v>5</v>
      </c>
      <c r="T300" s="449"/>
      <c r="U300" s="924"/>
      <c r="V300" s="924"/>
      <c r="W300" s="924"/>
      <c r="X300" s="924"/>
      <c r="Y300" s="924"/>
      <c r="Z300" s="924"/>
      <c r="AA300" s="924">
        <v>8</v>
      </c>
      <c r="AB300" s="924"/>
      <c r="AC300" s="924"/>
      <c r="AD300" s="924"/>
      <c r="AE300" s="924"/>
      <c r="AF300" s="924"/>
      <c r="AG300" s="924"/>
      <c r="AH300" s="924"/>
      <c r="AI300" s="924"/>
      <c r="AJ300" s="924"/>
      <c r="AK300" s="924"/>
      <c r="AL300" s="924"/>
      <c r="AM300" s="924"/>
      <c r="AN300" s="924"/>
      <c r="AO300" s="449"/>
      <c r="AP300" s="928"/>
      <c r="AQ300" s="956">
        <v>55</v>
      </c>
      <c r="AR300" s="924"/>
      <c r="AS300" s="929"/>
      <c r="AT300" s="924"/>
      <c r="AU300" s="924"/>
      <c r="AV300" s="924"/>
      <c r="AW300" s="924"/>
      <c r="AX300" s="924">
        <v>25</v>
      </c>
      <c r="AY300" s="923" t="s">
        <v>41</v>
      </c>
      <c r="AZ300" s="928" t="s">
        <v>137</v>
      </c>
      <c r="BA300" s="924"/>
      <c r="BB300" s="924"/>
      <c r="BC300" s="924"/>
      <c r="BD300" s="449"/>
      <c r="BE300" s="449"/>
      <c r="BF300" s="923"/>
      <c r="BG300" s="924">
        <v>2</v>
      </c>
      <c r="BH300" s="924"/>
      <c r="BI300" s="924"/>
      <c r="BJ300" s="924">
        <v>2</v>
      </c>
      <c r="BK300" s="924"/>
      <c r="BL300" s="924"/>
      <c r="BM300" s="924">
        <v>1</v>
      </c>
      <c r="BN300" s="924"/>
      <c r="BO300" s="924"/>
      <c r="BP300" s="923"/>
      <c r="BQ300" s="930"/>
      <c r="BR300" s="929"/>
      <c r="BS300" s="923"/>
      <c r="BT300" s="424"/>
      <c r="BU300" s="424"/>
      <c r="BV300" s="426"/>
      <c r="BW300" s="424"/>
      <c r="BX300" s="449"/>
      <c r="BY300" s="449"/>
      <c r="BZ300" s="449"/>
      <c r="CA300" s="449"/>
      <c r="CB300" s="449"/>
      <c r="CC300" s="807"/>
      <c r="CD300" s="449"/>
      <c r="CE300" s="931" t="str">
        <f>IFERROR(WWWW[[#This Row],['#_Water sources passed]]/WWWW[[#This Row],['#_Water sources tested for fecal coliform ]],"no test")</f>
        <v>no test</v>
      </c>
      <c r="CF300" s="929" t="str">
        <f>IFERROR(WWWW[[#This Row],['#_Household passed]]/WWWW[[#This Row],['#_Household water samples tested for fecal coliform]],"no test")</f>
        <v>no test</v>
      </c>
      <c r="CG300" s="930" t="str">
        <f>IF(AND(WWWW[[#This Row],[% of water sources passed]]="no test",WWWW[[#This Row],[% Household passed]]="no test"),"No Test","Tested")</f>
        <v>No Test</v>
      </c>
      <c r="CH300" s="930">
        <f>WWWW[[#This Row],['#_Constructed/existing protected hand dug well]]-WWWW[[#This Row],['#_Non-functional protected hand dug well]]</f>
        <v>0</v>
      </c>
      <c r="CI300" s="930">
        <f>(WWWW[[#This Row],['#_Constructed/Existing tube wells/boreholes/handpumps_WASH_agency]]+WWWW[[#This Row],['#_Non-Cluster partner water tube-wells/boreholes/handpumps]])-WWWW[[#This Row],['#_Non-functional tube wells/boreholes/handpumps]]</f>
        <v>0</v>
      </c>
      <c r="CJ300" s="930">
        <f>WWWW[[#This Row],['#_Constructed/Existingwater storage tank with gravity fed reticulation system]]-WWWW[[#This Row],['#_Non-functional storage tank gravity fed reticulation system]]</f>
        <v>8</v>
      </c>
      <c r="CK300" s="930">
        <f>(WWWW[[#This Row],['#_Water_Liters_supplied_by_Water boating or water trucking]]/90)/15</f>
        <v>0</v>
      </c>
      <c r="CL300" s="930">
        <f>WWWW[[#This Row],['#_Water_Liters_from_Constructed/Existing water distribution system from river or natural spring]]/90/15</f>
        <v>0</v>
      </c>
      <c r="CM300" s="425">
        <f>IF(WWWW[[#This Row],['#_of water points in TLS/CFS]]*500&gt;WWWW[[#This Row],[Total PoP ]],WWWW[[#This Row],[Total PoP ]],WWWW[[#This Row],['#_of water points in TLS/CFS]]*500)</f>
        <v>0</v>
      </c>
      <c r="CN300" s="425">
        <f>IF(WWWW[[#This Row],['#_of water points in THF]]*500&gt;WWWW[[#This Row],[Total PoP ]],WWWW[[#This Row],[Total PoP ]],WWWW[[#This Row],['#_of water points in THF]]*500)</f>
        <v>0</v>
      </c>
      <c r="CO30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0" s="929">
        <f>IF(WWWW[[#This Row],[Location Type 1]]="Village",WWWW[[#This Row],[Access to safe drinking water for Village]],WWWW[[#This Row],[Access to safe drinking water for Camp]])</f>
        <v>1</v>
      </c>
      <c r="CR300" s="927">
        <f>WWWW[[#This Row],[%Equitable and continuous access to sufficient quantity of safe drinking water]]*WWWW[[#This Row],[Total PoP ]]</f>
        <v>292</v>
      </c>
      <c r="CS300" s="929">
        <f>IF((WWWW[[#This Row],['#_Constructed/Existing protected/fenced ponds]]*250)/WWWW[[#This Row],[Total PoP ]]&gt;1,1,(WWWW[[#This Row],['#_Constructed/Existing protected/fenced ponds]]*250)/WWWW[[#This Row],[Total PoP ]])</f>
        <v>0</v>
      </c>
      <c r="CT300" s="927">
        <f>WWWW[[#This Row],[% Access to unimproved water points]]*WWWW[[#This Row],[Total PoP ]]</f>
        <v>0</v>
      </c>
      <c r="CU30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W300" s="927">
        <f>WWWW[[#This Row],[HRP1]]/500</f>
        <v>0.58399999999999996</v>
      </c>
      <c r="CX300" s="932">
        <f>1-WWWW[[#This Row],[% Equitable and continuous access to sufficient quantity of domestic water]]</f>
        <v>0</v>
      </c>
      <c r="CY300" s="927">
        <f>WWWW[[#This Row],[%equitable and continuous access to sufficient quantity of safe drinking and domestic water''s GAP]]*WWWW[[#This Row],[Total PoP ]]</f>
        <v>0</v>
      </c>
      <c r="CZ300" s="930">
        <f>IF(WWWW[[#This Row],[Total required water points]]-WWWW[[#This Row],['#Water points coverage]]&lt;0,0,WWWW[[#This Row],[Total required water points]]-WWWW[[#This Row],['#Water points coverage]])</f>
        <v>0.41600000000000004</v>
      </c>
      <c r="DA300" s="930">
        <f>ROUND(IF(WWWW[[#This Row],[Total PoP ]]&lt;500,1,WWWW[[#This Row],[Total PoP ]]/500),0)</f>
        <v>1</v>
      </c>
      <c r="DB300" s="930">
        <f>(WWWW[[#This Row],['#_Constructed latrines_by_WASHAgencies]]+WWWW[[#This Row],['#_Non Cluster partner latrines]])-WWWW[[#This Row],['#_Non-functional latrines]]</f>
        <v>55</v>
      </c>
      <c r="DC300" s="634">
        <f>WWWW[[#This Row],[HRP2]]/WWWW[[#This Row],[Total PoP ]]</f>
        <v>0.94178082191780821</v>
      </c>
      <c r="DD30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275</v>
      </c>
      <c r="DE30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0" s="425">
        <f>IF(WWWW[[#This Row],['# of functional latrines in THF supported by WASH partners during the reporting period2]]="",0,WWWW[[#This Row],['# of functional latrines in THF supported by WASH partners during the reporting period2]]*50)</f>
        <v>0</v>
      </c>
      <c r="DH300" s="930">
        <f>ROUND(IF(WWWW[[#This Row],[Location Type 1]]="camp",WWWW[[#This Row],[Total PoP ]]/20,IF(WWWW[[#This Row],[Location Type 1]]="Temporary Location",WWWW[[#This Row],[Total PoP ]]/50,(WWWW[[#This Row],[Total PoP ]]/6))),0)</f>
        <v>49</v>
      </c>
      <c r="DI300" s="930">
        <f>IF(WWWW[[#This Row],[Total required Latrines]]-(WWWW[[#This Row],['#_Constructed latrines_by_WASHAgencies]]+WWWW[[#This Row],['#_Non Cluster partner latrines]])&lt;0,0,WWWW[[#This Row],[Total required Latrines]]-(WWWW[[#This Row],['#_Constructed latrines_by_WASHAgencies]]+WWWW[[#This Row],['#_Non Cluster partner latrines]]))</f>
        <v>0</v>
      </c>
      <c r="DJ300" s="932">
        <f>1-WWWW[[#This Row],[% people access to functioning Latrine]]</f>
        <v>5.8219178082191791E-2</v>
      </c>
      <c r="DK300" s="931">
        <f>IF(OR(WWWW[[#This Row],['#_Non-functional latrines]]="",WWWW[[#This Row],['#_Non-functional latrines]]=0),0,WWWW[[#This Row],['#_Non-functional latrines]]/(WWWW[[#This Row],['#_Constructed latrines_by_WASHAgencies]]+WWWW[[#This Row],['#_Non Cluster partner latrines]]))</f>
        <v>0</v>
      </c>
      <c r="DL300" s="927">
        <f>IF(500*(WWWW[[#This Row],['#_male hygiene promoters]]+WWWW[[#This Row],['#_female hygiene promoters]])&gt;WWWW[[#This Row],[Total PoP ]],WWWW[[#This Row],[Total PoP ]],500*(WWWW[[#This Row],['#_male hygiene promoters]]+WWWW[[#This Row],['#_female hygiene promoters]]))</f>
        <v>292</v>
      </c>
      <c r="DM30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0" s="930">
        <f>IF(WWWW[[#This Row],['# People with access to soap]]&gt;WWWW[[#This Row],['# People with access to Sanity Pads]],WWWW[[#This Row],['# People with access to soap]],WWWW[[#This Row],['# People with access to Sanity Pads]])</f>
        <v>0</v>
      </c>
      <c r="DP300" s="930">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Q300" s="932">
        <f>IF(WWWW[[#This Row],[HRP3]]/WWWW[[#This Row],[Total PoP ]]&gt;1,1,WWWW[[#This Row],[HRP3]]/WWWW[[#This Row],[Total PoP ]])</f>
        <v>1</v>
      </c>
      <c r="DR300" s="931">
        <f>1-WWWW[[#This Row],[Hygiene Coverage%]]</f>
        <v>0</v>
      </c>
      <c r="DS300" s="929">
        <f>WWWW[[#This Row],['# people reached by regular dedicated hygiene promotion_5]]/WWWW[[#This Row],[Total PoP ]]</f>
        <v>1</v>
      </c>
      <c r="DT30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0" s="930">
        <f>WWWW[[#This Row],['#_Constructed/Existing hand washing stations]]-WWWW[[#This Row],['#_Non-Functional_hand_washing_stations]]</f>
        <v>2</v>
      </c>
      <c r="DW300" s="927">
        <f>IF(WWWW[[#This Row],['# Functional hand washing stations during reporting period]]*20&gt;WWWW[[#This Row],[Total HH]],WWWW[[#This Row],[Total HH]],WWWW[[#This Row],['# Functional hand washing stations during reporting period]]*20)</f>
        <v>40</v>
      </c>
      <c r="DX300" s="927">
        <f>IF(WWWW[[#This Row],[Is sufficient soap available for TLS? (Yes/No)]]="yes",WWWW[[#This Row],['#_Constructed/Existing hand washing stations at TLS/CFS/THF]],0)</f>
        <v>0</v>
      </c>
      <c r="DY300" s="429">
        <f>IF(WWWW[[#This Row],['# Functional hand washing stations during reporting period]]*100&gt;WWWW[[#This Row],[Total PoP ]],WWWW[[#This Row],[Total PoP ]],WWWW[[#This Row],['# Functional hand washing stations during reporting period]]*100)</f>
        <v>200</v>
      </c>
      <c r="DZ300" s="429" t="str">
        <f>IF(OR(WWWW[[#This Row],['#_students at TLS_CFS]]="",WWWW[[#This Row],['#_students at TLS_CFS]]=0),"No","Yes")</f>
        <v>No</v>
      </c>
      <c r="EA30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0" s="923">
        <f>VLOOKUP(WWWW[[#This Row],[Site Name]],SiteDB6[[Site Name]:[CCCM Management]],6,FALSE)</f>
        <v>0</v>
      </c>
      <c r="EF300" s="923" t="str">
        <f>VLOOKUP(WWWW[[#This Row],[Site Name]],SiteDB6[[Site Name]:[CCCM Focal Agency]],7,FALSE)</f>
        <v>uncovered</v>
      </c>
      <c r="EG300" s="923" t="str">
        <f>VLOOKUP(WWWW[[#This Row],[Site Name]],SiteDB6[[Site Name]:[Location Type 1]],9,FALSE)</f>
        <v>Relocated</v>
      </c>
      <c r="EH300" s="923" t="str">
        <f>VLOOKUP(WWWW[[#This Row],[Site Name]],SiteDB6[[Site Name]:[Type of Accommodation]],10,FALSE)</f>
        <v>Closed Camp</v>
      </c>
      <c r="EI300" s="923" t="str">
        <f>VLOOKUP(WWWW[[#This Row],[Site Name]],SiteDB6[[Site Name]:[Ethnic or GCA/NGCA]],11,FALSE)</f>
        <v>GCA</v>
      </c>
      <c r="EJ300" s="923">
        <f>VLOOKUP(WWWW[[#This Row],[Site Name]],SiteDB6[[Site Name]:[Lat]],12,FALSE)</f>
        <v>23.611999999999998</v>
      </c>
      <c r="EK300" s="923">
        <f>VLOOKUP(WWWW[[#This Row],[Site Name]],SiteDB6[[Site Name]:[Long]],13,FALSE)</f>
        <v>97.506</v>
      </c>
      <c r="EL300" s="923" t="str">
        <f>VLOOKUP(WWWW[[#This Row],[Site Name]],SiteDB6[[Site Name]:[Pcode]],3,FALSE)</f>
        <v>MMR015CMP042</v>
      </c>
      <c r="EM300" s="928" t="str">
        <f t="shared" si="4"/>
        <v>Covered</v>
      </c>
      <c r="EN300" s="928"/>
      <c r="EO300" s="923">
        <f>VLOOKUP(WWWW[[#This Row],[Site Name]],SiteDB6[[Site Name]:[Pop
(Kachin/Shan-CCCM as of July 2021)]],16,FALSE)</f>
        <v>67</v>
      </c>
      <c r="EP300" s="923">
        <f>VLOOKUP(WWWW[[#This Row],[Site Name]],SiteDB6[[Site Name]:[Pop
(Kachin/Shan-CCCM as of July 2021)]],17,FALSE)</f>
        <v>307</v>
      </c>
    </row>
    <row r="301" spans="1:146" hidden="1">
      <c r="A301" s="921" t="s">
        <v>2786</v>
      </c>
      <c r="B301" s="921" t="s">
        <v>192</v>
      </c>
      <c r="C301" s="922" t="s">
        <v>192</v>
      </c>
      <c r="D301" s="922" t="s">
        <v>2695</v>
      </c>
      <c r="E301" s="922" t="s">
        <v>515</v>
      </c>
      <c r="F301" s="922" t="s">
        <v>516</v>
      </c>
      <c r="G301" s="594" t="str">
        <f>VLOOKUP(WWWW[[#This Row],[Site Name]],SiteDB6[[Site Name]:[Location Type]],8,FALSE)</f>
        <v>Camp</v>
      </c>
      <c r="H301" s="922" t="s">
        <v>562</v>
      </c>
      <c r="I301" s="924">
        <v>64</v>
      </c>
      <c r="J301" s="924">
        <v>323</v>
      </c>
      <c r="K301" s="925" t="s">
        <v>2789</v>
      </c>
      <c r="L301" s="926" t="s">
        <v>2790</v>
      </c>
      <c r="M301" s="924"/>
      <c r="N301" s="924">
        <v>1</v>
      </c>
      <c r="O301" s="924">
        <v>1</v>
      </c>
      <c r="P301" s="924"/>
      <c r="Q301" s="927" t="s">
        <v>41</v>
      </c>
      <c r="R301" s="924"/>
      <c r="S301" s="924"/>
      <c r="T301" s="449"/>
      <c r="U301" s="924"/>
      <c r="V301" s="924"/>
      <c r="W301" s="924"/>
      <c r="X301" s="924">
        <v>1</v>
      </c>
      <c r="Y301" s="924"/>
      <c r="Z301" s="924"/>
      <c r="AA301" s="924"/>
      <c r="AB301" s="924"/>
      <c r="AC301" s="924"/>
      <c r="AD301" s="924"/>
      <c r="AE301" s="924"/>
      <c r="AF301" s="924"/>
      <c r="AG301" s="924"/>
      <c r="AH301" s="924"/>
      <c r="AI301" s="924"/>
      <c r="AJ301" s="924"/>
      <c r="AK301" s="924"/>
      <c r="AL301" s="924"/>
      <c r="AM301" s="924"/>
      <c r="AN301" s="924"/>
      <c r="AO301" s="449"/>
      <c r="AP301" s="928"/>
      <c r="AQ301" s="924">
        <v>10</v>
      </c>
      <c r="AR301" s="924"/>
      <c r="AS301" s="929"/>
      <c r="AT301" s="924"/>
      <c r="AU301" s="924"/>
      <c r="AV301" s="956">
        <v>20</v>
      </c>
      <c r="AW301" s="924"/>
      <c r="AX301" s="924"/>
      <c r="AY301" s="923" t="s">
        <v>140</v>
      </c>
      <c r="AZ301" s="928" t="s">
        <v>140</v>
      </c>
      <c r="BA301" s="924"/>
      <c r="BB301" s="924"/>
      <c r="BC301" s="924"/>
      <c r="BD301" s="449"/>
      <c r="BE301" s="449"/>
      <c r="BF301" s="923"/>
      <c r="BG301" s="924">
        <v>7</v>
      </c>
      <c r="BH301" s="924"/>
      <c r="BI301" s="924"/>
      <c r="BJ301" s="924">
        <v>7</v>
      </c>
      <c r="BK301" s="924"/>
      <c r="BL301" s="924"/>
      <c r="BM301" s="924"/>
      <c r="BN301" s="924"/>
      <c r="BO301" s="924"/>
      <c r="BP301" s="923"/>
      <c r="BQ301" s="930"/>
      <c r="BR301" s="929"/>
      <c r="BS301" s="923"/>
      <c r="BT301" s="424"/>
      <c r="BU301" s="424"/>
      <c r="BV301" s="426"/>
      <c r="BW301" s="424"/>
      <c r="BX301" s="449"/>
      <c r="BY301" s="449"/>
      <c r="BZ301" s="449"/>
      <c r="CA301" s="449"/>
      <c r="CB301" s="449"/>
      <c r="CC301" s="807"/>
      <c r="CD301" s="449"/>
      <c r="CE301" s="931" t="str">
        <f>IFERROR(WWWW[[#This Row],['#_Water sources passed]]/WWWW[[#This Row],['#_Water sources tested for fecal coliform ]],"no test")</f>
        <v>no test</v>
      </c>
      <c r="CF301" s="929" t="str">
        <f>IFERROR(WWWW[[#This Row],['#_Household passed]]/WWWW[[#This Row],['#_Household water samples tested for fecal coliform]],"no test")</f>
        <v>no test</v>
      </c>
      <c r="CG301" s="930" t="str">
        <f>IF(AND(WWWW[[#This Row],[% of water sources passed]]="no test",WWWW[[#This Row],[% Household passed]]="no test"),"No Test","Tested")</f>
        <v>No Test</v>
      </c>
      <c r="CH301" s="930">
        <f>WWWW[[#This Row],['#_Constructed/existing protected hand dug well]]-WWWW[[#This Row],['#_Non-functional protected hand dug well]]</f>
        <v>0</v>
      </c>
      <c r="CI301" s="930">
        <f>(WWWW[[#This Row],['#_Constructed/Existing tube wells/boreholes/handpumps_WASH_agency]]+WWWW[[#This Row],['#_Non-Cluster partner water tube-wells/boreholes/handpumps]])-WWWW[[#This Row],['#_Non-functional tube wells/boreholes/handpumps]]</f>
        <v>1</v>
      </c>
      <c r="CJ301" s="930">
        <f>WWWW[[#This Row],['#_Constructed/Existingwater storage tank with gravity fed reticulation system]]-WWWW[[#This Row],['#_Non-functional storage tank gravity fed reticulation system]]</f>
        <v>0</v>
      </c>
      <c r="CK301" s="930">
        <f>(WWWW[[#This Row],['#_Water_Liters_supplied_by_Water boating or water trucking]]/90)/15</f>
        <v>0</v>
      </c>
      <c r="CL301" s="930">
        <f>WWWW[[#This Row],['#_Water_Liters_from_Constructed/Existing water distribution system from river or natural spring]]/90/15</f>
        <v>0</v>
      </c>
      <c r="CM301" s="425">
        <f>IF(WWWW[[#This Row],['#_of water points in TLS/CFS]]*500&gt;WWWW[[#This Row],[Total PoP ]],WWWW[[#This Row],[Total PoP ]],WWWW[[#This Row],['#_of water points in TLS/CFS]]*500)</f>
        <v>0</v>
      </c>
      <c r="CN301" s="425">
        <f>IF(WWWW[[#This Row],['#_of water points in THF]]*500&gt;WWWW[[#This Row],[Total PoP ]],WWWW[[#This Row],[Total PoP ]],WWWW[[#This Row],['#_of water points in THF]]*500)</f>
        <v>0</v>
      </c>
      <c r="CO30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Q301" s="929">
        <f>IF(WWWW[[#This Row],[Location Type 1]]="Village",WWWW[[#This Row],[Access to safe drinking water for Village]],WWWW[[#This Row],[Access to safe drinking water for Camp]])</f>
        <v>1</v>
      </c>
      <c r="CR301" s="927">
        <f>WWWW[[#This Row],[%Equitable and continuous access to sufficient quantity of safe drinking water]]*WWWW[[#This Row],[Total PoP ]]</f>
        <v>323</v>
      </c>
      <c r="CS301" s="929">
        <f>IF((WWWW[[#This Row],['#_Constructed/Existing protected/fenced ponds]]*250)/WWWW[[#This Row],[Total PoP ]]&gt;1,1,(WWWW[[#This Row],['#_Constructed/Existing protected/fenced ponds]]*250)/WWWW[[#This Row],[Total PoP ]])</f>
        <v>0</v>
      </c>
      <c r="CT301" s="927">
        <f>WWWW[[#This Row],[% Access to unimproved water points]]*WWWW[[#This Row],[Total PoP ]]</f>
        <v>0</v>
      </c>
      <c r="CU30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W301" s="927">
        <f>WWWW[[#This Row],[HRP1]]/500</f>
        <v>0.64600000000000002</v>
      </c>
      <c r="CX301" s="932">
        <f>1-WWWW[[#This Row],[% Equitable and continuous access to sufficient quantity of domestic water]]</f>
        <v>0</v>
      </c>
      <c r="CY301" s="927">
        <f>WWWW[[#This Row],[%equitable and continuous access to sufficient quantity of safe drinking and domestic water''s GAP]]*WWWW[[#This Row],[Total PoP ]]</f>
        <v>0</v>
      </c>
      <c r="CZ301" s="930">
        <f>IF(WWWW[[#This Row],[Total required water points]]-WWWW[[#This Row],['#Water points coverage]]&lt;0,0,WWWW[[#This Row],[Total required water points]]-WWWW[[#This Row],['#Water points coverage]])</f>
        <v>0.35399999999999998</v>
      </c>
      <c r="DA301" s="930">
        <f>ROUND(IF(WWWW[[#This Row],[Total PoP ]]&lt;500,1,WWWW[[#This Row],[Total PoP ]]/500),0)</f>
        <v>1</v>
      </c>
      <c r="DB301" s="930">
        <f>(WWWW[[#This Row],['#_Constructed latrines_by_WASHAgencies]]+WWWW[[#This Row],['#_Non Cluster partner latrines]])-WWWW[[#This Row],['#_Non-functional latrines]]</f>
        <v>10</v>
      </c>
      <c r="DC301" s="634">
        <f>WWWW[[#This Row],[HRP2]]/WWWW[[#This Row],[Total PoP ]]</f>
        <v>0.61919504643962853</v>
      </c>
      <c r="DD30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30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323</v>
      </c>
      <c r="DF30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1" s="425">
        <f>IF(WWWW[[#This Row],['# of functional latrines in THF supported by WASH partners during the reporting period2]]="",0,WWWW[[#This Row],['# of functional latrines in THF supported by WASH partners during the reporting period2]]*50)</f>
        <v>0</v>
      </c>
      <c r="DH301" s="930">
        <f>ROUND(IF(WWWW[[#This Row],[Location Type 1]]="camp",WWWW[[#This Row],[Total PoP ]]/20,IF(WWWW[[#This Row],[Location Type 1]]="Temporary Location",WWWW[[#This Row],[Total PoP ]]/50,(WWWW[[#This Row],[Total PoP ]]/6))),0)</f>
        <v>16</v>
      </c>
      <c r="DI301" s="930">
        <f>IF(WWWW[[#This Row],[Total required Latrines]]-(WWWW[[#This Row],['#_Constructed latrines_by_WASHAgencies]]+WWWW[[#This Row],['#_Non Cluster partner latrines]])&lt;0,0,WWWW[[#This Row],[Total required Latrines]]-(WWWW[[#This Row],['#_Constructed latrines_by_WASHAgencies]]+WWWW[[#This Row],['#_Non Cluster partner latrines]]))</f>
        <v>6</v>
      </c>
      <c r="DJ301" s="932">
        <f>1-WWWW[[#This Row],[% people access to functioning Latrine]]</f>
        <v>0.38080495356037147</v>
      </c>
      <c r="DK301" s="931">
        <f>IF(OR(WWWW[[#This Row],['#_Non-functional latrines]]="",WWWW[[#This Row],['#_Non-functional latrines]]=0),0,WWWW[[#This Row],['#_Non-functional latrines]]/(WWWW[[#This Row],['#_Constructed latrines_by_WASHAgencies]]+WWWW[[#This Row],['#_Non Cluster partner latrines]]))</f>
        <v>0</v>
      </c>
      <c r="DL301" s="927">
        <f>IF(500*(WWWW[[#This Row],['#_male hygiene promoters]]+WWWW[[#This Row],['#_female hygiene promoters]])&gt;WWWW[[#This Row],[Total PoP ]],WWWW[[#This Row],[Total PoP ]],500*(WWWW[[#This Row],['#_male hygiene promoters]]+WWWW[[#This Row],['#_female hygiene promoters]]))</f>
        <v>0</v>
      </c>
      <c r="DM30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1" s="930">
        <f>IF(WWWW[[#This Row],['# People with access to soap]]&gt;WWWW[[#This Row],['# People with access to Sanity Pads]],WWWW[[#This Row],['# People with access to soap]],WWWW[[#This Row],['# People with access to Sanity Pads]])</f>
        <v>0</v>
      </c>
      <c r="DP30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1" s="932">
        <f>IF(WWWW[[#This Row],[HRP3]]/WWWW[[#This Row],[Total PoP ]]&gt;1,1,WWWW[[#This Row],[HRP3]]/WWWW[[#This Row],[Total PoP ]])</f>
        <v>0</v>
      </c>
      <c r="DR301" s="931">
        <f>1-WWWW[[#This Row],[Hygiene Coverage%]]</f>
        <v>1</v>
      </c>
      <c r="DS301" s="929">
        <f>WWWW[[#This Row],['# people reached by regular dedicated hygiene promotion_5]]/WWWW[[#This Row],[Total PoP ]]</f>
        <v>0</v>
      </c>
      <c r="DT30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1" s="930">
        <f>WWWW[[#This Row],['#_Constructed/Existing hand washing stations]]-WWWW[[#This Row],['#_Non-Functional_hand_washing_stations]]</f>
        <v>7</v>
      </c>
      <c r="DW301" s="927">
        <f>IF(WWWW[[#This Row],['# Functional hand washing stations during reporting period]]*20&gt;WWWW[[#This Row],[Total HH]],WWWW[[#This Row],[Total HH]],WWWW[[#This Row],['# Functional hand washing stations during reporting period]]*20)</f>
        <v>64</v>
      </c>
      <c r="DX301" s="927">
        <f>IF(WWWW[[#This Row],[Is sufficient soap available for TLS? (Yes/No)]]="yes",WWWW[[#This Row],['#_Constructed/Existing hand washing stations at TLS/CFS/THF]],0)</f>
        <v>0</v>
      </c>
      <c r="DY301" s="429">
        <f>IF(WWWW[[#This Row],['# Functional hand washing stations during reporting period]]*100&gt;WWWW[[#This Row],[Total PoP ]],WWWW[[#This Row],[Total PoP ]],WWWW[[#This Row],['# Functional hand washing stations during reporting period]]*100)</f>
        <v>323</v>
      </c>
      <c r="DZ301" s="429" t="str">
        <f>IF(OR(WWWW[[#This Row],['#_students at TLS_CFS]]="",WWWW[[#This Row],['#_students at TLS_CFS]]=0),"No","Yes")</f>
        <v>No</v>
      </c>
      <c r="EA30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1" s="923" t="str">
        <f>VLOOKUP(WWWW[[#This Row],[Site Name]],SiteDB6[[Site Name]:[CCCM Management]],6,FALSE)</f>
        <v>Yes</v>
      </c>
      <c r="EF301" s="923" t="str">
        <f>VLOOKUP(WWWW[[#This Row],[Site Name]],SiteDB6[[Site Name]:[CCCM Focal Agency]],7,FALSE)</f>
        <v>KBC-NSS</v>
      </c>
      <c r="EG301" s="923" t="str">
        <f>VLOOKUP(WWWW[[#This Row],[Site Name]],SiteDB6[[Site Name]:[Location Type 1]],9,FALSE)</f>
        <v>Camp</v>
      </c>
      <c r="EH301" s="923" t="str">
        <f>VLOOKUP(WWWW[[#This Row],[Site Name]],SiteDB6[[Site Name]:[Type of Accommodation]],10,FALSE)</f>
        <v>Camp</v>
      </c>
      <c r="EI301" s="923" t="str">
        <f>VLOOKUP(WWWW[[#This Row],[Site Name]],SiteDB6[[Site Name]:[Ethnic or GCA/NGCA]],11,FALSE)</f>
        <v>GCA</v>
      </c>
      <c r="EJ301" s="923">
        <f>VLOOKUP(WWWW[[#This Row],[Site Name]],SiteDB6[[Site Name]:[Lat]],12,FALSE)</f>
        <v>23.828520000000001</v>
      </c>
      <c r="EK301" s="923">
        <f>VLOOKUP(WWWW[[#This Row],[Site Name]],SiteDB6[[Site Name]:[Long]],13,FALSE)</f>
        <v>97.669557999999995</v>
      </c>
      <c r="EL301" s="923" t="str">
        <f>VLOOKUP(WWWW[[#This Row],[Site Name]],SiteDB6[[Site Name]:[Pcode]],3,FALSE)</f>
        <v>MMR015CMP001</v>
      </c>
      <c r="EM301" s="928" t="str">
        <f t="shared" si="4"/>
        <v>Covered</v>
      </c>
      <c r="EN301" s="928"/>
      <c r="EO301" s="923">
        <f>VLOOKUP(WWWW[[#This Row],[Site Name]],SiteDB6[[Site Name]:[Pop
(Kachin/Shan-CCCM as of July 2021)]],16,FALSE)</f>
        <v>66</v>
      </c>
      <c r="EP301" s="923">
        <f>VLOOKUP(WWWW[[#This Row],[Site Name]],SiteDB6[[Site Name]:[Pop
(Kachin/Shan-CCCM as of July 2021)]],17,FALSE)</f>
        <v>333</v>
      </c>
    </row>
    <row r="302" spans="1:146" hidden="1">
      <c r="A302" s="921" t="s">
        <v>2786</v>
      </c>
      <c r="B302" s="921" t="s">
        <v>192</v>
      </c>
      <c r="C302" s="922" t="s">
        <v>192</v>
      </c>
      <c r="D302" s="922" t="s">
        <v>2695</v>
      </c>
      <c r="E302" s="922" t="s">
        <v>515</v>
      </c>
      <c r="F302" s="922" t="s">
        <v>516</v>
      </c>
      <c r="G302" s="594" t="str">
        <f>VLOOKUP(WWWW[[#This Row],[Site Name]],SiteDB6[[Site Name]:[Location Type]],8,FALSE)</f>
        <v>Camp</v>
      </c>
      <c r="H302" s="922" t="s">
        <v>551</v>
      </c>
      <c r="I302" s="924">
        <v>6</v>
      </c>
      <c r="J302" s="924">
        <v>31</v>
      </c>
      <c r="K302" s="925" t="s">
        <v>2789</v>
      </c>
      <c r="L302" s="926" t="s">
        <v>2790</v>
      </c>
      <c r="M302" s="924"/>
      <c r="N302" s="924"/>
      <c r="O302" s="924">
        <v>1</v>
      </c>
      <c r="P302" s="924"/>
      <c r="Q302" s="927"/>
      <c r="R302" s="924"/>
      <c r="S302" s="924"/>
      <c r="T302" s="449"/>
      <c r="U302" s="924"/>
      <c r="V302" s="924"/>
      <c r="W302" s="924"/>
      <c r="X302" s="924">
        <v>1</v>
      </c>
      <c r="Y302" s="924"/>
      <c r="Z302" s="924"/>
      <c r="AA302" s="924"/>
      <c r="AB302" s="924"/>
      <c r="AC302" s="924"/>
      <c r="AD302" s="924"/>
      <c r="AE302" s="924"/>
      <c r="AF302" s="924"/>
      <c r="AG302" s="924"/>
      <c r="AH302" s="924"/>
      <c r="AI302" s="924"/>
      <c r="AJ302" s="924"/>
      <c r="AK302" s="924"/>
      <c r="AL302" s="924"/>
      <c r="AM302" s="924"/>
      <c r="AN302" s="924"/>
      <c r="AO302" s="449"/>
      <c r="AP302" s="928"/>
      <c r="AQ302" s="924"/>
      <c r="AR302" s="924">
        <v>10</v>
      </c>
      <c r="AS302" s="929"/>
      <c r="AT302" s="924"/>
      <c r="AU302" s="924"/>
      <c r="AV302" s="924"/>
      <c r="AW302" s="924"/>
      <c r="AX302" s="924"/>
      <c r="AY302" s="923" t="s">
        <v>140</v>
      </c>
      <c r="AZ302" s="928" t="s">
        <v>140</v>
      </c>
      <c r="BA302" s="924"/>
      <c r="BB302" s="924"/>
      <c r="BC302" s="924"/>
      <c r="BD302" s="449"/>
      <c r="BE302" s="449"/>
      <c r="BF302" s="923"/>
      <c r="BG302" s="924">
        <v>7</v>
      </c>
      <c r="BH302" s="924"/>
      <c r="BI302" s="924"/>
      <c r="BJ302" s="924">
        <v>4</v>
      </c>
      <c r="BK302" s="924"/>
      <c r="BL302" s="924"/>
      <c r="BM302" s="924">
        <v>1</v>
      </c>
      <c r="BN302" s="924"/>
      <c r="BO302" s="924"/>
      <c r="BP302" s="923"/>
      <c r="BQ302" s="930"/>
      <c r="BR302" s="929"/>
      <c r="BS302" s="923"/>
      <c r="BT302" s="424"/>
      <c r="BU302" s="424"/>
      <c r="BV302" s="426"/>
      <c r="BW302" s="424"/>
      <c r="BX302" s="449"/>
      <c r="BY302" s="449"/>
      <c r="BZ302" s="449"/>
      <c r="CA302" s="449"/>
      <c r="CB302" s="449"/>
      <c r="CC302" s="807"/>
      <c r="CD302" s="449"/>
      <c r="CE302" s="931" t="str">
        <f>IFERROR(WWWW[[#This Row],['#_Water sources passed]]/WWWW[[#This Row],['#_Water sources tested for fecal coliform ]],"no test")</f>
        <v>no test</v>
      </c>
      <c r="CF302" s="929" t="str">
        <f>IFERROR(WWWW[[#This Row],['#_Household passed]]/WWWW[[#This Row],['#_Household water samples tested for fecal coliform]],"no test")</f>
        <v>no test</v>
      </c>
      <c r="CG302" s="930" t="str">
        <f>IF(AND(WWWW[[#This Row],[% of water sources passed]]="no test",WWWW[[#This Row],[% Household passed]]="no test"),"No Test","Tested")</f>
        <v>No Test</v>
      </c>
      <c r="CH302" s="930">
        <f>WWWW[[#This Row],['#_Constructed/existing protected hand dug well]]-WWWW[[#This Row],['#_Non-functional protected hand dug well]]</f>
        <v>0</v>
      </c>
      <c r="CI302" s="930">
        <f>(WWWW[[#This Row],['#_Constructed/Existing tube wells/boreholes/handpumps_WASH_agency]]+WWWW[[#This Row],['#_Non-Cluster partner water tube-wells/boreholes/handpumps]])-WWWW[[#This Row],['#_Non-functional tube wells/boreholes/handpumps]]</f>
        <v>1</v>
      </c>
      <c r="CJ302" s="930">
        <f>WWWW[[#This Row],['#_Constructed/Existingwater storage tank with gravity fed reticulation system]]-WWWW[[#This Row],['#_Non-functional storage tank gravity fed reticulation system]]</f>
        <v>0</v>
      </c>
      <c r="CK302" s="930">
        <f>(WWWW[[#This Row],['#_Water_Liters_supplied_by_Water boating or water trucking]]/90)/15</f>
        <v>0</v>
      </c>
      <c r="CL302" s="930">
        <f>WWWW[[#This Row],['#_Water_Liters_from_Constructed/Existing water distribution system from river or natural spring]]/90/15</f>
        <v>0</v>
      </c>
      <c r="CM302" s="425">
        <f>IF(WWWW[[#This Row],['#_of water points in TLS/CFS]]*500&gt;WWWW[[#This Row],[Total PoP ]],WWWW[[#This Row],[Total PoP ]],WWWW[[#This Row],['#_of water points in TLS/CFS]]*500)</f>
        <v>0</v>
      </c>
      <c r="CN302" s="425">
        <f>IF(WWWW[[#This Row],['#_of water points in THF]]*500&gt;WWWW[[#This Row],[Total PoP ]],WWWW[[#This Row],[Total PoP ]],WWWW[[#This Row],['#_of water points in THF]]*500)</f>
        <v>0</v>
      </c>
      <c r="CO30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2" s="929">
        <f>IF(WWWW[[#This Row],[Location Type 1]]="Village",WWWW[[#This Row],[Access to safe drinking water for Village]],WWWW[[#This Row],[Access to safe drinking water for Camp]])</f>
        <v>1</v>
      </c>
      <c r="CR302" s="927">
        <f>WWWW[[#This Row],[%Equitable and continuous access to sufficient quantity of safe drinking water]]*WWWW[[#This Row],[Total PoP ]]</f>
        <v>31</v>
      </c>
      <c r="CS302" s="929">
        <f>IF((WWWW[[#This Row],['#_Constructed/Existing protected/fenced ponds]]*250)/WWWW[[#This Row],[Total PoP ]]&gt;1,1,(WWWW[[#This Row],['#_Constructed/Existing protected/fenced ponds]]*250)/WWWW[[#This Row],[Total PoP ]])</f>
        <v>0</v>
      </c>
      <c r="CT302" s="927">
        <f>WWWW[[#This Row],[% Access to unimproved water points]]*WWWW[[#This Row],[Total PoP ]]</f>
        <v>0</v>
      </c>
      <c r="CU30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W302" s="927">
        <f>WWWW[[#This Row],[HRP1]]/500</f>
        <v>6.2E-2</v>
      </c>
      <c r="CX302" s="932">
        <f>1-WWWW[[#This Row],[% Equitable and continuous access to sufficient quantity of domestic water]]</f>
        <v>0</v>
      </c>
      <c r="CY302" s="927">
        <f>WWWW[[#This Row],[%equitable and continuous access to sufficient quantity of safe drinking and domestic water''s GAP]]*WWWW[[#This Row],[Total PoP ]]</f>
        <v>0</v>
      </c>
      <c r="CZ302" s="930">
        <f>IF(WWWW[[#This Row],[Total required water points]]-WWWW[[#This Row],['#Water points coverage]]&lt;0,0,WWWW[[#This Row],[Total required water points]]-WWWW[[#This Row],['#Water points coverage]])</f>
        <v>0.93799999999999994</v>
      </c>
      <c r="DA302" s="930">
        <f>ROUND(IF(WWWW[[#This Row],[Total PoP ]]&lt;500,1,WWWW[[#This Row],[Total PoP ]]/500),0)</f>
        <v>1</v>
      </c>
      <c r="DB302" s="930">
        <f>(WWWW[[#This Row],['#_Constructed latrines_by_WASHAgencies]]+WWWW[[#This Row],['#_Non Cluster partner latrines]])-WWWW[[#This Row],['#_Non-functional latrines]]</f>
        <v>10</v>
      </c>
      <c r="DC302" s="634">
        <f>WWWW[[#This Row],[HRP2]]/WWWW[[#This Row],[Total PoP ]]</f>
        <v>1</v>
      </c>
      <c r="DD30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v>
      </c>
      <c r="DE30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2" s="425">
        <f>IF(WWWW[[#This Row],['# of functional latrines in THF supported by WASH partners during the reporting period2]]="",0,WWWW[[#This Row],['# of functional latrines in THF supported by WASH partners during the reporting period2]]*50)</f>
        <v>0</v>
      </c>
      <c r="DH302" s="930">
        <f>ROUND(IF(WWWW[[#This Row],[Location Type 1]]="camp",WWWW[[#This Row],[Total PoP ]]/20,IF(WWWW[[#This Row],[Location Type 1]]="Temporary Location",WWWW[[#This Row],[Total PoP ]]/50,(WWWW[[#This Row],[Total PoP ]]/6))),0)</f>
        <v>2</v>
      </c>
      <c r="DI302" s="930">
        <f>IF(WWWW[[#This Row],[Total required Latrines]]-(WWWW[[#This Row],['#_Constructed latrines_by_WASHAgencies]]+WWWW[[#This Row],['#_Non Cluster partner latrines]])&lt;0,0,WWWW[[#This Row],[Total required Latrines]]-(WWWW[[#This Row],['#_Constructed latrines_by_WASHAgencies]]+WWWW[[#This Row],['#_Non Cluster partner latrines]]))</f>
        <v>0</v>
      </c>
      <c r="DJ302" s="932">
        <f>1-WWWW[[#This Row],[% people access to functioning Latrine]]</f>
        <v>0</v>
      </c>
      <c r="DK302" s="931">
        <f>IF(OR(WWWW[[#This Row],['#_Non-functional latrines]]="",WWWW[[#This Row],['#_Non-functional latrines]]=0),0,WWWW[[#This Row],['#_Non-functional latrines]]/(WWWW[[#This Row],['#_Constructed latrines_by_WASHAgencies]]+WWWW[[#This Row],['#_Non Cluster partner latrines]]))</f>
        <v>0</v>
      </c>
      <c r="DL302" s="927">
        <f>IF(500*(WWWW[[#This Row],['#_male hygiene promoters]]+WWWW[[#This Row],['#_female hygiene promoters]])&gt;WWWW[[#This Row],[Total PoP ]],WWWW[[#This Row],[Total PoP ]],500*(WWWW[[#This Row],['#_male hygiene promoters]]+WWWW[[#This Row],['#_female hygiene promoters]]))</f>
        <v>31</v>
      </c>
      <c r="DM30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2" s="930">
        <f>IF(WWWW[[#This Row],['# People with access to soap]]&gt;WWWW[[#This Row],['# People with access to Sanity Pads]],WWWW[[#This Row],['# People with access to soap]],WWWW[[#This Row],['# People with access to Sanity Pads]])</f>
        <v>0</v>
      </c>
      <c r="DP302" s="930">
        <f>IF(WWWW[[#This Row],['# people reached by regular dedicated hygiene promotion_5]]&gt;WWWW[[#This Row],['# People received regular supply of hygiene items_6]],WWWW[[#This Row],['# people reached by regular dedicated hygiene promotion_5]],WWWW[[#This Row],['# People received regular supply of hygiene items_6]])</f>
        <v>31</v>
      </c>
      <c r="DQ302" s="932">
        <f>IF(WWWW[[#This Row],[HRP3]]/WWWW[[#This Row],[Total PoP ]]&gt;1,1,WWWW[[#This Row],[HRP3]]/WWWW[[#This Row],[Total PoP ]])</f>
        <v>1</v>
      </c>
      <c r="DR302" s="931">
        <f>1-WWWW[[#This Row],[Hygiene Coverage%]]</f>
        <v>0</v>
      </c>
      <c r="DS302" s="929">
        <f>WWWW[[#This Row],['# people reached by regular dedicated hygiene promotion_5]]/WWWW[[#This Row],[Total PoP ]]</f>
        <v>1</v>
      </c>
      <c r="DT30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2" s="930">
        <f>WWWW[[#This Row],['#_Constructed/Existing hand washing stations]]-WWWW[[#This Row],['#_Non-Functional_hand_washing_stations]]</f>
        <v>7</v>
      </c>
      <c r="DW302" s="927">
        <f>IF(WWWW[[#This Row],['# Functional hand washing stations during reporting period]]*20&gt;WWWW[[#This Row],[Total HH]],WWWW[[#This Row],[Total HH]],WWWW[[#This Row],['# Functional hand washing stations during reporting period]]*20)</f>
        <v>6</v>
      </c>
      <c r="DX302" s="927">
        <f>IF(WWWW[[#This Row],[Is sufficient soap available for TLS? (Yes/No)]]="yes",WWWW[[#This Row],['#_Constructed/Existing hand washing stations at TLS/CFS/THF]],0)</f>
        <v>0</v>
      </c>
      <c r="DY302" s="429">
        <f>IF(WWWW[[#This Row],['# Functional hand washing stations during reporting period]]*100&gt;WWWW[[#This Row],[Total PoP ]],WWWW[[#This Row],[Total PoP ]],WWWW[[#This Row],['# Functional hand washing stations during reporting period]]*100)</f>
        <v>31</v>
      </c>
      <c r="DZ302" s="429" t="str">
        <f>IF(OR(WWWW[[#This Row],['#_students at TLS_CFS]]="",WWWW[[#This Row],['#_students at TLS_CFS]]=0),"No","Yes")</f>
        <v>No</v>
      </c>
      <c r="EA30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2" s="923" t="str">
        <f>VLOOKUP(WWWW[[#This Row],[Site Name]],SiteDB6[[Site Name]:[CCCM Management]],6,FALSE)</f>
        <v>Yes</v>
      </c>
      <c r="EF302" s="923" t="str">
        <f>VLOOKUP(WWWW[[#This Row],[Site Name]],SiteDB6[[Site Name]:[CCCM Focal Agency]],7,FALSE)</f>
        <v>KBC-NSS</v>
      </c>
      <c r="EG302" s="923" t="str">
        <f>VLOOKUP(WWWW[[#This Row],[Site Name]],SiteDB6[[Site Name]:[Location Type 1]],9,FALSE)</f>
        <v>Camp</v>
      </c>
      <c r="EH302" s="923" t="str">
        <f>VLOOKUP(WWWW[[#This Row],[Site Name]],SiteDB6[[Site Name]:[Type of Accommodation]],10,FALSE)</f>
        <v>Closed Camp</v>
      </c>
      <c r="EI302" s="923" t="str">
        <f>VLOOKUP(WWWW[[#This Row],[Site Name]],SiteDB6[[Site Name]:[Ethnic or GCA/NGCA]],11,FALSE)</f>
        <v>GCA</v>
      </c>
      <c r="EJ302" s="923">
        <f>VLOOKUP(WWWW[[#This Row],[Site Name]],SiteDB6[[Site Name]:[Lat]],12,FALSE)</f>
        <v>23.841646999999998</v>
      </c>
      <c r="EK302" s="923">
        <f>VLOOKUP(WWWW[[#This Row],[Site Name]],SiteDB6[[Site Name]:[Long]],13,FALSE)</f>
        <v>97.700940000000003</v>
      </c>
      <c r="EL302" s="923" t="str">
        <f>VLOOKUP(WWWW[[#This Row],[Site Name]],SiteDB6[[Site Name]:[Pcode]],3,FALSE)</f>
        <v>MMR015CMP214</v>
      </c>
      <c r="EM302" s="928" t="str">
        <f t="shared" si="4"/>
        <v>Covered</v>
      </c>
      <c r="EN302" s="928"/>
      <c r="EO302" s="923">
        <f>VLOOKUP(WWWW[[#This Row],[Site Name]],SiteDB6[[Site Name]:[Pop
(Kachin/Shan-CCCM as of July 2021)]],16,FALSE)</f>
        <v>7</v>
      </c>
      <c r="EP302" s="923">
        <f>VLOOKUP(WWWW[[#This Row],[Site Name]],SiteDB6[[Site Name]:[Pop
(Kachin/Shan-CCCM as of July 2021)]],17,FALSE)</f>
        <v>32</v>
      </c>
    </row>
    <row r="303" spans="1:146" hidden="1">
      <c r="A303" s="921" t="s">
        <v>2786</v>
      </c>
      <c r="B303" s="921" t="s">
        <v>192</v>
      </c>
      <c r="C303" s="922" t="s">
        <v>192</v>
      </c>
      <c r="D303" s="922" t="s">
        <v>241</v>
      </c>
      <c r="E303" s="922" t="s">
        <v>515</v>
      </c>
      <c r="F303" s="922" t="s">
        <v>536</v>
      </c>
      <c r="G303" s="594" t="str">
        <f>VLOOKUP(WWWW[[#This Row],[Site Name]],SiteDB6[[Site Name]:[Location Type]],8,FALSE)</f>
        <v>Relocated</v>
      </c>
      <c r="H303" s="922" t="s">
        <v>2976</v>
      </c>
      <c r="I303" s="924">
        <v>19</v>
      </c>
      <c r="J303" s="924">
        <v>77</v>
      </c>
      <c r="K303" s="925">
        <v>44511</v>
      </c>
      <c r="L303" s="926">
        <v>44845</v>
      </c>
      <c r="M303" s="924"/>
      <c r="N303" s="924"/>
      <c r="O303" s="924"/>
      <c r="P303" s="924"/>
      <c r="Q303" s="927"/>
      <c r="R303" s="924"/>
      <c r="S303" s="924"/>
      <c r="T303" s="449"/>
      <c r="U303" s="924"/>
      <c r="V303" s="924"/>
      <c r="W303" s="924">
        <v>1</v>
      </c>
      <c r="X303" s="924"/>
      <c r="Y303" s="924"/>
      <c r="Z303" s="924"/>
      <c r="AA303" s="924"/>
      <c r="AB303" s="924"/>
      <c r="AC303" s="924"/>
      <c r="AD303" s="924"/>
      <c r="AE303" s="924"/>
      <c r="AF303" s="924"/>
      <c r="AG303" s="924"/>
      <c r="AH303" s="924"/>
      <c r="AI303" s="924"/>
      <c r="AJ303" s="924"/>
      <c r="AK303" s="924"/>
      <c r="AL303" s="924"/>
      <c r="AM303" s="924"/>
      <c r="AN303" s="924"/>
      <c r="AO303" s="449"/>
      <c r="AP303" s="928"/>
      <c r="AQ303" s="924"/>
      <c r="AR303" s="924">
        <v>4</v>
      </c>
      <c r="AS303" s="929"/>
      <c r="AT303" s="924"/>
      <c r="AU303" s="924"/>
      <c r="AV303" s="924"/>
      <c r="AW303" s="924"/>
      <c r="AX303" s="924"/>
      <c r="AY303" s="923" t="s">
        <v>140</v>
      </c>
      <c r="AZ303" s="928" t="s">
        <v>140</v>
      </c>
      <c r="BA303" s="924"/>
      <c r="BB303" s="924"/>
      <c r="BC303" s="924"/>
      <c r="BD303" s="449"/>
      <c r="BE303" s="449"/>
      <c r="BF303" s="923"/>
      <c r="BG303" s="924">
        <v>8</v>
      </c>
      <c r="BH303" s="924"/>
      <c r="BI303" s="924"/>
      <c r="BJ303" s="924"/>
      <c r="BK303" s="924"/>
      <c r="BL303" s="924"/>
      <c r="BM303" s="924"/>
      <c r="BN303" s="924"/>
      <c r="BO303" s="924"/>
      <c r="BP303" s="426" t="s">
        <v>41</v>
      </c>
      <c r="BQ303" s="930"/>
      <c r="BR303" s="929">
        <v>1</v>
      </c>
      <c r="BS303" s="923"/>
      <c r="BT303" s="424"/>
      <c r="BU303" s="424"/>
      <c r="BV303" s="426"/>
      <c r="BW303" s="424"/>
      <c r="BX303" s="449"/>
      <c r="BY303" s="449"/>
      <c r="BZ303" s="449"/>
      <c r="CA303" s="449"/>
      <c r="CB303" s="449"/>
      <c r="CC303" s="807"/>
      <c r="CD303" s="449"/>
      <c r="CE303" s="931" t="str">
        <f>IFERROR(WWWW[[#This Row],['#_Water sources passed]]/WWWW[[#This Row],['#_Water sources tested for fecal coliform ]],"no test")</f>
        <v>no test</v>
      </c>
      <c r="CF303" s="929" t="str">
        <f>IFERROR(WWWW[[#This Row],['#_Household passed]]/WWWW[[#This Row],['#_Household water samples tested for fecal coliform]],"no test")</f>
        <v>no test</v>
      </c>
      <c r="CG303" s="930" t="str">
        <f>IF(AND(WWWW[[#This Row],[% of water sources passed]]="no test",WWWW[[#This Row],[% Household passed]]="no test"),"No Test","Tested")</f>
        <v>No Test</v>
      </c>
      <c r="CH303" s="930">
        <f>WWWW[[#This Row],['#_Constructed/existing protected hand dug well]]-WWWW[[#This Row],['#_Non-functional protected hand dug well]]</f>
        <v>0</v>
      </c>
      <c r="CI303" s="930">
        <f>(WWWW[[#This Row],['#_Constructed/Existing tube wells/boreholes/handpumps_WASH_agency]]+WWWW[[#This Row],['#_Non-Cluster partner water tube-wells/boreholes/handpumps]])-WWWW[[#This Row],['#_Non-functional tube wells/boreholes/handpumps]]</f>
        <v>1</v>
      </c>
      <c r="CJ303" s="930">
        <f>WWWW[[#This Row],['#_Constructed/Existingwater storage tank with gravity fed reticulation system]]-WWWW[[#This Row],['#_Non-functional storage tank gravity fed reticulation system]]</f>
        <v>0</v>
      </c>
      <c r="CK303" s="930">
        <f>(WWWW[[#This Row],['#_Water_Liters_supplied_by_Water boating or water trucking]]/90)/15</f>
        <v>0</v>
      </c>
      <c r="CL303" s="930">
        <f>WWWW[[#This Row],['#_Water_Liters_from_Constructed/Existing water distribution system from river or natural spring]]/90/15</f>
        <v>0</v>
      </c>
      <c r="CM303" s="425">
        <f>IF(WWWW[[#This Row],['#_of water points in TLS/CFS]]*500&gt;WWWW[[#This Row],[Total PoP ]],WWWW[[#This Row],[Total PoP ]],WWWW[[#This Row],['#_of water points in TLS/CFS]]*500)</f>
        <v>0</v>
      </c>
      <c r="CN303" s="425">
        <f>IF(WWWW[[#This Row],['#_of water points in THF]]*500&gt;WWWW[[#This Row],[Total PoP ]],WWWW[[#This Row],[Total PoP ]],WWWW[[#This Row],['#_of water points in THF]]*500)</f>
        <v>0</v>
      </c>
      <c r="CO30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3" s="929">
        <f>IF(WWWW[[#This Row],[Location Type 1]]="Village",WWWW[[#This Row],[Access to safe drinking water for Village]],WWWW[[#This Row],[Access to safe drinking water for Camp]])</f>
        <v>1</v>
      </c>
      <c r="CR303" s="927">
        <f>WWWW[[#This Row],[%Equitable and continuous access to sufficient quantity of safe drinking water]]*WWWW[[#This Row],[Total PoP ]]</f>
        <v>77</v>
      </c>
      <c r="CS303" s="929">
        <f>IF((WWWW[[#This Row],['#_Constructed/Existing protected/fenced ponds]]*250)/WWWW[[#This Row],[Total PoP ]]&gt;1,1,(WWWW[[#This Row],['#_Constructed/Existing protected/fenced ponds]]*250)/WWWW[[#This Row],[Total PoP ]])</f>
        <v>0</v>
      </c>
      <c r="CT303" s="927">
        <f>WWWW[[#This Row],[% Access to unimproved water points]]*WWWW[[#This Row],[Total PoP ]]</f>
        <v>0</v>
      </c>
      <c r="CU30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W303" s="927">
        <f>WWWW[[#This Row],[HRP1]]/500</f>
        <v>0.154</v>
      </c>
      <c r="CX303" s="932">
        <f>1-WWWW[[#This Row],[% Equitable and continuous access to sufficient quantity of domestic water]]</f>
        <v>0</v>
      </c>
      <c r="CY303" s="927">
        <f>WWWW[[#This Row],[%equitable and continuous access to sufficient quantity of safe drinking and domestic water''s GAP]]*WWWW[[#This Row],[Total PoP ]]</f>
        <v>0</v>
      </c>
      <c r="CZ303" s="930">
        <f>IF(WWWW[[#This Row],[Total required water points]]-WWWW[[#This Row],['#Water points coverage]]&lt;0,0,WWWW[[#This Row],[Total required water points]]-WWWW[[#This Row],['#Water points coverage]])</f>
        <v>0.84599999999999997</v>
      </c>
      <c r="DA303" s="930">
        <f>ROUND(IF(WWWW[[#This Row],[Total PoP ]]&lt;500,1,WWWW[[#This Row],[Total PoP ]]/500),0)</f>
        <v>1</v>
      </c>
      <c r="DB303" s="930">
        <f>(WWWW[[#This Row],['#_Constructed latrines_by_WASHAgencies]]+WWWW[[#This Row],['#_Non Cluster partner latrines]])-WWWW[[#This Row],['#_Non-functional latrines]]</f>
        <v>4</v>
      </c>
      <c r="DC303" s="634">
        <f>WWWW[[#This Row],[HRP2]]/WWWW[[#This Row],[Total PoP ]]</f>
        <v>0.25974025974025972</v>
      </c>
      <c r="DD30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v>
      </c>
      <c r="DE30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3" s="425">
        <f>IF(WWWW[[#This Row],['# of functional latrines in THF supported by WASH partners during the reporting period2]]="",0,WWWW[[#This Row],['# of functional latrines in THF supported by WASH partners during the reporting period2]]*50)</f>
        <v>0</v>
      </c>
      <c r="DH303" s="930">
        <f>ROUND(IF(WWWW[[#This Row],[Location Type 1]]="camp",WWWW[[#This Row],[Total PoP ]]/20,IF(WWWW[[#This Row],[Location Type 1]]="Temporary Location",WWWW[[#This Row],[Total PoP ]]/50,(WWWW[[#This Row],[Total PoP ]]/6))),0)</f>
        <v>13</v>
      </c>
      <c r="DI303" s="930">
        <f>IF(WWWW[[#This Row],[Total required Latrines]]-(WWWW[[#This Row],['#_Constructed latrines_by_WASHAgencies]]+WWWW[[#This Row],['#_Non Cluster partner latrines]])&lt;0,0,WWWW[[#This Row],[Total required Latrines]]-(WWWW[[#This Row],['#_Constructed latrines_by_WASHAgencies]]+WWWW[[#This Row],['#_Non Cluster partner latrines]]))</f>
        <v>9</v>
      </c>
      <c r="DJ303" s="932">
        <f>1-WWWW[[#This Row],[% people access to functioning Latrine]]</f>
        <v>0.74025974025974028</v>
      </c>
      <c r="DK303" s="931">
        <f>IF(OR(WWWW[[#This Row],['#_Non-functional latrines]]="",WWWW[[#This Row],['#_Non-functional latrines]]=0),0,WWWW[[#This Row],['#_Non-functional latrines]]/(WWWW[[#This Row],['#_Constructed latrines_by_WASHAgencies]]+WWWW[[#This Row],['#_Non Cluster partner latrines]]))</f>
        <v>0</v>
      </c>
      <c r="DL303" s="927">
        <f>IF(500*(WWWW[[#This Row],['#_male hygiene promoters]]+WWWW[[#This Row],['#_female hygiene promoters]])&gt;WWWW[[#This Row],[Total PoP ]],WWWW[[#This Row],[Total PoP ]],500*(WWWW[[#This Row],['#_male hygiene promoters]]+WWWW[[#This Row],['#_female hygiene promoters]]))</f>
        <v>0</v>
      </c>
      <c r="DM30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3" s="930">
        <f>IF(WWWW[[#This Row],['# People with access to soap]]&gt;WWWW[[#This Row],['# People with access to Sanity Pads]],WWWW[[#This Row],['# People with access to soap]],WWWW[[#This Row],['# People with access to Sanity Pads]])</f>
        <v>0</v>
      </c>
      <c r="DP30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3" s="932">
        <f>IF(WWWW[[#This Row],[HRP3]]/WWWW[[#This Row],[Total PoP ]]&gt;1,1,WWWW[[#This Row],[HRP3]]/WWWW[[#This Row],[Total PoP ]])</f>
        <v>0</v>
      </c>
      <c r="DR303" s="931">
        <f>1-WWWW[[#This Row],[Hygiene Coverage%]]</f>
        <v>1</v>
      </c>
      <c r="DS303" s="929">
        <f>WWWW[[#This Row],['# people reached by regular dedicated hygiene promotion_5]]/WWWW[[#This Row],[Total PoP ]]</f>
        <v>0</v>
      </c>
      <c r="DT30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3" s="930">
        <f>WWWW[[#This Row],['#_Constructed/Existing hand washing stations]]-WWWW[[#This Row],['#_Non-Functional_hand_washing_stations]]</f>
        <v>8</v>
      </c>
      <c r="DW303" s="927">
        <f>IF(WWWW[[#This Row],['# Functional hand washing stations during reporting period]]*20&gt;WWWW[[#This Row],[Total HH]],WWWW[[#This Row],[Total HH]],WWWW[[#This Row],['# Functional hand washing stations during reporting period]]*20)</f>
        <v>19</v>
      </c>
      <c r="DX303" s="927">
        <f>IF(WWWW[[#This Row],[Is sufficient soap available for TLS? (Yes/No)]]="yes",WWWW[[#This Row],['#_Constructed/Existing hand washing stations at TLS/CFS/THF]],0)</f>
        <v>0</v>
      </c>
      <c r="DY303" s="429">
        <f>IF(WWWW[[#This Row],['# Functional hand washing stations during reporting period]]*100&gt;WWWW[[#This Row],[Total PoP ]],WWWW[[#This Row],[Total PoP ]],WWWW[[#This Row],['# Functional hand washing stations during reporting period]]*100)</f>
        <v>77</v>
      </c>
      <c r="DZ303" s="429" t="str">
        <f>IF(OR(WWWW[[#This Row],['#_students at TLS_CFS]]="",WWWW[[#This Row],['#_students at TLS_CFS]]=0),"No","Yes")</f>
        <v>No</v>
      </c>
      <c r="EA30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3" s="923">
        <f>VLOOKUP(WWWW[[#This Row],[Site Name]],SiteDB6[[Site Name]:[CCCM Management]],6,FALSE)</f>
        <v>0</v>
      </c>
      <c r="EF303" s="923">
        <f>VLOOKUP(WWWW[[#This Row],[Site Name]],SiteDB6[[Site Name]:[CCCM Focal Agency]],7,FALSE)</f>
        <v>0</v>
      </c>
      <c r="EG303" s="923" t="str">
        <f>VLOOKUP(WWWW[[#This Row],[Site Name]],SiteDB6[[Site Name]:[Location Type 1]],9,FALSE)</f>
        <v>Relocated</v>
      </c>
      <c r="EH303" s="923" t="str">
        <f>VLOOKUP(WWWW[[#This Row],[Site Name]],SiteDB6[[Site Name]:[Type of Accommodation]],10,FALSE)</f>
        <v>Relocated-IDPs in host</v>
      </c>
      <c r="EI303" s="923" t="str">
        <f>VLOOKUP(WWWW[[#This Row],[Site Name]],SiteDB6[[Site Name]:[Ethnic or GCA/NGCA]],11,FALSE)</f>
        <v>GCA</v>
      </c>
      <c r="EJ303" s="923">
        <f>VLOOKUP(WWWW[[#This Row],[Site Name]],SiteDB6[[Site Name]:[Lat]],12,FALSE)</f>
        <v>23.078210830688501</v>
      </c>
      <c r="EK303" s="923">
        <f>VLOOKUP(WWWW[[#This Row],[Site Name]],SiteDB6[[Site Name]:[Long]],13,FALSE)</f>
        <v>97.411773681640597</v>
      </c>
      <c r="EL303" s="923" t="str">
        <f>VLOOKUP(WWWW[[#This Row],[Site Name]],SiteDB6[[Site Name]:[Pcode]],3,FALSE)</f>
        <v>MMR015CMP074</v>
      </c>
      <c r="EM303" s="928" t="str">
        <f t="shared" si="4"/>
        <v>Covered</v>
      </c>
      <c r="EN303" s="928"/>
      <c r="EO303" s="923">
        <f>VLOOKUP(WWWW[[#This Row],[Site Name]],SiteDB6[[Site Name]:[Pop
(Kachin/Shan-CCCM as of July 2021)]],16,FALSE)</f>
        <v>19</v>
      </c>
      <c r="EP303" s="923">
        <f>VLOOKUP(WWWW[[#This Row],[Site Name]],SiteDB6[[Site Name]:[Pop
(Kachin/Shan-CCCM as of July 2021)]],17,FALSE)</f>
        <v>77</v>
      </c>
    </row>
    <row r="304" spans="1:146" hidden="1">
      <c r="A304" s="921" t="s">
        <v>2786</v>
      </c>
      <c r="B304" s="921" t="s">
        <v>192</v>
      </c>
      <c r="C304" s="922" t="s">
        <v>192</v>
      </c>
      <c r="D304" s="922" t="s">
        <v>2695</v>
      </c>
      <c r="E304" s="922" t="s">
        <v>515</v>
      </c>
      <c r="F304" s="922" t="s">
        <v>536</v>
      </c>
      <c r="G304" s="594" t="str">
        <f>VLOOKUP(WWWW[[#This Row],[Site Name]],SiteDB6[[Site Name]:[Location Type]],8,FALSE)</f>
        <v>Camp</v>
      </c>
      <c r="H304" s="922" t="s">
        <v>543</v>
      </c>
      <c r="I304" s="924">
        <v>60</v>
      </c>
      <c r="J304" s="924">
        <v>270</v>
      </c>
      <c r="K304" s="925" t="s">
        <v>2789</v>
      </c>
      <c r="L304" s="926" t="s">
        <v>2790</v>
      </c>
      <c r="M304" s="924"/>
      <c r="N304" s="924"/>
      <c r="O304" s="924">
        <v>1</v>
      </c>
      <c r="P304" s="924"/>
      <c r="Q304" s="927" t="s">
        <v>41</v>
      </c>
      <c r="R304" s="924">
        <v>4</v>
      </c>
      <c r="S304" s="924">
        <v>3</v>
      </c>
      <c r="T304" s="449">
        <v>1</v>
      </c>
      <c r="U304" s="924"/>
      <c r="V304" s="924"/>
      <c r="W304" s="924">
        <v>1</v>
      </c>
      <c r="X304" s="924">
        <v>1</v>
      </c>
      <c r="Y304" s="924"/>
      <c r="Z304" s="924">
        <v>1</v>
      </c>
      <c r="AA304" s="924"/>
      <c r="AB304" s="924"/>
      <c r="AC304" s="924"/>
      <c r="AD304" s="924"/>
      <c r="AE304" s="924"/>
      <c r="AF304" s="924"/>
      <c r="AG304" s="924"/>
      <c r="AH304" s="924"/>
      <c r="AI304" s="924"/>
      <c r="AJ304" s="924"/>
      <c r="AK304" s="924"/>
      <c r="AL304" s="924"/>
      <c r="AM304" s="924">
        <v>2</v>
      </c>
      <c r="AN304" s="924"/>
      <c r="AO304" s="449"/>
      <c r="AP304" s="928"/>
      <c r="AQ304" s="924">
        <v>16</v>
      </c>
      <c r="AR304" s="924"/>
      <c r="AS304" s="929"/>
      <c r="AT304" s="924"/>
      <c r="AU304" s="924"/>
      <c r="AV304" s="924"/>
      <c r="AW304" s="924"/>
      <c r="AX304" s="924"/>
      <c r="AY304" s="923" t="s">
        <v>41</v>
      </c>
      <c r="AZ304" s="928" t="s">
        <v>137</v>
      </c>
      <c r="BA304" s="924"/>
      <c r="BB304" s="924"/>
      <c r="BC304" s="924"/>
      <c r="BD304" s="449"/>
      <c r="BE304" s="449"/>
      <c r="BF304" s="923"/>
      <c r="BG304" s="924">
        <v>11</v>
      </c>
      <c r="BH304" s="924"/>
      <c r="BI304" s="924"/>
      <c r="BJ304" s="924">
        <v>2</v>
      </c>
      <c r="BK304" s="924"/>
      <c r="BL304" s="924"/>
      <c r="BM304" s="924">
        <v>1</v>
      </c>
      <c r="BN304" s="924"/>
      <c r="BO304" s="924"/>
      <c r="BP304" s="426" t="s">
        <v>41</v>
      </c>
      <c r="BQ304" s="930"/>
      <c r="BR304" s="929">
        <v>1</v>
      </c>
      <c r="BS304" s="923"/>
      <c r="BT304" s="424"/>
      <c r="BU304" s="424"/>
      <c r="BV304" s="426"/>
      <c r="BW304" s="424"/>
      <c r="BX304" s="449"/>
      <c r="BY304" s="449"/>
      <c r="BZ304" s="449"/>
      <c r="CA304" s="449"/>
      <c r="CB304" s="449"/>
      <c r="CC304" s="807"/>
      <c r="CD304" s="449"/>
      <c r="CE304" s="931" t="str">
        <f>IFERROR(WWWW[[#This Row],['#_Water sources passed]]/WWWW[[#This Row],['#_Water sources tested for fecal coliform ]],"no test")</f>
        <v>no test</v>
      </c>
      <c r="CF304" s="929" t="str">
        <f>IFERROR(WWWW[[#This Row],['#_Household passed]]/WWWW[[#This Row],['#_Household water samples tested for fecal coliform]],"no test")</f>
        <v>no test</v>
      </c>
      <c r="CG304" s="930" t="str">
        <f>IF(AND(WWWW[[#This Row],[% of water sources passed]]="no test",WWWW[[#This Row],[% Household passed]]="no test"),"No Test","Tested")</f>
        <v>No Test</v>
      </c>
      <c r="CH304" s="930">
        <f>WWWW[[#This Row],['#_Constructed/existing protected hand dug well]]-WWWW[[#This Row],['#_Non-functional protected hand dug well]]</f>
        <v>1</v>
      </c>
      <c r="CI304" s="930">
        <f>(WWWW[[#This Row],['#_Constructed/Existing tube wells/boreholes/handpumps_WASH_agency]]+WWWW[[#This Row],['#_Non-Cluster partner water tube-wells/boreholes/handpumps]])-WWWW[[#This Row],['#_Non-functional tube wells/boreholes/handpumps]]</f>
        <v>2</v>
      </c>
      <c r="CJ304" s="930">
        <f>WWWW[[#This Row],['#_Constructed/Existingwater storage tank with gravity fed reticulation system]]-WWWW[[#This Row],['#_Non-functional storage tank gravity fed reticulation system]]</f>
        <v>0</v>
      </c>
      <c r="CK304" s="930">
        <f>(WWWW[[#This Row],['#_Water_Liters_supplied_by_Water boating or water trucking]]/90)/15</f>
        <v>0</v>
      </c>
      <c r="CL304" s="930">
        <f>WWWW[[#This Row],['#_Water_Liters_from_Constructed/Existing water distribution system from river or natural spring]]/90/15</f>
        <v>0</v>
      </c>
      <c r="CM304" s="425">
        <f>IF(WWWW[[#This Row],['#_of water points in TLS/CFS]]*500&gt;WWWW[[#This Row],[Total PoP ]],WWWW[[#This Row],[Total PoP ]],WWWW[[#This Row],['#_of water points in TLS/CFS]]*500)</f>
        <v>0</v>
      </c>
      <c r="CN304" s="425">
        <f>IF(WWWW[[#This Row],['#_of water points in THF]]*500&gt;WWWW[[#This Row],[Total PoP ]],WWWW[[#This Row],[Total PoP ]],WWWW[[#This Row],['#_of water points in THF]]*500)</f>
        <v>0</v>
      </c>
      <c r="CO30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4" s="929">
        <f>IF(WWWW[[#This Row],[Location Type 1]]="Village",WWWW[[#This Row],[Access to safe drinking water for Village]],WWWW[[#This Row],[Access to safe drinking water for Camp]])</f>
        <v>1</v>
      </c>
      <c r="CR304" s="927">
        <f>WWWW[[#This Row],[%Equitable and continuous access to sufficient quantity of safe drinking water]]*WWWW[[#This Row],[Total PoP ]]</f>
        <v>270</v>
      </c>
      <c r="CS304" s="929">
        <f>IF((WWWW[[#This Row],['#_Constructed/Existing protected/fenced ponds]]*250)/WWWW[[#This Row],[Total PoP ]]&gt;1,1,(WWWW[[#This Row],['#_Constructed/Existing protected/fenced ponds]]*250)/WWWW[[#This Row],[Total PoP ]])</f>
        <v>0</v>
      </c>
      <c r="CT304" s="927">
        <f>WWWW[[#This Row],[% Access to unimproved water points]]*WWWW[[#This Row],[Total PoP ]]</f>
        <v>0</v>
      </c>
      <c r="CU30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W304" s="927">
        <f>WWWW[[#This Row],[HRP1]]/500</f>
        <v>0.54</v>
      </c>
      <c r="CX304" s="932">
        <f>1-WWWW[[#This Row],[% Equitable and continuous access to sufficient quantity of domestic water]]</f>
        <v>0</v>
      </c>
      <c r="CY304" s="927">
        <f>WWWW[[#This Row],[%equitable and continuous access to sufficient quantity of safe drinking and domestic water''s GAP]]*WWWW[[#This Row],[Total PoP ]]</f>
        <v>0</v>
      </c>
      <c r="CZ304" s="930">
        <f>IF(WWWW[[#This Row],[Total required water points]]-WWWW[[#This Row],['#Water points coverage]]&lt;0,0,WWWW[[#This Row],[Total required water points]]-WWWW[[#This Row],['#Water points coverage]])</f>
        <v>0.45999999999999996</v>
      </c>
      <c r="DA304" s="930">
        <f>ROUND(IF(WWWW[[#This Row],[Total PoP ]]&lt;500,1,WWWW[[#This Row],[Total PoP ]]/500),0)</f>
        <v>1</v>
      </c>
      <c r="DB304" s="930">
        <f>(WWWW[[#This Row],['#_Constructed latrines_by_WASHAgencies]]+WWWW[[#This Row],['#_Non Cluster partner latrines]])-WWWW[[#This Row],['#_Non-functional latrines]]</f>
        <v>16</v>
      </c>
      <c r="DC304" s="634">
        <f>WWWW[[#This Row],[HRP2]]/WWWW[[#This Row],[Total PoP ]]</f>
        <v>1</v>
      </c>
      <c r="DD30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270</v>
      </c>
      <c r="DE30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4" s="425">
        <f>IF(WWWW[[#This Row],['# of functional latrines in THF supported by WASH partners during the reporting period2]]="",0,WWWW[[#This Row],['# of functional latrines in THF supported by WASH partners during the reporting period2]]*50)</f>
        <v>0</v>
      </c>
      <c r="DH304" s="930">
        <f>ROUND(IF(WWWW[[#This Row],[Location Type 1]]="camp",WWWW[[#This Row],[Total PoP ]]/20,IF(WWWW[[#This Row],[Location Type 1]]="Temporary Location",WWWW[[#This Row],[Total PoP ]]/50,(WWWW[[#This Row],[Total PoP ]]/6))),0)</f>
        <v>14</v>
      </c>
      <c r="DI304" s="930">
        <f>IF(WWWW[[#This Row],[Total required Latrines]]-(WWWW[[#This Row],['#_Constructed latrines_by_WASHAgencies]]+WWWW[[#This Row],['#_Non Cluster partner latrines]])&lt;0,0,WWWW[[#This Row],[Total required Latrines]]-(WWWW[[#This Row],['#_Constructed latrines_by_WASHAgencies]]+WWWW[[#This Row],['#_Non Cluster partner latrines]]))</f>
        <v>0</v>
      </c>
      <c r="DJ304" s="932">
        <f>1-WWWW[[#This Row],[% people access to functioning Latrine]]</f>
        <v>0</v>
      </c>
      <c r="DK304" s="931">
        <f>IF(OR(WWWW[[#This Row],['#_Non-functional latrines]]="",WWWW[[#This Row],['#_Non-functional latrines]]=0),0,WWWW[[#This Row],['#_Non-functional latrines]]/(WWWW[[#This Row],['#_Constructed latrines_by_WASHAgencies]]+WWWW[[#This Row],['#_Non Cluster partner latrines]]))</f>
        <v>0</v>
      </c>
      <c r="DL304" s="927">
        <f>IF(500*(WWWW[[#This Row],['#_male hygiene promoters]]+WWWW[[#This Row],['#_female hygiene promoters]])&gt;WWWW[[#This Row],[Total PoP ]],WWWW[[#This Row],[Total PoP ]],500*(WWWW[[#This Row],['#_male hygiene promoters]]+WWWW[[#This Row],['#_female hygiene promoters]]))</f>
        <v>270</v>
      </c>
      <c r="DM30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4" s="930">
        <f>IF(WWWW[[#This Row],['# People with access to soap]]&gt;WWWW[[#This Row],['# People with access to Sanity Pads]],WWWW[[#This Row],['# People with access to soap]],WWWW[[#This Row],['# People with access to Sanity Pads]])</f>
        <v>0</v>
      </c>
      <c r="DP304" s="930">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Q304" s="932">
        <f>IF(WWWW[[#This Row],[HRP3]]/WWWW[[#This Row],[Total PoP ]]&gt;1,1,WWWW[[#This Row],[HRP3]]/WWWW[[#This Row],[Total PoP ]])</f>
        <v>1</v>
      </c>
      <c r="DR304" s="931">
        <f>1-WWWW[[#This Row],[Hygiene Coverage%]]</f>
        <v>0</v>
      </c>
      <c r="DS304" s="929">
        <f>WWWW[[#This Row],['# people reached by regular dedicated hygiene promotion_5]]/WWWW[[#This Row],[Total PoP ]]</f>
        <v>1</v>
      </c>
      <c r="DT30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4" s="930">
        <f>WWWW[[#This Row],['#_Constructed/Existing hand washing stations]]-WWWW[[#This Row],['#_Non-Functional_hand_washing_stations]]</f>
        <v>11</v>
      </c>
      <c r="DW304" s="927">
        <f>IF(WWWW[[#This Row],['# Functional hand washing stations during reporting period]]*20&gt;WWWW[[#This Row],[Total HH]],WWWW[[#This Row],[Total HH]],WWWW[[#This Row],['# Functional hand washing stations during reporting period]]*20)</f>
        <v>60</v>
      </c>
      <c r="DX304" s="927">
        <f>IF(WWWW[[#This Row],[Is sufficient soap available for TLS? (Yes/No)]]="yes",WWWW[[#This Row],['#_Constructed/Existing hand washing stations at TLS/CFS/THF]],0)</f>
        <v>2</v>
      </c>
      <c r="DY304" s="429">
        <f>IF(WWWW[[#This Row],['# Functional hand washing stations during reporting period]]*100&gt;WWWW[[#This Row],[Total PoP ]],WWWW[[#This Row],[Total PoP ]],WWWW[[#This Row],['# Functional hand washing stations during reporting period]]*100)</f>
        <v>270</v>
      </c>
      <c r="DZ304" s="429" t="str">
        <f>IF(OR(WWWW[[#This Row],['#_students at TLS_CFS]]="",WWWW[[#This Row],['#_students at TLS_CFS]]=0),"No","Yes")</f>
        <v>No</v>
      </c>
      <c r="EA30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4" s="923" t="str">
        <f>VLOOKUP(WWWW[[#This Row],[Site Name]],SiteDB6[[Site Name]:[CCCM Management]],6,FALSE)</f>
        <v>Yes</v>
      </c>
      <c r="EF304" s="923" t="str">
        <f>VLOOKUP(WWWW[[#This Row],[Site Name]],SiteDB6[[Site Name]:[CCCM Focal Agency]],7,FALSE)</f>
        <v>KMSS-LSO</v>
      </c>
      <c r="EG304" s="923" t="str">
        <f>VLOOKUP(WWWW[[#This Row],[Site Name]],SiteDB6[[Site Name]:[Location Type 1]],9,FALSE)</f>
        <v>Camp</v>
      </c>
      <c r="EH304" s="923" t="str">
        <f>VLOOKUP(WWWW[[#This Row],[Site Name]],SiteDB6[[Site Name]:[Type of Accommodation]],10,FALSE)</f>
        <v>Camp</v>
      </c>
      <c r="EI304" s="923" t="str">
        <f>VLOOKUP(WWWW[[#This Row],[Site Name]],SiteDB6[[Site Name]:[Ethnic or GCA/NGCA]],11,FALSE)</f>
        <v>GCA</v>
      </c>
      <c r="EJ304" s="923">
        <f>VLOOKUP(WWWW[[#This Row],[Site Name]],SiteDB6[[Site Name]:[Lat]],12,FALSE)</f>
        <v>23.099304</v>
      </c>
      <c r="EK304" s="923">
        <f>VLOOKUP(WWWW[[#This Row],[Site Name]],SiteDB6[[Site Name]:[Long]],13,FALSE)</f>
        <v>97.400671000000003</v>
      </c>
      <c r="EL304" s="923" t="str">
        <f>VLOOKUP(WWWW[[#This Row],[Site Name]],SiteDB6[[Site Name]:[Pcode]],3,FALSE)</f>
        <v>MMR015CMP066</v>
      </c>
      <c r="EM304" s="928" t="str">
        <f t="shared" si="4"/>
        <v>Covered</v>
      </c>
      <c r="EN304" s="928"/>
      <c r="EO304" s="923">
        <f>VLOOKUP(WWWW[[#This Row],[Site Name]],SiteDB6[[Site Name]:[Pop
(Kachin/Shan-CCCM as of July 2021)]],16,FALSE)</f>
        <v>60</v>
      </c>
      <c r="EP304" s="923">
        <f>VLOOKUP(WWWW[[#This Row],[Site Name]],SiteDB6[[Site Name]:[Pop
(Kachin/Shan-CCCM as of July 2021)]],17,FALSE)</f>
        <v>272</v>
      </c>
    </row>
    <row r="305" spans="1:146" hidden="1">
      <c r="A305" s="921" t="s">
        <v>2786</v>
      </c>
      <c r="B305" s="921" t="s">
        <v>192</v>
      </c>
      <c r="C305" s="922" t="s">
        <v>192</v>
      </c>
      <c r="D305" s="922" t="s">
        <v>2695</v>
      </c>
      <c r="E305" s="922" t="s">
        <v>515</v>
      </c>
      <c r="F305" s="922" t="s">
        <v>536</v>
      </c>
      <c r="G305" s="594" t="str">
        <f>VLOOKUP(WWWW[[#This Row],[Site Name]],SiteDB6[[Site Name]:[Location Type]],8,FALSE)</f>
        <v>Camp</v>
      </c>
      <c r="H305" s="922" t="s">
        <v>544</v>
      </c>
      <c r="I305" s="924">
        <v>30</v>
      </c>
      <c r="J305" s="924">
        <v>127</v>
      </c>
      <c r="K305" s="925" t="s">
        <v>2789</v>
      </c>
      <c r="L305" s="926" t="s">
        <v>2790</v>
      </c>
      <c r="M305" s="924"/>
      <c r="N305" s="924"/>
      <c r="O305" s="924">
        <v>1</v>
      </c>
      <c r="P305" s="924"/>
      <c r="Q305" s="927" t="s">
        <v>41</v>
      </c>
      <c r="R305" s="924">
        <v>3</v>
      </c>
      <c r="S305" s="924">
        <v>3</v>
      </c>
      <c r="T305" s="449"/>
      <c r="U305" s="924"/>
      <c r="V305" s="924"/>
      <c r="W305" s="924">
        <v>2</v>
      </c>
      <c r="X305" s="924">
        <v>1</v>
      </c>
      <c r="Y305" s="924"/>
      <c r="Z305" s="924">
        <v>1</v>
      </c>
      <c r="AA305" s="924"/>
      <c r="AB305" s="924"/>
      <c r="AC305" s="924"/>
      <c r="AD305" s="924"/>
      <c r="AE305" s="924"/>
      <c r="AF305" s="924"/>
      <c r="AG305" s="924"/>
      <c r="AH305" s="924"/>
      <c r="AI305" s="924"/>
      <c r="AJ305" s="924"/>
      <c r="AK305" s="924"/>
      <c r="AL305" s="924"/>
      <c r="AM305" s="924"/>
      <c r="AN305" s="924"/>
      <c r="AO305" s="449"/>
      <c r="AP305" s="928"/>
      <c r="AQ305" s="924">
        <v>10</v>
      </c>
      <c r="AR305" s="924">
        <v>2</v>
      </c>
      <c r="AS305" s="929"/>
      <c r="AT305" s="924"/>
      <c r="AU305" s="924"/>
      <c r="AV305" s="924"/>
      <c r="AW305" s="924"/>
      <c r="AX305" s="924">
        <v>2</v>
      </c>
      <c r="AY305" s="923" t="s">
        <v>41</v>
      </c>
      <c r="AZ305" s="928" t="s">
        <v>137</v>
      </c>
      <c r="BA305" s="924"/>
      <c r="BB305" s="924"/>
      <c r="BC305" s="924"/>
      <c r="BD305" s="449"/>
      <c r="BE305" s="449"/>
      <c r="BF305" s="923"/>
      <c r="BG305" s="924">
        <v>11</v>
      </c>
      <c r="BH305" s="924"/>
      <c r="BI305" s="924"/>
      <c r="BJ305" s="924">
        <v>3</v>
      </c>
      <c r="BK305" s="924"/>
      <c r="BL305" s="924"/>
      <c r="BM305" s="924">
        <v>1</v>
      </c>
      <c r="BN305" s="924"/>
      <c r="BO305" s="924"/>
      <c r="BP305" s="426" t="s">
        <v>41</v>
      </c>
      <c r="BQ305" s="930"/>
      <c r="BR305" s="929">
        <v>1</v>
      </c>
      <c r="BS305" s="923"/>
      <c r="BT305" s="424"/>
      <c r="BU305" s="424"/>
      <c r="BV305" s="426"/>
      <c r="BW305" s="424"/>
      <c r="BX305" s="449"/>
      <c r="BY305" s="449"/>
      <c r="BZ305" s="449"/>
      <c r="CA305" s="449"/>
      <c r="CB305" s="449"/>
      <c r="CC305" s="807"/>
      <c r="CD305" s="449"/>
      <c r="CE305" s="931" t="str">
        <f>IFERROR(WWWW[[#This Row],['#_Water sources passed]]/WWWW[[#This Row],['#_Water sources tested for fecal coliform ]],"no test")</f>
        <v>no test</v>
      </c>
      <c r="CF305" s="929" t="str">
        <f>IFERROR(WWWW[[#This Row],['#_Household passed]]/WWWW[[#This Row],['#_Household water samples tested for fecal coliform]],"no test")</f>
        <v>no test</v>
      </c>
      <c r="CG305" s="930" t="str">
        <f>IF(AND(WWWW[[#This Row],[% of water sources passed]]="no test",WWWW[[#This Row],[% Household passed]]="no test"),"No Test","Tested")</f>
        <v>No Test</v>
      </c>
      <c r="CH305" s="930">
        <f>WWWW[[#This Row],['#_Constructed/existing protected hand dug well]]-WWWW[[#This Row],['#_Non-functional protected hand dug well]]</f>
        <v>0</v>
      </c>
      <c r="CI305" s="930">
        <f>(WWWW[[#This Row],['#_Constructed/Existing tube wells/boreholes/handpumps_WASH_agency]]+WWWW[[#This Row],['#_Non-Cluster partner water tube-wells/boreholes/handpumps]])-WWWW[[#This Row],['#_Non-functional tube wells/boreholes/handpumps]]</f>
        <v>3</v>
      </c>
      <c r="CJ305" s="930">
        <f>WWWW[[#This Row],['#_Constructed/Existingwater storage tank with gravity fed reticulation system]]-WWWW[[#This Row],['#_Non-functional storage tank gravity fed reticulation system]]</f>
        <v>0</v>
      </c>
      <c r="CK305" s="930">
        <f>(WWWW[[#This Row],['#_Water_Liters_supplied_by_Water boating or water trucking]]/90)/15</f>
        <v>0</v>
      </c>
      <c r="CL305" s="930">
        <f>WWWW[[#This Row],['#_Water_Liters_from_Constructed/Existing water distribution system from river or natural spring]]/90/15</f>
        <v>0</v>
      </c>
      <c r="CM305" s="425">
        <f>IF(WWWW[[#This Row],['#_of water points in TLS/CFS]]*500&gt;WWWW[[#This Row],[Total PoP ]],WWWW[[#This Row],[Total PoP ]],WWWW[[#This Row],['#_of water points in TLS/CFS]]*500)</f>
        <v>0</v>
      </c>
      <c r="CN305" s="425">
        <f>IF(WWWW[[#This Row],['#_of water points in THF]]*500&gt;WWWW[[#This Row],[Total PoP ]],WWWW[[#This Row],[Total PoP ]],WWWW[[#This Row],['#_of water points in THF]]*500)</f>
        <v>0</v>
      </c>
      <c r="CO30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5" s="929">
        <f>IF(WWWW[[#This Row],[Location Type 1]]="Village",WWWW[[#This Row],[Access to safe drinking water for Village]],WWWW[[#This Row],[Access to safe drinking water for Camp]])</f>
        <v>1</v>
      </c>
      <c r="CR305" s="927">
        <f>WWWW[[#This Row],[%Equitable and continuous access to sufficient quantity of safe drinking water]]*WWWW[[#This Row],[Total PoP ]]</f>
        <v>127</v>
      </c>
      <c r="CS305" s="929">
        <f>IF((WWWW[[#This Row],['#_Constructed/Existing protected/fenced ponds]]*250)/WWWW[[#This Row],[Total PoP ]]&gt;1,1,(WWWW[[#This Row],['#_Constructed/Existing protected/fenced ponds]]*250)/WWWW[[#This Row],[Total PoP ]])</f>
        <v>0</v>
      </c>
      <c r="CT305" s="927">
        <f>WWWW[[#This Row],[% Access to unimproved water points]]*WWWW[[#This Row],[Total PoP ]]</f>
        <v>0</v>
      </c>
      <c r="CU30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W305" s="927">
        <f>WWWW[[#This Row],[HRP1]]/500</f>
        <v>0.254</v>
      </c>
      <c r="CX305" s="932">
        <f>1-WWWW[[#This Row],[% Equitable and continuous access to sufficient quantity of domestic water]]</f>
        <v>0</v>
      </c>
      <c r="CY305" s="927">
        <f>WWWW[[#This Row],[%equitable and continuous access to sufficient quantity of safe drinking and domestic water''s GAP]]*WWWW[[#This Row],[Total PoP ]]</f>
        <v>0</v>
      </c>
      <c r="CZ305" s="930">
        <f>IF(WWWW[[#This Row],[Total required water points]]-WWWW[[#This Row],['#Water points coverage]]&lt;0,0,WWWW[[#This Row],[Total required water points]]-WWWW[[#This Row],['#Water points coverage]])</f>
        <v>0.746</v>
      </c>
      <c r="DA305" s="930">
        <f>ROUND(IF(WWWW[[#This Row],[Total PoP ]]&lt;500,1,WWWW[[#This Row],[Total PoP ]]/500),0)</f>
        <v>1</v>
      </c>
      <c r="DB305" s="930">
        <f>(WWWW[[#This Row],['#_Constructed latrines_by_WASHAgencies]]+WWWW[[#This Row],['#_Non Cluster partner latrines]])-WWWW[[#This Row],['#_Non-functional latrines]]</f>
        <v>12</v>
      </c>
      <c r="DC305" s="634">
        <f>WWWW[[#This Row],[HRP2]]/WWWW[[#This Row],[Total PoP ]]</f>
        <v>1</v>
      </c>
      <c r="DD30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127</v>
      </c>
      <c r="DE30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5" s="425">
        <f>IF(WWWW[[#This Row],['# of functional latrines in THF supported by WASH partners during the reporting period2]]="",0,WWWW[[#This Row],['# of functional latrines in THF supported by WASH partners during the reporting period2]]*50)</f>
        <v>0</v>
      </c>
      <c r="DH305" s="930">
        <f>ROUND(IF(WWWW[[#This Row],[Location Type 1]]="camp",WWWW[[#This Row],[Total PoP ]]/20,IF(WWWW[[#This Row],[Location Type 1]]="Temporary Location",WWWW[[#This Row],[Total PoP ]]/50,(WWWW[[#This Row],[Total PoP ]]/6))),0)</f>
        <v>6</v>
      </c>
      <c r="DI305" s="930">
        <f>IF(WWWW[[#This Row],[Total required Latrines]]-(WWWW[[#This Row],['#_Constructed latrines_by_WASHAgencies]]+WWWW[[#This Row],['#_Non Cluster partner latrines]])&lt;0,0,WWWW[[#This Row],[Total required Latrines]]-(WWWW[[#This Row],['#_Constructed latrines_by_WASHAgencies]]+WWWW[[#This Row],['#_Non Cluster partner latrines]]))</f>
        <v>0</v>
      </c>
      <c r="DJ305" s="932">
        <f>1-WWWW[[#This Row],[% people access to functioning Latrine]]</f>
        <v>0</v>
      </c>
      <c r="DK305" s="931">
        <f>IF(OR(WWWW[[#This Row],['#_Non-functional latrines]]="",WWWW[[#This Row],['#_Non-functional latrines]]=0),0,WWWW[[#This Row],['#_Non-functional latrines]]/(WWWW[[#This Row],['#_Constructed latrines_by_WASHAgencies]]+WWWW[[#This Row],['#_Non Cluster partner latrines]]))</f>
        <v>0</v>
      </c>
      <c r="DL305" s="927">
        <f>IF(500*(WWWW[[#This Row],['#_male hygiene promoters]]+WWWW[[#This Row],['#_female hygiene promoters]])&gt;WWWW[[#This Row],[Total PoP ]],WWWW[[#This Row],[Total PoP ]],500*(WWWW[[#This Row],['#_male hygiene promoters]]+WWWW[[#This Row],['#_female hygiene promoters]]))</f>
        <v>127</v>
      </c>
      <c r="DM30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5" s="930">
        <f>IF(WWWW[[#This Row],['# People with access to soap]]&gt;WWWW[[#This Row],['# People with access to Sanity Pads]],WWWW[[#This Row],['# People with access to soap]],WWWW[[#This Row],['# People with access to Sanity Pads]])</f>
        <v>0</v>
      </c>
      <c r="DP305" s="930">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Q305" s="932">
        <f>IF(WWWW[[#This Row],[HRP3]]/WWWW[[#This Row],[Total PoP ]]&gt;1,1,WWWW[[#This Row],[HRP3]]/WWWW[[#This Row],[Total PoP ]])</f>
        <v>1</v>
      </c>
      <c r="DR305" s="931">
        <f>1-WWWW[[#This Row],[Hygiene Coverage%]]</f>
        <v>0</v>
      </c>
      <c r="DS305" s="929">
        <f>WWWW[[#This Row],['# people reached by regular dedicated hygiene promotion_5]]/WWWW[[#This Row],[Total PoP ]]</f>
        <v>1</v>
      </c>
      <c r="DT30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5" s="930">
        <f>WWWW[[#This Row],['#_Constructed/Existing hand washing stations]]-WWWW[[#This Row],['#_Non-Functional_hand_washing_stations]]</f>
        <v>11</v>
      </c>
      <c r="DW305" s="927">
        <f>IF(WWWW[[#This Row],['# Functional hand washing stations during reporting period]]*20&gt;WWWW[[#This Row],[Total HH]],WWWW[[#This Row],[Total HH]],WWWW[[#This Row],['# Functional hand washing stations during reporting period]]*20)</f>
        <v>30</v>
      </c>
      <c r="DX305" s="927">
        <f>IF(WWWW[[#This Row],[Is sufficient soap available for TLS? (Yes/No)]]="yes",WWWW[[#This Row],['#_Constructed/Existing hand washing stations at TLS/CFS/THF]],0)</f>
        <v>0</v>
      </c>
      <c r="DY305" s="429">
        <f>IF(WWWW[[#This Row],['# Functional hand washing stations during reporting period]]*100&gt;WWWW[[#This Row],[Total PoP ]],WWWW[[#This Row],[Total PoP ]],WWWW[[#This Row],['# Functional hand washing stations during reporting period]]*100)</f>
        <v>127</v>
      </c>
      <c r="DZ305" s="429" t="str">
        <f>IF(OR(WWWW[[#This Row],['#_students at TLS_CFS]]="",WWWW[[#This Row],['#_students at TLS_CFS]]=0),"No","Yes")</f>
        <v>No</v>
      </c>
      <c r="EA30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5" s="923" t="str">
        <f>VLOOKUP(WWWW[[#This Row],[Site Name]],SiteDB6[[Site Name]:[CCCM Management]],6,FALSE)</f>
        <v>Yes</v>
      </c>
      <c r="EF305" s="923" t="str">
        <f>VLOOKUP(WWWW[[#This Row],[Site Name]],SiteDB6[[Site Name]:[CCCM Focal Agency]],7,FALSE)</f>
        <v>KMSS-LSO</v>
      </c>
      <c r="EG305" s="923" t="str">
        <f>VLOOKUP(WWWW[[#This Row],[Site Name]],SiteDB6[[Site Name]:[Location Type 1]],9,FALSE)</f>
        <v>Camp</v>
      </c>
      <c r="EH305" s="923" t="str">
        <f>VLOOKUP(WWWW[[#This Row],[Site Name]],SiteDB6[[Site Name]:[Type of Accommodation]],10,FALSE)</f>
        <v>Camp</v>
      </c>
      <c r="EI305" s="923" t="str">
        <f>VLOOKUP(WWWW[[#This Row],[Site Name]],SiteDB6[[Site Name]:[Ethnic or GCA/NGCA]],11,FALSE)</f>
        <v>GCA</v>
      </c>
      <c r="EJ305" s="923">
        <f>VLOOKUP(WWWW[[#This Row],[Site Name]],SiteDB6[[Site Name]:[Lat]],12,FALSE)</f>
        <v>23.088011000000002</v>
      </c>
      <c r="EK305" s="923">
        <f>VLOOKUP(WWWW[[#This Row],[Site Name]],SiteDB6[[Site Name]:[Long]],13,FALSE)</f>
        <v>97.398698999999993</v>
      </c>
      <c r="EL305" s="923" t="str">
        <f>VLOOKUP(WWWW[[#This Row],[Site Name]],SiteDB6[[Site Name]:[Pcode]],3,FALSE)</f>
        <v>MMR015CMP050</v>
      </c>
      <c r="EM305" s="928" t="str">
        <f t="shared" si="4"/>
        <v>Covered</v>
      </c>
      <c r="EN305" s="928"/>
      <c r="EO305" s="923">
        <f>VLOOKUP(WWWW[[#This Row],[Site Name]],SiteDB6[[Site Name]:[Pop
(Kachin/Shan-CCCM as of July 2021)]],16,FALSE)</f>
        <v>30</v>
      </c>
      <c r="EP305" s="923">
        <f>VLOOKUP(WWWW[[#This Row],[Site Name]],SiteDB6[[Site Name]:[Pop
(Kachin/Shan-CCCM as of July 2021)]],17,FALSE)</f>
        <v>129</v>
      </c>
    </row>
    <row r="306" spans="1:146" hidden="1">
      <c r="A306" s="921" t="s">
        <v>2786</v>
      </c>
      <c r="B306" s="921" t="s">
        <v>192</v>
      </c>
      <c r="C306" s="922" t="s">
        <v>192</v>
      </c>
      <c r="D306" s="922" t="s">
        <v>2695</v>
      </c>
      <c r="E306" s="922" t="s">
        <v>515</v>
      </c>
      <c r="F306" s="922" t="s">
        <v>536</v>
      </c>
      <c r="G306" s="594" t="str">
        <f>VLOOKUP(WWWW[[#This Row],[Site Name]],SiteDB6[[Site Name]:[Location Type]],8,FALSE)</f>
        <v>Camp</v>
      </c>
      <c r="H306" s="922" t="s">
        <v>547</v>
      </c>
      <c r="I306" s="924">
        <v>32</v>
      </c>
      <c r="J306" s="924">
        <v>141</v>
      </c>
      <c r="K306" s="925" t="s">
        <v>2789</v>
      </c>
      <c r="L306" s="926" t="s">
        <v>2790</v>
      </c>
      <c r="M306" s="924"/>
      <c r="N306" s="924"/>
      <c r="O306" s="924">
        <v>1</v>
      </c>
      <c r="P306" s="924"/>
      <c r="Q306" s="927" t="s">
        <v>41</v>
      </c>
      <c r="R306" s="924">
        <v>3</v>
      </c>
      <c r="S306" s="924">
        <v>3</v>
      </c>
      <c r="T306" s="449"/>
      <c r="U306" s="924"/>
      <c r="V306" s="924"/>
      <c r="W306" s="924">
        <v>1</v>
      </c>
      <c r="X306" s="924"/>
      <c r="Y306" s="924"/>
      <c r="Z306" s="924"/>
      <c r="AA306" s="924">
        <v>1</v>
      </c>
      <c r="AB306" s="924"/>
      <c r="AC306" s="924"/>
      <c r="AD306" s="924"/>
      <c r="AE306" s="924"/>
      <c r="AF306" s="924"/>
      <c r="AG306" s="924"/>
      <c r="AH306" s="924"/>
      <c r="AI306" s="924"/>
      <c r="AJ306" s="924"/>
      <c r="AK306" s="924"/>
      <c r="AL306" s="924"/>
      <c r="AM306" s="924"/>
      <c r="AN306" s="924"/>
      <c r="AO306" s="449"/>
      <c r="AP306" s="928"/>
      <c r="AQ306" s="924">
        <v>8</v>
      </c>
      <c r="AR306" s="924"/>
      <c r="AS306" s="929"/>
      <c r="AT306" s="924"/>
      <c r="AU306" s="924"/>
      <c r="AV306" s="924"/>
      <c r="AW306" s="924"/>
      <c r="AX306" s="924"/>
      <c r="AY306" s="923" t="s">
        <v>41</v>
      </c>
      <c r="AZ306" s="928" t="s">
        <v>137</v>
      </c>
      <c r="BA306" s="924"/>
      <c r="BB306" s="924"/>
      <c r="BC306" s="924"/>
      <c r="BD306" s="449"/>
      <c r="BE306" s="449"/>
      <c r="BF306" s="923"/>
      <c r="BG306" s="924">
        <v>5</v>
      </c>
      <c r="BH306" s="924"/>
      <c r="BI306" s="924"/>
      <c r="BJ306" s="924">
        <v>2</v>
      </c>
      <c r="BK306" s="924"/>
      <c r="BL306" s="924"/>
      <c r="BM306" s="924">
        <v>1</v>
      </c>
      <c r="BN306" s="924"/>
      <c r="BO306" s="924"/>
      <c r="BP306" s="426" t="s">
        <v>41</v>
      </c>
      <c r="BQ306" s="930"/>
      <c r="BR306" s="929">
        <v>1</v>
      </c>
      <c r="BS306" s="923"/>
      <c r="BT306" s="424"/>
      <c r="BU306" s="424"/>
      <c r="BV306" s="426"/>
      <c r="BW306" s="424"/>
      <c r="BX306" s="449"/>
      <c r="BY306" s="449"/>
      <c r="BZ306" s="449"/>
      <c r="CA306" s="449"/>
      <c r="CB306" s="449"/>
      <c r="CC306" s="807"/>
      <c r="CD306" s="449"/>
      <c r="CE306" s="931" t="str">
        <f>IFERROR(WWWW[[#This Row],['#_Water sources passed]]/WWWW[[#This Row],['#_Water sources tested for fecal coliform ]],"no test")</f>
        <v>no test</v>
      </c>
      <c r="CF306" s="929" t="str">
        <f>IFERROR(WWWW[[#This Row],['#_Household passed]]/WWWW[[#This Row],['#_Household water samples tested for fecal coliform]],"no test")</f>
        <v>no test</v>
      </c>
      <c r="CG306" s="930" t="str">
        <f>IF(AND(WWWW[[#This Row],[% of water sources passed]]="no test",WWWW[[#This Row],[% Household passed]]="no test"),"No Test","Tested")</f>
        <v>No Test</v>
      </c>
      <c r="CH306" s="930">
        <f>WWWW[[#This Row],['#_Constructed/existing protected hand dug well]]-WWWW[[#This Row],['#_Non-functional protected hand dug well]]</f>
        <v>0</v>
      </c>
      <c r="CI306" s="930">
        <f>(WWWW[[#This Row],['#_Constructed/Existing tube wells/boreholes/handpumps_WASH_agency]]+WWWW[[#This Row],['#_Non-Cluster partner water tube-wells/boreholes/handpumps]])-WWWW[[#This Row],['#_Non-functional tube wells/boreholes/handpumps]]</f>
        <v>1</v>
      </c>
      <c r="CJ306" s="930">
        <f>WWWW[[#This Row],['#_Constructed/Existingwater storage tank with gravity fed reticulation system]]-WWWW[[#This Row],['#_Non-functional storage tank gravity fed reticulation system]]</f>
        <v>1</v>
      </c>
      <c r="CK306" s="930">
        <f>(WWWW[[#This Row],['#_Water_Liters_supplied_by_Water boating or water trucking]]/90)/15</f>
        <v>0</v>
      </c>
      <c r="CL306" s="930">
        <f>WWWW[[#This Row],['#_Water_Liters_from_Constructed/Existing water distribution system from river or natural spring]]/90/15</f>
        <v>0</v>
      </c>
      <c r="CM306" s="425">
        <f>IF(WWWW[[#This Row],['#_of water points in TLS/CFS]]*500&gt;WWWW[[#This Row],[Total PoP ]],WWWW[[#This Row],[Total PoP ]],WWWW[[#This Row],['#_of water points in TLS/CFS]]*500)</f>
        <v>0</v>
      </c>
      <c r="CN306" s="425">
        <f>IF(WWWW[[#This Row],['#_of water points in THF]]*500&gt;WWWW[[#This Row],[Total PoP ]],WWWW[[#This Row],[Total PoP ]],WWWW[[#This Row],['#_of water points in THF]]*500)</f>
        <v>0</v>
      </c>
      <c r="CO30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0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06" s="929">
        <f>IF(WWWW[[#This Row],[Location Type 1]]="Village",WWWW[[#This Row],[Access to safe drinking water for Village]],WWWW[[#This Row],[Access to safe drinking water for Camp]])</f>
        <v>1</v>
      </c>
      <c r="CR306" s="927">
        <f>WWWW[[#This Row],[%Equitable and continuous access to sufficient quantity of safe drinking water]]*WWWW[[#This Row],[Total PoP ]]</f>
        <v>141</v>
      </c>
      <c r="CS306" s="929">
        <f>IF((WWWW[[#This Row],['#_Constructed/Existing protected/fenced ponds]]*250)/WWWW[[#This Row],[Total PoP ]]&gt;1,1,(WWWW[[#This Row],['#_Constructed/Existing protected/fenced ponds]]*250)/WWWW[[#This Row],[Total PoP ]])</f>
        <v>0</v>
      </c>
      <c r="CT306" s="927">
        <f>WWWW[[#This Row],[% Access to unimproved water points]]*WWWW[[#This Row],[Total PoP ]]</f>
        <v>0</v>
      </c>
      <c r="CU30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0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W306" s="927">
        <f>WWWW[[#This Row],[HRP1]]/500</f>
        <v>0.28199999999999997</v>
      </c>
      <c r="CX306" s="932">
        <f>1-WWWW[[#This Row],[% Equitable and continuous access to sufficient quantity of domestic water]]</f>
        <v>0</v>
      </c>
      <c r="CY306" s="927">
        <f>WWWW[[#This Row],[%equitable and continuous access to sufficient quantity of safe drinking and domestic water''s GAP]]*WWWW[[#This Row],[Total PoP ]]</f>
        <v>0</v>
      </c>
      <c r="CZ306" s="930">
        <f>IF(WWWW[[#This Row],[Total required water points]]-WWWW[[#This Row],['#Water points coverage]]&lt;0,0,WWWW[[#This Row],[Total required water points]]-WWWW[[#This Row],['#Water points coverage]])</f>
        <v>0.71799999999999997</v>
      </c>
      <c r="DA306" s="930">
        <f>ROUND(IF(WWWW[[#This Row],[Total PoP ]]&lt;500,1,WWWW[[#This Row],[Total PoP ]]/500),0)</f>
        <v>1</v>
      </c>
      <c r="DB306" s="930">
        <f>(WWWW[[#This Row],['#_Constructed latrines_by_WASHAgencies]]+WWWW[[#This Row],['#_Non Cluster partner latrines]])-WWWW[[#This Row],['#_Non-functional latrines]]</f>
        <v>8</v>
      </c>
      <c r="DC306" s="634">
        <f>WWWW[[#This Row],[HRP2]]/WWWW[[#This Row],[Total PoP ]]</f>
        <v>1</v>
      </c>
      <c r="DD30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141</v>
      </c>
      <c r="DE30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6" s="425">
        <f>IF(WWWW[[#This Row],['# of functional latrines in THF supported by WASH partners during the reporting period2]]="",0,WWWW[[#This Row],['# of functional latrines in THF supported by WASH partners during the reporting period2]]*50)</f>
        <v>0</v>
      </c>
      <c r="DH306" s="930">
        <f>ROUND(IF(WWWW[[#This Row],[Location Type 1]]="camp",WWWW[[#This Row],[Total PoP ]]/20,IF(WWWW[[#This Row],[Location Type 1]]="Temporary Location",WWWW[[#This Row],[Total PoP ]]/50,(WWWW[[#This Row],[Total PoP ]]/6))),0)</f>
        <v>7</v>
      </c>
      <c r="DI306" s="930">
        <f>IF(WWWW[[#This Row],[Total required Latrines]]-(WWWW[[#This Row],['#_Constructed latrines_by_WASHAgencies]]+WWWW[[#This Row],['#_Non Cluster partner latrines]])&lt;0,0,WWWW[[#This Row],[Total required Latrines]]-(WWWW[[#This Row],['#_Constructed latrines_by_WASHAgencies]]+WWWW[[#This Row],['#_Non Cluster partner latrines]]))</f>
        <v>0</v>
      </c>
      <c r="DJ306" s="932">
        <f>1-WWWW[[#This Row],[% people access to functioning Latrine]]</f>
        <v>0</v>
      </c>
      <c r="DK306" s="931">
        <f>IF(OR(WWWW[[#This Row],['#_Non-functional latrines]]="",WWWW[[#This Row],['#_Non-functional latrines]]=0),0,WWWW[[#This Row],['#_Non-functional latrines]]/(WWWW[[#This Row],['#_Constructed latrines_by_WASHAgencies]]+WWWW[[#This Row],['#_Non Cluster partner latrines]]))</f>
        <v>0</v>
      </c>
      <c r="DL306" s="927">
        <f>IF(500*(WWWW[[#This Row],['#_male hygiene promoters]]+WWWW[[#This Row],['#_female hygiene promoters]])&gt;WWWW[[#This Row],[Total PoP ]],WWWW[[#This Row],[Total PoP ]],500*(WWWW[[#This Row],['#_male hygiene promoters]]+WWWW[[#This Row],['#_female hygiene promoters]]))</f>
        <v>141</v>
      </c>
      <c r="DM30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6" s="930">
        <f>IF(WWWW[[#This Row],['# People with access to soap]]&gt;WWWW[[#This Row],['# People with access to Sanity Pads]],WWWW[[#This Row],['# People with access to soap]],WWWW[[#This Row],['# People with access to Sanity Pads]])</f>
        <v>0</v>
      </c>
      <c r="DP306" s="930">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Q306" s="932">
        <f>IF(WWWW[[#This Row],[HRP3]]/WWWW[[#This Row],[Total PoP ]]&gt;1,1,WWWW[[#This Row],[HRP3]]/WWWW[[#This Row],[Total PoP ]])</f>
        <v>1</v>
      </c>
      <c r="DR306" s="931">
        <f>1-WWWW[[#This Row],[Hygiene Coverage%]]</f>
        <v>0</v>
      </c>
      <c r="DS306" s="929">
        <f>WWWW[[#This Row],['# people reached by regular dedicated hygiene promotion_5]]/WWWW[[#This Row],[Total PoP ]]</f>
        <v>1</v>
      </c>
      <c r="DT30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6" s="930">
        <f>WWWW[[#This Row],['#_Constructed/Existing hand washing stations]]-WWWW[[#This Row],['#_Non-Functional_hand_washing_stations]]</f>
        <v>5</v>
      </c>
      <c r="DW306" s="927">
        <f>IF(WWWW[[#This Row],['# Functional hand washing stations during reporting period]]*20&gt;WWWW[[#This Row],[Total HH]],WWWW[[#This Row],[Total HH]],WWWW[[#This Row],['# Functional hand washing stations during reporting period]]*20)</f>
        <v>32</v>
      </c>
      <c r="DX306" s="927">
        <f>IF(WWWW[[#This Row],[Is sufficient soap available for TLS? (Yes/No)]]="yes",WWWW[[#This Row],['#_Constructed/Existing hand washing stations at TLS/CFS/THF]],0)</f>
        <v>0</v>
      </c>
      <c r="DY306" s="429">
        <f>IF(WWWW[[#This Row],['# Functional hand washing stations during reporting period]]*100&gt;WWWW[[#This Row],[Total PoP ]],WWWW[[#This Row],[Total PoP ]],WWWW[[#This Row],['# Functional hand washing stations during reporting period]]*100)</f>
        <v>141</v>
      </c>
      <c r="DZ306" s="429" t="str">
        <f>IF(OR(WWWW[[#This Row],['#_students at TLS_CFS]]="",WWWW[[#This Row],['#_students at TLS_CFS]]=0),"No","Yes")</f>
        <v>No</v>
      </c>
      <c r="EA30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6" s="923" t="str">
        <f>VLOOKUP(WWWW[[#This Row],[Site Name]],SiteDB6[[Site Name]:[CCCM Management]],6,FALSE)</f>
        <v>Yes</v>
      </c>
      <c r="EF306" s="923" t="str">
        <f>VLOOKUP(WWWW[[#This Row],[Site Name]],SiteDB6[[Site Name]:[CCCM Focal Agency]],7,FALSE)</f>
        <v>KBC-NSS</v>
      </c>
      <c r="EG306" s="923" t="str">
        <f>VLOOKUP(WWWW[[#This Row],[Site Name]],SiteDB6[[Site Name]:[Location Type 1]],9,FALSE)</f>
        <v>Camp</v>
      </c>
      <c r="EH306" s="923" t="str">
        <f>VLOOKUP(WWWW[[#This Row],[Site Name]],SiteDB6[[Site Name]:[Type of Accommodation]],10,FALSE)</f>
        <v>Camp</v>
      </c>
      <c r="EI306" s="923" t="str">
        <f>VLOOKUP(WWWW[[#This Row],[Site Name]],SiteDB6[[Site Name]:[Ethnic or GCA/NGCA]],11,FALSE)</f>
        <v>GCA</v>
      </c>
      <c r="EJ306" s="923">
        <f>VLOOKUP(WWWW[[#This Row],[Site Name]],SiteDB6[[Site Name]:[Lat]],12,FALSE)</f>
        <v>23.094290000000001</v>
      </c>
      <c r="EK306" s="923">
        <f>VLOOKUP(WWWW[[#This Row],[Site Name]],SiteDB6[[Site Name]:[Long]],13,FALSE)</f>
        <v>97.404089999999997</v>
      </c>
      <c r="EL306" s="923" t="str">
        <f>VLOOKUP(WWWW[[#This Row],[Site Name]],SiteDB6[[Site Name]:[Pcode]],3,FALSE)</f>
        <v>MMR015CMP014</v>
      </c>
      <c r="EM306" s="928" t="str">
        <f t="shared" si="4"/>
        <v>Covered</v>
      </c>
      <c r="EN306" s="928"/>
      <c r="EO306" s="923">
        <f>VLOOKUP(WWWW[[#This Row],[Site Name]],SiteDB6[[Site Name]:[Pop
(Kachin/Shan-CCCM as of July 2021)]],16,FALSE)</f>
        <v>30</v>
      </c>
      <c r="EP306" s="923">
        <f>VLOOKUP(WWWW[[#This Row],[Site Name]],SiteDB6[[Site Name]:[Pop
(Kachin/Shan-CCCM as of July 2021)]],17,FALSE)</f>
        <v>126</v>
      </c>
    </row>
    <row r="307" spans="1:146">
      <c r="A307" s="921" t="s">
        <v>2786</v>
      </c>
      <c r="B307" s="921" t="s">
        <v>192</v>
      </c>
      <c r="C307" s="922" t="s">
        <v>192</v>
      </c>
      <c r="D307" s="922" t="s">
        <v>3074</v>
      </c>
      <c r="E307" s="922" t="s">
        <v>37</v>
      </c>
      <c r="F307" s="922" t="s">
        <v>142</v>
      </c>
      <c r="G307" s="594" t="str">
        <f>VLOOKUP(WWWW[[#This Row],[Site Name]],SiteDB6[[Site Name]:[Location Type]],8,FALSE)</f>
        <v>Camp</v>
      </c>
      <c r="H307" s="922" t="s">
        <v>224</v>
      </c>
      <c r="I307" s="924">
        <v>426.2</v>
      </c>
      <c r="J307" s="924">
        <v>2131</v>
      </c>
      <c r="K307" s="925" t="s">
        <v>2692</v>
      </c>
      <c r="L307" s="926" t="s">
        <v>2702</v>
      </c>
      <c r="M307" s="924"/>
      <c r="N307" s="924"/>
      <c r="O307" s="924"/>
      <c r="P307" s="924"/>
      <c r="Q307" s="927" t="s">
        <v>41</v>
      </c>
      <c r="R307" s="924">
        <v>3</v>
      </c>
      <c r="S307" s="924">
        <v>6</v>
      </c>
      <c r="T307" s="449"/>
      <c r="U307" s="924"/>
      <c r="V307" s="924"/>
      <c r="W307" s="924"/>
      <c r="X307" s="924"/>
      <c r="Y307" s="924"/>
      <c r="Z307" s="924"/>
      <c r="AA307" s="924">
        <v>1</v>
      </c>
      <c r="AB307" s="924"/>
      <c r="AC307" s="924"/>
      <c r="AD307" s="924"/>
      <c r="AE307" s="924"/>
      <c r="AF307" s="924"/>
      <c r="AG307" s="924"/>
      <c r="AH307" s="924"/>
      <c r="AI307" s="924"/>
      <c r="AJ307" s="924"/>
      <c r="AK307" s="924"/>
      <c r="AL307" s="924"/>
      <c r="AM307" s="924">
        <v>14</v>
      </c>
      <c r="AN307" s="924">
        <v>2</v>
      </c>
      <c r="AO307" s="449"/>
      <c r="AP307" s="928"/>
      <c r="AQ307" s="924">
        <v>89</v>
      </c>
      <c r="AR307" s="924"/>
      <c r="AS307" s="929"/>
      <c r="AT307" s="924"/>
      <c r="AU307" s="924"/>
      <c r="AV307" s="924"/>
      <c r="AW307" s="924"/>
      <c r="AX307" s="924"/>
      <c r="AY307" s="923" t="s">
        <v>41</v>
      </c>
      <c r="AZ307" s="928" t="s">
        <v>137</v>
      </c>
      <c r="BA307" s="924"/>
      <c r="BB307" s="924"/>
      <c r="BC307" s="924"/>
      <c r="BD307" s="449"/>
      <c r="BE307" s="449"/>
      <c r="BF307" s="923"/>
      <c r="BG307" s="924">
        <v>3</v>
      </c>
      <c r="BH307" s="924"/>
      <c r="BI307" s="924"/>
      <c r="BJ307" s="924">
        <v>2</v>
      </c>
      <c r="BK307" s="924"/>
      <c r="BL307" s="924"/>
      <c r="BM307" s="924"/>
      <c r="BN307" s="924"/>
      <c r="BO307" s="924"/>
      <c r="BP307" s="923"/>
      <c r="BQ307" s="930"/>
      <c r="BR307" s="929"/>
      <c r="BS307" s="923"/>
      <c r="BT307" s="424"/>
      <c r="BU307" s="424"/>
      <c r="BV307" s="426"/>
      <c r="BW307" s="424"/>
      <c r="BX307" s="449"/>
      <c r="BY307" s="449"/>
      <c r="BZ307" s="449"/>
      <c r="CA307" s="449"/>
      <c r="CB307" s="449"/>
      <c r="CC307" s="807"/>
      <c r="CD307" s="449"/>
      <c r="CE307" s="931" t="str">
        <f>IFERROR(WWWW[[#This Row],['#_Water sources passed]]/WWWW[[#This Row],['#_Water sources tested for fecal coliform ]],"no test")</f>
        <v>no test</v>
      </c>
      <c r="CF307" s="929" t="str">
        <f>IFERROR(WWWW[[#This Row],['#_Household passed]]/WWWW[[#This Row],['#_Household water samples tested for fecal coliform]],"no test")</f>
        <v>no test</v>
      </c>
      <c r="CG307" s="930" t="str">
        <f>IF(AND(WWWW[[#This Row],[% of water sources passed]]="no test",WWWW[[#This Row],[% Household passed]]="no test"),"No Test","Tested")</f>
        <v>No Test</v>
      </c>
      <c r="CH307" s="930">
        <f>WWWW[[#This Row],['#_Constructed/existing protected hand dug well]]-WWWW[[#This Row],['#_Non-functional protected hand dug well]]</f>
        <v>0</v>
      </c>
      <c r="CI307" s="930">
        <f>(WWWW[[#This Row],['#_Constructed/Existing tube wells/boreholes/handpumps_WASH_agency]]+WWWW[[#This Row],['#_Non-Cluster partner water tube-wells/boreholes/handpumps]])-WWWW[[#This Row],['#_Non-functional tube wells/boreholes/handpumps]]</f>
        <v>0</v>
      </c>
      <c r="CJ307" s="930">
        <f>WWWW[[#This Row],['#_Constructed/Existingwater storage tank with gravity fed reticulation system]]-WWWW[[#This Row],['#_Non-functional storage tank gravity fed reticulation system]]</f>
        <v>1</v>
      </c>
      <c r="CK307" s="930">
        <f>(WWWW[[#This Row],['#_Water_Liters_supplied_by_Water boating or water trucking]]/90)/15</f>
        <v>0</v>
      </c>
      <c r="CL307" s="930">
        <f>WWWW[[#This Row],['#_Water_Liters_from_Constructed/Existing water distribution system from river or natural spring]]/90/15</f>
        <v>0</v>
      </c>
      <c r="CM307" s="425">
        <f>IF(WWWW[[#This Row],['#_of water points in TLS/CFS]]*500&gt;WWWW[[#This Row],[Total PoP ]],WWWW[[#This Row],[Total PoP ]],WWWW[[#This Row],['#_of water points in TLS/CFS]]*500)</f>
        <v>1000</v>
      </c>
      <c r="CN307" s="425">
        <f>IF(WWWW[[#This Row],['#_of water points in THF]]*500&gt;WWWW[[#This Row],[Total PoP ]],WWWW[[#This Row],[Total PoP ]],WWWW[[#This Row],['#_of water points in THF]]*500)</f>
        <v>0</v>
      </c>
      <c r="CO30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3.1284217112466761E-2</v>
      </c>
      <c r="CP30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3.1284217112466761E-2</v>
      </c>
      <c r="CQ307" s="929">
        <f>IF(WWWW[[#This Row],[Location Type 1]]="Village",WWWW[[#This Row],[Access to safe drinking water for Village]],WWWW[[#This Row],[Access to safe drinking water for Camp]])</f>
        <v>3.1284217112466761E-2</v>
      </c>
      <c r="CR307" s="927">
        <f>WWWW[[#This Row],[%Equitable and continuous access to sufficient quantity of safe drinking water]]*WWWW[[#This Row],[Total PoP ]]</f>
        <v>66.666666666666671</v>
      </c>
      <c r="CS307" s="929">
        <f>IF((WWWW[[#This Row],['#_Constructed/Existing protected/fenced ponds]]*250)/WWWW[[#This Row],[Total PoP ]]&gt;1,1,(WWWW[[#This Row],['#_Constructed/Existing protected/fenced ponds]]*250)/WWWW[[#This Row],[Total PoP ]])</f>
        <v>0</v>
      </c>
      <c r="CT307" s="927">
        <f>WWWW[[#This Row],[% Access to unimproved water points]]*WWWW[[#This Row],[Total PoP ]]</f>
        <v>0</v>
      </c>
      <c r="CU30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3.1284217112466761E-2</v>
      </c>
      <c r="CV30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307" s="927">
        <f>WWWW[[#This Row],[HRP1]]/500</f>
        <v>0.13333333333333333</v>
      </c>
      <c r="CX307" s="932">
        <f>1-WWWW[[#This Row],[% Equitable and continuous access to sufficient quantity of domestic water]]</f>
        <v>0.96871578288753324</v>
      </c>
      <c r="CY307" s="927">
        <f>WWWW[[#This Row],[%equitable and continuous access to sufficient quantity of safe drinking and domestic water''s GAP]]*WWWW[[#This Row],[Total PoP ]]</f>
        <v>2064.3333333333335</v>
      </c>
      <c r="CZ307" s="930">
        <f>IF(WWWW[[#This Row],[Total required water points]]-WWWW[[#This Row],['#Water points coverage]]&lt;0,0,WWWW[[#This Row],[Total required water points]]-WWWW[[#This Row],['#Water points coverage]])</f>
        <v>3.8666666666666667</v>
      </c>
      <c r="DA307" s="930">
        <f>ROUND(IF(WWWW[[#This Row],[Total PoP ]]&lt;500,1,WWWW[[#This Row],[Total PoP ]]/500),0)</f>
        <v>4</v>
      </c>
      <c r="DB307" s="930">
        <f>(WWWW[[#This Row],['#_Constructed latrines_by_WASHAgencies]]+WWWW[[#This Row],['#_Non Cluster partner latrines]])-WWWW[[#This Row],['#_Non-functional latrines]]</f>
        <v>89</v>
      </c>
      <c r="DC307" s="634">
        <f>WWWW[[#This Row],[HRP2]]/WWWW[[#This Row],[Total PoP ]]</f>
        <v>0.8352885969028625</v>
      </c>
      <c r="DD30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1780</v>
      </c>
      <c r="DE30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7" s="425">
        <f>IF(WWWW[[#This Row],['# of functional latrines in THF supported by WASH partners during the reporting period2]]="",0,WWWW[[#This Row],['# of functional latrines in THF supported by WASH partners during the reporting period2]]*50)</f>
        <v>0</v>
      </c>
      <c r="DH307" s="930">
        <f>ROUND(IF(WWWW[[#This Row],[Location Type 1]]="camp",WWWW[[#This Row],[Total PoP ]]/20,IF(WWWW[[#This Row],[Location Type 1]]="Temporary Location",WWWW[[#This Row],[Total PoP ]]/50,(WWWW[[#This Row],[Total PoP ]]/6))),0)</f>
        <v>107</v>
      </c>
      <c r="DI307" s="930">
        <f>IF(WWWW[[#This Row],[Total required Latrines]]-(WWWW[[#This Row],['#_Constructed latrines_by_WASHAgencies]]+WWWW[[#This Row],['#_Non Cluster partner latrines]])&lt;0,0,WWWW[[#This Row],[Total required Latrines]]-(WWWW[[#This Row],['#_Constructed latrines_by_WASHAgencies]]+WWWW[[#This Row],['#_Non Cluster partner latrines]]))</f>
        <v>18</v>
      </c>
      <c r="DJ307" s="932">
        <f>1-WWWW[[#This Row],[% people access to functioning Latrine]]</f>
        <v>0.1647114030971375</v>
      </c>
      <c r="DK307" s="931">
        <f>IF(OR(WWWW[[#This Row],['#_Non-functional latrines]]="",WWWW[[#This Row],['#_Non-functional latrines]]=0),0,WWWW[[#This Row],['#_Non-functional latrines]]/(WWWW[[#This Row],['#_Constructed latrines_by_WASHAgencies]]+WWWW[[#This Row],['#_Non Cluster partner latrines]]))</f>
        <v>0</v>
      </c>
      <c r="DL307" s="927">
        <f>IF(500*(WWWW[[#This Row],['#_male hygiene promoters]]+WWWW[[#This Row],['#_female hygiene promoters]])&gt;WWWW[[#This Row],[Total PoP ]],WWWW[[#This Row],[Total PoP ]],500*(WWWW[[#This Row],['#_male hygiene promoters]]+WWWW[[#This Row],['#_female hygiene promoters]]))</f>
        <v>0</v>
      </c>
      <c r="DM30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7" s="930">
        <f>IF(WWWW[[#This Row],['# People with access to soap]]&gt;WWWW[[#This Row],['# People with access to Sanity Pads]],WWWW[[#This Row],['# People with access to soap]],WWWW[[#This Row],['# People with access to Sanity Pads]])</f>
        <v>0</v>
      </c>
      <c r="DP30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7" s="932">
        <f>IF(WWWW[[#This Row],[HRP3]]/WWWW[[#This Row],[Total PoP ]]&gt;1,1,WWWW[[#This Row],[HRP3]]/WWWW[[#This Row],[Total PoP ]])</f>
        <v>0</v>
      </c>
      <c r="DR307" s="931">
        <f>1-WWWW[[#This Row],[Hygiene Coverage%]]</f>
        <v>1</v>
      </c>
      <c r="DS307" s="929">
        <f>WWWW[[#This Row],['# people reached by regular dedicated hygiene promotion_5]]/WWWW[[#This Row],[Total PoP ]]</f>
        <v>0</v>
      </c>
      <c r="DT30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7" s="930">
        <f>WWWW[[#This Row],['#_Constructed/Existing hand washing stations]]-WWWW[[#This Row],['#_Non-Functional_hand_washing_stations]]</f>
        <v>3</v>
      </c>
      <c r="DW307" s="927">
        <f>IF(WWWW[[#This Row],['# Functional hand washing stations during reporting period]]*20&gt;WWWW[[#This Row],[Total HH]],WWWW[[#This Row],[Total HH]],WWWW[[#This Row],['# Functional hand washing stations during reporting period]]*20)</f>
        <v>60</v>
      </c>
      <c r="DX307" s="927">
        <f>IF(WWWW[[#This Row],[Is sufficient soap available for TLS? (Yes/No)]]="yes",WWWW[[#This Row],['#_Constructed/Existing hand washing stations at TLS/CFS/THF]],0)</f>
        <v>0</v>
      </c>
      <c r="DY307" s="429">
        <f>IF(WWWW[[#This Row],['# Functional hand washing stations during reporting period]]*100&gt;WWWW[[#This Row],[Total PoP ]],WWWW[[#This Row],[Total PoP ]],WWWW[[#This Row],['# Functional hand washing stations during reporting period]]*100)</f>
        <v>300</v>
      </c>
      <c r="DZ307" s="429" t="str">
        <f>IF(OR(WWWW[[#This Row],['#_students at TLS_CFS]]="",WWWW[[#This Row],['#_students at TLS_CFS]]=0),"No","Yes")</f>
        <v>No</v>
      </c>
      <c r="EA30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30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7" s="923">
        <f>VLOOKUP(WWWW[[#This Row],[Site Name]],SiteDB6[[Site Name]:[CCCM Management]],6,FALSE)</f>
        <v>0</v>
      </c>
      <c r="EF307" s="923" t="str">
        <f>VLOOKUP(WWWW[[#This Row],[Site Name]],SiteDB6[[Site Name]:[CCCM Focal Agency]],7,FALSE)</f>
        <v>uncovered</v>
      </c>
      <c r="EG307" s="923" t="str">
        <f>VLOOKUP(WWWW[[#This Row],[Site Name]],SiteDB6[[Site Name]:[Location Type 1]],9,FALSE)</f>
        <v>Camp</v>
      </c>
      <c r="EH307" s="923" t="str">
        <f>VLOOKUP(WWWW[[#This Row],[Site Name]],SiteDB6[[Site Name]:[Type of Accommodation]],10,FALSE)</f>
        <v>Boarding School</v>
      </c>
      <c r="EI307" s="923" t="str">
        <f>VLOOKUP(WWWW[[#This Row],[Site Name]],SiteDB6[[Site Name]:[Ethnic or GCA/NGCA]],11,FALSE)</f>
        <v>NGCA</v>
      </c>
      <c r="EJ307" s="923">
        <f>VLOOKUP(WWWW[[#This Row],[Site Name]],SiteDB6[[Site Name]:[Lat]],12,FALSE)</f>
        <v>24.752471</v>
      </c>
      <c r="EK307" s="923">
        <f>VLOOKUP(WWWW[[#This Row],[Site Name]],SiteDB6[[Site Name]:[Long]],13,FALSE)</f>
        <v>97.541793999999996</v>
      </c>
      <c r="EL307" s="923" t="str">
        <f>VLOOKUP(WWWW[[#This Row],[Site Name]],SiteDB6[[Site Name]:[Pcode]],3,FALSE)</f>
        <v>MMR001CMP208</v>
      </c>
      <c r="EM307" s="928" t="str">
        <f t="shared" si="4"/>
        <v>Covered</v>
      </c>
      <c r="EN307" s="928"/>
      <c r="EO307" s="923">
        <f>VLOOKUP(WWWW[[#This Row],[Site Name]],SiteDB6[[Site Name]:[Pop
(Kachin/Shan-CCCM as of July 2021)]],16,FALSE)</f>
        <v>0</v>
      </c>
      <c r="EP307" s="923">
        <f>VLOOKUP(WWWW[[#This Row],[Site Name]],SiteDB6[[Site Name]:[Pop
(Kachin/Shan-CCCM as of July 2021)]],17,FALSE)</f>
        <v>366</v>
      </c>
    </row>
    <row r="308" spans="1:146">
      <c r="A308" s="921" t="s">
        <v>2786</v>
      </c>
      <c r="B308" s="921" t="s">
        <v>192</v>
      </c>
      <c r="C308" s="922" t="s">
        <v>192</v>
      </c>
      <c r="D308" s="922" t="s">
        <v>3074</v>
      </c>
      <c r="E308" s="922" t="s">
        <v>37</v>
      </c>
      <c r="F308" s="922" t="s">
        <v>142</v>
      </c>
      <c r="G308" s="594" t="str">
        <f>VLOOKUP(WWWW[[#This Row],[Site Name]],SiteDB6[[Site Name]:[Location Type]],8,FALSE)</f>
        <v>Camp</v>
      </c>
      <c r="H308" s="922" t="s">
        <v>221</v>
      </c>
      <c r="I308" s="924">
        <v>1294</v>
      </c>
      <c r="J308" s="924">
        <v>6861</v>
      </c>
      <c r="K308" s="925" t="s">
        <v>2692</v>
      </c>
      <c r="L308" s="926" t="s">
        <v>2702</v>
      </c>
      <c r="M308" s="924"/>
      <c r="N308" s="924"/>
      <c r="O308" s="924">
        <v>3</v>
      </c>
      <c r="P308" s="924"/>
      <c r="Q308" s="927" t="s">
        <v>41</v>
      </c>
      <c r="R308" s="924">
        <v>3</v>
      </c>
      <c r="S308" s="924">
        <v>3</v>
      </c>
      <c r="T308" s="449"/>
      <c r="U308" s="924"/>
      <c r="V308" s="924"/>
      <c r="W308" s="924"/>
      <c r="X308" s="924"/>
      <c r="Y308" s="924"/>
      <c r="Z308" s="924"/>
      <c r="AA308" s="924">
        <v>1</v>
      </c>
      <c r="AB308" s="924"/>
      <c r="AC308" s="924"/>
      <c r="AD308" s="924"/>
      <c r="AE308" s="924"/>
      <c r="AF308" s="924"/>
      <c r="AG308" s="924"/>
      <c r="AH308" s="924"/>
      <c r="AI308" s="924"/>
      <c r="AJ308" s="924"/>
      <c r="AK308" s="924"/>
      <c r="AL308" s="924"/>
      <c r="AM308" s="924">
        <v>12</v>
      </c>
      <c r="AN308" s="924">
        <v>3</v>
      </c>
      <c r="AO308" s="449"/>
      <c r="AP308" s="928"/>
      <c r="AQ308" s="924">
        <v>242</v>
      </c>
      <c r="AR308" s="924"/>
      <c r="AS308" s="929"/>
      <c r="AT308" s="924"/>
      <c r="AU308" s="924"/>
      <c r="AV308" s="924"/>
      <c r="AW308" s="924"/>
      <c r="AX308" s="924"/>
      <c r="AY308" s="923" t="s">
        <v>41</v>
      </c>
      <c r="AZ308" s="928" t="s">
        <v>137</v>
      </c>
      <c r="BA308" s="924">
        <v>4</v>
      </c>
      <c r="BB308" s="924">
        <v>2</v>
      </c>
      <c r="BC308" s="924"/>
      <c r="BD308" s="449"/>
      <c r="BE308" s="449"/>
      <c r="BF308" s="923"/>
      <c r="BG308" s="924">
        <v>1</v>
      </c>
      <c r="BH308" s="924"/>
      <c r="BI308" s="924"/>
      <c r="BJ308" s="924">
        <v>1</v>
      </c>
      <c r="BK308" s="924"/>
      <c r="BL308" s="924"/>
      <c r="BM308" s="924">
        <v>3</v>
      </c>
      <c r="BN308" s="924"/>
      <c r="BO308" s="924"/>
      <c r="BP308" s="923"/>
      <c r="BQ308" s="930"/>
      <c r="BR308" s="929"/>
      <c r="BS308" s="923"/>
      <c r="BT308" s="424"/>
      <c r="BU308" s="424"/>
      <c r="BV308" s="426"/>
      <c r="BW308" s="424"/>
      <c r="BX308" s="449"/>
      <c r="BY308" s="449"/>
      <c r="BZ308" s="449"/>
      <c r="CA308" s="449"/>
      <c r="CB308" s="449"/>
      <c r="CC308" s="807"/>
      <c r="CD308" s="449"/>
      <c r="CE308" s="931" t="str">
        <f>IFERROR(WWWW[[#This Row],['#_Water sources passed]]/WWWW[[#This Row],['#_Water sources tested for fecal coliform ]],"no test")</f>
        <v>no test</v>
      </c>
      <c r="CF308" s="929" t="str">
        <f>IFERROR(WWWW[[#This Row],['#_Household passed]]/WWWW[[#This Row],['#_Household water samples tested for fecal coliform]],"no test")</f>
        <v>no test</v>
      </c>
      <c r="CG308" s="930" t="str">
        <f>IF(AND(WWWW[[#This Row],[% of water sources passed]]="no test",WWWW[[#This Row],[% Household passed]]="no test"),"No Test","Tested")</f>
        <v>No Test</v>
      </c>
      <c r="CH308" s="930">
        <f>WWWW[[#This Row],['#_Constructed/existing protected hand dug well]]-WWWW[[#This Row],['#_Non-functional protected hand dug well]]</f>
        <v>0</v>
      </c>
      <c r="CI308" s="930">
        <f>(WWWW[[#This Row],['#_Constructed/Existing tube wells/boreholes/handpumps_WASH_agency]]+WWWW[[#This Row],['#_Non-Cluster partner water tube-wells/boreholes/handpumps]])-WWWW[[#This Row],['#_Non-functional tube wells/boreholes/handpumps]]</f>
        <v>0</v>
      </c>
      <c r="CJ308" s="930">
        <f>WWWW[[#This Row],['#_Constructed/Existingwater storage tank with gravity fed reticulation system]]-WWWW[[#This Row],['#_Non-functional storage tank gravity fed reticulation system]]</f>
        <v>1</v>
      </c>
      <c r="CK308" s="930">
        <f>(WWWW[[#This Row],['#_Water_Liters_supplied_by_Water boating or water trucking]]/90)/15</f>
        <v>0</v>
      </c>
      <c r="CL308" s="930">
        <f>WWWW[[#This Row],['#_Water_Liters_from_Constructed/Existing water distribution system from river or natural spring]]/90/15</f>
        <v>0</v>
      </c>
      <c r="CM308" s="425">
        <f>IF(WWWW[[#This Row],['#_of water points in TLS/CFS]]*500&gt;WWWW[[#This Row],[Total PoP ]],WWWW[[#This Row],[Total PoP ]],WWWW[[#This Row],['#_of water points in TLS/CFS]]*500)</f>
        <v>1500</v>
      </c>
      <c r="CN308" s="425">
        <f>IF(WWWW[[#This Row],['#_of water points in THF]]*500&gt;WWWW[[#This Row],[Total PoP ]],WWWW[[#This Row],[Total PoP ]],WWWW[[#This Row],['#_of water points in THF]]*500)</f>
        <v>0</v>
      </c>
      <c r="CO30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9.7167565466647239E-3</v>
      </c>
      <c r="CP30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9.7167565466647239E-3</v>
      </c>
      <c r="CQ308" s="929">
        <f>IF(WWWW[[#This Row],[Location Type 1]]="Village",WWWW[[#This Row],[Access to safe drinking water for Village]],WWWW[[#This Row],[Access to safe drinking water for Camp]])</f>
        <v>9.7167565466647239E-3</v>
      </c>
      <c r="CR308" s="927">
        <f>WWWW[[#This Row],[%Equitable and continuous access to sufficient quantity of safe drinking water]]*WWWW[[#This Row],[Total PoP ]]</f>
        <v>66.666666666666671</v>
      </c>
      <c r="CS308" s="929">
        <f>IF((WWWW[[#This Row],['#_Constructed/Existing protected/fenced ponds]]*250)/WWWW[[#This Row],[Total PoP ]]&gt;1,1,(WWWW[[#This Row],['#_Constructed/Existing protected/fenced ponds]]*250)/WWWW[[#This Row],[Total PoP ]])</f>
        <v>0</v>
      </c>
      <c r="CT308" s="927">
        <f>WWWW[[#This Row],[% Access to unimproved water points]]*WWWW[[#This Row],[Total PoP ]]</f>
        <v>0</v>
      </c>
      <c r="CU30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9.7167565466647239E-3</v>
      </c>
      <c r="CV30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W308" s="927">
        <f>WWWW[[#This Row],[HRP1]]/500</f>
        <v>0.13333333333333333</v>
      </c>
      <c r="CX308" s="932">
        <f>1-WWWW[[#This Row],[% Equitable and continuous access to sufficient quantity of domestic water]]</f>
        <v>0.99028324345333529</v>
      </c>
      <c r="CY308" s="927">
        <f>WWWW[[#This Row],[%equitable and continuous access to sufficient quantity of safe drinking and domestic water''s GAP]]*WWWW[[#This Row],[Total PoP ]]</f>
        <v>6794.333333333333</v>
      </c>
      <c r="CZ308" s="930">
        <f>IF(WWWW[[#This Row],[Total required water points]]-WWWW[[#This Row],['#Water points coverage]]&lt;0,0,WWWW[[#This Row],[Total required water points]]-WWWW[[#This Row],['#Water points coverage]])</f>
        <v>13.866666666666667</v>
      </c>
      <c r="DA308" s="930">
        <f>ROUND(IF(WWWW[[#This Row],[Total PoP ]]&lt;500,1,WWWW[[#This Row],[Total PoP ]]/500),0)</f>
        <v>14</v>
      </c>
      <c r="DB308" s="930">
        <f>(WWWW[[#This Row],['#_Constructed latrines_by_WASHAgencies]]+WWWW[[#This Row],['#_Non Cluster partner latrines]])-WWWW[[#This Row],['#_Non-functional latrines]]</f>
        <v>242</v>
      </c>
      <c r="DC308" s="634">
        <f>WWWW[[#This Row],[HRP2]]/WWWW[[#This Row],[Total PoP ]]</f>
        <v>0.71709663314385663</v>
      </c>
      <c r="DD30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4920</v>
      </c>
      <c r="DE30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8" s="425">
        <f>IF(WWWW[[#This Row],['# of functional latrines in THF supported by WASH partners during the reporting period2]]="",0,WWWW[[#This Row],['# of functional latrines in THF supported by WASH partners during the reporting period2]]*50)</f>
        <v>0</v>
      </c>
      <c r="DH308" s="930">
        <f>ROUND(IF(WWWW[[#This Row],[Location Type 1]]="camp",WWWW[[#This Row],[Total PoP ]]/20,IF(WWWW[[#This Row],[Location Type 1]]="Temporary Location",WWWW[[#This Row],[Total PoP ]]/50,(WWWW[[#This Row],[Total PoP ]]/6))),0)</f>
        <v>343</v>
      </c>
      <c r="DI308" s="930">
        <f>IF(WWWW[[#This Row],[Total required Latrines]]-(WWWW[[#This Row],['#_Constructed latrines_by_WASHAgencies]]+WWWW[[#This Row],['#_Non Cluster partner latrines]])&lt;0,0,WWWW[[#This Row],[Total required Latrines]]-(WWWW[[#This Row],['#_Constructed latrines_by_WASHAgencies]]+WWWW[[#This Row],['#_Non Cluster partner latrines]]))</f>
        <v>101</v>
      </c>
      <c r="DJ308" s="932">
        <f>1-WWWW[[#This Row],[% people access to functioning Latrine]]</f>
        <v>0.28290336685614337</v>
      </c>
      <c r="DK308" s="931">
        <f>IF(OR(WWWW[[#This Row],['#_Non-functional latrines]]="",WWWW[[#This Row],['#_Non-functional latrines]]=0),0,WWWW[[#This Row],['#_Non-functional latrines]]/(WWWW[[#This Row],['#_Constructed latrines_by_WASHAgencies]]+WWWW[[#This Row],['#_Non Cluster partner latrines]]))</f>
        <v>0</v>
      </c>
      <c r="DL308" s="927">
        <f>IF(500*(WWWW[[#This Row],['#_male hygiene promoters]]+WWWW[[#This Row],['#_female hygiene promoters]])&gt;WWWW[[#This Row],[Total PoP ]],WWWW[[#This Row],[Total PoP ]],500*(WWWW[[#This Row],['#_male hygiene promoters]]+WWWW[[#This Row],['#_female hygiene promoters]]))</f>
        <v>1500</v>
      </c>
      <c r="DM30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8" s="930">
        <f>IF(WWWW[[#This Row],['# People with access to soap]]&gt;WWWW[[#This Row],['# People with access to Sanity Pads]],WWWW[[#This Row],['# People with access to soap]],WWWW[[#This Row],['# People with access to Sanity Pads]])</f>
        <v>0</v>
      </c>
      <c r="DP308" s="930">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Q308" s="932">
        <f>IF(WWWW[[#This Row],[HRP3]]/WWWW[[#This Row],[Total PoP ]]&gt;1,1,WWWW[[#This Row],[HRP3]]/WWWW[[#This Row],[Total PoP ]])</f>
        <v>0.21862702229995629</v>
      </c>
      <c r="DR308" s="931">
        <f>1-WWWW[[#This Row],[Hygiene Coverage%]]</f>
        <v>0.78137297770004377</v>
      </c>
      <c r="DS308" s="929">
        <f>WWWW[[#This Row],['# people reached by regular dedicated hygiene promotion_5]]/WWWW[[#This Row],[Total PoP ]]</f>
        <v>0.21862702229995629</v>
      </c>
      <c r="DT30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8" s="930">
        <f>WWWW[[#This Row],['#_Constructed/Existing hand washing stations]]-WWWW[[#This Row],['#_Non-Functional_hand_washing_stations]]</f>
        <v>1</v>
      </c>
      <c r="DW308" s="927">
        <f>IF(WWWW[[#This Row],['# Functional hand washing stations during reporting period]]*20&gt;WWWW[[#This Row],[Total HH]],WWWW[[#This Row],[Total HH]],WWWW[[#This Row],['# Functional hand washing stations during reporting period]]*20)</f>
        <v>20</v>
      </c>
      <c r="DX308" s="927">
        <f>IF(WWWW[[#This Row],[Is sufficient soap available for TLS? (Yes/No)]]="yes",WWWW[[#This Row],['#_Constructed/Existing hand washing stations at TLS/CFS/THF]],0)</f>
        <v>0</v>
      </c>
      <c r="DY308" s="429">
        <f>IF(WWWW[[#This Row],['# Functional hand washing stations during reporting period]]*100&gt;WWWW[[#This Row],[Total PoP ]],WWWW[[#This Row],[Total PoP ]],WWWW[[#This Row],['# Functional hand washing stations during reporting period]]*100)</f>
        <v>100</v>
      </c>
      <c r="DZ308" s="429" t="str">
        <f>IF(OR(WWWW[[#This Row],['#_students at TLS_CFS]]="",WWWW[[#This Row],['#_students at TLS_CFS]]=0),"No","Yes")</f>
        <v>No</v>
      </c>
      <c r="EA30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D30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8" s="923" t="str">
        <f>VLOOKUP(WWWW[[#This Row],[Site Name]],SiteDB6[[Site Name]:[CCCM Management]],6,FALSE)</f>
        <v>Yes</v>
      </c>
      <c r="EF308" s="923" t="str">
        <f>VLOOKUP(WWWW[[#This Row],[Site Name]],SiteDB6[[Site Name]:[CCCM Focal Agency]],7,FALSE)</f>
        <v>KMSS-MYT</v>
      </c>
      <c r="EG308" s="923" t="str">
        <f>VLOOKUP(WWWW[[#This Row],[Site Name]],SiteDB6[[Site Name]:[Location Type 1]],9,FALSE)</f>
        <v>Camp</v>
      </c>
      <c r="EH308" s="923" t="str">
        <f>VLOOKUP(WWWW[[#This Row],[Site Name]],SiteDB6[[Site Name]:[Type of Accommodation]],10,FALSE)</f>
        <v>Camp</v>
      </c>
      <c r="EI308" s="923" t="str">
        <f>VLOOKUP(WWWW[[#This Row],[Site Name]],SiteDB6[[Site Name]:[Ethnic or GCA/NGCA]],11,FALSE)</f>
        <v>NGCA</v>
      </c>
      <c r="EJ308" s="923">
        <f>VLOOKUP(WWWW[[#This Row],[Site Name]],SiteDB6[[Site Name]:[Lat]],12,FALSE)</f>
        <v>24.755253</v>
      </c>
      <c r="EK308" s="923">
        <f>VLOOKUP(WWWW[[#This Row],[Site Name]],SiteDB6[[Site Name]:[Long]],13,FALSE)</f>
        <v>97.546893999999995</v>
      </c>
      <c r="EL308" s="923" t="str">
        <f>VLOOKUP(WWWW[[#This Row],[Site Name]],SiteDB6[[Site Name]:[Pcode]],3,FALSE)</f>
        <v>MMR001CMP116</v>
      </c>
      <c r="EM308" s="928" t="str">
        <f t="shared" si="4"/>
        <v>Covered</v>
      </c>
      <c r="EN308" s="928"/>
      <c r="EO308" s="923">
        <f>VLOOKUP(WWWW[[#This Row],[Site Name]],SiteDB6[[Site Name]:[Pop
(Kachin/Shan-CCCM as of July 2021)]],16,FALSE)</f>
        <v>1333</v>
      </c>
      <c r="EP308" s="923">
        <f>VLOOKUP(WWWW[[#This Row],[Site Name]],SiteDB6[[Site Name]:[Pop
(Kachin/Shan-CCCM as of July 2021)]],17,FALSE)</f>
        <v>7163</v>
      </c>
    </row>
    <row r="309" spans="1:146">
      <c r="A309" s="921" t="s">
        <v>2786</v>
      </c>
      <c r="B309" s="921" t="s">
        <v>192</v>
      </c>
      <c r="C309" s="922" t="s">
        <v>192</v>
      </c>
      <c r="D309" s="922" t="s">
        <v>3074</v>
      </c>
      <c r="E309" s="922" t="s">
        <v>37</v>
      </c>
      <c r="F309" s="922" t="s">
        <v>142</v>
      </c>
      <c r="G309" s="594" t="str">
        <f>VLOOKUP(WWWW[[#This Row],[Site Name]],SiteDB6[[Site Name]:[Location Type]],8,FALSE)</f>
        <v>Camp_not registered</v>
      </c>
      <c r="H309" s="922" t="s">
        <v>223</v>
      </c>
      <c r="I309" s="924">
        <v>134</v>
      </c>
      <c r="J309" s="924">
        <v>709</v>
      </c>
      <c r="K309" s="925" t="s">
        <v>2692</v>
      </c>
      <c r="L309" s="926" t="s">
        <v>2702</v>
      </c>
      <c r="M309" s="924"/>
      <c r="N309" s="924"/>
      <c r="O309" s="924"/>
      <c r="P309" s="924"/>
      <c r="Q309" s="429" t="s">
        <v>136</v>
      </c>
      <c r="R309" s="924"/>
      <c r="S309" s="924"/>
      <c r="T309" s="449"/>
      <c r="U309" s="924"/>
      <c r="V309" s="924"/>
      <c r="W309" s="924"/>
      <c r="X309" s="924"/>
      <c r="Y309" s="924"/>
      <c r="Z309" s="924"/>
      <c r="AA309" s="924"/>
      <c r="AB309" s="924"/>
      <c r="AC309" s="924"/>
      <c r="AD309" s="924"/>
      <c r="AE309" s="924"/>
      <c r="AF309" s="924"/>
      <c r="AG309" s="924"/>
      <c r="AH309" s="924"/>
      <c r="AI309" s="924"/>
      <c r="AJ309" s="924"/>
      <c r="AK309" s="924"/>
      <c r="AL309" s="924"/>
      <c r="AM309" s="924"/>
      <c r="AN309" s="924"/>
      <c r="AO309" s="449"/>
      <c r="AP309" s="928"/>
      <c r="AQ309" s="924"/>
      <c r="AR309" s="924"/>
      <c r="AS309" s="929"/>
      <c r="AT309" s="924"/>
      <c r="AU309" s="924"/>
      <c r="AV309" s="924"/>
      <c r="AW309" s="924"/>
      <c r="AX309" s="924"/>
      <c r="AY309" s="923" t="s">
        <v>41</v>
      </c>
      <c r="AZ309" s="928" t="s">
        <v>904</v>
      </c>
      <c r="BA309" s="924"/>
      <c r="BB309" s="924"/>
      <c r="BC309" s="924"/>
      <c r="BD309" s="449"/>
      <c r="BE309" s="449"/>
      <c r="BF309" s="923"/>
      <c r="BG309" s="924">
        <v>8</v>
      </c>
      <c r="BH309" s="924"/>
      <c r="BI309" s="924"/>
      <c r="BJ309" s="924">
        <v>3</v>
      </c>
      <c r="BK309" s="924"/>
      <c r="BL309" s="924"/>
      <c r="BM309" s="924"/>
      <c r="BN309" s="924"/>
      <c r="BO309" s="924"/>
      <c r="BP309" s="923"/>
      <c r="BQ309" s="930"/>
      <c r="BR309" s="929"/>
      <c r="BS309" s="923"/>
      <c r="BT309" s="424"/>
      <c r="BU309" s="424"/>
      <c r="BV309" s="426"/>
      <c r="BW309" s="424"/>
      <c r="BX309" s="449"/>
      <c r="BY309" s="449"/>
      <c r="BZ309" s="449"/>
      <c r="CA309" s="449"/>
      <c r="CB309" s="449"/>
      <c r="CC309" s="807"/>
      <c r="CD309" s="449"/>
      <c r="CE309" s="931" t="str">
        <f>IFERROR(WWWW[[#This Row],['#_Water sources passed]]/WWWW[[#This Row],['#_Water sources tested for fecal coliform ]],"no test")</f>
        <v>no test</v>
      </c>
      <c r="CF309" s="929" t="str">
        <f>IFERROR(WWWW[[#This Row],['#_Household passed]]/WWWW[[#This Row],['#_Household water samples tested for fecal coliform]],"no test")</f>
        <v>no test</v>
      </c>
      <c r="CG309" s="930" t="str">
        <f>IF(AND(WWWW[[#This Row],[% of water sources passed]]="no test",WWWW[[#This Row],[% Household passed]]="no test"),"No Test","Tested")</f>
        <v>No Test</v>
      </c>
      <c r="CH309" s="930">
        <f>WWWW[[#This Row],['#_Constructed/existing protected hand dug well]]-WWWW[[#This Row],['#_Non-functional protected hand dug well]]</f>
        <v>0</v>
      </c>
      <c r="CI309" s="930">
        <f>(WWWW[[#This Row],['#_Constructed/Existing tube wells/boreholes/handpumps_WASH_agency]]+WWWW[[#This Row],['#_Non-Cluster partner water tube-wells/boreholes/handpumps]])-WWWW[[#This Row],['#_Non-functional tube wells/boreholes/handpumps]]</f>
        <v>0</v>
      </c>
      <c r="CJ309" s="930">
        <f>WWWW[[#This Row],['#_Constructed/Existingwater storage tank with gravity fed reticulation system]]-WWWW[[#This Row],['#_Non-functional storage tank gravity fed reticulation system]]</f>
        <v>0</v>
      </c>
      <c r="CK309" s="930">
        <f>(WWWW[[#This Row],['#_Water_Liters_supplied_by_Water boating or water trucking]]/90)/15</f>
        <v>0</v>
      </c>
      <c r="CL309" s="930">
        <f>WWWW[[#This Row],['#_Water_Liters_from_Constructed/Existing water distribution system from river or natural spring]]/90/15</f>
        <v>0</v>
      </c>
      <c r="CM309" s="425">
        <f>IF(WWWW[[#This Row],['#_of water points in TLS/CFS]]*500&gt;WWWW[[#This Row],[Total PoP ]],WWWW[[#This Row],[Total PoP ]],WWWW[[#This Row],['#_of water points in TLS/CFS]]*500)</f>
        <v>0</v>
      </c>
      <c r="CN309" s="425">
        <f>IF(WWWW[[#This Row],['#_of water points in THF]]*500&gt;WWWW[[#This Row],[Total PoP ]],WWWW[[#This Row],[Total PoP ]],WWWW[[#This Row],['#_of water points in THF]]*500)</f>
        <v>0</v>
      </c>
      <c r="CO30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0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09" s="929">
        <f>IF(WWWW[[#This Row],[Location Type 1]]="Village",WWWW[[#This Row],[Access to safe drinking water for Village]],WWWW[[#This Row],[Access to safe drinking water for Camp]])</f>
        <v>0</v>
      </c>
      <c r="CR309" s="927">
        <f>WWWW[[#This Row],[%Equitable and continuous access to sufficient quantity of safe drinking water]]*WWWW[[#This Row],[Total PoP ]]</f>
        <v>0</v>
      </c>
      <c r="CS309" s="929">
        <f>IF((WWWW[[#This Row],['#_Constructed/Existing protected/fenced ponds]]*250)/WWWW[[#This Row],[Total PoP ]]&gt;1,1,(WWWW[[#This Row],['#_Constructed/Existing protected/fenced ponds]]*250)/WWWW[[#This Row],[Total PoP ]])</f>
        <v>0</v>
      </c>
      <c r="CT309" s="927">
        <f>WWWW[[#This Row],[% Access to unimproved water points]]*WWWW[[#This Row],[Total PoP ]]</f>
        <v>0</v>
      </c>
      <c r="CU30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0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09" s="927">
        <f>WWWW[[#This Row],[HRP1]]/500</f>
        <v>0</v>
      </c>
      <c r="CX309" s="932">
        <f>1-WWWW[[#This Row],[% Equitable and continuous access to sufficient quantity of domestic water]]</f>
        <v>1</v>
      </c>
      <c r="CY309" s="927">
        <f>WWWW[[#This Row],[%equitable and continuous access to sufficient quantity of safe drinking and domestic water''s GAP]]*WWWW[[#This Row],[Total PoP ]]</f>
        <v>709</v>
      </c>
      <c r="CZ309" s="930">
        <f>IF(WWWW[[#This Row],[Total required water points]]-WWWW[[#This Row],['#Water points coverage]]&lt;0,0,WWWW[[#This Row],[Total required water points]]-WWWW[[#This Row],['#Water points coverage]])</f>
        <v>1</v>
      </c>
      <c r="DA309" s="930">
        <f>ROUND(IF(WWWW[[#This Row],[Total PoP ]]&lt;500,1,WWWW[[#This Row],[Total PoP ]]/500),0)</f>
        <v>1</v>
      </c>
      <c r="DB309" s="930">
        <f>(WWWW[[#This Row],['#_Constructed latrines_by_WASHAgencies]]+WWWW[[#This Row],['#_Non Cluster partner latrines]])-WWWW[[#This Row],['#_Non-functional latrines]]</f>
        <v>0</v>
      </c>
      <c r="DC309" s="634">
        <f>WWWW[[#This Row],[HRP2]]/WWWW[[#This Row],[Total PoP ]]</f>
        <v>0</v>
      </c>
      <c r="DD30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0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0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09" s="425">
        <f>IF(WWWW[[#This Row],['# of functional latrines in THF supported by WASH partners during the reporting period2]]="",0,WWWW[[#This Row],['# of functional latrines in THF supported by WASH partners during the reporting period2]]*50)</f>
        <v>0</v>
      </c>
      <c r="DH309" s="930">
        <f>ROUND(IF(WWWW[[#This Row],[Location Type 1]]="camp",WWWW[[#This Row],[Total PoP ]]/20,IF(WWWW[[#This Row],[Location Type 1]]="Temporary Location",WWWW[[#This Row],[Total PoP ]]/50,(WWWW[[#This Row],[Total PoP ]]/6))),0)</f>
        <v>35</v>
      </c>
      <c r="DI309" s="930">
        <f>IF(WWWW[[#This Row],[Total required Latrines]]-(WWWW[[#This Row],['#_Constructed latrines_by_WASHAgencies]]+WWWW[[#This Row],['#_Non Cluster partner latrines]])&lt;0,0,WWWW[[#This Row],[Total required Latrines]]-(WWWW[[#This Row],['#_Constructed latrines_by_WASHAgencies]]+WWWW[[#This Row],['#_Non Cluster partner latrines]]))</f>
        <v>35</v>
      </c>
      <c r="DJ309" s="932">
        <f>1-WWWW[[#This Row],[% people access to functioning Latrine]]</f>
        <v>1</v>
      </c>
      <c r="DK309" s="931">
        <f>IF(OR(WWWW[[#This Row],['#_Non-functional latrines]]="",WWWW[[#This Row],['#_Non-functional latrines]]=0),0,WWWW[[#This Row],['#_Non-functional latrines]]/(WWWW[[#This Row],['#_Constructed latrines_by_WASHAgencies]]+WWWW[[#This Row],['#_Non Cluster partner latrines]]))</f>
        <v>0</v>
      </c>
      <c r="DL309" s="927">
        <f>IF(500*(WWWW[[#This Row],['#_male hygiene promoters]]+WWWW[[#This Row],['#_female hygiene promoters]])&gt;WWWW[[#This Row],[Total PoP ]],WWWW[[#This Row],[Total PoP ]],500*(WWWW[[#This Row],['#_male hygiene promoters]]+WWWW[[#This Row],['#_female hygiene promoters]]))</f>
        <v>0</v>
      </c>
      <c r="DM30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0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09" s="930">
        <f>IF(WWWW[[#This Row],['# People with access to soap]]&gt;WWWW[[#This Row],['# People with access to Sanity Pads]],WWWW[[#This Row],['# People with access to soap]],WWWW[[#This Row],['# People with access to Sanity Pads]])</f>
        <v>0</v>
      </c>
      <c r="DP30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09" s="932">
        <f>IF(WWWW[[#This Row],[HRP3]]/WWWW[[#This Row],[Total PoP ]]&gt;1,1,WWWW[[#This Row],[HRP3]]/WWWW[[#This Row],[Total PoP ]])</f>
        <v>0</v>
      </c>
      <c r="DR309" s="931">
        <f>1-WWWW[[#This Row],[Hygiene Coverage%]]</f>
        <v>1</v>
      </c>
      <c r="DS309" s="929">
        <f>WWWW[[#This Row],['# people reached by regular dedicated hygiene promotion_5]]/WWWW[[#This Row],[Total PoP ]]</f>
        <v>0</v>
      </c>
      <c r="DT30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0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09" s="930">
        <f>WWWW[[#This Row],['#_Constructed/Existing hand washing stations]]-WWWW[[#This Row],['#_Non-Functional_hand_washing_stations]]</f>
        <v>8</v>
      </c>
      <c r="DW309" s="927">
        <f>IF(WWWW[[#This Row],['# Functional hand washing stations during reporting period]]*20&gt;WWWW[[#This Row],[Total HH]],WWWW[[#This Row],[Total HH]],WWWW[[#This Row],['# Functional hand washing stations during reporting period]]*20)</f>
        <v>134</v>
      </c>
      <c r="DX309" s="927">
        <f>IF(WWWW[[#This Row],[Is sufficient soap available for TLS? (Yes/No)]]="yes",WWWW[[#This Row],['#_Constructed/Existing hand washing stations at TLS/CFS/THF]],0)</f>
        <v>0</v>
      </c>
      <c r="DY309" s="429">
        <f>IF(WWWW[[#This Row],['# Functional hand washing stations during reporting period]]*100&gt;WWWW[[#This Row],[Total PoP ]],WWWW[[#This Row],[Total PoP ]],WWWW[[#This Row],['# Functional hand washing stations during reporting period]]*100)</f>
        <v>709</v>
      </c>
      <c r="DZ309" s="429" t="str">
        <f>IF(OR(WWWW[[#This Row],['#_students at TLS_CFS]]="",WWWW[[#This Row],['#_students at TLS_CFS]]=0),"No","Yes")</f>
        <v>No</v>
      </c>
      <c r="EA30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0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0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0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09" s="923">
        <f>VLOOKUP(WWWW[[#This Row],[Site Name]],SiteDB6[[Site Name]:[CCCM Management]],6,FALSE)</f>
        <v>0</v>
      </c>
      <c r="EF309" s="923">
        <f>VLOOKUP(WWWW[[#This Row],[Site Name]],SiteDB6[[Site Name]:[CCCM Focal Agency]],7,FALSE)</f>
        <v>0</v>
      </c>
      <c r="EG309" s="923" t="str">
        <f>VLOOKUP(WWWW[[#This Row],[Site Name]],SiteDB6[[Site Name]:[Location Type 1]],9,FALSE)</f>
        <v>Camp</v>
      </c>
      <c r="EH309" s="923" t="str">
        <f>VLOOKUP(WWWW[[#This Row],[Site Name]],SiteDB6[[Site Name]:[Type of Accommodation]],10,FALSE)</f>
        <v>CAMP</v>
      </c>
      <c r="EI309" s="923" t="str">
        <f>VLOOKUP(WWWW[[#This Row],[Site Name]],SiteDB6[[Site Name]:[Ethnic or GCA/NGCA]],11,FALSE)</f>
        <v>NGCA</v>
      </c>
      <c r="EJ309" s="923">
        <f>VLOOKUP(WWWW[[#This Row],[Site Name]],SiteDB6[[Site Name]:[Lat]],12,FALSE)</f>
        <v>0</v>
      </c>
      <c r="EK309" s="923">
        <f>VLOOKUP(WWWW[[#This Row],[Site Name]],SiteDB6[[Site Name]:[Long]],13,FALSE)</f>
        <v>0</v>
      </c>
      <c r="EL309" s="923">
        <f>VLOOKUP(WWWW[[#This Row],[Site Name]],SiteDB6[[Site Name]:[Pcode]],3,FALSE)</f>
        <v>0</v>
      </c>
      <c r="EM309" s="928" t="str">
        <f t="shared" si="4"/>
        <v>Covered</v>
      </c>
      <c r="EN309" s="928"/>
      <c r="EO309" s="923">
        <f>VLOOKUP(WWWW[[#This Row],[Site Name]],SiteDB6[[Site Name]:[Pop
(Kachin/Shan-CCCM as of July 2021)]],16,FALSE)</f>
        <v>0</v>
      </c>
      <c r="EP309" s="923">
        <f>VLOOKUP(WWWW[[#This Row],[Site Name]],SiteDB6[[Site Name]:[Pop
(Kachin/Shan-CCCM as of July 2021)]],17,FALSE)</f>
        <v>0</v>
      </c>
    </row>
    <row r="310" spans="1:146">
      <c r="A310" s="921" t="s">
        <v>2786</v>
      </c>
      <c r="B310" s="921" t="s">
        <v>192</v>
      </c>
      <c r="C310" s="922" t="s">
        <v>192</v>
      </c>
      <c r="D310" s="922" t="s">
        <v>3074</v>
      </c>
      <c r="E310" s="922" t="s">
        <v>37</v>
      </c>
      <c r="F310" s="922" t="s">
        <v>142</v>
      </c>
      <c r="G310" s="594" t="str">
        <f>VLOOKUP(WWWW[[#This Row],[Site Name]],SiteDB6[[Site Name]:[Location Type]],8,FALSE)</f>
        <v>Camp_not registered</v>
      </c>
      <c r="H310" s="922" t="s">
        <v>222</v>
      </c>
      <c r="I310" s="924">
        <v>546</v>
      </c>
      <c r="J310" s="924">
        <v>2550</v>
      </c>
      <c r="K310" s="925" t="s">
        <v>2692</v>
      </c>
      <c r="L310" s="926" t="s">
        <v>2702</v>
      </c>
      <c r="M310" s="924"/>
      <c r="N310" s="924"/>
      <c r="O310" s="924"/>
      <c r="P310" s="924"/>
      <c r="Q310" s="429" t="s">
        <v>136</v>
      </c>
      <c r="R310" s="924"/>
      <c r="S310" s="924"/>
      <c r="T310" s="449"/>
      <c r="U310" s="924"/>
      <c r="V310" s="924"/>
      <c r="W310" s="924"/>
      <c r="X310" s="924"/>
      <c r="Y310" s="924"/>
      <c r="Z310" s="924"/>
      <c r="AA310" s="924"/>
      <c r="AB310" s="924"/>
      <c r="AC310" s="924"/>
      <c r="AD310" s="924"/>
      <c r="AE310" s="924"/>
      <c r="AF310" s="924"/>
      <c r="AG310" s="924"/>
      <c r="AH310" s="924"/>
      <c r="AI310" s="924"/>
      <c r="AJ310" s="924"/>
      <c r="AK310" s="924"/>
      <c r="AL310" s="924"/>
      <c r="AM310" s="924"/>
      <c r="AN310" s="924"/>
      <c r="AO310" s="449"/>
      <c r="AP310" s="928"/>
      <c r="AQ310" s="924"/>
      <c r="AR310" s="924"/>
      <c r="AS310" s="929"/>
      <c r="AT310" s="924"/>
      <c r="AU310" s="924"/>
      <c r="AV310" s="924"/>
      <c r="AW310" s="924"/>
      <c r="AX310" s="924"/>
      <c r="AY310" s="923" t="s">
        <v>136</v>
      </c>
      <c r="AZ310" s="928" t="s">
        <v>136</v>
      </c>
      <c r="BA310" s="924"/>
      <c r="BB310" s="924"/>
      <c r="BC310" s="924"/>
      <c r="BD310" s="449"/>
      <c r="BE310" s="449"/>
      <c r="BF310" s="923"/>
      <c r="BG310" s="924">
        <v>7</v>
      </c>
      <c r="BH310" s="924"/>
      <c r="BI310" s="924"/>
      <c r="BJ310" s="924">
        <v>7</v>
      </c>
      <c r="BK310" s="924"/>
      <c r="BL310" s="924"/>
      <c r="BM310" s="924"/>
      <c r="BN310" s="924"/>
      <c r="BO310" s="924"/>
      <c r="BP310" s="923"/>
      <c r="BQ310" s="930"/>
      <c r="BR310" s="929"/>
      <c r="BS310" s="923"/>
      <c r="BT310" s="424"/>
      <c r="BU310" s="424"/>
      <c r="BV310" s="426"/>
      <c r="BW310" s="424"/>
      <c r="BX310" s="449"/>
      <c r="BY310" s="449"/>
      <c r="BZ310" s="449"/>
      <c r="CA310" s="449"/>
      <c r="CB310" s="449"/>
      <c r="CC310" s="807"/>
      <c r="CD310" s="449"/>
      <c r="CE310" s="931" t="str">
        <f>IFERROR(WWWW[[#This Row],['#_Water sources passed]]/WWWW[[#This Row],['#_Water sources tested for fecal coliform ]],"no test")</f>
        <v>no test</v>
      </c>
      <c r="CF310" s="929" t="str">
        <f>IFERROR(WWWW[[#This Row],['#_Household passed]]/WWWW[[#This Row],['#_Household water samples tested for fecal coliform]],"no test")</f>
        <v>no test</v>
      </c>
      <c r="CG310" s="930" t="str">
        <f>IF(AND(WWWW[[#This Row],[% of water sources passed]]="no test",WWWW[[#This Row],[% Household passed]]="no test"),"No Test","Tested")</f>
        <v>No Test</v>
      </c>
      <c r="CH310" s="930">
        <f>WWWW[[#This Row],['#_Constructed/existing protected hand dug well]]-WWWW[[#This Row],['#_Non-functional protected hand dug well]]</f>
        <v>0</v>
      </c>
      <c r="CI310" s="930">
        <f>(WWWW[[#This Row],['#_Constructed/Existing tube wells/boreholes/handpumps_WASH_agency]]+WWWW[[#This Row],['#_Non-Cluster partner water tube-wells/boreholes/handpumps]])-WWWW[[#This Row],['#_Non-functional tube wells/boreholes/handpumps]]</f>
        <v>0</v>
      </c>
      <c r="CJ310" s="930">
        <f>WWWW[[#This Row],['#_Constructed/Existingwater storage tank with gravity fed reticulation system]]-WWWW[[#This Row],['#_Non-functional storage tank gravity fed reticulation system]]</f>
        <v>0</v>
      </c>
      <c r="CK310" s="930">
        <f>(WWWW[[#This Row],['#_Water_Liters_supplied_by_Water boating or water trucking]]/90)/15</f>
        <v>0</v>
      </c>
      <c r="CL310" s="930">
        <f>WWWW[[#This Row],['#_Water_Liters_from_Constructed/Existing water distribution system from river or natural spring]]/90/15</f>
        <v>0</v>
      </c>
      <c r="CM310" s="425">
        <f>IF(WWWW[[#This Row],['#_of water points in TLS/CFS]]*500&gt;WWWW[[#This Row],[Total PoP ]],WWWW[[#This Row],[Total PoP ]],WWWW[[#This Row],['#_of water points in TLS/CFS]]*500)</f>
        <v>0</v>
      </c>
      <c r="CN310" s="425">
        <f>IF(WWWW[[#This Row],['#_of water points in THF]]*500&gt;WWWW[[#This Row],[Total PoP ]],WWWW[[#This Row],[Total PoP ]],WWWW[[#This Row],['#_of water points in THF]]*500)</f>
        <v>0</v>
      </c>
      <c r="CO31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0" s="929">
        <f>IF(WWWW[[#This Row],[Location Type 1]]="Village",WWWW[[#This Row],[Access to safe drinking water for Village]],WWWW[[#This Row],[Access to safe drinking water for Camp]])</f>
        <v>0</v>
      </c>
      <c r="CR310" s="927">
        <f>WWWW[[#This Row],[%Equitable and continuous access to sufficient quantity of safe drinking water]]*WWWW[[#This Row],[Total PoP ]]</f>
        <v>0</v>
      </c>
      <c r="CS310" s="929">
        <f>IF((WWWW[[#This Row],['#_Constructed/Existing protected/fenced ponds]]*250)/WWWW[[#This Row],[Total PoP ]]&gt;1,1,(WWWW[[#This Row],['#_Constructed/Existing protected/fenced ponds]]*250)/WWWW[[#This Row],[Total PoP ]])</f>
        <v>0</v>
      </c>
      <c r="CT310" s="927">
        <f>WWWW[[#This Row],[% Access to unimproved water points]]*WWWW[[#This Row],[Total PoP ]]</f>
        <v>0</v>
      </c>
      <c r="CU31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0" s="927">
        <f>WWWW[[#This Row],[HRP1]]/500</f>
        <v>0</v>
      </c>
      <c r="CX310" s="932">
        <f>1-WWWW[[#This Row],[% Equitable and continuous access to sufficient quantity of domestic water]]</f>
        <v>1</v>
      </c>
      <c r="CY310" s="927">
        <f>WWWW[[#This Row],[%equitable and continuous access to sufficient quantity of safe drinking and domestic water''s GAP]]*WWWW[[#This Row],[Total PoP ]]</f>
        <v>2550</v>
      </c>
      <c r="CZ310" s="930">
        <f>IF(WWWW[[#This Row],[Total required water points]]-WWWW[[#This Row],['#Water points coverage]]&lt;0,0,WWWW[[#This Row],[Total required water points]]-WWWW[[#This Row],['#Water points coverage]])</f>
        <v>5</v>
      </c>
      <c r="DA310" s="930">
        <f>ROUND(IF(WWWW[[#This Row],[Total PoP ]]&lt;500,1,WWWW[[#This Row],[Total PoP ]]/500),0)</f>
        <v>5</v>
      </c>
      <c r="DB310" s="930">
        <f>(WWWW[[#This Row],['#_Constructed latrines_by_WASHAgencies]]+WWWW[[#This Row],['#_Non Cluster partner latrines]])-WWWW[[#This Row],['#_Non-functional latrines]]</f>
        <v>0</v>
      </c>
      <c r="DC310" s="634">
        <f>WWWW[[#This Row],[HRP2]]/WWWW[[#This Row],[Total PoP ]]</f>
        <v>0</v>
      </c>
      <c r="DD31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0" s="425">
        <f>IF(WWWW[[#This Row],['# of functional latrines in THF supported by WASH partners during the reporting period2]]="",0,WWWW[[#This Row],['# of functional latrines in THF supported by WASH partners during the reporting period2]]*50)</f>
        <v>0</v>
      </c>
      <c r="DH310" s="930">
        <f>ROUND(IF(WWWW[[#This Row],[Location Type 1]]="camp",WWWW[[#This Row],[Total PoP ]]/20,IF(WWWW[[#This Row],[Location Type 1]]="Temporary Location",WWWW[[#This Row],[Total PoP ]]/50,(WWWW[[#This Row],[Total PoP ]]/6))),0)</f>
        <v>128</v>
      </c>
      <c r="DI310" s="930">
        <f>IF(WWWW[[#This Row],[Total required Latrines]]-(WWWW[[#This Row],['#_Constructed latrines_by_WASHAgencies]]+WWWW[[#This Row],['#_Non Cluster partner latrines]])&lt;0,0,WWWW[[#This Row],[Total required Latrines]]-(WWWW[[#This Row],['#_Constructed latrines_by_WASHAgencies]]+WWWW[[#This Row],['#_Non Cluster partner latrines]]))</f>
        <v>128</v>
      </c>
      <c r="DJ310" s="932">
        <f>1-WWWW[[#This Row],[% people access to functioning Latrine]]</f>
        <v>1</v>
      </c>
      <c r="DK310" s="931">
        <f>IF(OR(WWWW[[#This Row],['#_Non-functional latrines]]="",WWWW[[#This Row],['#_Non-functional latrines]]=0),0,WWWW[[#This Row],['#_Non-functional latrines]]/(WWWW[[#This Row],['#_Constructed latrines_by_WASHAgencies]]+WWWW[[#This Row],['#_Non Cluster partner latrines]]))</f>
        <v>0</v>
      </c>
      <c r="DL310" s="927">
        <f>IF(500*(WWWW[[#This Row],['#_male hygiene promoters]]+WWWW[[#This Row],['#_female hygiene promoters]])&gt;WWWW[[#This Row],[Total PoP ]],WWWW[[#This Row],[Total PoP ]],500*(WWWW[[#This Row],['#_male hygiene promoters]]+WWWW[[#This Row],['#_female hygiene promoters]]))</f>
        <v>0</v>
      </c>
      <c r="DM31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0" s="930">
        <f>IF(WWWW[[#This Row],['# People with access to soap]]&gt;WWWW[[#This Row],['# People with access to Sanity Pads]],WWWW[[#This Row],['# People with access to soap]],WWWW[[#This Row],['# People with access to Sanity Pads]])</f>
        <v>0</v>
      </c>
      <c r="DP31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0" s="932">
        <f>IF(WWWW[[#This Row],[HRP3]]/WWWW[[#This Row],[Total PoP ]]&gt;1,1,WWWW[[#This Row],[HRP3]]/WWWW[[#This Row],[Total PoP ]])</f>
        <v>0</v>
      </c>
      <c r="DR310" s="931">
        <f>1-WWWW[[#This Row],[Hygiene Coverage%]]</f>
        <v>1</v>
      </c>
      <c r="DS310" s="929">
        <f>WWWW[[#This Row],['# people reached by regular dedicated hygiene promotion_5]]/WWWW[[#This Row],[Total PoP ]]</f>
        <v>0</v>
      </c>
      <c r="DT31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0" s="930">
        <f>WWWW[[#This Row],['#_Constructed/Existing hand washing stations]]-WWWW[[#This Row],['#_Non-Functional_hand_washing_stations]]</f>
        <v>7</v>
      </c>
      <c r="DW310" s="927">
        <f>IF(WWWW[[#This Row],['# Functional hand washing stations during reporting period]]*20&gt;WWWW[[#This Row],[Total HH]],WWWW[[#This Row],[Total HH]],WWWW[[#This Row],['# Functional hand washing stations during reporting period]]*20)</f>
        <v>140</v>
      </c>
      <c r="DX310" s="927">
        <f>IF(WWWW[[#This Row],[Is sufficient soap available for TLS? (Yes/No)]]="yes",WWWW[[#This Row],['#_Constructed/Existing hand washing stations at TLS/CFS/THF]],0)</f>
        <v>0</v>
      </c>
      <c r="DY310" s="429">
        <f>IF(WWWW[[#This Row],['# Functional hand washing stations during reporting period]]*100&gt;WWWW[[#This Row],[Total PoP ]],WWWW[[#This Row],[Total PoP ]],WWWW[[#This Row],['# Functional hand washing stations during reporting period]]*100)</f>
        <v>700</v>
      </c>
      <c r="DZ310" s="429" t="str">
        <f>IF(OR(WWWW[[#This Row],['#_students at TLS_CFS]]="",WWWW[[#This Row],['#_students at TLS_CFS]]=0),"No","Yes")</f>
        <v>No</v>
      </c>
      <c r="EA31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0" s="923">
        <f>VLOOKUP(WWWW[[#This Row],[Site Name]],SiteDB6[[Site Name]:[CCCM Management]],6,FALSE)</f>
        <v>0</v>
      </c>
      <c r="EF310" s="923">
        <f>VLOOKUP(WWWW[[#This Row],[Site Name]],SiteDB6[[Site Name]:[CCCM Focal Agency]],7,FALSE)</f>
        <v>0</v>
      </c>
      <c r="EG310" s="923" t="str">
        <f>VLOOKUP(WWWW[[#This Row],[Site Name]],SiteDB6[[Site Name]:[Location Type 1]],9,FALSE)</f>
        <v>Camp</v>
      </c>
      <c r="EH310" s="923" t="str">
        <f>VLOOKUP(WWWW[[#This Row],[Site Name]],SiteDB6[[Site Name]:[Type of Accommodation]],10,FALSE)</f>
        <v>Host Families</v>
      </c>
      <c r="EI310" s="923" t="str">
        <f>VLOOKUP(WWWW[[#This Row],[Site Name]],SiteDB6[[Site Name]:[Ethnic or GCA/NGCA]],11,FALSE)</f>
        <v>NGCA</v>
      </c>
      <c r="EJ310" s="923">
        <f>VLOOKUP(WWWW[[#This Row],[Site Name]],SiteDB6[[Site Name]:[Lat]],12,FALSE)</f>
        <v>0</v>
      </c>
      <c r="EK310" s="923">
        <f>VLOOKUP(WWWW[[#This Row],[Site Name]],SiteDB6[[Site Name]:[Long]],13,FALSE)</f>
        <v>0</v>
      </c>
      <c r="EL310" s="923">
        <f>VLOOKUP(WWWW[[#This Row],[Site Name]],SiteDB6[[Site Name]:[Pcode]],3,FALSE)</f>
        <v>0</v>
      </c>
      <c r="EM310" s="928" t="str">
        <f t="shared" si="4"/>
        <v>Covered</v>
      </c>
      <c r="EN310" s="928"/>
      <c r="EO310" s="923">
        <f>VLOOKUP(WWWW[[#This Row],[Site Name]],SiteDB6[[Site Name]:[Pop
(Kachin/Shan-CCCM as of July 2021)]],16,FALSE)</f>
        <v>0</v>
      </c>
      <c r="EP310" s="923">
        <f>VLOOKUP(WWWW[[#This Row],[Site Name]],SiteDB6[[Site Name]:[Pop
(Kachin/Shan-CCCM as of July 2021)]],17,FALSE)</f>
        <v>0</v>
      </c>
    </row>
    <row r="311" spans="1:146" hidden="1">
      <c r="A311" s="921" t="s">
        <v>2786</v>
      </c>
      <c r="B311" s="921" t="s">
        <v>2373</v>
      </c>
      <c r="C311" s="922" t="s">
        <v>2373</v>
      </c>
      <c r="D311" s="922" t="s">
        <v>2695</v>
      </c>
      <c r="E311" s="922" t="s">
        <v>515</v>
      </c>
      <c r="F311" s="922" t="s">
        <v>516</v>
      </c>
      <c r="G311" s="594" t="str">
        <f>VLOOKUP(WWWW[[#This Row],[Site Name]],SiteDB6[[Site Name]:[Location Type]],8,FALSE)</f>
        <v>Camp</v>
      </c>
      <c r="H311" s="922" t="s">
        <v>527</v>
      </c>
      <c r="I311" s="924">
        <v>85</v>
      </c>
      <c r="J311" s="924">
        <v>396</v>
      </c>
      <c r="K311" s="925" t="s">
        <v>2789</v>
      </c>
      <c r="L311" s="926" t="s">
        <v>2790</v>
      </c>
      <c r="M311" s="924"/>
      <c r="N311" s="924">
        <v>2</v>
      </c>
      <c r="O311" s="924"/>
      <c r="P311" s="924"/>
      <c r="Q311" s="927" t="s">
        <v>41</v>
      </c>
      <c r="R311" s="924">
        <v>7</v>
      </c>
      <c r="S311" s="924">
        <v>9</v>
      </c>
      <c r="T311" s="449"/>
      <c r="U311" s="924"/>
      <c r="V311" s="924"/>
      <c r="W311" s="924"/>
      <c r="X311" s="924">
        <v>1</v>
      </c>
      <c r="Y311" s="924"/>
      <c r="Z311" s="924"/>
      <c r="AA311" s="924">
        <v>1</v>
      </c>
      <c r="AB311" s="924"/>
      <c r="AC311" s="924"/>
      <c r="AD311" s="924"/>
      <c r="AE311" s="924"/>
      <c r="AF311" s="924"/>
      <c r="AG311" s="924"/>
      <c r="AH311" s="924">
        <v>2</v>
      </c>
      <c r="AI311" s="924"/>
      <c r="AJ311" s="924"/>
      <c r="AK311" s="924"/>
      <c r="AL311" s="924"/>
      <c r="AM311" s="924">
        <v>8</v>
      </c>
      <c r="AN311" s="924"/>
      <c r="AO311" s="449"/>
      <c r="AP311" s="928"/>
      <c r="AQ311" s="924">
        <v>14</v>
      </c>
      <c r="AR311" s="924">
        <v>6</v>
      </c>
      <c r="AS311" s="929"/>
      <c r="AT311" s="924"/>
      <c r="AU311" s="924"/>
      <c r="AV311" s="924"/>
      <c r="AW311" s="924"/>
      <c r="AX311" s="924">
        <v>14</v>
      </c>
      <c r="AY311" s="923" t="s">
        <v>41</v>
      </c>
      <c r="AZ311" s="928" t="s">
        <v>137</v>
      </c>
      <c r="BA311" s="924"/>
      <c r="BB311" s="924"/>
      <c r="BC311" s="924"/>
      <c r="BD311" s="449"/>
      <c r="BE311" s="449"/>
      <c r="BF311" s="923"/>
      <c r="BG311" s="924">
        <v>8</v>
      </c>
      <c r="BH311" s="924"/>
      <c r="BI311" s="924"/>
      <c r="BJ311" s="924">
        <v>2</v>
      </c>
      <c r="BK311" s="924"/>
      <c r="BL311" s="924">
        <v>1</v>
      </c>
      <c r="BM311" s="924">
        <v>1</v>
      </c>
      <c r="BN311" s="924"/>
      <c r="BO311" s="924"/>
      <c r="BP311" s="923"/>
      <c r="BQ311" s="930"/>
      <c r="BR311" s="929"/>
      <c r="BS311" s="923"/>
      <c r="BT311" s="424"/>
      <c r="BU311" s="424"/>
      <c r="BV311" s="426"/>
      <c r="BW311" s="424"/>
      <c r="BX311" s="449"/>
      <c r="BY311" s="449"/>
      <c r="BZ311" s="449"/>
      <c r="CA311" s="449"/>
      <c r="CB311" s="449"/>
      <c r="CC311" s="807"/>
      <c r="CD311" s="449"/>
      <c r="CE311" s="931" t="str">
        <f>IFERROR(WWWW[[#This Row],['#_Water sources passed]]/WWWW[[#This Row],['#_Water sources tested for fecal coliform ]],"no test")</f>
        <v>no test</v>
      </c>
      <c r="CF311" s="929" t="str">
        <f>IFERROR(WWWW[[#This Row],['#_Household passed]]/WWWW[[#This Row],['#_Household water samples tested for fecal coliform]],"no test")</f>
        <v>no test</v>
      </c>
      <c r="CG311" s="930" t="str">
        <f>IF(AND(WWWW[[#This Row],[% of water sources passed]]="no test",WWWW[[#This Row],[% Household passed]]="no test"),"No Test","Tested")</f>
        <v>No Test</v>
      </c>
      <c r="CH311" s="930">
        <f>WWWW[[#This Row],['#_Constructed/existing protected hand dug well]]-WWWW[[#This Row],['#_Non-functional protected hand dug well]]</f>
        <v>0</v>
      </c>
      <c r="CI311" s="930">
        <f>(WWWW[[#This Row],['#_Constructed/Existing tube wells/boreholes/handpumps_WASH_agency]]+WWWW[[#This Row],['#_Non-Cluster partner water tube-wells/boreholes/handpumps]])-WWWW[[#This Row],['#_Non-functional tube wells/boreholes/handpumps]]</f>
        <v>1</v>
      </c>
      <c r="CJ311" s="930">
        <f>WWWW[[#This Row],['#_Constructed/Existingwater storage tank with gravity fed reticulation system]]-WWWW[[#This Row],['#_Non-functional storage tank gravity fed reticulation system]]</f>
        <v>1</v>
      </c>
      <c r="CK311" s="930">
        <f>(WWWW[[#This Row],['#_Water_Liters_supplied_by_Water boating or water trucking]]/90)/15</f>
        <v>0</v>
      </c>
      <c r="CL311" s="930">
        <f>WWWW[[#This Row],['#_Water_Liters_from_Constructed/Existing water distribution system from river or natural spring]]/90/15</f>
        <v>0</v>
      </c>
      <c r="CM311" s="425">
        <f>IF(WWWW[[#This Row],['#_of water points in TLS/CFS]]*500&gt;WWWW[[#This Row],[Total PoP ]],WWWW[[#This Row],[Total PoP ]],WWWW[[#This Row],['#_of water points in TLS/CFS]]*500)</f>
        <v>0</v>
      </c>
      <c r="CN311" s="425">
        <f>IF(WWWW[[#This Row],['#_of water points in THF]]*500&gt;WWWW[[#This Row],[Total PoP ]],WWWW[[#This Row],[Total PoP ]],WWWW[[#This Row],['#_of water points in THF]]*500)</f>
        <v>0</v>
      </c>
      <c r="CO31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Q311" s="929">
        <f>IF(WWWW[[#This Row],[Location Type 1]]="Village",WWWW[[#This Row],[Access to safe drinking water for Village]],WWWW[[#This Row],[Access to safe drinking water for Camp]])</f>
        <v>1</v>
      </c>
      <c r="CR311" s="927">
        <f>WWWW[[#This Row],[%Equitable and continuous access to sufficient quantity of safe drinking water]]*WWWW[[#This Row],[Total PoP ]]</f>
        <v>396</v>
      </c>
      <c r="CS311" s="929">
        <f>IF((WWWW[[#This Row],['#_Constructed/Existing protected/fenced ponds]]*250)/WWWW[[#This Row],[Total PoP ]]&gt;1,1,(WWWW[[#This Row],['#_Constructed/Existing protected/fenced ponds]]*250)/WWWW[[#This Row],[Total PoP ]])</f>
        <v>0</v>
      </c>
      <c r="CT311" s="927">
        <f>WWWW[[#This Row],[% Access to unimproved water points]]*WWWW[[#This Row],[Total PoP ]]</f>
        <v>0</v>
      </c>
      <c r="CU31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W311" s="927">
        <f>WWWW[[#This Row],[HRP1]]/500</f>
        <v>0.79200000000000004</v>
      </c>
      <c r="CX311" s="932">
        <f>1-WWWW[[#This Row],[% Equitable and continuous access to sufficient quantity of domestic water]]</f>
        <v>0</v>
      </c>
      <c r="CY311" s="927">
        <f>WWWW[[#This Row],[%equitable and continuous access to sufficient quantity of safe drinking and domestic water''s GAP]]*WWWW[[#This Row],[Total PoP ]]</f>
        <v>0</v>
      </c>
      <c r="CZ311" s="930">
        <f>IF(WWWW[[#This Row],[Total required water points]]-WWWW[[#This Row],['#Water points coverage]]&lt;0,0,WWWW[[#This Row],[Total required water points]]-WWWW[[#This Row],['#Water points coverage]])</f>
        <v>0.20799999999999996</v>
      </c>
      <c r="DA311" s="930">
        <f>ROUND(IF(WWWW[[#This Row],[Total PoP ]]&lt;500,1,WWWW[[#This Row],[Total PoP ]]/500),0)</f>
        <v>1</v>
      </c>
      <c r="DB311" s="930">
        <f>(WWWW[[#This Row],['#_Constructed latrines_by_WASHAgencies]]+WWWW[[#This Row],['#_Non Cluster partner latrines]])-WWWW[[#This Row],['#_Non-functional latrines]]</f>
        <v>20</v>
      </c>
      <c r="DC311" s="634">
        <f>WWWW[[#This Row],[HRP2]]/WWWW[[#This Row],[Total PoP ]]</f>
        <v>1</v>
      </c>
      <c r="DD31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396</v>
      </c>
      <c r="DE31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1" s="425">
        <f>IF(WWWW[[#This Row],['# of functional latrines in THF supported by WASH partners during the reporting period2]]="",0,WWWW[[#This Row],['# of functional latrines in THF supported by WASH partners during the reporting period2]]*50)</f>
        <v>0</v>
      </c>
      <c r="DH311" s="930">
        <f>ROUND(IF(WWWW[[#This Row],[Location Type 1]]="camp",WWWW[[#This Row],[Total PoP ]]/20,IF(WWWW[[#This Row],[Location Type 1]]="Temporary Location",WWWW[[#This Row],[Total PoP ]]/50,(WWWW[[#This Row],[Total PoP ]]/6))),0)</f>
        <v>20</v>
      </c>
      <c r="DI311" s="930">
        <f>IF(WWWW[[#This Row],[Total required Latrines]]-(WWWW[[#This Row],['#_Constructed latrines_by_WASHAgencies]]+WWWW[[#This Row],['#_Non Cluster partner latrines]])&lt;0,0,WWWW[[#This Row],[Total required Latrines]]-(WWWW[[#This Row],['#_Constructed latrines_by_WASHAgencies]]+WWWW[[#This Row],['#_Non Cluster partner latrines]]))</f>
        <v>0</v>
      </c>
      <c r="DJ311" s="932">
        <f>1-WWWW[[#This Row],[% people access to functioning Latrine]]</f>
        <v>0</v>
      </c>
      <c r="DK311" s="931">
        <f>IF(OR(WWWW[[#This Row],['#_Non-functional latrines]]="",WWWW[[#This Row],['#_Non-functional latrines]]=0),0,WWWW[[#This Row],['#_Non-functional latrines]]/(WWWW[[#This Row],['#_Constructed latrines_by_WASHAgencies]]+WWWW[[#This Row],['#_Non Cluster partner latrines]]))</f>
        <v>0</v>
      </c>
      <c r="DL311" s="927">
        <f>IF(500*(WWWW[[#This Row],['#_male hygiene promoters]]+WWWW[[#This Row],['#_female hygiene promoters]])&gt;WWWW[[#This Row],[Total PoP ]],WWWW[[#This Row],[Total PoP ]],500*(WWWW[[#This Row],['#_male hygiene promoters]]+WWWW[[#This Row],['#_female hygiene promoters]]))</f>
        <v>396</v>
      </c>
      <c r="DM31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1" s="930">
        <f>IF(WWWW[[#This Row],['# People with access to soap]]&gt;WWWW[[#This Row],['# People with access to Sanity Pads]],WWWW[[#This Row],['# People with access to soap]],WWWW[[#This Row],['# People with access to Sanity Pads]])</f>
        <v>0</v>
      </c>
      <c r="DP311" s="930">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Q311" s="932">
        <f>IF(WWWW[[#This Row],[HRP3]]/WWWW[[#This Row],[Total PoP ]]&gt;1,1,WWWW[[#This Row],[HRP3]]/WWWW[[#This Row],[Total PoP ]])</f>
        <v>1</v>
      </c>
      <c r="DR311" s="931">
        <f>1-WWWW[[#This Row],[Hygiene Coverage%]]</f>
        <v>0</v>
      </c>
      <c r="DS311" s="929">
        <f>WWWW[[#This Row],['# people reached by regular dedicated hygiene promotion_5]]/WWWW[[#This Row],[Total PoP ]]</f>
        <v>1</v>
      </c>
      <c r="DT31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1" s="930">
        <f>WWWW[[#This Row],['#_Constructed/Existing hand washing stations]]-WWWW[[#This Row],['#_Non-Functional_hand_washing_stations]]</f>
        <v>8</v>
      </c>
      <c r="DW311" s="927">
        <f>IF(WWWW[[#This Row],['# Functional hand washing stations during reporting period]]*20&gt;WWWW[[#This Row],[Total HH]],WWWW[[#This Row],[Total HH]],WWWW[[#This Row],['# Functional hand washing stations during reporting period]]*20)</f>
        <v>85</v>
      </c>
      <c r="DX311" s="927">
        <f>IF(WWWW[[#This Row],[Is sufficient soap available for TLS? (Yes/No)]]="yes",WWWW[[#This Row],['#_Constructed/Existing hand washing stations at TLS/CFS/THF]],0)</f>
        <v>0</v>
      </c>
      <c r="DY311" s="429">
        <f>IF(WWWW[[#This Row],['# Functional hand washing stations during reporting period]]*100&gt;WWWW[[#This Row],[Total PoP ]],WWWW[[#This Row],[Total PoP ]],WWWW[[#This Row],['# Functional hand washing stations during reporting period]]*100)</f>
        <v>396</v>
      </c>
      <c r="DZ311" s="429" t="str">
        <f>IF(OR(WWWW[[#This Row],['#_students at TLS_CFS]]="",WWWW[[#This Row],['#_students at TLS_CFS]]=0),"No","Yes")</f>
        <v>No</v>
      </c>
      <c r="EA31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1" s="923" t="str">
        <f>VLOOKUP(WWWW[[#This Row],[Site Name]],SiteDB6[[Site Name]:[CCCM Management]],6,FALSE)</f>
        <v>Yes</v>
      </c>
      <c r="EF311" s="923" t="str">
        <f>VLOOKUP(WWWW[[#This Row],[Site Name]],SiteDB6[[Site Name]:[CCCM Focal Agency]],7,FALSE)</f>
        <v>KBC-NSS</v>
      </c>
      <c r="EG311" s="923" t="str">
        <f>VLOOKUP(WWWW[[#This Row],[Site Name]],SiteDB6[[Site Name]:[Location Type 1]],9,FALSE)</f>
        <v>Camp</v>
      </c>
      <c r="EH311" s="923" t="str">
        <f>VLOOKUP(WWWW[[#This Row],[Site Name]],SiteDB6[[Site Name]:[Type of Accommodation]],10,FALSE)</f>
        <v>Camp</v>
      </c>
      <c r="EI311" s="923" t="str">
        <f>VLOOKUP(WWWW[[#This Row],[Site Name]],SiteDB6[[Site Name]:[Ethnic or GCA/NGCA]],11,FALSE)</f>
        <v>GCA</v>
      </c>
      <c r="EJ311" s="923">
        <f>VLOOKUP(WWWW[[#This Row],[Site Name]],SiteDB6[[Site Name]:[Lat]],12,FALSE)</f>
        <v>23.821380000000001</v>
      </c>
      <c r="EK311" s="923">
        <f>VLOOKUP(WWWW[[#This Row],[Site Name]],SiteDB6[[Site Name]:[Long]],13,FALSE)</f>
        <v>97.681970000000007</v>
      </c>
      <c r="EL311" s="923" t="str">
        <f>VLOOKUP(WWWW[[#This Row],[Site Name]],SiteDB6[[Site Name]:[Pcode]],3,FALSE)</f>
        <v>MMR015CMP004</v>
      </c>
      <c r="EM311" s="928" t="str">
        <f t="shared" si="4"/>
        <v>Covered</v>
      </c>
      <c r="EN311" s="928"/>
      <c r="EO311" s="923">
        <f>VLOOKUP(WWWW[[#This Row],[Site Name]],SiteDB6[[Site Name]:[Pop
(Kachin/Shan-CCCM as of July 2021)]],16,FALSE)</f>
        <v>89</v>
      </c>
      <c r="EP311" s="923">
        <f>VLOOKUP(WWWW[[#This Row],[Site Name]],SiteDB6[[Site Name]:[Pop
(Kachin/Shan-CCCM as of July 2021)]],17,FALSE)</f>
        <v>401</v>
      </c>
    </row>
    <row r="312" spans="1:146" hidden="1">
      <c r="A312" s="921" t="s">
        <v>2786</v>
      </c>
      <c r="B312" s="921" t="s">
        <v>2373</v>
      </c>
      <c r="C312" s="922" t="s">
        <v>2373</v>
      </c>
      <c r="D312" s="922" t="s">
        <v>2695</v>
      </c>
      <c r="E312" s="922" t="s">
        <v>515</v>
      </c>
      <c r="F312" s="922" t="s">
        <v>516</v>
      </c>
      <c r="G312" s="594" t="str">
        <f>VLOOKUP(WWWW[[#This Row],[Site Name]],SiteDB6[[Site Name]:[Location Type]],8,FALSE)</f>
        <v>Camp</v>
      </c>
      <c r="H312" s="922" t="s">
        <v>517</v>
      </c>
      <c r="I312" s="924">
        <v>44</v>
      </c>
      <c r="J312" s="924">
        <v>213</v>
      </c>
      <c r="K312" s="925" t="s">
        <v>2789</v>
      </c>
      <c r="L312" s="926" t="s">
        <v>2790</v>
      </c>
      <c r="M312" s="924"/>
      <c r="N312" s="924">
        <v>2</v>
      </c>
      <c r="O312" s="924"/>
      <c r="P312" s="924"/>
      <c r="Q312" s="927" t="s">
        <v>41</v>
      </c>
      <c r="R312" s="924">
        <v>3</v>
      </c>
      <c r="S312" s="924">
        <v>9</v>
      </c>
      <c r="T312" s="449">
        <v>1</v>
      </c>
      <c r="U312" s="924"/>
      <c r="V312" s="924"/>
      <c r="W312" s="924"/>
      <c r="X312" s="924">
        <v>2</v>
      </c>
      <c r="Y312" s="924"/>
      <c r="Z312" s="924"/>
      <c r="AA312" s="924"/>
      <c r="AB312" s="924"/>
      <c r="AC312" s="924"/>
      <c r="AD312" s="924"/>
      <c r="AE312" s="924">
        <v>1</v>
      </c>
      <c r="AF312" s="924"/>
      <c r="AG312" s="924"/>
      <c r="AH312" s="924">
        <v>2</v>
      </c>
      <c r="AI312" s="924"/>
      <c r="AJ312" s="924"/>
      <c r="AK312" s="924"/>
      <c r="AL312" s="924"/>
      <c r="AM312" s="924">
        <v>3</v>
      </c>
      <c r="AN312" s="924"/>
      <c r="AO312" s="449"/>
      <c r="AP312" s="928"/>
      <c r="AQ312" s="924">
        <v>14</v>
      </c>
      <c r="AR312" s="924"/>
      <c r="AS312" s="929"/>
      <c r="AT312" s="924"/>
      <c r="AU312" s="924"/>
      <c r="AV312" s="924"/>
      <c r="AW312" s="924"/>
      <c r="AX312" s="924">
        <v>14</v>
      </c>
      <c r="AY312" s="923" t="s">
        <v>41</v>
      </c>
      <c r="AZ312" s="928" t="s">
        <v>137</v>
      </c>
      <c r="BA312" s="924"/>
      <c r="BB312" s="924"/>
      <c r="BC312" s="924"/>
      <c r="BD312" s="449"/>
      <c r="BE312" s="449"/>
      <c r="BF312" s="923"/>
      <c r="BG312" s="924">
        <v>3</v>
      </c>
      <c r="BH312" s="924"/>
      <c r="BI312" s="924"/>
      <c r="BJ312" s="924">
        <v>2</v>
      </c>
      <c r="BK312" s="924"/>
      <c r="BL312" s="924">
        <v>1</v>
      </c>
      <c r="BM312" s="924">
        <v>1</v>
      </c>
      <c r="BN312" s="924"/>
      <c r="BO312" s="924"/>
      <c r="BP312" s="923"/>
      <c r="BQ312" s="930"/>
      <c r="BR312" s="929"/>
      <c r="BS312" s="923"/>
      <c r="BT312" s="424"/>
      <c r="BU312" s="424"/>
      <c r="BV312" s="426"/>
      <c r="BW312" s="424"/>
      <c r="BX312" s="449"/>
      <c r="BY312" s="449"/>
      <c r="BZ312" s="449"/>
      <c r="CA312" s="449"/>
      <c r="CB312" s="449"/>
      <c r="CC312" s="807"/>
      <c r="CD312" s="449"/>
      <c r="CE312" s="931" t="str">
        <f>IFERROR(WWWW[[#This Row],['#_Water sources passed]]/WWWW[[#This Row],['#_Water sources tested for fecal coliform ]],"no test")</f>
        <v>no test</v>
      </c>
      <c r="CF312" s="929" t="str">
        <f>IFERROR(WWWW[[#This Row],['#_Household passed]]/WWWW[[#This Row],['#_Household water samples tested for fecal coliform]],"no test")</f>
        <v>no test</v>
      </c>
      <c r="CG312" s="930" t="str">
        <f>IF(AND(WWWW[[#This Row],[% of water sources passed]]="no test",WWWW[[#This Row],[% Household passed]]="no test"),"No Test","Tested")</f>
        <v>No Test</v>
      </c>
      <c r="CH312" s="930">
        <f>WWWW[[#This Row],['#_Constructed/existing protected hand dug well]]-WWWW[[#This Row],['#_Non-functional protected hand dug well]]</f>
        <v>1</v>
      </c>
      <c r="CI312" s="930">
        <f>(WWWW[[#This Row],['#_Constructed/Existing tube wells/boreholes/handpumps_WASH_agency]]+WWWW[[#This Row],['#_Non-Cluster partner water tube-wells/boreholes/handpumps]])-WWWW[[#This Row],['#_Non-functional tube wells/boreholes/handpumps]]</f>
        <v>2</v>
      </c>
      <c r="CJ312" s="930">
        <f>WWWW[[#This Row],['#_Constructed/Existingwater storage tank with gravity fed reticulation system]]-WWWW[[#This Row],['#_Non-functional storage tank gravity fed reticulation system]]</f>
        <v>0</v>
      </c>
      <c r="CK312" s="930">
        <f>(WWWW[[#This Row],['#_Water_Liters_supplied_by_Water boating or water trucking]]/90)/15</f>
        <v>0</v>
      </c>
      <c r="CL312" s="930">
        <f>WWWW[[#This Row],['#_Water_Liters_from_Constructed/Existing water distribution system from river or natural spring]]/90/15</f>
        <v>0</v>
      </c>
      <c r="CM312" s="425">
        <f>IF(WWWW[[#This Row],['#_of water points in TLS/CFS]]*500&gt;WWWW[[#This Row],[Total PoP ]],WWWW[[#This Row],[Total PoP ]],WWWW[[#This Row],['#_of water points in TLS/CFS]]*500)</f>
        <v>0</v>
      </c>
      <c r="CN312" s="425">
        <f>IF(WWWW[[#This Row],['#_of water points in THF]]*500&gt;WWWW[[#This Row],[Total PoP ]],WWWW[[#This Row],[Total PoP ]],WWWW[[#This Row],['#_of water points in THF]]*500)</f>
        <v>0</v>
      </c>
      <c r="CO31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2" s="929">
        <f>IF(WWWW[[#This Row],[Location Type 1]]="Village",WWWW[[#This Row],[Access to safe drinking water for Village]],WWWW[[#This Row],[Access to safe drinking water for Camp]])</f>
        <v>1</v>
      </c>
      <c r="CR312" s="927">
        <f>WWWW[[#This Row],[%Equitable and continuous access to sufficient quantity of safe drinking water]]*WWWW[[#This Row],[Total PoP ]]</f>
        <v>213</v>
      </c>
      <c r="CS312" s="929">
        <f>IF((WWWW[[#This Row],['#_Constructed/Existing protected/fenced ponds]]*250)/WWWW[[#This Row],[Total PoP ]]&gt;1,1,(WWWW[[#This Row],['#_Constructed/Existing protected/fenced ponds]]*250)/WWWW[[#This Row],[Total PoP ]])</f>
        <v>1</v>
      </c>
      <c r="CT312" s="927">
        <f>WWWW[[#This Row],[% Access to unimproved water points]]*WWWW[[#This Row],[Total PoP ]]</f>
        <v>213</v>
      </c>
      <c r="CU31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W312" s="927">
        <f>WWWW[[#This Row],[HRP1]]/500</f>
        <v>0.42599999999999999</v>
      </c>
      <c r="CX312" s="932">
        <f>1-WWWW[[#This Row],[% Equitable and continuous access to sufficient quantity of domestic water]]</f>
        <v>0</v>
      </c>
      <c r="CY312" s="927">
        <f>WWWW[[#This Row],[%equitable and continuous access to sufficient quantity of safe drinking and domestic water''s GAP]]*WWWW[[#This Row],[Total PoP ]]</f>
        <v>0</v>
      </c>
      <c r="CZ312" s="930">
        <f>IF(WWWW[[#This Row],[Total required water points]]-WWWW[[#This Row],['#Water points coverage]]&lt;0,0,WWWW[[#This Row],[Total required water points]]-WWWW[[#This Row],['#Water points coverage]])</f>
        <v>0.57400000000000007</v>
      </c>
      <c r="DA312" s="930">
        <f>ROUND(IF(WWWW[[#This Row],[Total PoP ]]&lt;500,1,WWWW[[#This Row],[Total PoP ]]/500),0)</f>
        <v>1</v>
      </c>
      <c r="DB312" s="930">
        <f>(WWWW[[#This Row],['#_Constructed latrines_by_WASHAgencies]]+WWWW[[#This Row],['#_Non Cluster partner latrines]])-WWWW[[#This Row],['#_Non-functional latrines]]</f>
        <v>14</v>
      </c>
      <c r="DC312" s="634">
        <f>WWWW[[#This Row],[HRP2]]/WWWW[[#This Row],[Total PoP ]]</f>
        <v>1</v>
      </c>
      <c r="DD31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213</v>
      </c>
      <c r="DE31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2" s="425">
        <f>IF(WWWW[[#This Row],['# of functional latrines in THF supported by WASH partners during the reporting period2]]="",0,WWWW[[#This Row],['# of functional latrines in THF supported by WASH partners during the reporting period2]]*50)</f>
        <v>0</v>
      </c>
      <c r="DH312" s="930">
        <f>ROUND(IF(WWWW[[#This Row],[Location Type 1]]="camp",WWWW[[#This Row],[Total PoP ]]/20,IF(WWWW[[#This Row],[Location Type 1]]="Temporary Location",WWWW[[#This Row],[Total PoP ]]/50,(WWWW[[#This Row],[Total PoP ]]/6))),0)</f>
        <v>11</v>
      </c>
      <c r="DI312" s="930">
        <f>IF(WWWW[[#This Row],[Total required Latrines]]-(WWWW[[#This Row],['#_Constructed latrines_by_WASHAgencies]]+WWWW[[#This Row],['#_Non Cluster partner latrines]])&lt;0,0,WWWW[[#This Row],[Total required Latrines]]-(WWWW[[#This Row],['#_Constructed latrines_by_WASHAgencies]]+WWWW[[#This Row],['#_Non Cluster partner latrines]]))</f>
        <v>0</v>
      </c>
      <c r="DJ312" s="932">
        <f>1-WWWW[[#This Row],[% people access to functioning Latrine]]</f>
        <v>0</v>
      </c>
      <c r="DK312" s="931">
        <f>IF(OR(WWWW[[#This Row],['#_Non-functional latrines]]="",WWWW[[#This Row],['#_Non-functional latrines]]=0),0,WWWW[[#This Row],['#_Non-functional latrines]]/(WWWW[[#This Row],['#_Constructed latrines_by_WASHAgencies]]+WWWW[[#This Row],['#_Non Cluster partner latrines]]))</f>
        <v>0</v>
      </c>
      <c r="DL312" s="927">
        <f>IF(500*(WWWW[[#This Row],['#_male hygiene promoters]]+WWWW[[#This Row],['#_female hygiene promoters]])&gt;WWWW[[#This Row],[Total PoP ]],WWWW[[#This Row],[Total PoP ]],500*(WWWW[[#This Row],['#_male hygiene promoters]]+WWWW[[#This Row],['#_female hygiene promoters]]))</f>
        <v>213</v>
      </c>
      <c r="DM31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2" s="930">
        <f>IF(WWWW[[#This Row],['# People with access to soap]]&gt;WWWW[[#This Row],['# People with access to Sanity Pads]],WWWW[[#This Row],['# People with access to soap]],WWWW[[#This Row],['# People with access to Sanity Pads]])</f>
        <v>0</v>
      </c>
      <c r="DP312" s="930">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Q312" s="932">
        <f>IF(WWWW[[#This Row],[HRP3]]/WWWW[[#This Row],[Total PoP ]]&gt;1,1,WWWW[[#This Row],[HRP3]]/WWWW[[#This Row],[Total PoP ]])</f>
        <v>1</v>
      </c>
      <c r="DR312" s="931">
        <f>1-WWWW[[#This Row],[Hygiene Coverage%]]</f>
        <v>0</v>
      </c>
      <c r="DS312" s="929">
        <f>WWWW[[#This Row],['# people reached by regular dedicated hygiene promotion_5]]/WWWW[[#This Row],[Total PoP ]]</f>
        <v>1</v>
      </c>
      <c r="DT31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2" s="930">
        <f>WWWW[[#This Row],['#_Constructed/Existing hand washing stations]]-WWWW[[#This Row],['#_Non-Functional_hand_washing_stations]]</f>
        <v>3</v>
      </c>
      <c r="DW312" s="927">
        <f>IF(WWWW[[#This Row],['# Functional hand washing stations during reporting period]]*20&gt;WWWW[[#This Row],[Total HH]],WWWW[[#This Row],[Total HH]],WWWW[[#This Row],['# Functional hand washing stations during reporting period]]*20)</f>
        <v>44</v>
      </c>
      <c r="DX312" s="927">
        <f>IF(WWWW[[#This Row],[Is sufficient soap available for TLS? (Yes/No)]]="yes",WWWW[[#This Row],['#_Constructed/Existing hand washing stations at TLS/CFS/THF]],0)</f>
        <v>0</v>
      </c>
      <c r="DY312" s="429">
        <f>IF(WWWW[[#This Row],['# Functional hand washing stations during reporting period]]*100&gt;WWWW[[#This Row],[Total PoP ]],WWWW[[#This Row],[Total PoP ]],WWWW[[#This Row],['# Functional hand washing stations during reporting period]]*100)</f>
        <v>213</v>
      </c>
      <c r="DZ312" s="429" t="str">
        <f>IF(OR(WWWW[[#This Row],['#_students at TLS_CFS]]="",WWWW[[#This Row],['#_students at TLS_CFS]]=0),"No","Yes")</f>
        <v>No</v>
      </c>
      <c r="EA31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2" s="923" t="str">
        <f>VLOOKUP(WWWW[[#This Row],[Site Name]],SiteDB6[[Site Name]:[CCCM Management]],6,FALSE)</f>
        <v>Yes</v>
      </c>
      <c r="EF312" s="923" t="str">
        <f>VLOOKUP(WWWW[[#This Row],[Site Name]],SiteDB6[[Site Name]:[CCCM Focal Agency]],7,FALSE)</f>
        <v>KMSS-LSO</v>
      </c>
      <c r="EG312" s="923" t="str">
        <f>VLOOKUP(WWWW[[#This Row],[Site Name]],SiteDB6[[Site Name]:[Location Type 1]],9,FALSE)</f>
        <v>Camp</v>
      </c>
      <c r="EH312" s="923" t="str">
        <f>VLOOKUP(WWWW[[#This Row],[Site Name]],SiteDB6[[Site Name]:[Type of Accommodation]],10,FALSE)</f>
        <v>Camp</v>
      </c>
      <c r="EI312" s="923" t="str">
        <f>VLOOKUP(WWWW[[#This Row],[Site Name]],SiteDB6[[Site Name]:[Ethnic or GCA/NGCA]],11,FALSE)</f>
        <v>GCA</v>
      </c>
      <c r="EJ312" s="923">
        <f>VLOOKUP(WWWW[[#This Row],[Site Name]],SiteDB6[[Site Name]:[Lat]],12,FALSE)</f>
        <v>23.828150000000001</v>
      </c>
      <c r="EK312" s="923">
        <f>VLOOKUP(WWWW[[#This Row],[Site Name]],SiteDB6[[Site Name]:[Long]],13,FALSE)</f>
        <v>97.670360000000002</v>
      </c>
      <c r="EL312" s="923" t="str">
        <f>VLOOKUP(WWWW[[#This Row],[Site Name]],SiteDB6[[Site Name]:[Pcode]],3,FALSE)</f>
        <v>MMR015CMP003</v>
      </c>
      <c r="EM312" s="928" t="str">
        <f t="shared" si="4"/>
        <v>Covered</v>
      </c>
      <c r="EN312" s="928"/>
      <c r="EO312" s="923">
        <f>VLOOKUP(WWWW[[#This Row],[Site Name]],SiteDB6[[Site Name]:[Pop
(Kachin/Shan-CCCM as of July 2021)]],16,FALSE)</f>
        <v>44</v>
      </c>
      <c r="EP312" s="923">
        <f>VLOOKUP(WWWW[[#This Row],[Site Name]],SiteDB6[[Site Name]:[Pop
(Kachin/Shan-CCCM as of July 2021)]],17,FALSE)</f>
        <v>217</v>
      </c>
    </row>
    <row r="313" spans="1:146" hidden="1">
      <c r="A313" s="921" t="s">
        <v>2786</v>
      </c>
      <c r="B313" s="921" t="s">
        <v>2791</v>
      </c>
      <c r="C313" s="922" t="s">
        <v>2792</v>
      </c>
      <c r="D313" s="922" t="s">
        <v>2695</v>
      </c>
      <c r="E313" s="922" t="s">
        <v>515</v>
      </c>
      <c r="F313" s="922" t="s">
        <v>522</v>
      </c>
      <c r="G313" s="594" t="str">
        <f>VLOOKUP(WWWW[[#This Row],[Site Name]],SiteDB6[[Site Name]:[Location Type]],8,FALSE)</f>
        <v>Camp</v>
      </c>
      <c r="H313" s="922" t="s">
        <v>523</v>
      </c>
      <c r="I313" s="924">
        <v>30</v>
      </c>
      <c r="J313" s="924">
        <v>157</v>
      </c>
      <c r="K313" s="925" t="s">
        <v>2789</v>
      </c>
      <c r="L313" s="926" t="s">
        <v>2790</v>
      </c>
      <c r="M313" s="924"/>
      <c r="N313" s="924">
        <v>2</v>
      </c>
      <c r="O313" s="924"/>
      <c r="P313" s="924"/>
      <c r="Q313" s="927" t="s">
        <v>41</v>
      </c>
      <c r="R313" s="924">
        <v>2</v>
      </c>
      <c r="S313" s="924">
        <v>8</v>
      </c>
      <c r="T313" s="449">
        <v>1</v>
      </c>
      <c r="U313" s="924"/>
      <c r="V313" s="924"/>
      <c r="W313" s="924">
        <v>2</v>
      </c>
      <c r="X313" s="924"/>
      <c r="Y313" s="924"/>
      <c r="Z313" s="924"/>
      <c r="AA313" s="924"/>
      <c r="AB313" s="924"/>
      <c r="AC313" s="924"/>
      <c r="AD313" s="924"/>
      <c r="AE313" s="924">
        <v>2</v>
      </c>
      <c r="AF313" s="924"/>
      <c r="AG313" s="924"/>
      <c r="AH313" s="924">
        <v>1</v>
      </c>
      <c r="AI313" s="924"/>
      <c r="AJ313" s="924"/>
      <c r="AK313" s="924"/>
      <c r="AL313" s="924"/>
      <c r="AM313" s="924">
        <v>4</v>
      </c>
      <c r="AN313" s="924"/>
      <c r="AO313" s="449"/>
      <c r="AP313" s="928"/>
      <c r="AQ313" s="449">
        <v>38</v>
      </c>
      <c r="AR313" s="924"/>
      <c r="AS313" s="929"/>
      <c r="AT313" s="924"/>
      <c r="AU313" s="924"/>
      <c r="AV313" s="924"/>
      <c r="AW313" s="924"/>
      <c r="AX313" s="924">
        <v>38</v>
      </c>
      <c r="AY313" s="923" t="s">
        <v>41</v>
      </c>
      <c r="AZ313" s="928" t="s">
        <v>137</v>
      </c>
      <c r="BA313" s="924"/>
      <c r="BB313" s="924"/>
      <c r="BC313" s="924"/>
      <c r="BD313" s="449"/>
      <c r="BE313" s="449"/>
      <c r="BF313" s="923"/>
      <c r="BG313" s="449">
        <v>4</v>
      </c>
      <c r="BH313" s="924"/>
      <c r="BI313" s="924"/>
      <c r="BJ313" s="924">
        <v>2</v>
      </c>
      <c r="BK313" s="924"/>
      <c r="BL313" s="924"/>
      <c r="BM313" s="924">
        <v>2</v>
      </c>
      <c r="BN313" s="924"/>
      <c r="BO313" s="924"/>
      <c r="BP313" s="426" t="s">
        <v>41</v>
      </c>
      <c r="BQ313" s="930"/>
      <c r="BR313" s="424">
        <v>1</v>
      </c>
      <c r="BS313" s="923"/>
      <c r="BT313" s="424"/>
      <c r="BU313" s="424"/>
      <c r="BV313" s="426"/>
      <c r="BW313" s="424"/>
      <c r="BX313" s="449"/>
      <c r="BY313" s="449"/>
      <c r="BZ313" s="449"/>
      <c r="CA313" s="449"/>
      <c r="CB313" s="449"/>
      <c r="CC313" s="807"/>
      <c r="CD313" s="449"/>
      <c r="CE313" s="931" t="str">
        <f>IFERROR(WWWW[[#This Row],['#_Water sources passed]]/WWWW[[#This Row],['#_Water sources tested for fecal coliform ]],"no test")</f>
        <v>no test</v>
      </c>
      <c r="CF313" s="929" t="str">
        <f>IFERROR(WWWW[[#This Row],['#_Household passed]]/WWWW[[#This Row],['#_Household water samples tested for fecal coliform]],"no test")</f>
        <v>no test</v>
      </c>
      <c r="CG313" s="930" t="str">
        <f>IF(AND(WWWW[[#This Row],[% of water sources passed]]="no test",WWWW[[#This Row],[% Household passed]]="no test"),"No Test","Tested")</f>
        <v>No Test</v>
      </c>
      <c r="CH313" s="930">
        <f>WWWW[[#This Row],['#_Constructed/existing protected hand dug well]]-WWWW[[#This Row],['#_Non-functional protected hand dug well]]</f>
        <v>1</v>
      </c>
      <c r="CI313" s="930">
        <f>(WWWW[[#This Row],['#_Constructed/Existing tube wells/boreholes/handpumps_WASH_agency]]+WWWW[[#This Row],['#_Non-Cluster partner water tube-wells/boreholes/handpumps]])-WWWW[[#This Row],['#_Non-functional tube wells/boreholes/handpumps]]</f>
        <v>2</v>
      </c>
      <c r="CJ313" s="930">
        <f>WWWW[[#This Row],['#_Constructed/Existingwater storage tank with gravity fed reticulation system]]-WWWW[[#This Row],['#_Non-functional storage tank gravity fed reticulation system]]</f>
        <v>0</v>
      </c>
      <c r="CK313" s="930">
        <f>(WWWW[[#This Row],['#_Water_Liters_supplied_by_Water boating or water trucking]]/90)/15</f>
        <v>0</v>
      </c>
      <c r="CL313" s="930">
        <f>WWWW[[#This Row],['#_Water_Liters_from_Constructed/Existing water distribution system from river or natural spring]]/90/15</f>
        <v>0</v>
      </c>
      <c r="CM313" s="425">
        <f>IF(WWWW[[#This Row],['#_of water points in TLS/CFS]]*500&gt;WWWW[[#This Row],[Total PoP ]],WWWW[[#This Row],[Total PoP ]],WWWW[[#This Row],['#_of water points in TLS/CFS]]*500)</f>
        <v>0</v>
      </c>
      <c r="CN313" s="425">
        <f>IF(WWWW[[#This Row],['#_of water points in THF]]*500&gt;WWWW[[#This Row],[Total PoP ]],WWWW[[#This Row],[Total PoP ]],WWWW[[#This Row],['#_of water points in THF]]*500)</f>
        <v>0</v>
      </c>
      <c r="CO31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3" s="929">
        <f>IF(WWWW[[#This Row],[Location Type 1]]="Village",WWWW[[#This Row],[Access to safe drinking water for Village]],WWWW[[#This Row],[Access to safe drinking water for Camp]])</f>
        <v>1</v>
      </c>
      <c r="CR313" s="927">
        <f>WWWW[[#This Row],[%Equitable and continuous access to sufficient quantity of safe drinking water]]*WWWW[[#This Row],[Total PoP ]]</f>
        <v>157</v>
      </c>
      <c r="CS313" s="929">
        <f>IF((WWWW[[#This Row],['#_Constructed/Existing protected/fenced ponds]]*250)/WWWW[[#This Row],[Total PoP ]]&gt;1,1,(WWWW[[#This Row],['#_Constructed/Existing protected/fenced ponds]]*250)/WWWW[[#This Row],[Total PoP ]])</f>
        <v>1</v>
      </c>
      <c r="CT313" s="927">
        <f>WWWW[[#This Row],[% Access to unimproved water points]]*WWWW[[#This Row],[Total PoP ]]</f>
        <v>157</v>
      </c>
      <c r="CU31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W313" s="927">
        <f>WWWW[[#This Row],[HRP1]]/500</f>
        <v>0.314</v>
      </c>
      <c r="CX313" s="932">
        <f>1-WWWW[[#This Row],[% Equitable and continuous access to sufficient quantity of domestic water]]</f>
        <v>0</v>
      </c>
      <c r="CY313" s="927">
        <f>WWWW[[#This Row],[%equitable and continuous access to sufficient quantity of safe drinking and domestic water''s GAP]]*WWWW[[#This Row],[Total PoP ]]</f>
        <v>0</v>
      </c>
      <c r="CZ313" s="930">
        <f>IF(WWWW[[#This Row],[Total required water points]]-WWWW[[#This Row],['#Water points coverage]]&lt;0,0,WWWW[[#This Row],[Total required water points]]-WWWW[[#This Row],['#Water points coverage]])</f>
        <v>0.68599999999999994</v>
      </c>
      <c r="DA313" s="930">
        <f>ROUND(IF(WWWW[[#This Row],[Total PoP ]]&lt;500,1,WWWW[[#This Row],[Total PoP ]]/500),0)</f>
        <v>1</v>
      </c>
      <c r="DB313" s="930">
        <f>(WWWW[[#This Row],['#_Constructed latrines_by_WASHAgencies]]+WWWW[[#This Row],['#_Non Cluster partner latrines]])-WWWW[[#This Row],['#_Non-functional latrines]]</f>
        <v>38</v>
      </c>
      <c r="DC313" s="634">
        <f>WWWW[[#This Row],[HRP2]]/WWWW[[#This Row],[Total PoP ]]</f>
        <v>1</v>
      </c>
      <c r="DD31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v>
      </c>
      <c r="DE31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3" s="425">
        <f>IF(WWWW[[#This Row],['# of functional latrines in THF supported by WASH partners during the reporting period2]]="",0,WWWW[[#This Row],['# of functional latrines in THF supported by WASH partners during the reporting period2]]*50)</f>
        <v>0</v>
      </c>
      <c r="DH313" s="930">
        <f>ROUND(IF(WWWW[[#This Row],[Location Type 1]]="camp",WWWW[[#This Row],[Total PoP ]]/20,IF(WWWW[[#This Row],[Location Type 1]]="Temporary Location",WWWW[[#This Row],[Total PoP ]]/50,(WWWW[[#This Row],[Total PoP ]]/6))),0)</f>
        <v>8</v>
      </c>
      <c r="DI313" s="930">
        <f>IF(WWWW[[#This Row],[Total required Latrines]]-(WWWW[[#This Row],['#_Constructed latrines_by_WASHAgencies]]+WWWW[[#This Row],['#_Non Cluster partner latrines]])&lt;0,0,WWWW[[#This Row],[Total required Latrines]]-(WWWW[[#This Row],['#_Constructed latrines_by_WASHAgencies]]+WWWW[[#This Row],['#_Non Cluster partner latrines]]))</f>
        <v>0</v>
      </c>
      <c r="DJ313" s="932">
        <f>1-WWWW[[#This Row],[% people access to functioning Latrine]]</f>
        <v>0</v>
      </c>
      <c r="DK313" s="931">
        <f>IF(OR(WWWW[[#This Row],['#_Non-functional latrines]]="",WWWW[[#This Row],['#_Non-functional latrines]]=0),0,WWWW[[#This Row],['#_Non-functional latrines]]/(WWWW[[#This Row],['#_Constructed latrines_by_WASHAgencies]]+WWWW[[#This Row],['#_Non Cluster partner latrines]]))</f>
        <v>0</v>
      </c>
      <c r="DL313" s="927">
        <f>IF(500*(WWWW[[#This Row],['#_male hygiene promoters]]+WWWW[[#This Row],['#_female hygiene promoters]])&gt;WWWW[[#This Row],[Total PoP ]],WWWW[[#This Row],[Total PoP ]],500*(WWWW[[#This Row],['#_male hygiene promoters]]+WWWW[[#This Row],['#_female hygiene promoters]]))</f>
        <v>157</v>
      </c>
      <c r="DM31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3" s="930">
        <f>IF(WWWW[[#This Row],['# People with access to soap]]&gt;WWWW[[#This Row],['# People with access to Sanity Pads]],WWWW[[#This Row],['# People with access to soap]],WWWW[[#This Row],['# People with access to Sanity Pads]])</f>
        <v>0</v>
      </c>
      <c r="DP313" s="930">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Q313" s="932">
        <f>IF(WWWW[[#This Row],[HRP3]]/WWWW[[#This Row],[Total PoP ]]&gt;1,1,WWWW[[#This Row],[HRP3]]/WWWW[[#This Row],[Total PoP ]])</f>
        <v>1</v>
      </c>
      <c r="DR313" s="931">
        <f>1-WWWW[[#This Row],[Hygiene Coverage%]]</f>
        <v>0</v>
      </c>
      <c r="DS313" s="929">
        <f>WWWW[[#This Row],['# people reached by regular dedicated hygiene promotion_5]]/WWWW[[#This Row],[Total PoP ]]</f>
        <v>1</v>
      </c>
      <c r="DT31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3" s="930">
        <f>WWWW[[#This Row],['#_Constructed/Existing hand washing stations]]-WWWW[[#This Row],['#_Non-Functional_hand_washing_stations]]</f>
        <v>4</v>
      </c>
      <c r="DW313" s="927">
        <f>IF(WWWW[[#This Row],['# Functional hand washing stations during reporting period]]*20&gt;WWWW[[#This Row],[Total HH]],WWWW[[#This Row],[Total HH]],WWWW[[#This Row],['# Functional hand washing stations during reporting period]]*20)</f>
        <v>30</v>
      </c>
      <c r="DX313" s="927">
        <f>IF(WWWW[[#This Row],[Is sufficient soap available for TLS? (Yes/No)]]="yes",WWWW[[#This Row],['#_Constructed/Existing hand washing stations at TLS/CFS/THF]],0)</f>
        <v>4</v>
      </c>
      <c r="DY313" s="429">
        <f>IF(WWWW[[#This Row],['# Functional hand washing stations during reporting period]]*100&gt;WWWW[[#This Row],[Total PoP ]],WWWW[[#This Row],[Total PoP ]],WWWW[[#This Row],['# Functional hand washing stations during reporting period]]*100)</f>
        <v>157</v>
      </c>
      <c r="DZ313" s="429" t="str">
        <f>IF(OR(WWWW[[#This Row],['#_students at TLS_CFS]]="",WWWW[[#This Row],['#_students at TLS_CFS]]=0),"No","Yes")</f>
        <v>No</v>
      </c>
      <c r="EA31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3" s="923" t="str">
        <f>VLOOKUP(WWWW[[#This Row],[Site Name]],SiteDB6[[Site Name]:[CCCM Management]],6,FALSE)</f>
        <v>Yes</v>
      </c>
      <c r="EF313" s="923" t="str">
        <f>VLOOKUP(WWWW[[#This Row],[Site Name]],SiteDB6[[Site Name]:[CCCM Focal Agency]],7,FALSE)</f>
        <v>KMSS-LSO</v>
      </c>
      <c r="EG313" s="923" t="str">
        <f>VLOOKUP(WWWW[[#This Row],[Site Name]],SiteDB6[[Site Name]:[Location Type 1]],9,FALSE)</f>
        <v>Camp</v>
      </c>
      <c r="EH313" s="923" t="str">
        <f>VLOOKUP(WWWW[[#This Row],[Site Name]],SiteDB6[[Site Name]:[Type of Accommodation]],10,FALSE)</f>
        <v>Camp</v>
      </c>
      <c r="EI313" s="923" t="str">
        <f>VLOOKUP(WWWW[[#This Row],[Site Name]],SiteDB6[[Site Name]:[Ethnic or GCA/NGCA]],11,FALSE)</f>
        <v>GCA</v>
      </c>
      <c r="EJ313" s="923">
        <f>VLOOKUP(WWWW[[#This Row],[Site Name]],SiteDB6[[Site Name]:[Lat]],12,FALSE)</f>
        <v>23.24661</v>
      </c>
      <c r="EK313" s="923">
        <f>VLOOKUP(WWWW[[#This Row],[Site Name]],SiteDB6[[Site Name]:[Long]],13,FALSE)</f>
        <v>97.116680000000002</v>
      </c>
      <c r="EL313" s="923" t="str">
        <f>VLOOKUP(WWWW[[#This Row],[Site Name]],SiteDB6[[Site Name]:[Pcode]],3,FALSE)</f>
        <v>MMR015CMP027</v>
      </c>
      <c r="EM313" s="928" t="str">
        <f t="shared" si="4"/>
        <v>Covered</v>
      </c>
      <c r="EN313" s="928"/>
      <c r="EO313" s="923">
        <f>VLOOKUP(WWWW[[#This Row],[Site Name]],SiteDB6[[Site Name]:[Pop
(Kachin/Shan-CCCM as of July 2021)]],16,FALSE)</f>
        <v>30</v>
      </c>
      <c r="EP313" s="923">
        <f>VLOOKUP(WWWW[[#This Row],[Site Name]],SiteDB6[[Site Name]:[Pop
(Kachin/Shan-CCCM as of July 2021)]],17,FALSE)</f>
        <v>159</v>
      </c>
    </row>
    <row r="314" spans="1:146">
      <c r="A314" s="921" t="s">
        <v>2786</v>
      </c>
      <c r="B314" s="921" t="s">
        <v>309</v>
      </c>
      <c r="C314" s="922" t="s">
        <v>309</v>
      </c>
      <c r="D314" s="922"/>
      <c r="E314" s="922" t="s">
        <v>37</v>
      </c>
      <c r="F314" s="922" t="s">
        <v>195</v>
      </c>
      <c r="G314" s="594" t="str">
        <f>VLOOKUP(WWWW[[#This Row],[Site Name]],SiteDB6[[Site Name]:[Location Type]],8,FALSE)</f>
        <v>Camp</v>
      </c>
      <c r="H314" s="753" t="s">
        <v>3054</v>
      </c>
      <c r="I314" s="924">
        <v>12</v>
      </c>
      <c r="J314" s="924">
        <v>60</v>
      </c>
      <c r="K314" s="925"/>
      <c r="L314" s="926"/>
      <c r="M314" s="924"/>
      <c r="N314" s="924"/>
      <c r="O314" s="924"/>
      <c r="P314" s="924"/>
      <c r="Q314" s="927"/>
      <c r="R314" s="924"/>
      <c r="S314" s="924"/>
      <c r="T314" s="449"/>
      <c r="U314" s="924"/>
      <c r="V314" s="924"/>
      <c r="W314" s="924"/>
      <c r="X314" s="924"/>
      <c r="Y314" s="924"/>
      <c r="Z314" s="924"/>
      <c r="AA314" s="924"/>
      <c r="AB314" s="924"/>
      <c r="AC314" s="924"/>
      <c r="AD314" s="924"/>
      <c r="AE314" s="924"/>
      <c r="AF314" s="924"/>
      <c r="AG314" s="924"/>
      <c r="AH314" s="924"/>
      <c r="AI314" s="924"/>
      <c r="AJ314" s="924"/>
      <c r="AK314" s="924"/>
      <c r="AL314" s="924"/>
      <c r="AM314" s="924"/>
      <c r="AN314" s="924"/>
      <c r="AO314" s="449"/>
      <c r="AP314" s="928"/>
      <c r="AQ314" s="924"/>
      <c r="AR314" s="924"/>
      <c r="AS314" s="929"/>
      <c r="AT314" s="924"/>
      <c r="AU314" s="924"/>
      <c r="AV314" s="924"/>
      <c r="AW314" s="924"/>
      <c r="AX314" s="924"/>
      <c r="AY314" s="923" t="s">
        <v>140</v>
      </c>
      <c r="AZ314" s="928" t="s">
        <v>140</v>
      </c>
      <c r="BA314" s="924"/>
      <c r="BB314" s="924"/>
      <c r="BC314" s="924"/>
      <c r="BD314" s="449"/>
      <c r="BE314" s="449"/>
      <c r="BF314" s="923"/>
      <c r="BG314" s="924">
        <v>1</v>
      </c>
      <c r="BH314" s="924"/>
      <c r="BI314" s="924"/>
      <c r="BJ314" s="924">
        <v>1</v>
      </c>
      <c r="BK314" s="924"/>
      <c r="BL314" s="924"/>
      <c r="BM314" s="924"/>
      <c r="BN314" s="924"/>
      <c r="BO314" s="924"/>
      <c r="BP314" s="923"/>
      <c r="BQ314" s="930"/>
      <c r="BR314" s="929"/>
      <c r="BS314" s="923"/>
      <c r="BT314" s="424"/>
      <c r="BU314" s="424"/>
      <c r="BV314" s="426"/>
      <c r="BW314" s="424"/>
      <c r="BX314" s="449"/>
      <c r="BY314" s="449"/>
      <c r="BZ314" s="449"/>
      <c r="CA314" s="449"/>
      <c r="CB314" s="449"/>
      <c r="CC314" s="807"/>
      <c r="CD314" s="449"/>
      <c r="CE314" s="931" t="str">
        <f>IFERROR(WWWW[[#This Row],['#_Water sources passed]]/WWWW[[#This Row],['#_Water sources tested for fecal coliform ]],"no test")</f>
        <v>no test</v>
      </c>
      <c r="CF314" s="929" t="str">
        <f>IFERROR(WWWW[[#This Row],['#_Household passed]]/WWWW[[#This Row],['#_Household water samples tested for fecal coliform]],"no test")</f>
        <v>no test</v>
      </c>
      <c r="CG314" s="930" t="str">
        <f>IF(AND(WWWW[[#This Row],[% of water sources passed]]="no test",WWWW[[#This Row],[% Household passed]]="no test"),"No Test","Tested")</f>
        <v>No Test</v>
      </c>
      <c r="CH314" s="930">
        <f>WWWW[[#This Row],['#_Constructed/existing protected hand dug well]]-WWWW[[#This Row],['#_Non-functional protected hand dug well]]</f>
        <v>0</v>
      </c>
      <c r="CI314" s="930">
        <f>(WWWW[[#This Row],['#_Constructed/Existing tube wells/boreholes/handpumps_WASH_agency]]+WWWW[[#This Row],['#_Non-Cluster partner water tube-wells/boreholes/handpumps]])-WWWW[[#This Row],['#_Non-functional tube wells/boreholes/handpumps]]</f>
        <v>0</v>
      </c>
      <c r="CJ314" s="930">
        <f>WWWW[[#This Row],['#_Constructed/Existingwater storage tank with gravity fed reticulation system]]-WWWW[[#This Row],['#_Non-functional storage tank gravity fed reticulation system]]</f>
        <v>0</v>
      </c>
      <c r="CK314" s="930">
        <f>(WWWW[[#This Row],['#_Water_Liters_supplied_by_Water boating or water trucking]]/90)/15</f>
        <v>0</v>
      </c>
      <c r="CL314" s="930">
        <f>WWWW[[#This Row],['#_Water_Liters_from_Constructed/Existing water distribution system from river or natural spring]]/90/15</f>
        <v>0</v>
      </c>
      <c r="CM314" s="425">
        <f>IF(WWWW[[#This Row],['#_of water points in TLS/CFS]]*500&gt;WWWW[[#This Row],[Total PoP ]],WWWW[[#This Row],[Total PoP ]],WWWW[[#This Row],['#_of water points in TLS/CFS]]*500)</f>
        <v>0</v>
      </c>
      <c r="CN314" s="425">
        <f>IF(WWWW[[#This Row],['#_of water points in THF]]*500&gt;WWWW[[#This Row],[Total PoP ]],WWWW[[#This Row],[Total PoP ]],WWWW[[#This Row],['#_of water points in THF]]*500)</f>
        <v>0</v>
      </c>
      <c r="CO31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4" s="929">
        <f>IF(WWWW[[#This Row],[Location Type 1]]="Village",WWWW[[#This Row],[Access to safe drinking water for Village]],WWWW[[#This Row],[Access to safe drinking water for Camp]])</f>
        <v>0</v>
      </c>
      <c r="CR314" s="927">
        <f>WWWW[[#This Row],[%Equitable and continuous access to sufficient quantity of safe drinking water]]*WWWW[[#This Row],[Total PoP ]]</f>
        <v>0</v>
      </c>
      <c r="CS314" s="929">
        <f>IF((WWWW[[#This Row],['#_Constructed/Existing protected/fenced ponds]]*250)/WWWW[[#This Row],[Total PoP ]]&gt;1,1,(WWWW[[#This Row],['#_Constructed/Existing protected/fenced ponds]]*250)/WWWW[[#This Row],[Total PoP ]])</f>
        <v>0</v>
      </c>
      <c r="CT314" s="927">
        <f>WWWW[[#This Row],[% Access to unimproved water points]]*WWWW[[#This Row],[Total PoP ]]</f>
        <v>0</v>
      </c>
      <c r="CU31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4" s="927">
        <f>WWWW[[#This Row],[HRP1]]/500</f>
        <v>0</v>
      </c>
      <c r="CX314" s="932">
        <f>1-WWWW[[#This Row],[% Equitable and continuous access to sufficient quantity of domestic water]]</f>
        <v>1</v>
      </c>
      <c r="CY314" s="927">
        <f>WWWW[[#This Row],[%equitable and continuous access to sufficient quantity of safe drinking and domestic water''s GAP]]*WWWW[[#This Row],[Total PoP ]]</f>
        <v>60</v>
      </c>
      <c r="CZ314" s="930">
        <f>IF(WWWW[[#This Row],[Total required water points]]-WWWW[[#This Row],['#Water points coverage]]&lt;0,0,WWWW[[#This Row],[Total required water points]]-WWWW[[#This Row],['#Water points coverage]])</f>
        <v>1</v>
      </c>
      <c r="DA314" s="930">
        <f>ROUND(IF(WWWW[[#This Row],[Total PoP ]]&lt;500,1,WWWW[[#This Row],[Total PoP ]]/500),0)</f>
        <v>1</v>
      </c>
      <c r="DB314" s="930">
        <f>(WWWW[[#This Row],['#_Constructed latrines_by_WASHAgencies]]+WWWW[[#This Row],['#_Non Cluster partner latrines]])-WWWW[[#This Row],['#_Non-functional latrines]]</f>
        <v>0</v>
      </c>
      <c r="DC314" s="634">
        <f>WWWW[[#This Row],[HRP2]]/WWWW[[#This Row],[Total PoP ]]</f>
        <v>0</v>
      </c>
      <c r="DD31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4" s="425">
        <f>IF(WWWW[[#This Row],['# of functional latrines in THF supported by WASH partners during the reporting period2]]="",0,WWWW[[#This Row],['# of functional latrines in THF supported by WASH partners during the reporting period2]]*50)</f>
        <v>0</v>
      </c>
      <c r="DH314" s="930">
        <f>ROUND(IF(WWWW[[#This Row],[Location Type 1]]="camp",WWWW[[#This Row],[Total PoP ]]/20,IF(WWWW[[#This Row],[Location Type 1]]="Temporary Location",WWWW[[#This Row],[Total PoP ]]/50,(WWWW[[#This Row],[Total PoP ]]/6))),0)</f>
        <v>3</v>
      </c>
      <c r="DI314" s="930">
        <f>IF(WWWW[[#This Row],[Total required Latrines]]-(WWWW[[#This Row],['#_Constructed latrines_by_WASHAgencies]]+WWWW[[#This Row],['#_Non Cluster partner latrines]])&lt;0,0,WWWW[[#This Row],[Total required Latrines]]-(WWWW[[#This Row],['#_Constructed latrines_by_WASHAgencies]]+WWWW[[#This Row],['#_Non Cluster partner latrines]]))</f>
        <v>3</v>
      </c>
      <c r="DJ314" s="932">
        <f>1-WWWW[[#This Row],[% people access to functioning Latrine]]</f>
        <v>1</v>
      </c>
      <c r="DK314" s="931">
        <f>IF(OR(WWWW[[#This Row],['#_Non-functional latrines]]="",WWWW[[#This Row],['#_Non-functional latrines]]=0),0,WWWW[[#This Row],['#_Non-functional latrines]]/(WWWW[[#This Row],['#_Constructed latrines_by_WASHAgencies]]+WWWW[[#This Row],['#_Non Cluster partner latrines]]))</f>
        <v>0</v>
      </c>
      <c r="DL314" s="927">
        <f>IF(500*(WWWW[[#This Row],['#_male hygiene promoters]]+WWWW[[#This Row],['#_female hygiene promoters]])&gt;WWWW[[#This Row],[Total PoP ]],WWWW[[#This Row],[Total PoP ]],500*(WWWW[[#This Row],['#_male hygiene promoters]]+WWWW[[#This Row],['#_female hygiene promoters]]))</f>
        <v>0</v>
      </c>
      <c r="DM31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4" s="930">
        <f>IF(WWWW[[#This Row],['# People with access to soap]]&gt;WWWW[[#This Row],['# People with access to Sanity Pads]],WWWW[[#This Row],['# People with access to soap]],WWWW[[#This Row],['# People with access to Sanity Pads]])</f>
        <v>0</v>
      </c>
      <c r="DP31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4" s="932">
        <f>IF(WWWW[[#This Row],[HRP3]]/WWWW[[#This Row],[Total PoP ]]&gt;1,1,WWWW[[#This Row],[HRP3]]/WWWW[[#This Row],[Total PoP ]])</f>
        <v>0</v>
      </c>
      <c r="DR314" s="931">
        <f>1-WWWW[[#This Row],[Hygiene Coverage%]]</f>
        <v>1</v>
      </c>
      <c r="DS314" s="929">
        <f>WWWW[[#This Row],['# people reached by regular dedicated hygiene promotion_5]]/WWWW[[#This Row],[Total PoP ]]</f>
        <v>0</v>
      </c>
      <c r="DT31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4" s="930">
        <f>WWWW[[#This Row],['#_Constructed/Existing hand washing stations]]-WWWW[[#This Row],['#_Non-Functional_hand_washing_stations]]</f>
        <v>1</v>
      </c>
      <c r="DW314" s="927">
        <f>IF(WWWW[[#This Row],['# Functional hand washing stations during reporting period]]*20&gt;WWWW[[#This Row],[Total HH]],WWWW[[#This Row],[Total HH]],WWWW[[#This Row],['# Functional hand washing stations during reporting period]]*20)</f>
        <v>12</v>
      </c>
      <c r="DX314" s="927">
        <f>IF(WWWW[[#This Row],[Is sufficient soap available for TLS? (Yes/No)]]="yes",WWWW[[#This Row],['#_Constructed/Existing hand washing stations at TLS/CFS/THF]],0)</f>
        <v>0</v>
      </c>
      <c r="DY314" s="429">
        <f>IF(WWWW[[#This Row],['# Functional hand washing stations during reporting period]]*100&gt;WWWW[[#This Row],[Total PoP ]],WWWW[[#This Row],[Total PoP ]],WWWW[[#This Row],['# Functional hand washing stations during reporting period]]*100)</f>
        <v>60</v>
      </c>
      <c r="DZ314" s="429" t="str">
        <f>IF(OR(WWWW[[#This Row],['#_students at TLS_CFS]]="",WWWW[[#This Row],['#_students at TLS_CFS]]=0),"No","Yes")</f>
        <v>No</v>
      </c>
      <c r="EA31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4" s="923" t="str">
        <f>VLOOKUP(WWWW[[#This Row],[Site Name]],SiteDB6[[Site Name]:[CCCM Management]],6,FALSE)</f>
        <v>Yes</v>
      </c>
      <c r="EF314" s="923" t="str">
        <f>VLOOKUP(WWWW[[#This Row],[Site Name]],SiteDB6[[Site Name]:[CCCM Focal Agency]],7,FALSE)</f>
        <v>Shalom</v>
      </c>
      <c r="EG314" s="923" t="str">
        <f>VLOOKUP(WWWW[[#This Row],[Site Name]],SiteDB6[[Site Name]:[Location Type 1]],9,FALSE)</f>
        <v>Camp</v>
      </c>
      <c r="EH314" s="923" t="str">
        <f>VLOOKUP(WWWW[[#This Row],[Site Name]],SiteDB6[[Site Name]:[Type of Accommodation]],10,FALSE)</f>
        <v>Camp</v>
      </c>
      <c r="EI314" s="923" t="str">
        <f>VLOOKUP(WWWW[[#This Row],[Site Name]],SiteDB6[[Site Name]:[Ethnic or GCA/NGCA]],11,FALSE)</f>
        <v>GCA</v>
      </c>
      <c r="EJ314" s="923">
        <f>VLOOKUP(WWWW[[#This Row],[Site Name]],SiteDB6[[Site Name]:[Lat]],12,FALSE)</f>
        <v>24.154199999999999</v>
      </c>
      <c r="EK314" s="923">
        <f>VLOOKUP(WWWW[[#This Row],[Site Name]],SiteDB6[[Site Name]:[Long]],13,FALSE)</f>
        <v>97.160600000000002</v>
      </c>
      <c r="EL314" s="923" t="str">
        <f>VLOOKUP(WWWW[[#This Row],[Site Name]],SiteDB6[[Site Name]:[Pcode]],3,FALSE)</f>
        <v>MMR001CMP281</v>
      </c>
      <c r="EM314" s="928" t="str">
        <f t="shared" si="4"/>
        <v>Notcovered</v>
      </c>
      <c r="EN314" s="928"/>
      <c r="EO314" s="923">
        <f>VLOOKUP(WWWW[[#This Row],[Site Name]],SiteDB6[[Site Name]:[Pop
(Kachin/Shan-CCCM as of July 2021)]],16,FALSE)</f>
        <v>97</v>
      </c>
      <c r="EP314" s="923">
        <f>VLOOKUP(WWWW[[#This Row],[Site Name]],SiteDB6[[Site Name]:[Pop
(Kachin/Shan-CCCM as of July 2021)]],17,FALSE)</f>
        <v>480</v>
      </c>
    </row>
    <row r="315" spans="1:146">
      <c r="A315" s="921" t="s">
        <v>2786</v>
      </c>
      <c r="B315" s="921" t="s">
        <v>309</v>
      </c>
      <c r="C315" s="922" t="s">
        <v>309</v>
      </c>
      <c r="D315" s="922"/>
      <c r="E315" s="922" t="s">
        <v>37</v>
      </c>
      <c r="F315" s="922" t="s">
        <v>195</v>
      </c>
      <c r="G315" s="594" t="str">
        <f>VLOOKUP(WWWW[[#This Row],[Site Name]],SiteDB6[[Site Name]:[Location Type]],8,FALSE)</f>
        <v>Camp</v>
      </c>
      <c r="H315" s="753" t="s">
        <v>3044</v>
      </c>
      <c r="I315" s="924">
        <v>181</v>
      </c>
      <c r="J315" s="924">
        <v>906</v>
      </c>
      <c r="K315" s="925" t="s">
        <v>2672</v>
      </c>
      <c r="L315" s="926" t="s">
        <v>2673</v>
      </c>
      <c r="M315" s="924"/>
      <c r="N315" s="924"/>
      <c r="O315" s="924"/>
      <c r="P315" s="924"/>
      <c r="Q315" s="927"/>
      <c r="R315" s="924"/>
      <c r="S315" s="924">
        <v>4</v>
      </c>
      <c r="T315" s="449"/>
      <c r="U315" s="924"/>
      <c r="V315" s="924"/>
      <c r="W315" s="924"/>
      <c r="X315" s="924"/>
      <c r="Y315" s="924"/>
      <c r="Z315" s="924"/>
      <c r="AA315" s="924"/>
      <c r="AB315" s="924"/>
      <c r="AC315" s="924"/>
      <c r="AD315" s="924"/>
      <c r="AE315" s="924"/>
      <c r="AF315" s="924"/>
      <c r="AG315" s="924"/>
      <c r="AH315" s="924"/>
      <c r="AI315" s="924"/>
      <c r="AJ315" s="924"/>
      <c r="AK315" s="924"/>
      <c r="AL315" s="924"/>
      <c r="AM315" s="924"/>
      <c r="AN315" s="924"/>
      <c r="AO315" s="449"/>
      <c r="AP315" s="928"/>
      <c r="AQ315" s="924"/>
      <c r="AR315" s="924"/>
      <c r="AS315" s="929"/>
      <c r="AT315" s="924"/>
      <c r="AU315" s="924"/>
      <c r="AV315" s="924"/>
      <c r="AW315" s="924"/>
      <c r="AX315" s="924"/>
      <c r="AY315" s="923" t="s">
        <v>140</v>
      </c>
      <c r="AZ315" s="928" t="s">
        <v>140</v>
      </c>
      <c r="BA315" s="924"/>
      <c r="BB315" s="924"/>
      <c r="BC315" s="924"/>
      <c r="BD315" s="449"/>
      <c r="BE315" s="449"/>
      <c r="BF315" s="923"/>
      <c r="BG315" s="924">
        <v>7</v>
      </c>
      <c r="BH315" s="924"/>
      <c r="BI315" s="924"/>
      <c r="BJ315" s="924">
        <v>7</v>
      </c>
      <c r="BK315" s="924"/>
      <c r="BL315" s="924"/>
      <c r="BM315" s="924"/>
      <c r="BN315" s="924"/>
      <c r="BO315" s="924"/>
      <c r="BP315" s="923"/>
      <c r="BQ315" s="930"/>
      <c r="BR315" s="929"/>
      <c r="BS315" s="923"/>
      <c r="BT315" s="424"/>
      <c r="BU315" s="424"/>
      <c r="BV315" s="426"/>
      <c r="BW315" s="424"/>
      <c r="BX315" s="449"/>
      <c r="BY315" s="449"/>
      <c r="BZ315" s="449"/>
      <c r="CA315" s="449"/>
      <c r="CB315" s="449"/>
      <c r="CC315" s="807"/>
      <c r="CD315" s="449"/>
      <c r="CE315" s="931" t="str">
        <f>IFERROR(WWWW[[#This Row],['#_Water sources passed]]/WWWW[[#This Row],['#_Water sources tested for fecal coliform ]],"no test")</f>
        <v>no test</v>
      </c>
      <c r="CF315" s="929" t="str">
        <f>IFERROR(WWWW[[#This Row],['#_Household passed]]/WWWW[[#This Row],['#_Household water samples tested for fecal coliform]],"no test")</f>
        <v>no test</v>
      </c>
      <c r="CG315" s="930" t="str">
        <f>IF(AND(WWWW[[#This Row],[% of water sources passed]]="no test",WWWW[[#This Row],[% Household passed]]="no test"),"No Test","Tested")</f>
        <v>No Test</v>
      </c>
      <c r="CH315" s="930">
        <f>WWWW[[#This Row],['#_Constructed/existing protected hand dug well]]-WWWW[[#This Row],['#_Non-functional protected hand dug well]]</f>
        <v>0</v>
      </c>
      <c r="CI315" s="930">
        <f>(WWWW[[#This Row],['#_Constructed/Existing tube wells/boreholes/handpumps_WASH_agency]]+WWWW[[#This Row],['#_Non-Cluster partner water tube-wells/boreholes/handpumps]])-WWWW[[#This Row],['#_Non-functional tube wells/boreholes/handpumps]]</f>
        <v>0</v>
      </c>
      <c r="CJ315" s="930">
        <f>WWWW[[#This Row],['#_Constructed/Existingwater storage tank with gravity fed reticulation system]]-WWWW[[#This Row],['#_Non-functional storage tank gravity fed reticulation system]]</f>
        <v>0</v>
      </c>
      <c r="CK315" s="930">
        <f>(WWWW[[#This Row],['#_Water_Liters_supplied_by_Water boating or water trucking]]/90)/15</f>
        <v>0</v>
      </c>
      <c r="CL315" s="930">
        <f>WWWW[[#This Row],['#_Water_Liters_from_Constructed/Existing water distribution system from river or natural spring]]/90/15</f>
        <v>0</v>
      </c>
      <c r="CM315" s="425">
        <f>IF(WWWW[[#This Row],['#_of water points in TLS/CFS]]*500&gt;WWWW[[#This Row],[Total PoP ]],WWWW[[#This Row],[Total PoP ]],WWWW[[#This Row],['#_of water points in TLS/CFS]]*500)</f>
        <v>0</v>
      </c>
      <c r="CN315" s="425">
        <f>IF(WWWW[[#This Row],['#_of water points in THF]]*500&gt;WWWW[[#This Row],[Total PoP ]],WWWW[[#This Row],[Total PoP ]],WWWW[[#This Row],['#_of water points in THF]]*500)</f>
        <v>0</v>
      </c>
      <c r="CO31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5" s="929">
        <f>IF(WWWW[[#This Row],[Location Type 1]]="Village",WWWW[[#This Row],[Access to safe drinking water for Village]],WWWW[[#This Row],[Access to safe drinking water for Camp]])</f>
        <v>0</v>
      </c>
      <c r="CR315" s="927">
        <f>WWWW[[#This Row],[%Equitable and continuous access to sufficient quantity of safe drinking water]]*WWWW[[#This Row],[Total PoP ]]</f>
        <v>0</v>
      </c>
      <c r="CS315" s="929">
        <f>IF((WWWW[[#This Row],['#_Constructed/Existing protected/fenced ponds]]*250)/WWWW[[#This Row],[Total PoP ]]&gt;1,1,(WWWW[[#This Row],['#_Constructed/Existing protected/fenced ponds]]*250)/WWWW[[#This Row],[Total PoP ]])</f>
        <v>0</v>
      </c>
      <c r="CT315" s="927">
        <f>WWWW[[#This Row],[% Access to unimproved water points]]*WWWW[[#This Row],[Total PoP ]]</f>
        <v>0</v>
      </c>
      <c r="CU31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5" s="927">
        <f>WWWW[[#This Row],[HRP1]]/500</f>
        <v>0</v>
      </c>
      <c r="CX315" s="932">
        <f>1-WWWW[[#This Row],[% Equitable and continuous access to sufficient quantity of domestic water]]</f>
        <v>1</v>
      </c>
      <c r="CY315" s="927">
        <f>WWWW[[#This Row],[%equitable and continuous access to sufficient quantity of safe drinking and domestic water''s GAP]]*WWWW[[#This Row],[Total PoP ]]</f>
        <v>906</v>
      </c>
      <c r="CZ315" s="930">
        <f>IF(WWWW[[#This Row],[Total required water points]]-WWWW[[#This Row],['#Water points coverage]]&lt;0,0,WWWW[[#This Row],[Total required water points]]-WWWW[[#This Row],['#Water points coverage]])</f>
        <v>2</v>
      </c>
      <c r="DA315" s="930">
        <f>ROUND(IF(WWWW[[#This Row],[Total PoP ]]&lt;500,1,WWWW[[#This Row],[Total PoP ]]/500),0)</f>
        <v>2</v>
      </c>
      <c r="DB315" s="930">
        <f>(WWWW[[#This Row],['#_Constructed latrines_by_WASHAgencies]]+WWWW[[#This Row],['#_Non Cluster partner latrines]])-WWWW[[#This Row],['#_Non-functional latrines]]</f>
        <v>0</v>
      </c>
      <c r="DC315" s="634">
        <f>WWWW[[#This Row],[HRP2]]/WWWW[[#This Row],[Total PoP ]]</f>
        <v>0</v>
      </c>
      <c r="DD31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5" s="425">
        <f>IF(WWWW[[#This Row],['# of functional latrines in THF supported by WASH partners during the reporting period2]]="",0,WWWW[[#This Row],['# of functional latrines in THF supported by WASH partners during the reporting period2]]*50)</f>
        <v>0</v>
      </c>
      <c r="DH315" s="930">
        <f>ROUND(IF(WWWW[[#This Row],[Location Type 1]]="camp",WWWW[[#This Row],[Total PoP ]]/20,IF(WWWW[[#This Row],[Location Type 1]]="Temporary Location",WWWW[[#This Row],[Total PoP ]]/50,(WWWW[[#This Row],[Total PoP ]]/6))),0)</f>
        <v>45</v>
      </c>
      <c r="DI315" s="930">
        <f>IF(WWWW[[#This Row],[Total required Latrines]]-(WWWW[[#This Row],['#_Constructed latrines_by_WASHAgencies]]+WWWW[[#This Row],['#_Non Cluster partner latrines]])&lt;0,0,WWWW[[#This Row],[Total required Latrines]]-(WWWW[[#This Row],['#_Constructed latrines_by_WASHAgencies]]+WWWW[[#This Row],['#_Non Cluster partner latrines]]))</f>
        <v>45</v>
      </c>
      <c r="DJ315" s="932">
        <f>1-WWWW[[#This Row],[% people access to functioning Latrine]]</f>
        <v>1</v>
      </c>
      <c r="DK315" s="931">
        <f>IF(OR(WWWW[[#This Row],['#_Non-functional latrines]]="",WWWW[[#This Row],['#_Non-functional latrines]]=0),0,WWWW[[#This Row],['#_Non-functional latrines]]/(WWWW[[#This Row],['#_Constructed latrines_by_WASHAgencies]]+WWWW[[#This Row],['#_Non Cluster partner latrines]]))</f>
        <v>0</v>
      </c>
      <c r="DL315" s="927">
        <f>IF(500*(WWWW[[#This Row],['#_male hygiene promoters]]+WWWW[[#This Row],['#_female hygiene promoters]])&gt;WWWW[[#This Row],[Total PoP ]],WWWW[[#This Row],[Total PoP ]],500*(WWWW[[#This Row],['#_male hygiene promoters]]+WWWW[[#This Row],['#_female hygiene promoters]]))</f>
        <v>0</v>
      </c>
      <c r="DM31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5" s="930">
        <f>IF(WWWW[[#This Row],['# People with access to soap]]&gt;WWWW[[#This Row],['# People with access to Sanity Pads]],WWWW[[#This Row],['# People with access to soap]],WWWW[[#This Row],['# People with access to Sanity Pads]])</f>
        <v>0</v>
      </c>
      <c r="DP31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5" s="932">
        <f>IF(WWWW[[#This Row],[HRP3]]/WWWW[[#This Row],[Total PoP ]]&gt;1,1,WWWW[[#This Row],[HRP3]]/WWWW[[#This Row],[Total PoP ]])</f>
        <v>0</v>
      </c>
      <c r="DR315" s="931">
        <f>1-WWWW[[#This Row],[Hygiene Coverage%]]</f>
        <v>1</v>
      </c>
      <c r="DS315" s="929">
        <f>WWWW[[#This Row],['# people reached by regular dedicated hygiene promotion_5]]/WWWW[[#This Row],[Total PoP ]]</f>
        <v>0</v>
      </c>
      <c r="DT31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5" s="930">
        <f>WWWW[[#This Row],['#_Constructed/Existing hand washing stations]]-WWWW[[#This Row],['#_Non-Functional_hand_washing_stations]]</f>
        <v>7</v>
      </c>
      <c r="DW315" s="927">
        <f>IF(WWWW[[#This Row],['# Functional hand washing stations during reporting period]]*20&gt;WWWW[[#This Row],[Total HH]],WWWW[[#This Row],[Total HH]],WWWW[[#This Row],['# Functional hand washing stations during reporting period]]*20)</f>
        <v>140</v>
      </c>
      <c r="DX315" s="927">
        <f>IF(WWWW[[#This Row],[Is sufficient soap available for TLS? (Yes/No)]]="yes",WWWW[[#This Row],['#_Constructed/Existing hand washing stations at TLS/CFS/THF]],0)</f>
        <v>0</v>
      </c>
      <c r="DY315" s="429">
        <f>IF(WWWW[[#This Row],['# Functional hand washing stations during reporting period]]*100&gt;WWWW[[#This Row],[Total PoP ]],WWWW[[#This Row],[Total PoP ]],WWWW[[#This Row],['# Functional hand washing stations during reporting period]]*100)</f>
        <v>700</v>
      </c>
      <c r="DZ315" s="429" t="str">
        <f>IF(OR(WWWW[[#This Row],['#_students at TLS_CFS]]="",WWWW[[#This Row],['#_students at TLS_CFS]]=0),"No","Yes")</f>
        <v>No</v>
      </c>
      <c r="EA31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5" s="923">
        <f>VLOOKUP(WWWW[[#This Row],[Site Name]],SiteDB6[[Site Name]:[CCCM Management]],6,FALSE)</f>
        <v>0</v>
      </c>
      <c r="EF315" s="923" t="str">
        <f>VLOOKUP(WWWW[[#This Row],[Site Name]],SiteDB6[[Site Name]:[CCCM Focal Agency]],7,FALSE)</f>
        <v>uncovered</v>
      </c>
      <c r="EG315" s="923" t="str">
        <f>VLOOKUP(WWWW[[#This Row],[Site Name]],SiteDB6[[Site Name]:[Location Type 1]],9,FALSE)</f>
        <v>Camp</v>
      </c>
      <c r="EH315" s="923" t="str">
        <f>VLOOKUP(WWWW[[#This Row],[Site Name]],SiteDB6[[Site Name]:[Type of Accommodation]],10,FALSE)</f>
        <v>IDPs in host</v>
      </c>
      <c r="EI315" s="923" t="str">
        <f>VLOOKUP(WWWW[[#This Row],[Site Name]],SiteDB6[[Site Name]:[Ethnic or GCA/NGCA]],11,FALSE)</f>
        <v>GCA</v>
      </c>
      <c r="EJ315" s="923">
        <f>VLOOKUP(WWWW[[#This Row],[Site Name]],SiteDB6[[Site Name]:[Lat]],12,FALSE)</f>
        <v>24.263786</v>
      </c>
      <c r="EK315" s="923">
        <f>VLOOKUP(WWWW[[#This Row],[Site Name]],SiteDB6[[Site Name]:[Long]],13,FALSE)</f>
        <v>97.228835000000004</v>
      </c>
      <c r="EL315" s="923" t="str">
        <f>VLOOKUP(WWWW[[#This Row],[Site Name]],SiteDB6[[Site Name]:[Pcode]],3,FALSE)</f>
        <v>MMR001CMP163</v>
      </c>
      <c r="EM315" s="928" t="str">
        <f t="shared" si="4"/>
        <v>Notcovered</v>
      </c>
      <c r="EN315" s="928"/>
      <c r="EO315" s="923">
        <f>VLOOKUP(WWWW[[#This Row],[Site Name]],SiteDB6[[Site Name]:[Pop
(Kachin/Shan-CCCM as of July 2021)]],16,FALSE)</f>
        <v>65</v>
      </c>
      <c r="EP315" s="923">
        <f>VLOOKUP(WWWW[[#This Row],[Site Name]],SiteDB6[[Site Name]:[Pop
(Kachin/Shan-CCCM as of July 2021)]],17,FALSE)</f>
        <v>337</v>
      </c>
    </row>
    <row r="316" spans="1:146">
      <c r="A316" s="921" t="s">
        <v>2786</v>
      </c>
      <c r="B316" s="921" t="s">
        <v>309</v>
      </c>
      <c r="C316" s="922" t="s">
        <v>309</v>
      </c>
      <c r="D316" s="922"/>
      <c r="E316" s="922" t="s">
        <v>37</v>
      </c>
      <c r="F316" s="922" t="s">
        <v>146</v>
      </c>
      <c r="G316" s="594" t="str">
        <f>VLOOKUP(WWWW[[#This Row],[Site Name]],SiteDB6[[Site Name]:[Location Type]],8,FALSE)</f>
        <v>Camp</v>
      </c>
      <c r="H316" s="753" t="s">
        <v>3047</v>
      </c>
      <c r="I316" s="924">
        <v>57</v>
      </c>
      <c r="J316" s="924">
        <v>264</v>
      </c>
      <c r="K316" s="925"/>
      <c r="L316" s="926"/>
      <c r="M316" s="924"/>
      <c r="N316" s="924"/>
      <c r="O316" s="924"/>
      <c r="P316" s="924"/>
      <c r="Q316" s="927" t="s">
        <v>41</v>
      </c>
      <c r="R316" s="924"/>
      <c r="S316" s="924"/>
      <c r="T316" s="449"/>
      <c r="U316" s="924"/>
      <c r="V316" s="924"/>
      <c r="W316" s="924"/>
      <c r="X316" s="924"/>
      <c r="Y316" s="924"/>
      <c r="Z316" s="924"/>
      <c r="AA316" s="924"/>
      <c r="AB316" s="924"/>
      <c r="AC316" s="924"/>
      <c r="AD316" s="924"/>
      <c r="AE316" s="924"/>
      <c r="AF316" s="924"/>
      <c r="AG316" s="924"/>
      <c r="AH316" s="924"/>
      <c r="AI316" s="924"/>
      <c r="AJ316" s="924"/>
      <c r="AK316" s="924"/>
      <c r="AL316" s="924"/>
      <c r="AM316" s="924"/>
      <c r="AN316" s="924"/>
      <c r="AO316" s="449"/>
      <c r="AP316" s="928"/>
      <c r="AQ316" s="924">
        <v>28</v>
      </c>
      <c r="AR316" s="924"/>
      <c r="AS316" s="929"/>
      <c r="AT316" s="924"/>
      <c r="AU316" s="924"/>
      <c r="AV316" s="924"/>
      <c r="AW316" s="924"/>
      <c r="AX316" s="924"/>
      <c r="AY316" s="923" t="s">
        <v>41</v>
      </c>
      <c r="AZ316" s="928" t="s">
        <v>137</v>
      </c>
      <c r="BA316" s="924">
        <v>2</v>
      </c>
      <c r="BB316" s="924"/>
      <c r="BC316" s="924"/>
      <c r="BD316" s="449"/>
      <c r="BE316" s="449"/>
      <c r="BF316" s="923"/>
      <c r="BG316" s="924">
        <v>3</v>
      </c>
      <c r="BH316" s="924"/>
      <c r="BI316" s="924"/>
      <c r="BJ316" s="924">
        <v>2</v>
      </c>
      <c r="BK316" s="924"/>
      <c r="BL316" s="924"/>
      <c r="BM316" s="924"/>
      <c r="BN316" s="924"/>
      <c r="BO316" s="924"/>
      <c r="BP316" s="923"/>
      <c r="BQ316" s="930"/>
      <c r="BR316" s="929"/>
      <c r="BS316" s="923"/>
      <c r="BT316" s="424"/>
      <c r="BU316" s="424"/>
      <c r="BV316" s="426"/>
      <c r="BW316" s="424"/>
      <c r="BX316" s="449"/>
      <c r="BY316" s="449"/>
      <c r="BZ316" s="449"/>
      <c r="CA316" s="449"/>
      <c r="CB316" s="449"/>
      <c r="CC316" s="807"/>
      <c r="CD316" s="449"/>
      <c r="CE316" s="931" t="str">
        <f>IFERROR(WWWW[[#This Row],['#_Water sources passed]]/WWWW[[#This Row],['#_Water sources tested for fecal coliform ]],"no test")</f>
        <v>no test</v>
      </c>
      <c r="CF316" s="929" t="str">
        <f>IFERROR(WWWW[[#This Row],['#_Household passed]]/WWWW[[#This Row],['#_Household water samples tested for fecal coliform]],"no test")</f>
        <v>no test</v>
      </c>
      <c r="CG316" s="930" t="str">
        <f>IF(AND(WWWW[[#This Row],[% of water sources passed]]="no test",WWWW[[#This Row],[% Household passed]]="no test"),"No Test","Tested")</f>
        <v>No Test</v>
      </c>
      <c r="CH316" s="930">
        <f>WWWW[[#This Row],['#_Constructed/existing protected hand dug well]]-WWWW[[#This Row],['#_Non-functional protected hand dug well]]</f>
        <v>0</v>
      </c>
      <c r="CI316" s="930">
        <f>(WWWW[[#This Row],['#_Constructed/Existing tube wells/boreholes/handpumps_WASH_agency]]+WWWW[[#This Row],['#_Non-Cluster partner water tube-wells/boreholes/handpumps]])-WWWW[[#This Row],['#_Non-functional tube wells/boreholes/handpumps]]</f>
        <v>0</v>
      </c>
      <c r="CJ316" s="930">
        <f>WWWW[[#This Row],['#_Constructed/Existingwater storage tank with gravity fed reticulation system]]-WWWW[[#This Row],['#_Non-functional storage tank gravity fed reticulation system]]</f>
        <v>0</v>
      </c>
      <c r="CK316" s="930">
        <f>(WWWW[[#This Row],['#_Water_Liters_supplied_by_Water boating or water trucking]]/90)/15</f>
        <v>0</v>
      </c>
      <c r="CL316" s="930">
        <f>WWWW[[#This Row],['#_Water_Liters_from_Constructed/Existing water distribution system from river or natural spring]]/90/15</f>
        <v>0</v>
      </c>
      <c r="CM316" s="425">
        <f>IF(WWWW[[#This Row],['#_of water points in TLS/CFS]]*500&gt;WWWW[[#This Row],[Total PoP ]],WWWW[[#This Row],[Total PoP ]],WWWW[[#This Row],['#_of water points in TLS/CFS]]*500)</f>
        <v>0</v>
      </c>
      <c r="CN316" s="425">
        <f>IF(WWWW[[#This Row],['#_of water points in THF]]*500&gt;WWWW[[#This Row],[Total PoP ]],WWWW[[#This Row],[Total PoP ]],WWWW[[#This Row],['#_of water points in THF]]*500)</f>
        <v>0</v>
      </c>
      <c r="CO31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6" s="929">
        <f>IF(WWWW[[#This Row],[Location Type 1]]="Village",WWWW[[#This Row],[Access to safe drinking water for Village]],WWWW[[#This Row],[Access to safe drinking water for Camp]])</f>
        <v>0</v>
      </c>
      <c r="CR316" s="927">
        <f>WWWW[[#This Row],[%Equitable and continuous access to sufficient quantity of safe drinking water]]*WWWW[[#This Row],[Total PoP ]]</f>
        <v>0</v>
      </c>
      <c r="CS316" s="929">
        <f>IF((WWWW[[#This Row],['#_Constructed/Existing protected/fenced ponds]]*250)/WWWW[[#This Row],[Total PoP ]]&gt;1,1,(WWWW[[#This Row],['#_Constructed/Existing protected/fenced ponds]]*250)/WWWW[[#This Row],[Total PoP ]])</f>
        <v>0</v>
      </c>
      <c r="CT316" s="927">
        <f>WWWW[[#This Row],[% Access to unimproved water points]]*WWWW[[#This Row],[Total PoP ]]</f>
        <v>0</v>
      </c>
      <c r="CU31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6" s="927">
        <f>WWWW[[#This Row],[HRP1]]/500</f>
        <v>0</v>
      </c>
      <c r="CX316" s="932">
        <f>1-WWWW[[#This Row],[% Equitable and continuous access to sufficient quantity of domestic water]]</f>
        <v>1</v>
      </c>
      <c r="CY316" s="927">
        <f>WWWW[[#This Row],[%equitable and continuous access to sufficient quantity of safe drinking and domestic water''s GAP]]*WWWW[[#This Row],[Total PoP ]]</f>
        <v>264</v>
      </c>
      <c r="CZ316" s="930">
        <f>IF(WWWW[[#This Row],[Total required water points]]-WWWW[[#This Row],['#Water points coverage]]&lt;0,0,WWWW[[#This Row],[Total required water points]]-WWWW[[#This Row],['#Water points coverage]])</f>
        <v>1</v>
      </c>
      <c r="DA316" s="930">
        <f>ROUND(IF(WWWW[[#This Row],[Total PoP ]]&lt;500,1,WWWW[[#This Row],[Total PoP ]]/500),0)</f>
        <v>1</v>
      </c>
      <c r="DB316" s="930">
        <f>(WWWW[[#This Row],['#_Constructed latrines_by_WASHAgencies]]+WWWW[[#This Row],['#_Non Cluster partner latrines]])-WWWW[[#This Row],['#_Non-functional latrines]]</f>
        <v>28</v>
      </c>
      <c r="DC316" s="634">
        <f>WWWW[[#This Row],[HRP2]]/WWWW[[#This Row],[Total PoP ]]</f>
        <v>1</v>
      </c>
      <c r="DD31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264</v>
      </c>
      <c r="DE31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6" s="425">
        <f>IF(WWWW[[#This Row],['# of functional latrines in THF supported by WASH partners during the reporting period2]]="",0,WWWW[[#This Row],['# of functional latrines in THF supported by WASH partners during the reporting period2]]*50)</f>
        <v>0</v>
      </c>
      <c r="DH316" s="930">
        <f>ROUND(IF(WWWW[[#This Row],[Location Type 1]]="camp",WWWW[[#This Row],[Total PoP ]]/20,IF(WWWW[[#This Row],[Location Type 1]]="Temporary Location",WWWW[[#This Row],[Total PoP ]]/50,(WWWW[[#This Row],[Total PoP ]]/6))),0)</f>
        <v>13</v>
      </c>
      <c r="DI316" s="930">
        <f>IF(WWWW[[#This Row],[Total required Latrines]]-(WWWW[[#This Row],['#_Constructed latrines_by_WASHAgencies]]+WWWW[[#This Row],['#_Non Cluster partner latrines]])&lt;0,0,WWWW[[#This Row],[Total required Latrines]]-(WWWW[[#This Row],['#_Constructed latrines_by_WASHAgencies]]+WWWW[[#This Row],['#_Non Cluster partner latrines]]))</f>
        <v>0</v>
      </c>
      <c r="DJ316" s="932">
        <f>1-WWWW[[#This Row],[% people access to functioning Latrine]]</f>
        <v>0</v>
      </c>
      <c r="DK316" s="931">
        <f>IF(OR(WWWW[[#This Row],['#_Non-functional latrines]]="",WWWW[[#This Row],['#_Non-functional latrines]]=0),0,WWWW[[#This Row],['#_Non-functional latrines]]/(WWWW[[#This Row],['#_Constructed latrines_by_WASHAgencies]]+WWWW[[#This Row],['#_Non Cluster partner latrines]]))</f>
        <v>0</v>
      </c>
      <c r="DL316" s="927">
        <f>IF(500*(WWWW[[#This Row],['#_male hygiene promoters]]+WWWW[[#This Row],['#_female hygiene promoters]])&gt;WWWW[[#This Row],[Total PoP ]],WWWW[[#This Row],[Total PoP ]],500*(WWWW[[#This Row],['#_male hygiene promoters]]+WWWW[[#This Row],['#_female hygiene promoters]]))</f>
        <v>0</v>
      </c>
      <c r="DM31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6" s="930">
        <f>IF(WWWW[[#This Row],['# People with access to soap]]&gt;WWWW[[#This Row],['# People with access to Sanity Pads]],WWWW[[#This Row],['# People with access to soap]],WWWW[[#This Row],['# People with access to Sanity Pads]])</f>
        <v>0</v>
      </c>
      <c r="DP31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6" s="932">
        <f>IF(WWWW[[#This Row],[HRP3]]/WWWW[[#This Row],[Total PoP ]]&gt;1,1,WWWW[[#This Row],[HRP3]]/WWWW[[#This Row],[Total PoP ]])</f>
        <v>0</v>
      </c>
      <c r="DR316" s="931">
        <f>1-WWWW[[#This Row],[Hygiene Coverage%]]</f>
        <v>1</v>
      </c>
      <c r="DS316" s="929">
        <f>WWWW[[#This Row],['# people reached by regular dedicated hygiene promotion_5]]/WWWW[[#This Row],[Total PoP ]]</f>
        <v>0</v>
      </c>
      <c r="DT31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6" s="930">
        <f>WWWW[[#This Row],['#_Constructed/Existing hand washing stations]]-WWWW[[#This Row],['#_Non-Functional_hand_washing_stations]]</f>
        <v>3</v>
      </c>
      <c r="DW316" s="927">
        <f>IF(WWWW[[#This Row],['# Functional hand washing stations during reporting period]]*20&gt;WWWW[[#This Row],[Total HH]],WWWW[[#This Row],[Total HH]],WWWW[[#This Row],['# Functional hand washing stations during reporting period]]*20)</f>
        <v>57</v>
      </c>
      <c r="DX316" s="927">
        <f>IF(WWWW[[#This Row],[Is sufficient soap available for TLS? (Yes/No)]]="yes",WWWW[[#This Row],['#_Constructed/Existing hand washing stations at TLS/CFS/THF]],0)</f>
        <v>0</v>
      </c>
      <c r="DY316" s="429">
        <f>IF(WWWW[[#This Row],['# Functional hand washing stations during reporting period]]*100&gt;WWWW[[#This Row],[Total PoP ]],WWWW[[#This Row],[Total PoP ]],WWWW[[#This Row],['# Functional hand washing stations during reporting period]]*100)</f>
        <v>264</v>
      </c>
      <c r="DZ316" s="429" t="str">
        <f>IF(OR(WWWW[[#This Row],['#_students at TLS_CFS]]="",WWWW[[#This Row],['#_students at TLS_CFS]]=0),"No","Yes")</f>
        <v>No</v>
      </c>
      <c r="EA31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6" s="923" t="str">
        <f>VLOOKUP(WWWW[[#This Row],[Site Name]],SiteDB6[[Site Name]:[CCCM Management]],6,FALSE)</f>
        <v>Yes</v>
      </c>
      <c r="EF316" s="923" t="str">
        <f>VLOOKUP(WWWW[[#This Row],[Site Name]],SiteDB6[[Site Name]:[CCCM Focal Agency]],7,FALSE)</f>
        <v>KMSS-MYT</v>
      </c>
      <c r="EG316" s="923" t="str">
        <f>VLOOKUP(WWWW[[#This Row],[Site Name]],SiteDB6[[Site Name]:[Location Type 1]],9,FALSE)</f>
        <v>Camp</v>
      </c>
      <c r="EH316" s="923" t="str">
        <f>VLOOKUP(WWWW[[#This Row],[Site Name]],SiteDB6[[Site Name]:[Type of Accommodation]],10,FALSE)</f>
        <v>IDPs in host</v>
      </c>
      <c r="EI316" s="923" t="str">
        <f>VLOOKUP(WWWW[[#This Row],[Site Name]],SiteDB6[[Site Name]:[Ethnic or GCA/NGCA]],11,FALSE)</f>
        <v>GCA</v>
      </c>
      <c r="EJ316" s="923">
        <f>VLOOKUP(WWWW[[#This Row],[Site Name]],SiteDB6[[Site Name]:[Lat]],12,FALSE)</f>
        <v>25.60867</v>
      </c>
      <c r="EK316" s="923">
        <f>VLOOKUP(WWWW[[#This Row],[Site Name]],SiteDB6[[Site Name]:[Long]],13,FALSE)</f>
        <v>98.377780000000001</v>
      </c>
      <c r="EL316" s="923" t="str">
        <f>VLOOKUP(WWWW[[#This Row],[Site Name]],SiteDB6[[Site Name]:[Pcode]],3,FALSE)</f>
        <v>MMR001CMP210</v>
      </c>
      <c r="EM316" s="928" t="str">
        <f t="shared" si="4"/>
        <v>Notcovered</v>
      </c>
      <c r="EN316" s="928"/>
      <c r="EO316" s="923">
        <f>VLOOKUP(WWWW[[#This Row],[Site Name]],SiteDB6[[Site Name]:[Pop
(Kachin/Shan-CCCM as of July 2021)]],16,FALSE)</f>
        <v>4</v>
      </c>
      <c r="EP316" s="923">
        <f>VLOOKUP(WWWW[[#This Row],[Site Name]],SiteDB6[[Site Name]:[Pop
(Kachin/Shan-CCCM as of July 2021)]],17,FALSE)</f>
        <v>20</v>
      </c>
    </row>
    <row r="317" spans="1:146">
      <c r="A317" s="921" t="s">
        <v>2786</v>
      </c>
      <c r="B317" s="921" t="s">
        <v>309</v>
      </c>
      <c r="C317" s="922" t="s">
        <v>309</v>
      </c>
      <c r="D317" s="922"/>
      <c r="E317" s="922" t="s">
        <v>37</v>
      </c>
      <c r="F317" s="922" t="s">
        <v>148</v>
      </c>
      <c r="G317" s="594" t="str">
        <f>VLOOKUP(WWWW[[#This Row],[Site Name]],SiteDB6[[Site Name]:[Location Type]],8,FALSE)</f>
        <v>Camp</v>
      </c>
      <c r="H317" s="922" t="s">
        <v>257</v>
      </c>
      <c r="I317" s="924">
        <v>3</v>
      </c>
      <c r="J317" s="924">
        <v>15</v>
      </c>
      <c r="K317" s="925" t="s">
        <v>2672</v>
      </c>
      <c r="L317" s="926" t="s">
        <v>2673</v>
      </c>
      <c r="M317" s="924"/>
      <c r="N317" s="924">
        <v>0</v>
      </c>
      <c r="O317" s="924"/>
      <c r="P317" s="924"/>
      <c r="Q317" s="927" t="s">
        <v>41</v>
      </c>
      <c r="R317" s="924"/>
      <c r="S317" s="924">
        <v>5</v>
      </c>
      <c r="T317" s="449">
        <v>1</v>
      </c>
      <c r="U317" s="924"/>
      <c r="V317" s="924"/>
      <c r="W317" s="924">
        <v>1</v>
      </c>
      <c r="X317" s="924"/>
      <c r="Y317" s="924"/>
      <c r="Z317" s="924"/>
      <c r="AA317" s="924"/>
      <c r="AB317" s="924"/>
      <c r="AC317" s="924"/>
      <c r="AD317" s="924"/>
      <c r="AE317" s="924"/>
      <c r="AF317" s="924"/>
      <c r="AG317" s="924"/>
      <c r="AH317" s="924">
        <v>1</v>
      </c>
      <c r="AI317" s="924"/>
      <c r="AJ317" s="924"/>
      <c r="AK317" s="924"/>
      <c r="AL317" s="924"/>
      <c r="AM317" s="924"/>
      <c r="AN317" s="924"/>
      <c r="AO317" s="449"/>
      <c r="AP317" s="928"/>
      <c r="AQ317" s="924">
        <v>0</v>
      </c>
      <c r="AR317" s="924"/>
      <c r="AS317" s="929"/>
      <c r="AT317" s="924"/>
      <c r="AU317" s="924"/>
      <c r="AV317" s="924"/>
      <c r="AW317" s="924"/>
      <c r="AX317" s="924">
        <v>0</v>
      </c>
      <c r="AY317" s="923" t="s">
        <v>41</v>
      </c>
      <c r="AZ317" s="928" t="s">
        <v>904</v>
      </c>
      <c r="BA317" s="924"/>
      <c r="BB317" s="924"/>
      <c r="BC317" s="924"/>
      <c r="BD317" s="449"/>
      <c r="BE317" s="449"/>
      <c r="BF317" s="923"/>
      <c r="BG317" s="924">
        <v>7</v>
      </c>
      <c r="BH317" s="924"/>
      <c r="BI317" s="924">
        <v>0</v>
      </c>
      <c r="BJ317" s="924">
        <v>4</v>
      </c>
      <c r="BK317" s="924"/>
      <c r="BL317" s="924"/>
      <c r="BM317" s="924"/>
      <c r="BN317" s="924"/>
      <c r="BO317" s="924"/>
      <c r="BP317" s="923"/>
      <c r="BQ317" s="930"/>
      <c r="BR317" s="929"/>
      <c r="BS317" s="923"/>
      <c r="BT317" s="424"/>
      <c r="BU317" s="424"/>
      <c r="BV317" s="426"/>
      <c r="BW317" s="424"/>
      <c r="BX317" s="449"/>
      <c r="BY317" s="449"/>
      <c r="BZ317" s="449"/>
      <c r="CA317" s="449"/>
      <c r="CB317" s="449"/>
      <c r="CC317" s="807"/>
      <c r="CD317" s="449"/>
      <c r="CE317" s="931" t="str">
        <f>IFERROR(WWWW[[#This Row],['#_Water sources passed]]/WWWW[[#This Row],['#_Water sources tested for fecal coliform ]],"no test")</f>
        <v>no test</v>
      </c>
      <c r="CF317" s="929" t="str">
        <f>IFERROR(WWWW[[#This Row],['#_Household passed]]/WWWW[[#This Row],['#_Household water samples tested for fecal coliform]],"no test")</f>
        <v>no test</v>
      </c>
      <c r="CG317" s="930" t="str">
        <f>IF(AND(WWWW[[#This Row],[% of water sources passed]]="no test",WWWW[[#This Row],[% Household passed]]="no test"),"No Test","Tested")</f>
        <v>No Test</v>
      </c>
      <c r="CH317" s="930">
        <f>WWWW[[#This Row],['#_Constructed/existing protected hand dug well]]-WWWW[[#This Row],['#_Non-functional protected hand dug well]]</f>
        <v>1</v>
      </c>
      <c r="CI317" s="930">
        <f>(WWWW[[#This Row],['#_Constructed/Existing tube wells/boreholes/handpumps_WASH_agency]]+WWWW[[#This Row],['#_Non-Cluster partner water tube-wells/boreholes/handpumps]])-WWWW[[#This Row],['#_Non-functional tube wells/boreholes/handpumps]]</f>
        <v>1</v>
      </c>
      <c r="CJ317" s="930">
        <f>WWWW[[#This Row],['#_Constructed/Existingwater storage tank with gravity fed reticulation system]]-WWWW[[#This Row],['#_Non-functional storage tank gravity fed reticulation system]]</f>
        <v>0</v>
      </c>
      <c r="CK317" s="930">
        <f>(WWWW[[#This Row],['#_Water_Liters_supplied_by_Water boating or water trucking]]/90)/15</f>
        <v>0</v>
      </c>
      <c r="CL317" s="930">
        <f>WWWW[[#This Row],['#_Water_Liters_from_Constructed/Existing water distribution system from river or natural spring]]/90/15</f>
        <v>0</v>
      </c>
      <c r="CM317" s="425">
        <f>IF(WWWW[[#This Row],['#_of water points in TLS/CFS]]*500&gt;WWWW[[#This Row],[Total PoP ]],WWWW[[#This Row],[Total PoP ]],WWWW[[#This Row],['#_of water points in TLS/CFS]]*500)</f>
        <v>0</v>
      </c>
      <c r="CN317" s="425">
        <f>IF(WWWW[[#This Row],['#_of water points in THF]]*500&gt;WWWW[[#This Row],[Total PoP ]],WWWW[[#This Row],[Total PoP ]],WWWW[[#This Row],['#_of water points in THF]]*500)</f>
        <v>0</v>
      </c>
      <c r="CO31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1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17" s="929">
        <f>IF(WWWW[[#This Row],[Location Type 1]]="Village",WWWW[[#This Row],[Access to safe drinking water for Village]],WWWW[[#This Row],[Access to safe drinking water for Camp]])</f>
        <v>1</v>
      </c>
      <c r="CR317" s="927">
        <f>WWWW[[#This Row],[%Equitable and continuous access to sufficient quantity of safe drinking water]]*WWWW[[#This Row],[Total PoP ]]</f>
        <v>15</v>
      </c>
      <c r="CS317" s="929">
        <f>IF((WWWW[[#This Row],['#_Constructed/Existing protected/fenced ponds]]*250)/WWWW[[#This Row],[Total PoP ]]&gt;1,1,(WWWW[[#This Row],['#_Constructed/Existing protected/fenced ponds]]*250)/WWWW[[#This Row],[Total PoP ]])</f>
        <v>0</v>
      </c>
      <c r="CT317" s="927">
        <f>WWWW[[#This Row],[% Access to unimproved water points]]*WWWW[[#This Row],[Total PoP ]]</f>
        <v>0</v>
      </c>
      <c r="CU31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1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W317" s="927">
        <f>WWWW[[#This Row],[HRP1]]/500</f>
        <v>0.03</v>
      </c>
      <c r="CX317" s="932">
        <f>1-WWWW[[#This Row],[% Equitable and continuous access to sufficient quantity of domestic water]]</f>
        <v>0</v>
      </c>
      <c r="CY317" s="927">
        <f>WWWW[[#This Row],[%equitable and continuous access to sufficient quantity of safe drinking and domestic water''s GAP]]*WWWW[[#This Row],[Total PoP ]]</f>
        <v>0</v>
      </c>
      <c r="CZ317" s="930">
        <f>IF(WWWW[[#This Row],[Total required water points]]-WWWW[[#This Row],['#Water points coverage]]&lt;0,0,WWWW[[#This Row],[Total required water points]]-WWWW[[#This Row],['#Water points coverage]])</f>
        <v>0.97</v>
      </c>
      <c r="DA317" s="930">
        <f>ROUND(IF(WWWW[[#This Row],[Total PoP ]]&lt;500,1,WWWW[[#This Row],[Total PoP ]]/500),0)</f>
        <v>1</v>
      </c>
      <c r="DB317" s="930">
        <f>(WWWW[[#This Row],['#_Constructed latrines_by_WASHAgencies]]+WWWW[[#This Row],['#_Non Cluster partner latrines]])-WWWW[[#This Row],['#_Non-functional latrines]]</f>
        <v>0</v>
      </c>
      <c r="DC317" s="634">
        <f>WWWW[[#This Row],[HRP2]]/WWWW[[#This Row],[Total PoP ]]</f>
        <v>0</v>
      </c>
      <c r="DD31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7" s="425">
        <f>IF(WWWW[[#This Row],['# of functional latrines in THF supported by WASH partners during the reporting period2]]="",0,WWWW[[#This Row],['# of functional latrines in THF supported by WASH partners during the reporting period2]]*50)</f>
        <v>0</v>
      </c>
      <c r="DH317" s="930">
        <f>ROUND(IF(WWWW[[#This Row],[Location Type 1]]="camp",WWWW[[#This Row],[Total PoP ]]/20,IF(WWWW[[#This Row],[Location Type 1]]="Temporary Location",WWWW[[#This Row],[Total PoP ]]/50,(WWWW[[#This Row],[Total PoP ]]/6))),0)</f>
        <v>1</v>
      </c>
      <c r="DI317" s="930">
        <f>IF(WWWW[[#This Row],[Total required Latrines]]-(WWWW[[#This Row],['#_Constructed latrines_by_WASHAgencies]]+WWWW[[#This Row],['#_Non Cluster partner latrines]])&lt;0,0,WWWW[[#This Row],[Total required Latrines]]-(WWWW[[#This Row],['#_Constructed latrines_by_WASHAgencies]]+WWWW[[#This Row],['#_Non Cluster partner latrines]]))</f>
        <v>1</v>
      </c>
      <c r="DJ317" s="932">
        <f>1-WWWW[[#This Row],[% people access to functioning Latrine]]</f>
        <v>1</v>
      </c>
      <c r="DK317" s="931">
        <f>IF(OR(WWWW[[#This Row],['#_Non-functional latrines]]="",WWWW[[#This Row],['#_Non-functional latrines]]=0),0,WWWW[[#This Row],['#_Non-functional latrines]]/(WWWW[[#This Row],['#_Constructed latrines_by_WASHAgencies]]+WWWW[[#This Row],['#_Non Cluster partner latrines]]))</f>
        <v>0</v>
      </c>
      <c r="DL317" s="927">
        <f>IF(500*(WWWW[[#This Row],['#_male hygiene promoters]]+WWWW[[#This Row],['#_female hygiene promoters]])&gt;WWWW[[#This Row],[Total PoP ]],WWWW[[#This Row],[Total PoP ]],500*(WWWW[[#This Row],['#_male hygiene promoters]]+WWWW[[#This Row],['#_female hygiene promoters]]))</f>
        <v>0</v>
      </c>
      <c r="DM31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7" s="930">
        <f>IF(WWWW[[#This Row],['# People with access to soap]]&gt;WWWW[[#This Row],['# People with access to Sanity Pads]],WWWW[[#This Row],['# People with access to soap]],WWWW[[#This Row],['# People with access to Sanity Pads]])</f>
        <v>0</v>
      </c>
      <c r="DP31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7" s="932">
        <f>IF(WWWW[[#This Row],[HRP3]]/WWWW[[#This Row],[Total PoP ]]&gt;1,1,WWWW[[#This Row],[HRP3]]/WWWW[[#This Row],[Total PoP ]])</f>
        <v>0</v>
      </c>
      <c r="DR317" s="931">
        <f>1-WWWW[[#This Row],[Hygiene Coverage%]]</f>
        <v>1</v>
      </c>
      <c r="DS317" s="929">
        <f>WWWW[[#This Row],['# people reached by regular dedicated hygiene promotion_5]]/WWWW[[#This Row],[Total PoP ]]</f>
        <v>0</v>
      </c>
      <c r="DT31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7" s="930">
        <f>WWWW[[#This Row],['#_Constructed/Existing hand washing stations]]-WWWW[[#This Row],['#_Non-Functional_hand_washing_stations]]</f>
        <v>7</v>
      </c>
      <c r="DW317" s="927">
        <f>IF(WWWW[[#This Row],['# Functional hand washing stations during reporting period]]*20&gt;WWWW[[#This Row],[Total HH]],WWWW[[#This Row],[Total HH]],WWWW[[#This Row],['# Functional hand washing stations during reporting period]]*20)</f>
        <v>3</v>
      </c>
      <c r="DX317" s="927">
        <f>IF(WWWW[[#This Row],[Is sufficient soap available for TLS? (Yes/No)]]="yes",WWWW[[#This Row],['#_Constructed/Existing hand washing stations at TLS/CFS/THF]],0)</f>
        <v>0</v>
      </c>
      <c r="DY317" s="429">
        <f>IF(WWWW[[#This Row],['# Functional hand washing stations during reporting period]]*100&gt;WWWW[[#This Row],[Total PoP ]],WWWW[[#This Row],[Total PoP ]],WWWW[[#This Row],['# Functional hand washing stations during reporting period]]*100)</f>
        <v>15</v>
      </c>
      <c r="DZ317" s="429" t="str">
        <f>IF(OR(WWWW[[#This Row],['#_students at TLS_CFS]]="",WWWW[[#This Row],['#_students at TLS_CFS]]=0),"No","Yes")</f>
        <v>No</v>
      </c>
      <c r="EA31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7" s="923" t="str">
        <f>VLOOKUP(WWWW[[#This Row],[Site Name]],SiteDB6[[Site Name]:[CCCM Management]],6,FALSE)</f>
        <v>Yes</v>
      </c>
      <c r="EF317" s="923" t="str">
        <f>VLOOKUP(WWWW[[#This Row],[Site Name]],SiteDB6[[Site Name]:[CCCM Focal Agency]],7,FALSE)</f>
        <v>Shalom</v>
      </c>
      <c r="EG317" s="923" t="str">
        <f>VLOOKUP(WWWW[[#This Row],[Site Name]],SiteDB6[[Site Name]:[Location Type 1]],9,FALSE)</f>
        <v>Camp</v>
      </c>
      <c r="EH317" s="923" t="str">
        <f>VLOOKUP(WWWW[[#This Row],[Site Name]],SiteDB6[[Site Name]:[Type of Accommodation]],10,FALSE)</f>
        <v>Camp like setting</v>
      </c>
      <c r="EI317" s="923" t="str">
        <f>VLOOKUP(WWWW[[#This Row],[Site Name]],SiteDB6[[Site Name]:[Ethnic or GCA/NGCA]],11,FALSE)</f>
        <v>GCA</v>
      </c>
      <c r="EJ317" s="923">
        <f>VLOOKUP(WWWW[[#This Row],[Site Name]],SiteDB6[[Site Name]:[Lat]],12,FALSE)</f>
        <v>25.6145</v>
      </c>
      <c r="EK317" s="923">
        <f>VLOOKUP(WWWW[[#This Row],[Site Name]],SiteDB6[[Site Name]:[Long]],13,FALSE)</f>
        <v>96.319829999999996</v>
      </c>
      <c r="EL317" s="923" t="str">
        <f>VLOOKUP(WWWW[[#This Row],[Site Name]],SiteDB6[[Site Name]:[Pcode]],3,FALSE)</f>
        <v>MMR001CMP091</v>
      </c>
      <c r="EM317" s="928" t="str">
        <f t="shared" si="4"/>
        <v>Notcovered</v>
      </c>
      <c r="EN317" s="928"/>
      <c r="EO317" s="923">
        <f>VLOOKUP(WWWW[[#This Row],[Site Name]],SiteDB6[[Site Name]:[Pop
(Kachin/Shan-CCCM as of July 2021)]],16,FALSE)</f>
        <v>3</v>
      </c>
      <c r="EP317" s="923">
        <f>VLOOKUP(WWWW[[#This Row],[Site Name]],SiteDB6[[Site Name]:[Pop
(Kachin/Shan-CCCM as of July 2021)]],17,FALSE)</f>
        <v>14</v>
      </c>
    </row>
    <row r="318" spans="1:146">
      <c r="A318" s="921" t="s">
        <v>2786</v>
      </c>
      <c r="B318" s="921" t="s">
        <v>309</v>
      </c>
      <c r="C318" s="922" t="s">
        <v>309</v>
      </c>
      <c r="D318" s="922"/>
      <c r="E318" s="922" t="s">
        <v>37</v>
      </c>
      <c r="F318" s="922" t="s">
        <v>148</v>
      </c>
      <c r="G318" s="594" t="str">
        <f>VLOOKUP(WWWW[[#This Row],[Site Name]],SiteDB6[[Site Name]:[Location Type]],8,FALSE)</f>
        <v>Camp</v>
      </c>
      <c r="H318" s="753" t="s">
        <v>3045</v>
      </c>
      <c r="I318" s="924">
        <v>95</v>
      </c>
      <c r="J318" s="924">
        <v>472</v>
      </c>
      <c r="K318" s="925"/>
      <c r="L318" s="926"/>
      <c r="M318" s="924"/>
      <c r="N318" s="924"/>
      <c r="O318" s="924"/>
      <c r="P318" s="924"/>
      <c r="Q318" s="927"/>
      <c r="R318" s="924"/>
      <c r="S318" s="924"/>
      <c r="T318" s="449"/>
      <c r="U318" s="924"/>
      <c r="V318" s="924"/>
      <c r="W318" s="924"/>
      <c r="X318" s="924"/>
      <c r="Y318" s="924"/>
      <c r="Z318" s="924"/>
      <c r="AA318" s="924"/>
      <c r="AB318" s="924"/>
      <c r="AC318" s="924"/>
      <c r="AD318" s="924"/>
      <c r="AE318" s="924"/>
      <c r="AF318" s="924"/>
      <c r="AG318" s="924"/>
      <c r="AH318" s="924"/>
      <c r="AI318" s="924"/>
      <c r="AJ318" s="924"/>
      <c r="AK318" s="924"/>
      <c r="AL318" s="924"/>
      <c r="AM318" s="924"/>
      <c r="AN318" s="924"/>
      <c r="AO318" s="449"/>
      <c r="AP318" s="928"/>
      <c r="AQ318" s="924"/>
      <c r="AR318" s="924"/>
      <c r="AS318" s="929"/>
      <c r="AT318" s="924"/>
      <c r="AU318" s="924"/>
      <c r="AV318" s="924"/>
      <c r="AW318" s="924"/>
      <c r="AX318" s="924"/>
      <c r="AY318" s="923" t="s">
        <v>140</v>
      </c>
      <c r="AZ318" s="928" t="s">
        <v>140</v>
      </c>
      <c r="BA318" s="924"/>
      <c r="BB318" s="924"/>
      <c r="BC318" s="924"/>
      <c r="BD318" s="449"/>
      <c r="BE318" s="449"/>
      <c r="BF318" s="923"/>
      <c r="BG318" s="924">
        <v>8</v>
      </c>
      <c r="BH318" s="924"/>
      <c r="BI318" s="924"/>
      <c r="BJ318" s="924">
        <v>3</v>
      </c>
      <c r="BK318" s="924"/>
      <c r="BL318" s="924"/>
      <c r="BM318" s="924"/>
      <c r="BN318" s="924"/>
      <c r="BO318" s="924"/>
      <c r="BP318" s="923"/>
      <c r="BQ318" s="930"/>
      <c r="BR318" s="929"/>
      <c r="BS318" s="923"/>
      <c r="BT318" s="424"/>
      <c r="BU318" s="424"/>
      <c r="BV318" s="426"/>
      <c r="BW318" s="424"/>
      <c r="BX318" s="449"/>
      <c r="BY318" s="449"/>
      <c r="BZ318" s="449"/>
      <c r="CA318" s="449"/>
      <c r="CB318" s="449"/>
      <c r="CC318" s="807"/>
      <c r="CD318" s="449"/>
      <c r="CE318" s="931" t="str">
        <f>IFERROR(WWWW[[#This Row],['#_Water sources passed]]/WWWW[[#This Row],['#_Water sources tested for fecal coliform ]],"no test")</f>
        <v>no test</v>
      </c>
      <c r="CF318" s="929" t="str">
        <f>IFERROR(WWWW[[#This Row],['#_Household passed]]/WWWW[[#This Row],['#_Household water samples tested for fecal coliform]],"no test")</f>
        <v>no test</v>
      </c>
      <c r="CG318" s="930" t="str">
        <f>IF(AND(WWWW[[#This Row],[% of water sources passed]]="no test",WWWW[[#This Row],[% Household passed]]="no test"),"No Test","Tested")</f>
        <v>No Test</v>
      </c>
      <c r="CH318" s="930">
        <f>WWWW[[#This Row],['#_Constructed/existing protected hand dug well]]-WWWW[[#This Row],['#_Non-functional protected hand dug well]]</f>
        <v>0</v>
      </c>
      <c r="CI318" s="930">
        <f>(WWWW[[#This Row],['#_Constructed/Existing tube wells/boreholes/handpumps_WASH_agency]]+WWWW[[#This Row],['#_Non-Cluster partner water tube-wells/boreholes/handpumps]])-WWWW[[#This Row],['#_Non-functional tube wells/boreholes/handpumps]]</f>
        <v>0</v>
      </c>
      <c r="CJ318" s="930">
        <f>WWWW[[#This Row],['#_Constructed/Existingwater storage tank with gravity fed reticulation system]]-WWWW[[#This Row],['#_Non-functional storage tank gravity fed reticulation system]]</f>
        <v>0</v>
      </c>
      <c r="CK318" s="930">
        <f>(WWWW[[#This Row],['#_Water_Liters_supplied_by_Water boating or water trucking]]/90)/15</f>
        <v>0</v>
      </c>
      <c r="CL318" s="930">
        <f>WWWW[[#This Row],['#_Water_Liters_from_Constructed/Existing water distribution system from river or natural spring]]/90/15</f>
        <v>0</v>
      </c>
      <c r="CM318" s="425">
        <f>IF(WWWW[[#This Row],['#_of water points in TLS/CFS]]*500&gt;WWWW[[#This Row],[Total PoP ]],WWWW[[#This Row],[Total PoP ]],WWWW[[#This Row],['#_of water points in TLS/CFS]]*500)</f>
        <v>0</v>
      </c>
      <c r="CN318" s="425">
        <f>IF(WWWW[[#This Row],['#_of water points in THF]]*500&gt;WWWW[[#This Row],[Total PoP ]],WWWW[[#This Row],[Total PoP ]],WWWW[[#This Row],['#_of water points in THF]]*500)</f>
        <v>0</v>
      </c>
      <c r="CO31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8" s="929">
        <f>IF(WWWW[[#This Row],[Location Type 1]]="Village",WWWW[[#This Row],[Access to safe drinking water for Village]],WWWW[[#This Row],[Access to safe drinking water for Camp]])</f>
        <v>0</v>
      </c>
      <c r="CR318" s="927">
        <f>WWWW[[#This Row],[%Equitable and continuous access to sufficient quantity of safe drinking water]]*WWWW[[#This Row],[Total PoP ]]</f>
        <v>0</v>
      </c>
      <c r="CS318" s="929">
        <f>IF((WWWW[[#This Row],['#_Constructed/Existing protected/fenced ponds]]*250)/WWWW[[#This Row],[Total PoP ]]&gt;1,1,(WWWW[[#This Row],['#_Constructed/Existing protected/fenced ponds]]*250)/WWWW[[#This Row],[Total PoP ]])</f>
        <v>0</v>
      </c>
      <c r="CT318" s="927">
        <f>WWWW[[#This Row],[% Access to unimproved water points]]*WWWW[[#This Row],[Total PoP ]]</f>
        <v>0</v>
      </c>
      <c r="CU31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8" s="927">
        <f>WWWW[[#This Row],[HRP1]]/500</f>
        <v>0</v>
      </c>
      <c r="CX318" s="932">
        <f>1-WWWW[[#This Row],[% Equitable and continuous access to sufficient quantity of domestic water]]</f>
        <v>1</v>
      </c>
      <c r="CY318" s="927">
        <f>WWWW[[#This Row],[%equitable and continuous access to sufficient quantity of safe drinking and domestic water''s GAP]]*WWWW[[#This Row],[Total PoP ]]</f>
        <v>472</v>
      </c>
      <c r="CZ318" s="930">
        <f>IF(WWWW[[#This Row],[Total required water points]]-WWWW[[#This Row],['#Water points coverage]]&lt;0,0,WWWW[[#This Row],[Total required water points]]-WWWW[[#This Row],['#Water points coverage]])</f>
        <v>1</v>
      </c>
      <c r="DA318" s="930">
        <f>ROUND(IF(WWWW[[#This Row],[Total PoP ]]&lt;500,1,WWWW[[#This Row],[Total PoP ]]/500),0)</f>
        <v>1</v>
      </c>
      <c r="DB318" s="930">
        <f>(WWWW[[#This Row],['#_Constructed latrines_by_WASHAgencies]]+WWWW[[#This Row],['#_Non Cluster partner latrines]])-WWWW[[#This Row],['#_Non-functional latrines]]</f>
        <v>0</v>
      </c>
      <c r="DC318" s="634">
        <f>WWWW[[#This Row],[HRP2]]/WWWW[[#This Row],[Total PoP ]]</f>
        <v>0</v>
      </c>
      <c r="DD31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8" s="425">
        <f>IF(WWWW[[#This Row],['# of functional latrines in THF supported by WASH partners during the reporting period2]]="",0,WWWW[[#This Row],['# of functional latrines in THF supported by WASH partners during the reporting period2]]*50)</f>
        <v>0</v>
      </c>
      <c r="DH318" s="930">
        <f>ROUND(IF(WWWW[[#This Row],[Location Type 1]]="camp",WWWW[[#This Row],[Total PoP ]]/20,IF(WWWW[[#This Row],[Location Type 1]]="Temporary Location",WWWW[[#This Row],[Total PoP ]]/50,(WWWW[[#This Row],[Total PoP ]]/6))),0)</f>
        <v>24</v>
      </c>
      <c r="DI318" s="930">
        <f>IF(WWWW[[#This Row],[Total required Latrines]]-(WWWW[[#This Row],['#_Constructed latrines_by_WASHAgencies]]+WWWW[[#This Row],['#_Non Cluster partner latrines]])&lt;0,0,WWWW[[#This Row],[Total required Latrines]]-(WWWW[[#This Row],['#_Constructed latrines_by_WASHAgencies]]+WWWW[[#This Row],['#_Non Cluster partner latrines]]))</f>
        <v>24</v>
      </c>
      <c r="DJ318" s="932">
        <f>1-WWWW[[#This Row],[% people access to functioning Latrine]]</f>
        <v>1</v>
      </c>
      <c r="DK318" s="931">
        <f>IF(OR(WWWW[[#This Row],['#_Non-functional latrines]]="",WWWW[[#This Row],['#_Non-functional latrines]]=0),0,WWWW[[#This Row],['#_Non-functional latrines]]/(WWWW[[#This Row],['#_Constructed latrines_by_WASHAgencies]]+WWWW[[#This Row],['#_Non Cluster partner latrines]]))</f>
        <v>0</v>
      </c>
      <c r="DL318" s="927">
        <f>IF(500*(WWWW[[#This Row],['#_male hygiene promoters]]+WWWW[[#This Row],['#_female hygiene promoters]])&gt;WWWW[[#This Row],[Total PoP ]],WWWW[[#This Row],[Total PoP ]],500*(WWWW[[#This Row],['#_male hygiene promoters]]+WWWW[[#This Row],['#_female hygiene promoters]]))</f>
        <v>0</v>
      </c>
      <c r="DM31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8" s="930">
        <f>IF(WWWW[[#This Row],['# People with access to soap]]&gt;WWWW[[#This Row],['# People with access to Sanity Pads]],WWWW[[#This Row],['# People with access to soap]],WWWW[[#This Row],['# People with access to Sanity Pads]])</f>
        <v>0</v>
      </c>
      <c r="DP31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8" s="932">
        <f>IF(WWWW[[#This Row],[HRP3]]/WWWW[[#This Row],[Total PoP ]]&gt;1,1,WWWW[[#This Row],[HRP3]]/WWWW[[#This Row],[Total PoP ]])</f>
        <v>0</v>
      </c>
      <c r="DR318" s="931">
        <f>1-WWWW[[#This Row],[Hygiene Coverage%]]</f>
        <v>1</v>
      </c>
      <c r="DS318" s="929">
        <f>WWWW[[#This Row],['# people reached by regular dedicated hygiene promotion_5]]/WWWW[[#This Row],[Total PoP ]]</f>
        <v>0</v>
      </c>
      <c r="DT31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8" s="930">
        <f>WWWW[[#This Row],['#_Constructed/Existing hand washing stations]]-WWWW[[#This Row],['#_Non-Functional_hand_washing_stations]]</f>
        <v>8</v>
      </c>
      <c r="DW318" s="927">
        <f>IF(WWWW[[#This Row],['# Functional hand washing stations during reporting period]]*20&gt;WWWW[[#This Row],[Total HH]],WWWW[[#This Row],[Total HH]],WWWW[[#This Row],['# Functional hand washing stations during reporting period]]*20)</f>
        <v>95</v>
      </c>
      <c r="DX318" s="927">
        <f>IF(WWWW[[#This Row],[Is sufficient soap available for TLS? (Yes/No)]]="yes",WWWW[[#This Row],['#_Constructed/Existing hand washing stations at TLS/CFS/THF]],0)</f>
        <v>0</v>
      </c>
      <c r="DY318" s="429">
        <f>IF(WWWW[[#This Row],['# Functional hand washing stations during reporting period]]*100&gt;WWWW[[#This Row],[Total PoP ]],WWWW[[#This Row],[Total PoP ]],WWWW[[#This Row],['# Functional hand washing stations during reporting period]]*100)</f>
        <v>472</v>
      </c>
      <c r="DZ318" s="429" t="str">
        <f>IF(OR(WWWW[[#This Row],['#_students at TLS_CFS]]="",WWWW[[#This Row],['#_students at TLS_CFS]]=0),"No","Yes")</f>
        <v>No</v>
      </c>
      <c r="EA31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8" s="923" t="str">
        <f>VLOOKUP(WWWW[[#This Row],[Site Name]],SiteDB6[[Site Name]:[CCCM Management]],6,FALSE)</f>
        <v>Yes</v>
      </c>
      <c r="EF318" s="923" t="str">
        <f>VLOOKUP(WWWW[[#This Row],[Site Name]],SiteDB6[[Site Name]:[CCCM Focal Agency]],7,FALSE)</f>
        <v>KMSS-MYT</v>
      </c>
      <c r="EG318" s="923" t="str">
        <f>VLOOKUP(WWWW[[#This Row],[Site Name]],SiteDB6[[Site Name]:[Location Type 1]],9,FALSE)</f>
        <v>Camp</v>
      </c>
      <c r="EH318" s="923" t="str">
        <f>VLOOKUP(WWWW[[#This Row],[Site Name]],SiteDB6[[Site Name]:[Type of Accommodation]],10,FALSE)</f>
        <v>Camp</v>
      </c>
      <c r="EI318" s="923" t="str">
        <f>VLOOKUP(WWWW[[#This Row],[Site Name]],SiteDB6[[Site Name]:[Ethnic or GCA/NGCA]],11,FALSE)</f>
        <v>GCA</v>
      </c>
      <c r="EJ318" s="923">
        <f>VLOOKUP(WWWW[[#This Row],[Site Name]],SiteDB6[[Site Name]:[Lat]],12,FALSE)</f>
        <v>25.656009999999998</v>
      </c>
      <c r="EK318" s="923">
        <f>VLOOKUP(WWWW[[#This Row],[Site Name]],SiteDB6[[Site Name]:[Long]],13,FALSE)</f>
        <v>96.361609999999999</v>
      </c>
      <c r="EL318" s="923" t="str">
        <f>VLOOKUP(WWWW[[#This Row],[Site Name]],SiteDB6[[Site Name]:[Pcode]],3,FALSE)</f>
        <v>MMR001CMP168</v>
      </c>
      <c r="EM318" s="928" t="str">
        <f t="shared" si="4"/>
        <v>Notcovered</v>
      </c>
      <c r="EN318" s="928"/>
      <c r="EO318" s="923">
        <f>VLOOKUP(WWWW[[#This Row],[Site Name]],SiteDB6[[Site Name]:[Pop
(Kachin/Shan-CCCM as of July 2021)]],16,FALSE)</f>
        <v>90</v>
      </c>
      <c r="EP318" s="923">
        <f>VLOOKUP(WWWW[[#This Row],[Site Name]],SiteDB6[[Site Name]:[Pop
(Kachin/Shan-CCCM as of July 2021)]],17,FALSE)</f>
        <v>456</v>
      </c>
    </row>
    <row r="319" spans="1:146" hidden="1">
      <c r="A319" s="921" t="s">
        <v>2786</v>
      </c>
      <c r="B319" s="921" t="s">
        <v>309</v>
      </c>
      <c r="C319" s="922" t="s">
        <v>309</v>
      </c>
      <c r="D319" s="922"/>
      <c r="E319" s="922" t="s">
        <v>515</v>
      </c>
      <c r="F319" s="922" t="s">
        <v>556</v>
      </c>
      <c r="G319" s="594" t="str">
        <f>VLOOKUP(WWWW[[#This Row],[Site Name]],SiteDB6[[Site Name]:[Location Type]],8,FALSE)</f>
        <v>Camp</v>
      </c>
      <c r="H319" s="922" t="s">
        <v>557</v>
      </c>
      <c r="I319" s="924">
        <v>37</v>
      </c>
      <c r="J319" s="924">
        <v>120</v>
      </c>
      <c r="K319" s="925"/>
      <c r="L319" s="926"/>
      <c r="M319" s="924"/>
      <c r="N319" s="924"/>
      <c r="O319" s="924"/>
      <c r="P319" s="924"/>
      <c r="Q319" s="927"/>
      <c r="R319" s="924"/>
      <c r="S319" s="924"/>
      <c r="T319" s="449"/>
      <c r="U319" s="924"/>
      <c r="V319" s="924"/>
      <c r="W319" s="924"/>
      <c r="X319" s="924"/>
      <c r="Y319" s="924"/>
      <c r="Z319" s="924"/>
      <c r="AA319" s="924"/>
      <c r="AB319" s="924"/>
      <c r="AC319" s="924"/>
      <c r="AD319" s="924"/>
      <c r="AE319" s="924"/>
      <c r="AF319" s="924"/>
      <c r="AG319" s="924"/>
      <c r="AH319" s="924"/>
      <c r="AI319" s="924"/>
      <c r="AJ319" s="924"/>
      <c r="AK319" s="924"/>
      <c r="AL319" s="924"/>
      <c r="AM319" s="924"/>
      <c r="AN319" s="924"/>
      <c r="AO319" s="449"/>
      <c r="AP319" s="928"/>
      <c r="AQ319" s="924"/>
      <c r="AR319" s="924"/>
      <c r="AS319" s="929"/>
      <c r="AT319" s="924"/>
      <c r="AU319" s="924"/>
      <c r="AV319" s="924"/>
      <c r="AW319" s="924"/>
      <c r="AX319" s="924"/>
      <c r="AY319" s="923" t="s">
        <v>140</v>
      </c>
      <c r="AZ319" s="928" t="s">
        <v>140</v>
      </c>
      <c r="BA319" s="924"/>
      <c r="BB319" s="924"/>
      <c r="BC319" s="924"/>
      <c r="BD319" s="449"/>
      <c r="BE319" s="449"/>
      <c r="BF319" s="923"/>
      <c r="BG319" s="924">
        <v>1</v>
      </c>
      <c r="BH319" s="924"/>
      <c r="BI319" s="924"/>
      <c r="BJ319" s="924">
        <v>1</v>
      </c>
      <c r="BK319" s="924"/>
      <c r="BL319" s="924"/>
      <c r="BM319" s="924"/>
      <c r="BN319" s="924"/>
      <c r="BO319" s="924"/>
      <c r="BP319" s="923"/>
      <c r="BQ319" s="930"/>
      <c r="BR319" s="929"/>
      <c r="BS319" s="923"/>
      <c r="BT319" s="424"/>
      <c r="BU319" s="424"/>
      <c r="BV319" s="426"/>
      <c r="BW319" s="424"/>
      <c r="BX319" s="449"/>
      <c r="BY319" s="449"/>
      <c r="BZ319" s="449"/>
      <c r="CA319" s="449"/>
      <c r="CB319" s="449"/>
      <c r="CC319" s="807"/>
      <c r="CD319" s="449"/>
      <c r="CE319" s="931" t="str">
        <f>IFERROR(WWWW[[#This Row],['#_Water sources passed]]/WWWW[[#This Row],['#_Water sources tested for fecal coliform ]],"no test")</f>
        <v>no test</v>
      </c>
      <c r="CF319" s="929" t="str">
        <f>IFERROR(WWWW[[#This Row],['#_Household passed]]/WWWW[[#This Row],['#_Household water samples tested for fecal coliform]],"no test")</f>
        <v>no test</v>
      </c>
      <c r="CG319" s="930" t="str">
        <f>IF(AND(WWWW[[#This Row],[% of water sources passed]]="no test",WWWW[[#This Row],[% Household passed]]="no test"),"No Test","Tested")</f>
        <v>No Test</v>
      </c>
      <c r="CH319" s="930">
        <f>WWWW[[#This Row],['#_Constructed/existing protected hand dug well]]-WWWW[[#This Row],['#_Non-functional protected hand dug well]]</f>
        <v>0</v>
      </c>
      <c r="CI319" s="930">
        <f>(WWWW[[#This Row],['#_Constructed/Existing tube wells/boreholes/handpumps_WASH_agency]]+WWWW[[#This Row],['#_Non-Cluster partner water tube-wells/boreholes/handpumps]])-WWWW[[#This Row],['#_Non-functional tube wells/boreholes/handpumps]]</f>
        <v>0</v>
      </c>
      <c r="CJ319" s="930">
        <f>WWWW[[#This Row],['#_Constructed/Existingwater storage tank with gravity fed reticulation system]]-WWWW[[#This Row],['#_Non-functional storage tank gravity fed reticulation system]]</f>
        <v>0</v>
      </c>
      <c r="CK319" s="930">
        <f>(WWWW[[#This Row],['#_Water_Liters_supplied_by_Water boating or water trucking]]/90)/15</f>
        <v>0</v>
      </c>
      <c r="CL319" s="930">
        <f>WWWW[[#This Row],['#_Water_Liters_from_Constructed/Existing water distribution system from river or natural spring]]/90/15</f>
        <v>0</v>
      </c>
      <c r="CM319" s="425">
        <f>IF(WWWW[[#This Row],['#_of water points in TLS/CFS]]*500&gt;WWWW[[#This Row],[Total PoP ]],WWWW[[#This Row],[Total PoP ]],WWWW[[#This Row],['#_of water points in TLS/CFS]]*500)</f>
        <v>0</v>
      </c>
      <c r="CN319" s="425">
        <f>IF(WWWW[[#This Row],['#_of water points in THF]]*500&gt;WWWW[[#This Row],[Total PoP ]],WWWW[[#This Row],[Total PoP ]],WWWW[[#This Row],['#_of water points in THF]]*500)</f>
        <v>0</v>
      </c>
      <c r="CO31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1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19" s="929">
        <f>IF(WWWW[[#This Row],[Location Type 1]]="Village",WWWW[[#This Row],[Access to safe drinking water for Village]],WWWW[[#This Row],[Access to safe drinking water for Camp]])</f>
        <v>0</v>
      </c>
      <c r="CR319" s="927">
        <f>WWWW[[#This Row],[%Equitable and continuous access to sufficient quantity of safe drinking water]]*WWWW[[#This Row],[Total PoP ]]</f>
        <v>0</v>
      </c>
      <c r="CS319" s="929">
        <f>IF((WWWW[[#This Row],['#_Constructed/Existing protected/fenced ponds]]*250)/WWWW[[#This Row],[Total PoP ]]&gt;1,1,(WWWW[[#This Row],['#_Constructed/Existing protected/fenced ponds]]*250)/WWWW[[#This Row],[Total PoP ]])</f>
        <v>0</v>
      </c>
      <c r="CT319" s="927">
        <f>WWWW[[#This Row],[% Access to unimproved water points]]*WWWW[[#This Row],[Total PoP ]]</f>
        <v>0</v>
      </c>
      <c r="CU31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1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19" s="927">
        <f>WWWW[[#This Row],[HRP1]]/500</f>
        <v>0</v>
      </c>
      <c r="CX319" s="932">
        <f>1-WWWW[[#This Row],[% Equitable and continuous access to sufficient quantity of domestic water]]</f>
        <v>1</v>
      </c>
      <c r="CY319" s="927">
        <f>WWWW[[#This Row],[%equitable and continuous access to sufficient quantity of safe drinking and domestic water''s GAP]]*WWWW[[#This Row],[Total PoP ]]</f>
        <v>120</v>
      </c>
      <c r="CZ319" s="930">
        <f>IF(WWWW[[#This Row],[Total required water points]]-WWWW[[#This Row],['#Water points coverage]]&lt;0,0,WWWW[[#This Row],[Total required water points]]-WWWW[[#This Row],['#Water points coverage]])</f>
        <v>1</v>
      </c>
      <c r="DA319" s="930">
        <f>ROUND(IF(WWWW[[#This Row],[Total PoP ]]&lt;500,1,WWWW[[#This Row],[Total PoP ]]/500),0)</f>
        <v>1</v>
      </c>
      <c r="DB319" s="930">
        <f>(WWWW[[#This Row],['#_Constructed latrines_by_WASHAgencies]]+WWWW[[#This Row],['#_Non Cluster partner latrines]])-WWWW[[#This Row],['#_Non-functional latrines]]</f>
        <v>0</v>
      </c>
      <c r="DC319" s="634">
        <f>WWWW[[#This Row],[HRP2]]/WWWW[[#This Row],[Total PoP ]]</f>
        <v>0</v>
      </c>
      <c r="DD31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1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1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19" s="425">
        <f>IF(WWWW[[#This Row],['# of functional latrines in THF supported by WASH partners during the reporting period2]]="",0,WWWW[[#This Row],['# of functional latrines in THF supported by WASH partners during the reporting period2]]*50)</f>
        <v>0</v>
      </c>
      <c r="DH319" s="930">
        <f>ROUND(IF(WWWW[[#This Row],[Location Type 1]]="camp",WWWW[[#This Row],[Total PoP ]]/20,IF(WWWW[[#This Row],[Location Type 1]]="Temporary Location",WWWW[[#This Row],[Total PoP ]]/50,(WWWW[[#This Row],[Total PoP ]]/6))),0)</f>
        <v>6</v>
      </c>
      <c r="DI319" s="930">
        <f>IF(WWWW[[#This Row],[Total required Latrines]]-(WWWW[[#This Row],['#_Constructed latrines_by_WASHAgencies]]+WWWW[[#This Row],['#_Non Cluster partner latrines]])&lt;0,0,WWWW[[#This Row],[Total required Latrines]]-(WWWW[[#This Row],['#_Constructed latrines_by_WASHAgencies]]+WWWW[[#This Row],['#_Non Cluster partner latrines]]))</f>
        <v>6</v>
      </c>
      <c r="DJ319" s="932">
        <f>1-WWWW[[#This Row],[% people access to functioning Latrine]]</f>
        <v>1</v>
      </c>
      <c r="DK319" s="931">
        <f>IF(OR(WWWW[[#This Row],['#_Non-functional latrines]]="",WWWW[[#This Row],['#_Non-functional latrines]]=0),0,WWWW[[#This Row],['#_Non-functional latrines]]/(WWWW[[#This Row],['#_Constructed latrines_by_WASHAgencies]]+WWWW[[#This Row],['#_Non Cluster partner latrines]]))</f>
        <v>0</v>
      </c>
      <c r="DL319" s="927">
        <f>IF(500*(WWWW[[#This Row],['#_male hygiene promoters]]+WWWW[[#This Row],['#_female hygiene promoters]])&gt;WWWW[[#This Row],[Total PoP ]],WWWW[[#This Row],[Total PoP ]],500*(WWWW[[#This Row],['#_male hygiene promoters]]+WWWW[[#This Row],['#_female hygiene promoters]]))</f>
        <v>0</v>
      </c>
      <c r="DM31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1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19" s="930">
        <f>IF(WWWW[[#This Row],['# People with access to soap]]&gt;WWWW[[#This Row],['# People with access to Sanity Pads]],WWWW[[#This Row],['# People with access to soap]],WWWW[[#This Row],['# People with access to Sanity Pads]])</f>
        <v>0</v>
      </c>
      <c r="DP31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19" s="932">
        <f>IF(WWWW[[#This Row],[HRP3]]/WWWW[[#This Row],[Total PoP ]]&gt;1,1,WWWW[[#This Row],[HRP3]]/WWWW[[#This Row],[Total PoP ]])</f>
        <v>0</v>
      </c>
      <c r="DR319" s="931">
        <f>1-WWWW[[#This Row],[Hygiene Coverage%]]</f>
        <v>1</v>
      </c>
      <c r="DS319" s="929">
        <f>WWWW[[#This Row],['# people reached by regular dedicated hygiene promotion_5]]/WWWW[[#This Row],[Total PoP ]]</f>
        <v>0</v>
      </c>
      <c r="DT31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1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19" s="930">
        <f>WWWW[[#This Row],['#_Constructed/Existing hand washing stations]]-WWWW[[#This Row],['#_Non-Functional_hand_washing_stations]]</f>
        <v>1</v>
      </c>
      <c r="DW319" s="927">
        <f>IF(WWWW[[#This Row],['# Functional hand washing stations during reporting period]]*20&gt;WWWW[[#This Row],[Total HH]],WWWW[[#This Row],[Total HH]],WWWW[[#This Row],['# Functional hand washing stations during reporting period]]*20)</f>
        <v>20</v>
      </c>
      <c r="DX319" s="927">
        <f>IF(WWWW[[#This Row],[Is sufficient soap available for TLS? (Yes/No)]]="yes",WWWW[[#This Row],['#_Constructed/Existing hand washing stations at TLS/CFS/THF]],0)</f>
        <v>0</v>
      </c>
      <c r="DY319" s="429">
        <f>IF(WWWW[[#This Row],['# Functional hand washing stations during reporting period]]*100&gt;WWWW[[#This Row],[Total PoP ]],WWWW[[#This Row],[Total PoP ]],WWWW[[#This Row],['# Functional hand washing stations during reporting period]]*100)</f>
        <v>100</v>
      </c>
      <c r="DZ319" s="429" t="str">
        <f>IF(OR(WWWW[[#This Row],['#_students at TLS_CFS]]="",WWWW[[#This Row],['#_students at TLS_CFS]]=0),"No","Yes")</f>
        <v>No</v>
      </c>
      <c r="EA31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1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1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1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19" s="923">
        <f>VLOOKUP(WWWW[[#This Row],[Site Name]],SiteDB6[[Site Name]:[CCCM Management]],6,FALSE)</f>
        <v>0</v>
      </c>
      <c r="EF319" s="923" t="str">
        <f>VLOOKUP(WWWW[[#This Row],[Site Name]],SiteDB6[[Site Name]:[CCCM Focal Agency]],7,FALSE)</f>
        <v>uncovered</v>
      </c>
      <c r="EG319" s="923" t="str">
        <f>VLOOKUP(WWWW[[#This Row],[Site Name]],SiteDB6[[Site Name]:[Location Type 1]],9,FALSE)</f>
        <v>Camp</v>
      </c>
      <c r="EH319" s="923" t="str">
        <f>VLOOKUP(WWWW[[#This Row],[Site Name]],SiteDB6[[Site Name]:[Type of Accommodation]],10,FALSE)</f>
        <v>Camp like setting</v>
      </c>
      <c r="EI319" s="923" t="str">
        <f>VLOOKUP(WWWW[[#This Row],[Site Name]],SiteDB6[[Site Name]:[Ethnic or GCA/NGCA]],11,FALSE)</f>
        <v>GCA</v>
      </c>
      <c r="EJ319" s="923">
        <f>VLOOKUP(WWWW[[#This Row],[Site Name]],SiteDB6[[Site Name]:[Lat]],12,FALSE)</f>
        <v>22.677008000000001</v>
      </c>
      <c r="EK319" s="923">
        <f>VLOOKUP(WWWW[[#This Row],[Site Name]],SiteDB6[[Site Name]:[Long]],13,FALSE)</f>
        <v>97.314762999999999</v>
      </c>
      <c r="EL319" s="923" t="str">
        <f>VLOOKUP(WWWW[[#This Row],[Site Name]],SiteDB6[[Site Name]:[Pcode]],3,FALSE)</f>
        <v>MMR015CMP062</v>
      </c>
      <c r="EM319" s="928" t="str">
        <f t="shared" si="4"/>
        <v>Notcovered</v>
      </c>
      <c r="EN319" s="928"/>
      <c r="EO319" s="923">
        <f>VLOOKUP(WWWW[[#This Row],[Site Name]],SiteDB6[[Site Name]:[Pop
(Kachin/Shan-CCCM as of July 2021)]],16,FALSE)</f>
        <v>37</v>
      </c>
      <c r="EP319" s="923">
        <f>VLOOKUP(WWWW[[#This Row],[Site Name]],SiteDB6[[Site Name]:[Pop
(Kachin/Shan-CCCM as of July 2021)]],17,FALSE)</f>
        <v>120</v>
      </c>
    </row>
    <row r="320" spans="1:146" hidden="1">
      <c r="A320" s="921" t="s">
        <v>2786</v>
      </c>
      <c r="B320" s="921" t="s">
        <v>309</v>
      </c>
      <c r="C320" s="922" t="s">
        <v>309</v>
      </c>
      <c r="D320" s="922"/>
      <c r="E320" s="922" t="s">
        <v>515</v>
      </c>
      <c r="F320" s="922" t="s">
        <v>960</v>
      </c>
      <c r="G320" s="594" t="str">
        <f>VLOOKUP(WWWW[[#This Row],[Site Name]],SiteDB6[[Site Name]:[Location Type]],8,FALSE)</f>
        <v>Camp</v>
      </c>
      <c r="H320" s="922" t="s">
        <v>2718</v>
      </c>
      <c r="I320" s="924">
        <v>142</v>
      </c>
      <c r="J320" s="924">
        <v>504</v>
      </c>
      <c r="K320" s="925"/>
      <c r="L320" s="926"/>
      <c r="M320" s="924"/>
      <c r="N320" s="924"/>
      <c r="O320" s="924"/>
      <c r="P320" s="924"/>
      <c r="Q320" s="927"/>
      <c r="R320" s="924"/>
      <c r="S320" s="924"/>
      <c r="T320" s="449"/>
      <c r="U320" s="924"/>
      <c r="V320" s="924"/>
      <c r="W320" s="924"/>
      <c r="X320" s="924"/>
      <c r="Y320" s="924"/>
      <c r="Z320" s="924"/>
      <c r="AA320" s="924"/>
      <c r="AB320" s="924"/>
      <c r="AC320" s="924"/>
      <c r="AD320" s="924"/>
      <c r="AE320" s="924"/>
      <c r="AF320" s="924"/>
      <c r="AG320" s="924"/>
      <c r="AH320" s="924"/>
      <c r="AI320" s="924"/>
      <c r="AJ320" s="924"/>
      <c r="AK320" s="924"/>
      <c r="AL320" s="924"/>
      <c r="AM320" s="924"/>
      <c r="AN320" s="924"/>
      <c r="AO320" s="449"/>
      <c r="AP320" s="928"/>
      <c r="AQ320" s="924"/>
      <c r="AR320" s="924"/>
      <c r="AS320" s="929"/>
      <c r="AT320" s="924"/>
      <c r="AU320" s="924"/>
      <c r="AV320" s="924"/>
      <c r="AW320" s="924"/>
      <c r="AX320" s="924"/>
      <c r="AY320" s="426" t="s">
        <v>140</v>
      </c>
      <c r="AZ320" s="426" t="s">
        <v>140</v>
      </c>
      <c r="BA320" s="924"/>
      <c r="BB320" s="924"/>
      <c r="BC320" s="924"/>
      <c r="BD320" s="449"/>
      <c r="BE320" s="449"/>
      <c r="BF320" s="923"/>
      <c r="BG320" s="924"/>
      <c r="BH320" s="924"/>
      <c r="BI320" s="924"/>
      <c r="BJ320" s="924"/>
      <c r="BK320" s="924"/>
      <c r="BL320" s="924"/>
      <c r="BM320" s="924"/>
      <c r="BN320" s="924"/>
      <c r="BO320" s="924"/>
      <c r="BP320" s="923"/>
      <c r="BQ320" s="930"/>
      <c r="BR320" s="929"/>
      <c r="BS320" s="923"/>
      <c r="BT320" s="424"/>
      <c r="BU320" s="424"/>
      <c r="BV320" s="426"/>
      <c r="BW320" s="424"/>
      <c r="BX320" s="449"/>
      <c r="BY320" s="449"/>
      <c r="BZ320" s="449"/>
      <c r="CA320" s="449"/>
      <c r="CB320" s="449"/>
      <c r="CC320" s="807"/>
      <c r="CD320" s="449"/>
      <c r="CE320" s="931" t="str">
        <f>IFERROR(WWWW[[#This Row],['#_Water sources passed]]/WWWW[[#This Row],['#_Water sources tested for fecal coliform ]],"no test")</f>
        <v>no test</v>
      </c>
      <c r="CF320" s="929" t="str">
        <f>IFERROR(WWWW[[#This Row],['#_Household passed]]/WWWW[[#This Row],['#_Household water samples tested for fecal coliform]],"no test")</f>
        <v>no test</v>
      </c>
      <c r="CG320" s="930" t="str">
        <f>IF(AND(WWWW[[#This Row],[% of water sources passed]]="no test",WWWW[[#This Row],[% Household passed]]="no test"),"No Test","Tested")</f>
        <v>No Test</v>
      </c>
      <c r="CH320" s="930">
        <f>WWWW[[#This Row],['#_Constructed/existing protected hand dug well]]-WWWW[[#This Row],['#_Non-functional protected hand dug well]]</f>
        <v>0</v>
      </c>
      <c r="CI320" s="930">
        <f>(WWWW[[#This Row],['#_Constructed/Existing tube wells/boreholes/handpumps_WASH_agency]]+WWWW[[#This Row],['#_Non-Cluster partner water tube-wells/boreholes/handpumps]])-WWWW[[#This Row],['#_Non-functional tube wells/boreholes/handpumps]]</f>
        <v>0</v>
      </c>
      <c r="CJ320" s="930">
        <f>WWWW[[#This Row],['#_Constructed/Existingwater storage tank with gravity fed reticulation system]]-WWWW[[#This Row],['#_Non-functional storage tank gravity fed reticulation system]]</f>
        <v>0</v>
      </c>
      <c r="CK320" s="930">
        <f>(WWWW[[#This Row],['#_Water_Liters_supplied_by_Water boating or water trucking]]/90)/15</f>
        <v>0</v>
      </c>
      <c r="CL320" s="930">
        <f>WWWW[[#This Row],['#_Water_Liters_from_Constructed/Existing water distribution system from river or natural spring]]/90/15</f>
        <v>0</v>
      </c>
      <c r="CM320" s="425">
        <f>IF(WWWW[[#This Row],['#_of water points in TLS/CFS]]*500&gt;WWWW[[#This Row],[Total PoP ]],WWWW[[#This Row],[Total PoP ]],WWWW[[#This Row],['#_of water points in TLS/CFS]]*500)</f>
        <v>0</v>
      </c>
      <c r="CN320" s="425">
        <f>IF(WWWW[[#This Row],['#_of water points in THF]]*500&gt;WWWW[[#This Row],[Total PoP ]],WWWW[[#This Row],[Total PoP ]],WWWW[[#This Row],['#_of water points in THF]]*500)</f>
        <v>0</v>
      </c>
      <c r="CO32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0" s="929">
        <f>IF(WWWW[[#This Row],[Location Type 1]]="Village",WWWW[[#This Row],[Access to safe drinking water for Village]],WWWW[[#This Row],[Access to safe drinking water for Camp]])</f>
        <v>0</v>
      </c>
      <c r="CR320" s="927">
        <f>WWWW[[#This Row],[%Equitable and continuous access to sufficient quantity of safe drinking water]]*WWWW[[#This Row],[Total PoP ]]</f>
        <v>0</v>
      </c>
      <c r="CS320" s="929">
        <f>IF((WWWW[[#This Row],['#_Constructed/Existing protected/fenced ponds]]*250)/WWWW[[#This Row],[Total PoP ]]&gt;1,1,(WWWW[[#This Row],['#_Constructed/Existing protected/fenced ponds]]*250)/WWWW[[#This Row],[Total PoP ]])</f>
        <v>0</v>
      </c>
      <c r="CT320" s="927">
        <f>WWWW[[#This Row],[% Access to unimproved water points]]*WWWW[[#This Row],[Total PoP ]]</f>
        <v>0</v>
      </c>
      <c r="CU32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0" s="927">
        <f>WWWW[[#This Row],[HRP1]]/500</f>
        <v>0</v>
      </c>
      <c r="CX320" s="932">
        <f>1-WWWW[[#This Row],[% Equitable and continuous access to sufficient quantity of domestic water]]</f>
        <v>1</v>
      </c>
      <c r="CY320" s="927">
        <f>WWWW[[#This Row],[%equitable and continuous access to sufficient quantity of safe drinking and domestic water''s GAP]]*WWWW[[#This Row],[Total PoP ]]</f>
        <v>504</v>
      </c>
      <c r="CZ320" s="930">
        <f>IF(WWWW[[#This Row],[Total required water points]]-WWWW[[#This Row],['#Water points coverage]]&lt;0,0,WWWW[[#This Row],[Total required water points]]-WWWW[[#This Row],['#Water points coverage]])</f>
        <v>1</v>
      </c>
      <c r="DA320" s="930">
        <f>ROUND(IF(WWWW[[#This Row],[Total PoP ]]&lt;500,1,WWWW[[#This Row],[Total PoP ]]/500),0)</f>
        <v>1</v>
      </c>
      <c r="DB320" s="930">
        <f>(WWWW[[#This Row],['#_Constructed latrines_by_WASHAgencies]]+WWWW[[#This Row],['#_Non Cluster partner latrines]])-WWWW[[#This Row],['#_Non-functional latrines]]</f>
        <v>0</v>
      </c>
      <c r="DC320" s="634">
        <f>WWWW[[#This Row],[HRP2]]/WWWW[[#This Row],[Total PoP ]]</f>
        <v>0</v>
      </c>
      <c r="DD32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0" s="425">
        <f>IF(WWWW[[#This Row],['# of functional latrines in THF supported by WASH partners during the reporting period2]]="",0,WWWW[[#This Row],['# of functional latrines in THF supported by WASH partners during the reporting period2]]*50)</f>
        <v>0</v>
      </c>
      <c r="DH320" s="930">
        <f>ROUND(IF(WWWW[[#This Row],[Location Type 1]]="camp",WWWW[[#This Row],[Total PoP ]]/20,IF(WWWW[[#This Row],[Location Type 1]]="Temporary Location",WWWW[[#This Row],[Total PoP ]]/50,(WWWW[[#This Row],[Total PoP ]]/6))),0)</f>
        <v>25</v>
      </c>
      <c r="DI320" s="930">
        <f>IF(WWWW[[#This Row],[Total required Latrines]]-(WWWW[[#This Row],['#_Constructed latrines_by_WASHAgencies]]+WWWW[[#This Row],['#_Non Cluster partner latrines]])&lt;0,0,WWWW[[#This Row],[Total required Latrines]]-(WWWW[[#This Row],['#_Constructed latrines_by_WASHAgencies]]+WWWW[[#This Row],['#_Non Cluster partner latrines]]))</f>
        <v>25</v>
      </c>
      <c r="DJ320" s="932">
        <f>1-WWWW[[#This Row],[% people access to functioning Latrine]]</f>
        <v>1</v>
      </c>
      <c r="DK320" s="931">
        <f>IF(OR(WWWW[[#This Row],['#_Non-functional latrines]]="",WWWW[[#This Row],['#_Non-functional latrines]]=0),0,WWWW[[#This Row],['#_Non-functional latrines]]/(WWWW[[#This Row],['#_Constructed latrines_by_WASHAgencies]]+WWWW[[#This Row],['#_Non Cluster partner latrines]]))</f>
        <v>0</v>
      </c>
      <c r="DL320" s="927">
        <f>IF(500*(WWWW[[#This Row],['#_male hygiene promoters]]+WWWW[[#This Row],['#_female hygiene promoters]])&gt;WWWW[[#This Row],[Total PoP ]],WWWW[[#This Row],[Total PoP ]],500*(WWWW[[#This Row],['#_male hygiene promoters]]+WWWW[[#This Row],['#_female hygiene promoters]]))</f>
        <v>0</v>
      </c>
      <c r="DM32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0" s="930">
        <f>IF(WWWW[[#This Row],['# People with access to soap]]&gt;WWWW[[#This Row],['# People with access to Sanity Pads]],WWWW[[#This Row],['# People with access to soap]],WWWW[[#This Row],['# People with access to Sanity Pads]])</f>
        <v>0</v>
      </c>
      <c r="DP32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0" s="932">
        <f>IF(WWWW[[#This Row],[HRP3]]/WWWW[[#This Row],[Total PoP ]]&gt;1,1,WWWW[[#This Row],[HRP3]]/WWWW[[#This Row],[Total PoP ]])</f>
        <v>0</v>
      </c>
      <c r="DR320" s="931">
        <f>1-WWWW[[#This Row],[Hygiene Coverage%]]</f>
        <v>1</v>
      </c>
      <c r="DS320" s="929">
        <f>WWWW[[#This Row],['# people reached by regular dedicated hygiene promotion_5]]/WWWW[[#This Row],[Total PoP ]]</f>
        <v>0</v>
      </c>
      <c r="DT32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0" s="930">
        <f>WWWW[[#This Row],['#_Constructed/Existing hand washing stations]]-WWWW[[#This Row],['#_Non-Functional_hand_washing_stations]]</f>
        <v>0</v>
      </c>
      <c r="DW320" s="927">
        <f>IF(WWWW[[#This Row],['# Functional hand washing stations during reporting period]]*20&gt;WWWW[[#This Row],[Total HH]],WWWW[[#This Row],[Total HH]],WWWW[[#This Row],['# Functional hand washing stations during reporting period]]*20)</f>
        <v>0</v>
      </c>
      <c r="DX320" s="927">
        <f>IF(WWWW[[#This Row],[Is sufficient soap available for TLS? (Yes/No)]]="yes",WWWW[[#This Row],['#_Constructed/Existing hand washing stations at TLS/CFS/THF]],0)</f>
        <v>0</v>
      </c>
      <c r="DY320" s="429">
        <f>IF(WWWW[[#This Row],['# Functional hand washing stations during reporting period]]*100&gt;WWWW[[#This Row],[Total PoP ]],WWWW[[#This Row],[Total PoP ]],WWWW[[#This Row],['# Functional hand washing stations during reporting period]]*100)</f>
        <v>0</v>
      </c>
      <c r="DZ320" s="429" t="str">
        <f>IF(OR(WWWW[[#This Row],['#_students at TLS_CFS]]="",WWWW[[#This Row],['#_students at TLS_CFS]]=0),"No","Yes")</f>
        <v>No</v>
      </c>
      <c r="EA32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0" s="923">
        <f>VLOOKUP(WWWW[[#This Row],[Site Name]],SiteDB6[[Site Name]:[CCCM Management]],6,FALSE)</f>
        <v>0</v>
      </c>
      <c r="EF320" s="923" t="str">
        <f>VLOOKUP(WWWW[[#This Row],[Site Name]],SiteDB6[[Site Name]:[CCCM Focal Agency]],7,FALSE)</f>
        <v>uncovered</v>
      </c>
      <c r="EG320" s="923" t="str">
        <f>VLOOKUP(WWWW[[#This Row],[Site Name]],SiteDB6[[Site Name]:[Location Type 1]],9,FALSE)</f>
        <v>Camp</v>
      </c>
      <c r="EH320" s="923" t="str">
        <f>VLOOKUP(WWWW[[#This Row],[Site Name]],SiteDB6[[Site Name]:[Type of Accommodation]],10,FALSE)</f>
        <v>IDPs in host</v>
      </c>
      <c r="EI320" s="923" t="str">
        <f>VLOOKUP(WWWW[[#This Row],[Site Name]],SiteDB6[[Site Name]:[Ethnic or GCA/NGCA]],11,FALSE)</f>
        <v>GCA</v>
      </c>
      <c r="EJ320" s="923">
        <f>VLOOKUP(WWWW[[#This Row],[Site Name]],SiteDB6[[Site Name]:[Lat]],12,FALSE)</f>
        <v>22.325900000000001</v>
      </c>
      <c r="EK320" s="923">
        <f>VLOOKUP(WWWW[[#This Row],[Site Name]],SiteDB6[[Site Name]:[Long]],13,FALSE)</f>
        <v>97.021000000000001</v>
      </c>
      <c r="EL320" s="923" t="str">
        <f>VLOOKUP(WWWW[[#This Row],[Site Name]],SiteDB6[[Site Name]:[Pcode]],3,FALSE)</f>
        <v>MMR015CMP075</v>
      </c>
      <c r="EM320" s="928" t="str">
        <f t="shared" si="4"/>
        <v>Notcovered</v>
      </c>
      <c r="EN320" s="928"/>
      <c r="EO320" s="923">
        <f>VLOOKUP(WWWW[[#This Row],[Site Name]],SiteDB6[[Site Name]:[Pop
(Kachin/Shan-CCCM as of July 2021)]],16,FALSE)</f>
        <v>1036</v>
      </c>
      <c r="EP320" s="923">
        <f>VLOOKUP(WWWW[[#This Row],[Site Name]],SiteDB6[[Site Name]:[Pop
(Kachin/Shan-CCCM as of July 2021)]],17,FALSE)</f>
        <v>3986</v>
      </c>
    </row>
    <row r="321" spans="1:146" hidden="1">
      <c r="A321" s="921" t="s">
        <v>2786</v>
      </c>
      <c r="B321" s="729" t="s">
        <v>309</v>
      </c>
      <c r="C321" s="370" t="s">
        <v>309</v>
      </c>
      <c r="D321" s="370"/>
      <c r="E321" s="922" t="s">
        <v>515</v>
      </c>
      <c r="F321" s="370" t="s">
        <v>963</v>
      </c>
      <c r="G321" s="426" t="str">
        <f>VLOOKUP(WWWW[[#This Row],[Site Name]],SiteDB6[[Site Name]:[Location Type]],8,FALSE)</f>
        <v>Relocated</v>
      </c>
      <c r="H321" s="370" t="s">
        <v>2628</v>
      </c>
      <c r="I321" s="449">
        <v>219</v>
      </c>
      <c r="J321" s="449">
        <v>653</v>
      </c>
      <c r="K321" s="830"/>
      <c r="L321" s="56"/>
      <c r="M321" s="449"/>
      <c r="N321" s="449"/>
      <c r="O321" s="449"/>
      <c r="P321" s="449"/>
      <c r="Q321" s="429"/>
      <c r="R321" s="449"/>
      <c r="S321" s="449"/>
      <c r="T321" s="449"/>
      <c r="U321" s="449"/>
      <c r="V321" s="449"/>
      <c r="W321" s="449"/>
      <c r="X321" s="449"/>
      <c r="Y321" s="449"/>
      <c r="Z321" s="449"/>
      <c r="AA321" s="449"/>
      <c r="AB321" s="449"/>
      <c r="AC321" s="449"/>
      <c r="AD321" s="449"/>
      <c r="AE321" s="449"/>
      <c r="AF321" s="449"/>
      <c r="AG321" s="449"/>
      <c r="AH321" s="449"/>
      <c r="AI321" s="449"/>
      <c r="AJ321" s="449"/>
      <c r="AK321" s="449"/>
      <c r="AL321" s="449"/>
      <c r="AM321" s="449"/>
      <c r="AN321" s="449"/>
      <c r="AO321" s="449"/>
      <c r="AP321" s="891"/>
      <c r="AQ321" s="449"/>
      <c r="AR321" s="449"/>
      <c r="AS321" s="424"/>
      <c r="AT321" s="449"/>
      <c r="AU321" s="449"/>
      <c r="AV321" s="449"/>
      <c r="AW321" s="449"/>
      <c r="AX321" s="449"/>
      <c r="AY321" s="426" t="s">
        <v>140</v>
      </c>
      <c r="AZ321" s="426" t="s">
        <v>140</v>
      </c>
      <c r="BA321" s="449"/>
      <c r="BB321" s="449"/>
      <c r="BC321" s="449"/>
      <c r="BD321" s="449"/>
      <c r="BE321" s="449"/>
      <c r="BF321" s="426"/>
      <c r="BG321" s="449"/>
      <c r="BH321" s="449"/>
      <c r="BI321" s="449"/>
      <c r="BJ321" s="449"/>
      <c r="BK321" s="449"/>
      <c r="BL321" s="449"/>
      <c r="BM321" s="449"/>
      <c r="BN321" s="449"/>
      <c r="BO321" s="449"/>
      <c r="BP321" s="426"/>
      <c r="BQ321" s="425"/>
      <c r="BR321" s="424"/>
      <c r="BS321" s="426"/>
      <c r="BT321" s="424"/>
      <c r="BU321" s="424"/>
      <c r="BV321" s="426"/>
      <c r="BW321" s="424"/>
      <c r="BX321" s="449"/>
      <c r="BY321" s="449"/>
      <c r="BZ321" s="449"/>
      <c r="CA321" s="449"/>
      <c r="CB321" s="449"/>
      <c r="CC321" s="807"/>
      <c r="CD321" s="449"/>
      <c r="CE321" s="634" t="str">
        <f>IFERROR(WWWW[[#This Row],['#_Water sources passed]]/WWWW[[#This Row],['#_Water sources tested for fecal coliform ]],"no test")</f>
        <v>no test</v>
      </c>
      <c r="CF321" s="424" t="str">
        <f>IFERROR(WWWW[[#This Row],['#_Household passed]]/WWWW[[#This Row],['#_Household water samples tested for fecal coliform]],"no test")</f>
        <v>no test</v>
      </c>
      <c r="CG321" s="425" t="str">
        <f>IF(AND(WWWW[[#This Row],[% of water sources passed]]="no test",WWWW[[#This Row],[% Household passed]]="no test"),"No Test","Tested")</f>
        <v>No Test</v>
      </c>
      <c r="CH321" s="425">
        <f>WWWW[[#This Row],['#_Constructed/existing protected hand dug well]]-WWWW[[#This Row],['#_Non-functional protected hand dug well]]</f>
        <v>0</v>
      </c>
      <c r="CI321" s="425">
        <f>(WWWW[[#This Row],['#_Constructed/Existing tube wells/boreholes/handpumps_WASH_agency]]+WWWW[[#This Row],['#_Non-Cluster partner water tube-wells/boreholes/handpumps]])-WWWW[[#This Row],['#_Non-functional tube wells/boreholes/handpumps]]</f>
        <v>0</v>
      </c>
      <c r="CJ321" s="425">
        <f>WWWW[[#This Row],['#_Constructed/Existingwater storage tank with gravity fed reticulation system]]-WWWW[[#This Row],['#_Non-functional storage tank gravity fed reticulation system]]</f>
        <v>0</v>
      </c>
      <c r="CK321" s="425">
        <f>(WWWW[[#This Row],['#_Water_Liters_supplied_by_Water boating or water trucking]]/90)/15</f>
        <v>0</v>
      </c>
      <c r="CL321" s="425">
        <f>WWWW[[#This Row],['#_Water_Liters_from_Constructed/Existing water distribution system from river or natural spring]]/90/15</f>
        <v>0</v>
      </c>
      <c r="CM321" s="425">
        <f>IF(WWWW[[#This Row],['#_of water points in TLS/CFS]]*500&gt;WWWW[[#This Row],[Total PoP ]],WWWW[[#This Row],[Total PoP ]],WWWW[[#This Row],['#_of water points in TLS/CFS]]*500)</f>
        <v>0</v>
      </c>
      <c r="CN321" s="425">
        <f>IF(WWWW[[#This Row],['#_of water points in THF]]*500&gt;WWWW[[#This Row],[Total PoP ]],WWWW[[#This Row],[Total PoP ]],WWWW[[#This Row],['#_of water points in THF]]*500)</f>
        <v>0</v>
      </c>
      <c r="CO321" s="6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1" s="6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1" s="424">
        <f>IF(WWWW[[#This Row],[Location Type 1]]="Village",WWWW[[#This Row],[Access to safe drinking water for Village]],WWWW[[#This Row],[Access to safe drinking water for Camp]])</f>
        <v>0</v>
      </c>
      <c r="CR321" s="429">
        <f>WWWW[[#This Row],[%Equitable and continuous access to sufficient quantity of safe drinking water]]*WWWW[[#This Row],[Total PoP ]]</f>
        <v>0</v>
      </c>
      <c r="CS321" s="424">
        <f>IF((WWWW[[#This Row],['#_Constructed/Existing protected/fenced ponds]]*250)/WWWW[[#This Row],[Total PoP ]]&gt;1,1,(WWWW[[#This Row],['#_Constructed/Existing protected/fenced ponds]]*250)/WWWW[[#This Row],[Total PoP ]])</f>
        <v>0</v>
      </c>
      <c r="CT321" s="429">
        <f>WWWW[[#This Row],[% Access to unimproved water points]]*WWWW[[#This Row],[Total PoP ]]</f>
        <v>0</v>
      </c>
      <c r="CU321" s="42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1" s="42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1" s="429">
        <f>WWWW[[#This Row],[HRP1]]/500</f>
        <v>0</v>
      </c>
      <c r="CX321" s="935">
        <f>1-WWWW[[#This Row],[% Equitable and continuous access to sufficient quantity of domestic water]]</f>
        <v>1</v>
      </c>
      <c r="CY321" s="429">
        <f>WWWW[[#This Row],[%equitable and continuous access to sufficient quantity of safe drinking and domestic water''s GAP]]*WWWW[[#This Row],[Total PoP ]]</f>
        <v>653</v>
      </c>
      <c r="CZ321" s="425">
        <f>IF(WWWW[[#This Row],[Total required water points]]-WWWW[[#This Row],['#Water points coverage]]&lt;0,0,WWWW[[#This Row],[Total required water points]]-WWWW[[#This Row],['#Water points coverage]])</f>
        <v>1</v>
      </c>
      <c r="DA321" s="425">
        <f>ROUND(IF(WWWW[[#This Row],[Total PoP ]]&lt;500,1,WWWW[[#This Row],[Total PoP ]]/500),0)</f>
        <v>1</v>
      </c>
      <c r="DB321" s="425">
        <f>(WWWW[[#This Row],['#_Constructed latrines_by_WASHAgencies]]+WWWW[[#This Row],['#_Non Cluster partner latrines]])-WWWW[[#This Row],['#_Non-functional latrines]]</f>
        <v>0</v>
      </c>
      <c r="DC321" s="634">
        <f>WWWW[[#This Row],[HRP2]]/WWWW[[#This Row],[Total PoP ]]</f>
        <v>0</v>
      </c>
      <c r="DD321" s="42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1" s="9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1" s="42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1" s="425">
        <f>IF(WWWW[[#This Row],['# of functional latrines in THF supported by WASH partners during the reporting period2]]="",0,WWWW[[#This Row],['# of functional latrines in THF supported by WASH partners during the reporting period2]]*50)</f>
        <v>0</v>
      </c>
      <c r="DH321" s="425">
        <f>ROUND(IF(WWWW[[#This Row],[Location Type 1]]="camp",WWWW[[#This Row],[Total PoP ]]/20,IF(WWWW[[#This Row],[Location Type 1]]="Temporary Location",WWWW[[#This Row],[Total PoP ]]/50,(WWWW[[#This Row],[Total PoP ]]/6))),0)</f>
        <v>109</v>
      </c>
      <c r="DI321" s="425">
        <f>IF(WWWW[[#This Row],[Total required Latrines]]-(WWWW[[#This Row],['#_Constructed latrines_by_WASHAgencies]]+WWWW[[#This Row],['#_Non Cluster partner latrines]])&lt;0,0,WWWW[[#This Row],[Total required Latrines]]-(WWWW[[#This Row],['#_Constructed latrines_by_WASHAgencies]]+WWWW[[#This Row],['#_Non Cluster partner latrines]]))</f>
        <v>109</v>
      </c>
      <c r="DJ321" s="935">
        <f>1-WWWW[[#This Row],[% people access to functioning Latrine]]</f>
        <v>1</v>
      </c>
      <c r="DK321" s="634">
        <f>IF(OR(WWWW[[#This Row],['#_Non-functional latrines]]="",WWWW[[#This Row],['#_Non-functional latrines]]=0),0,WWWW[[#This Row],['#_Non-functional latrines]]/(WWWW[[#This Row],['#_Constructed latrines_by_WASHAgencies]]+WWWW[[#This Row],['#_Non Cluster partner latrines]]))</f>
        <v>0</v>
      </c>
      <c r="DL321" s="429">
        <f>IF(500*(WWWW[[#This Row],['#_male hygiene promoters]]+WWWW[[#This Row],['#_female hygiene promoters]])&gt;WWWW[[#This Row],[Total PoP ]],WWWW[[#This Row],[Total PoP ]],500*(WWWW[[#This Row],['#_male hygiene promoters]]+WWWW[[#This Row],['#_female hygiene promoters]]))</f>
        <v>0</v>
      </c>
      <c r="DM321" s="42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1" s="42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1" s="425">
        <f>IF(WWWW[[#This Row],['# People with access to soap]]&gt;WWWW[[#This Row],['# People with access to Sanity Pads]],WWWW[[#This Row],['# People with access to soap]],WWWW[[#This Row],['# People with access to Sanity Pads]])</f>
        <v>0</v>
      </c>
      <c r="DP321" s="42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1" s="935">
        <f>IF(WWWW[[#This Row],[HRP3]]/WWWW[[#This Row],[Total PoP ]]&gt;1,1,WWWW[[#This Row],[HRP3]]/WWWW[[#This Row],[Total PoP ]])</f>
        <v>0</v>
      </c>
      <c r="DR321" s="634">
        <f>1-WWWW[[#This Row],[Hygiene Coverage%]]</f>
        <v>1</v>
      </c>
      <c r="DS321" s="424">
        <f>WWWW[[#This Row],['# people reached by regular dedicated hygiene promotion_5]]/WWWW[[#This Row],[Total PoP ]]</f>
        <v>0</v>
      </c>
      <c r="DT321" s="6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1" s="42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1" s="425">
        <f>WWWW[[#This Row],['#_Constructed/Existing hand washing stations]]-WWWW[[#This Row],['#_Non-Functional_hand_washing_stations]]</f>
        <v>0</v>
      </c>
      <c r="DW321" s="429">
        <f>IF(WWWW[[#This Row],['# Functional hand washing stations during reporting period]]*20&gt;WWWW[[#This Row],[Total HH]],WWWW[[#This Row],[Total HH]],WWWW[[#This Row],['# Functional hand washing stations during reporting period]]*20)</f>
        <v>0</v>
      </c>
      <c r="DX321" s="429">
        <f>IF(WWWW[[#This Row],[Is sufficient soap available for TLS? (Yes/No)]]="yes",WWWW[[#This Row],['#_Constructed/Existing hand washing stations at TLS/CFS/THF]],0)</f>
        <v>0</v>
      </c>
      <c r="DY321" s="429">
        <f>IF(WWWW[[#This Row],['# Functional hand washing stations during reporting period]]*100&gt;WWWW[[#This Row],[Total PoP ]],WWWW[[#This Row],[Total PoP ]],WWWW[[#This Row],['# Functional hand washing stations during reporting period]]*100)</f>
        <v>0</v>
      </c>
      <c r="DZ321" s="429" t="str">
        <f>IF(OR(WWWW[[#This Row],['#_students at TLS_CFS]]="",WWWW[[#This Row],['#_students at TLS_CFS]]=0),"No","Yes")</f>
        <v>No</v>
      </c>
      <c r="EA32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1" s="426">
        <f>VLOOKUP(WWWW[[#This Row],[Site Name]],SiteDB6[[Site Name]:[CCCM Management]],6,FALSE)</f>
        <v>0</v>
      </c>
      <c r="EF321" s="426">
        <f>VLOOKUP(WWWW[[#This Row],[Site Name]],SiteDB6[[Site Name]:[CCCM Focal Agency]],7,FALSE)</f>
        <v>0</v>
      </c>
      <c r="EG321" s="426" t="str">
        <f>VLOOKUP(WWWW[[#This Row],[Site Name]],SiteDB6[[Site Name]:[Location Type 1]],9,FALSE)</f>
        <v>Relocated</v>
      </c>
      <c r="EH321" s="426" t="str">
        <f>VLOOKUP(WWWW[[#This Row],[Site Name]],SiteDB6[[Site Name]:[Type of Accommodation]],10,FALSE)</f>
        <v>Relocated-Individual House</v>
      </c>
      <c r="EI321" s="426" t="str">
        <f>VLOOKUP(WWWW[[#This Row],[Site Name]],SiteDB6[[Site Name]:[Ethnic or GCA/NGCA]],11,FALSE)</f>
        <v>GCA</v>
      </c>
      <c r="EJ321" s="426">
        <f>VLOOKUP(WWWW[[#This Row],[Site Name]],SiteDB6[[Site Name]:[Lat]],12,FALSE)</f>
        <v>23.415991000000002</v>
      </c>
      <c r="EK321" s="426">
        <f>VLOOKUP(WWWW[[#This Row],[Site Name]],SiteDB6[[Site Name]:[Long]],13,FALSE)</f>
        <v>98.471779999999995</v>
      </c>
      <c r="EL321" s="426" t="str">
        <f>VLOOKUP(WWWW[[#This Row],[Site Name]],SiteDB6[[Site Name]:[Pcode]],3,FALSE)</f>
        <v>MMR015CMP073</v>
      </c>
      <c r="EM321" s="891" t="str">
        <f t="shared" si="4"/>
        <v>Notcovered</v>
      </c>
      <c r="EN321" s="891"/>
      <c r="EO321" s="426">
        <f>VLOOKUP(WWWW[[#This Row],[Site Name]],SiteDB6[[Site Name]:[Pop
(Kachin/Shan-CCCM as of July 2021)]],16,FALSE)</f>
        <v>219</v>
      </c>
      <c r="EP321" s="426">
        <f>VLOOKUP(WWWW[[#This Row],[Site Name]],SiteDB6[[Site Name]:[Pop
(Kachin/Shan-CCCM as of July 2021)]],17,FALSE)</f>
        <v>653</v>
      </c>
    </row>
    <row r="322" spans="1:146" hidden="1">
      <c r="A322" s="921" t="s">
        <v>2786</v>
      </c>
      <c r="B322" s="729" t="s">
        <v>309</v>
      </c>
      <c r="C322" s="370" t="s">
        <v>309</v>
      </c>
      <c r="D322" s="370"/>
      <c r="E322" s="922" t="s">
        <v>515</v>
      </c>
      <c r="F322" s="370" t="s">
        <v>963</v>
      </c>
      <c r="G322" s="426" t="str">
        <f>VLOOKUP(WWWW[[#This Row],[Site Name]],SiteDB6[[Site Name]:[Location Type]],8,FALSE)</f>
        <v>Relocated</v>
      </c>
      <c r="H322" s="370" t="s">
        <v>2627</v>
      </c>
      <c r="I322" s="449">
        <v>657</v>
      </c>
      <c r="J322" s="449">
        <v>2786</v>
      </c>
      <c r="K322" s="830"/>
      <c r="L322" s="56"/>
      <c r="M322" s="449"/>
      <c r="N322" s="449"/>
      <c r="O322" s="449"/>
      <c r="P322" s="449"/>
      <c r="Q322" s="429"/>
      <c r="R322" s="449"/>
      <c r="S322" s="449"/>
      <c r="T322" s="449"/>
      <c r="U322" s="449"/>
      <c r="V322" s="449"/>
      <c r="W322" s="449"/>
      <c r="X322" s="449"/>
      <c r="Y322" s="449"/>
      <c r="Z322" s="449"/>
      <c r="AA322" s="449"/>
      <c r="AB322" s="449"/>
      <c r="AC322" s="449"/>
      <c r="AD322" s="449"/>
      <c r="AE322" s="449"/>
      <c r="AF322" s="449"/>
      <c r="AG322" s="449"/>
      <c r="AH322" s="449"/>
      <c r="AI322" s="449"/>
      <c r="AJ322" s="449"/>
      <c r="AK322" s="449"/>
      <c r="AL322" s="449"/>
      <c r="AM322" s="449"/>
      <c r="AN322" s="449"/>
      <c r="AO322" s="449"/>
      <c r="AP322" s="891"/>
      <c r="AQ322" s="449"/>
      <c r="AR322" s="449"/>
      <c r="AS322" s="424"/>
      <c r="AT322" s="449"/>
      <c r="AU322" s="449"/>
      <c r="AV322" s="449"/>
      <c r="AW322" s="449"/>
      <c r="AX322" s="449"/>
      <c r="AY322" s="426" t="s">
        <v>140</v>
      </c>
      <c r="AZ322" s="426" t="s">
        <v>140</v>
      </c>
      <c r="BA322" s="449"/>
      <c r="BB322" s="449"/>
      <c r="BC322" s="449"/>
      <c r="BD322" s="449"/>
      <c r="BE322" s="449"/>
      <c r="BF322" s="426"/>
      <c r="BG322" s="449"/>
      <c r="BH322" s="449"/>
      <c r="BI322" s="449"/>
      <c r="BJ322" s="449"/>
      <c r="BK322" s="449"/>
      <c r="BL322" s="449"/>
      <c r="BM322" s="449"/>
      <c r="BN322" s="449"/>
      <c r="BO322" s="449"/>
      <c r="BP322" s="426"/>
      <c r="BQ322" s="425"/>
      <c r="BR322" s="424"/>
      <c r="BS322" s="426"/>
      <c r="BT322" s="424"/>
      <c r="BU322" s="424"/>
      <c r="BV322" s="426"/>
      <c r="BW322" s="424"/>
      <c r="BX322" s="449"/>
      <c r="BY322" s="449"/>
      <c r="BZ322" s="449"/>
      <c r="CA322" s="449"/>
      <c r="CB322" s="449"/>
      <c r="CC322" s="807"/>
      <c r="CD322" s="449"/>
      <c r="CE322" s="634" t="str">
        <f>IFERROR(WWWW[[#This Row],['#_Water sources passed]]/WWWW[[#This Row],['#_Water sources tested for fecal coliform ]],"no test")</f>
        <v>no test</v>
      </c>
      <c r="CF322" s="424" t="str">
        <f>IFERROR(WWWW[[#This Row],['#_Household passed]]/WWWW[[#This Row],['#_Household water samples tested for fecal coliform]],"no test")</f>
        <v>no test</v>
      </c>
      <c r="CG322" s="425" t="str">
        <f>IF(AND(WWWW[[#This Row],[% of water sources passed]]="no test",WWWW[[#This Row],[% Household passed]]="no test"),"No Test","Tested")</f>
        <v>No Test</v>
      </c>
      <c r="CH322" s="425">
        <f>WWWW[[#This Row],['#_Constructed/existing protected hand dug well]]-WWWW[[#This Row],['#_Non-functional protected hand dug well]]</f>
        <v>0</v>
      </c>
      <c r="CI322" s="425">
        <f>(WWWW[[#This Row],['#_Constructed/Existing tube wells/boreholes/handpumps_WASH_agency]]+WWWW[[#This Row],['#_Non-Cluster partner water tube-wells/boreholes/handpumps]])-WWWW[[#This Row],['#_Non-functional tube wells/boreholes/handpumps]]</f>
        <v>0</v>
      </c>
      <c r="CJ322" s="425">
        <f>WWWW[[#This Row],['#_Constructed/Existingwater storage tank with gravity fed reticulation system]]-WWWW[[#This Row],['#_Non-functional storage tank gravity fed reticulation system]]</f>
        <v>0</v>
      </c>
      <c r="CK322" s="425">
        <f>(WWWW[[#This Row],['#_Water_Liters_supplied_by_Water boating or water trucking]]/90)/15</f>
        <v>0</v>
      </c>
      <c r="CL322" s="425">
        <f>WWWW[[#This Row],['#_Water_Liters_from_Constructed/Existing water distribution system from river or natural spring]]/90/15</f>
        <v>0</v>
      </c>
      <c r="CM322" s="425">
        <f>IF(WWWW[[#This Row],['#_of water points in TLS/CFS]]*500&gt;WWWW[[#This Row],[Total PoP ]],WWWW[[#This Row],[Total PoP ]],WWWW[[#This Row],['#_of water points in TLS/CFS]]*500)</f>
        <v>0</v>
      </c>
      <c r="CN322" s="425">
        <f>IF(WWWW[[#This Row],['#_of water points in THF]]*500&gt;WWWW[[#This Row],[Total PoP ]],WWWW[[#This Row],[Total PoP ]],WWWW[[#This Row],['#_of water points in THF]]*500)</f>
        <v>0</v>
      </c>
      <c r="CO322" s="6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2" s="6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2" s="424">
        <f>IF(WWWW[[#This Row],[Location Type 1]]="Village",WWWW[[#This Row],[Access to safe drinking water for Village]],WWWW[[#This Row],[Access to safe drinking water for Camp]])</f>
        <v>0</v>
      </c>
      <c r="CR322" s="429">
        <f>WWWW[[#This Row],[%Equitable and continuous access to sufficient quantity of safe drinking water]]*WWWW[[#This Row],[Total PoP ]]</f>
        <v>0</v>
      </c>
      <c r="CS322" s="424">
        <f>IF((WWWW[[#This Row],['#_Constructed/Existing protected/fenced ponds]]*250)/WWWW[[#This Row],[Total PoP ]]&gt;1,1,(WWWW[[#This Row],['#_Constructed/Existing protected/fenced ponds]]*250)/WWWW[[#This Row],[Total PoP ]])</f>
        <v>0</v>
      </c>
      <c r="CT322" s="429">
        <f>WWWW[[#This Row],[% Access to unimproved water points]]*WWWW[[#This Row],[Total PoP ]]</f>
        <v>0</v>
      </c>
      <c r="CU322" s="424">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2" s="42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2" s="429">
        <f>WWWW[[#This Row],[HRP1]]/500</f>
        <v>0</v>
      </c>
      <c r="CX322" s="935">
        <f>1-WWWW[[#This Row],[% Equitable and continuous access to sufficient quantity of domestic water]]</f>
        <v>1</v>
      </c>
      <c r="CY322" s="429">
        <f>WWWW[[#This Row],[%equitable and continuous access to sufficient quantity of safe drinking and domestic water''s GAP]]*WWWW[[#This Row],[Total PoP ]]</f>
        <v>2786</v>
      </c>
      <c r="CZ322" s="425">
        <f>IF(WWWW[[#This Row],[Total required water points]]-WWWW[[#This Row],['#Water points coverage]]&lt;0,0,WWWW[[#This Row],[Total required water points]]-WWWW[[#This Row],['#Water points coverage]])</f>
        <v>6</v>
      </c>
      <c r="DA322" s="425">
        <f>ROUND(IF(WWWW[[#This Row],[Total PoP ]]&lt;500,1,WWWW[[#This Row],[Total PoP ]]/500),0)</f>
        <v>6</v>
      </c>
      <c r="DB322" s="425">
        <f>(WWWW[[#This Row],['#_Constructed latrines_by_WASHAgencies]]+WWWW[[#This Row],['#_Non Cluster partner latrines]])-WWWW[[#This Row],['#_Non-functional latrines]]</f>
        <v>0</v>
      </c>
      <c r="DC322" s="634">
        <f>WWWW[[#This Row],[HRP2]]/WWWW[[#This Row],[Total PoP ]]</f>
        <v>0</v>
      </c>
      <c r="DD322" s="42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2" s="9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2" s="425">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2" s="425">
        <f>IF(WWWW[[#This Row],['# of functional latrines in THF supported by WASH partners during the reporting period2]]="",0,WWWW[[#This Row],['# of functional latrines in THF supported by WASH partners during the reporting period2]]*50)</f>
        <v>0</v>
      </c>
      <c r="DH322" s="425">
        <f>ROUND(IF(WWWW[[#This Row],[Location Type 1]]="camp",WWWW[[#This Row],[Total PoP ]]/20,IF(WWWW[[#This Row],[Location Type 1]]="Temporary Location",WWWW[[#This Row],[Total PoP ]]/50,(WWWW[[#This Row],[Total PoP ]]/6))),0)</f>
        <v>464</v>
      </c>
      <c r="DI322" s="425">
        <f>IF(WWWW[[#This Row],[Total required Latrines]]-(WWWW[[#This Row],['#_Constructed latrines_by_WASHAgencies]]+WWWW[[#This Row],['#_Non Cluster partner latrines]])&lt;0,0,WWWW[[#This Row],[Total required Latrines]]-(WWWW[[#This Row],['#_Constructed latrines_by_WASHAgencies]]+WWWW[[#This Row],['#_Non Cluster partner latrines]]))</f>
        <v>464</v>
      </c>
      <c r="DJ322" s="935">
        <f>1-WWWW[[#This Row],[% people access to functioning Latrine]]</f>
        <v>1</v>
      </c>
      <c r="DK322" s="634">
        <f>IF(OR(WWWW[[#This Row],['#_Non-functional latrines]]="",WWWW[[#This Row],['#_Non-functional latrines]]=0),0,WWWW[[#This Row],['#_Non-functional latrines]]/(WWWW[[#This Row],['#_Constructed latrines_by_WASHAgencies]]+WWWW[[#This Row],['#_Non Cluster partner latrines]]))</f>
        <v>0</v>
      </c>
      <c r="DL322" s="429">
        <f>IF(500*(WWWW[[#This Row],['#_male hygiene promoters]]+WWWW[[#This Row],['#_female hygiene promoters]])&gt;WWWW[[#This Row],[Total PoP ]],WWWW[[#This Row],[Total PoP ]],500*(WWWW[[#This Row],['#_male hygiene promoters]]+WWWW[[#This Row],['#_female hygiene promoters]]))</f>
        <v>0</v>
      </c>
      <c r="DM322" s="425">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2" s="425">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2" s="425">
        <f>IF(WWWW[[#This Row],['# People with access to soap]]&gt;WWWW[[#This Row],['# People with access to Sanity Pads]],WWWW[[#This Row],['# People with access to soap]],WWWW[[#This Row],['# People with access to Sanity Pads]])</f>
        <v>0</v>
      </c>
      <c r="DP322" s="425">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2" s="935">
        <f>IF(WWWW[[#This Row],[HRP3]]/WWWW[[#This Row],[Total PoP ]]&gt;1,1,WWWW[[#This Row],[HRP3]]/WWWW[[#This Row],[Total PoP ]])</f>
        <v>0</v>
      </c>
      <c r="DR322" s="634">
        <f>1-WWWW[[#This Row],[Hygiene Coverage%]]</f>
        <v>1</v>
      </c>
      <c r="DS322" s="424">
        <f>WWWW[[#This Row],['# people reached by regular dedicated hygiene promotion_5]]/WWWW[[#This Row],[Total PoP ]]</f>
        <v>0</v>
      </c>
      <c r="DT322" s="6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2" s="424">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2" s="425">
        <f>WWWW[[#This Row],['#_Constructed/Existing hand washing stations]]-WWWW[[#This Row],['#_Non-Functional_hand_washing_stations]]</f>
        <v>0</v>
      </c>
      <c r="DW322" s="429">
        <f>IF(WWWW[[#This Row],['# Functional hand washing stations during reporting period]]*20&gt;WWWW[[#This Row],[Total HH]],WWWW[[#This Row],[Total HH]],WWWW[[#This Row],['# Functional hand washing stations during reporting period]]*20)</f>
        <v>0</v>
      </c>
      <c r="DX322" s="429">
        <f>IF(WWWW[[#This Row],[Is sufficient soap available for TLS? (Yes/No)]]="yes",WWWW[[#This Row],['#_Constructed/Existing hand washing stations at TLS/CFS/THF]],0)</f>
        <v>0</v>
      </c>
      <c r="DY322" s="429">
        <f>IF(WWWW[[#This Row],['# Functional hand washing stations during reporting period]]*100&gt;WWWW[[#This Row],[Total PoP ]],WWWW[[#This Row],[Total PoP ]],WWWW[[#This Row],['# Functional hand washing stations during reporting period]]*100)</f>
        <v>0</v>
      </c>
      <c r="DZ322" s="429" t="str">
        <f>IF(OR(WWWW[[#This Row],['#_students at TLS_CFS]]="",WWWW[[#This Row],['#_students at TLS_CFS]]=0),"No","Yes")</f>
        <v>No</v>
      </c>
      <c r="EA32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2" s="426">
        <f>VLOOKUP(WWWW[[#This Row],[Site Name]],SiteDB6[[Site Name]:[CCCM Management]],6,FALSE)</f>
        <v>0</v>
      </c>
      <c r="EF322" s="426">
        <f>VLOOKUP(WWWW[[#This Row],[Site Name]],SiteDB6[[Site Name]:[CCCM Focal Agency]],7,FALSE)</f>
        <v>0</v>
      </c>
      <c r="EG322" s="426" t="str">
        <f>VLOOKUP(WWWW[[#This Row],[Site Name]],SiteDB6[[Site Name]:[Location Type 1]],9,FALSE)</f>
        <v>Relocated</v>
      </c>
      <c r="EH322" s="426" t="str">
        <f>VLOOKUP(WWWW[[#This Row],[Site Name]],SiteDB6[[Site Name]:[Type of Accommodation]],10,FALSE)</f>
        <v>Relocated-Individual House</v>
      </c>
      <c r="EI322" s="426" t="str">
        <f>VLOOKUP(WWWW[[#This Row],[Site Name]],SiteDB6[[Site Name]:[Ethnic or GCA/NGCA]],11,FALSE)</f>
        <v>GCA</v>
      </c>
      <c r="EJ322" s="426">
        <f>VLOOKUP(WWWW[[#This Row],[Site Name]],SiteDB6[[Site Name]:[Lat]],12,FALSE)</f>
        <v>23.363275999999999</v>
      </c>
      <c r="EK322" s="426">
        <f>VLOOKUP(WWWW[[#This Row],[Site Name]],SiteDB6[[Site Name]:[Long]],13,FALSE)</f>
        <v>98.472977999999998</v>
      </c>
      <c r="EL322" s="426" t="str">
        <f>VLOOKUP(WWWW[[#This Row],[Site Name]],SiteDB6[[Site Name]:[Pcode]],3,FALSE)</f>
        <v>MMR015CMP072</v>
      </c>
      <c r="EM322" s="891" t="str">
        <f t="shared" si="4"/>
        <v>Notcovered</v>
      </c>
      <c r="EN322" s="891"/>
      <c r="EO322" s="426">
        <f>VLOOKUP(WWWW[[#This Row],[Site Name]],SiteDB6[[Site Name]:[Pop
(Kachin/Shan-CCCM as of July 2021)]],16,FALSE)</f>
        <v>657</v>
      </c>
      <c r="EP322" s="426">
        <f>VLOOKUP(WWWW[[#This Row],[Site Name]],SiteDB6[[Site Name]:[Pop
(Kachin/Shan-CCCM as of July 2021)]],17,FALSE)</f>
        <v>2786</v>
      </c>
    </row>
    <row r="323" spans="1:146" hidden="1">
      <c r="A323" s="921" t="s">
        <v>2786</v>
      </c>
      <c r="B323" s="957" t="s">
        <v>309</v>
      </c>
      <c r="C323" s="958" t="s">
        <v>309</v>
      </c>
      <c r="D323" s="958"/>
      <c r="E323" s="922" t="s">
        <v>515</v>
      </c>
      <c r="F323" s="922" t="s">
        <v>963</v>
      </c>
      <c r="G323" s="594" t="str">
        <f>VLOOKUP(WWWW[[#This Row],[Site Name]],SiteDB6[[Site Name]:[Location Type]],8,FALSE)</f>
        <v>Camp</v>
      </c>
      <c r="H323" s="922" t="s">
        <v>2625</v>
      </c>
      <c r="I323" s="946">
        <v>34</v>
      </c>
      <c r="J323" s="946">
        <v>170</v>
      </c>
      <c r="K323" s="959"/>
      <c r="L323" s="960"/>
      <c r="M323" s="946"/>
      <c r="N323" s="946"/>
      <c r="O323" s="946"/>
      <c r="P323" s="946"/>
      <c r="Q323" s="961"/>
      <c r="R323" s="946"/>
      <c r="S323" s="946"/>
      <c r="T323" s="449"/>
      <c r="U323" s="946"/>
      <c r="V323" s="946"/>
      <c r="W323" s="946"/>
      <c r="X323" s="946"/>
      <c r="Y323" s="946"/>
      <c r="Z323" s="946"/>
      <c r="AA323" s="946"/>
      <c r="AB323" s="946"/>
      <c r="AC323" s="946"/>
      <c r="AD323" s="946"/>
      <c r="AE323" s="946"/>
      <c r="AF323" s="946"/>
      <c r="AG323" s="946"/>
      <c r="AH323" s="946"/>
      <c r="AI323" s="946"/>
      <c r="AJ323" s="946"/>
      <c r="AK323" s="946"/>
      <c r="AL323" s="946"/>
      <c r="AM323" s="946"/>
      <c r="AN323" s="946"/>
      <c r="AO323" s="449"/>
      <c r="AP323" s="962"/>
      <c r="AQ323" s="946"/>
      <c r="AR323" s="946"/>
      <c r="AS323" s="950"/>
      <c r="AT323" s="946"/>
      <c r="AU323" s="946"/>
      <c r="AV323" s="946"/>
      <c r="AW323" s="946"/>
      <c r="AX323" s="946"/>
      <c r="AY323" s="426" t="s">
        <v>140</v>
      </c>
      <c r="AZ323" s="426" t="s">
        <v>140</v>
      </c>
      <c r="BA323" s="946"/>
      <c r="BB323" s="946"/>
      <c r="BC323" s="946"/>
      <c r="BD323" s="449"/>
      <c r="BE323" s="449"/>
      <c r="BF323" s="951"/>
      <c r="BG323" s="946"/>
      <c r="BH323" s="946"/>
      <c r="BI323" s="946"/>
      <c r="BJ323" s="946"/>
      <c r="BK323" s="946"/>
      <c r="BL323" s="946"/>
      <c r="BM323" s="946"/>
      <c r="BN323" s="946"/>
      <c r="BO323" s="946"/>
      <c r="BP323" s="951"/>
      <c r="BQ323" s="949"/>
      <c r="BR323" s="950"/>
      <c r="BS323" s="951"/>
      <c r="BT323" s="424"/>
      <c r="BU323" s="424"/>
      <c r="BV323" s="426"/>
      <c r="BW323" s="424"/>
      <c r="BX323" s="449"/>
      <c r="BY323" s="449"/>
      <c r="BZ323" s="449"/>
      <c r="CA323" s="449"/>
      <c r="CB323" s="449"/>
      <c r="CC323" s="807"/>
      <c r="CD323" s="449"/>
      <c r="CE323" s="963" t="str">
        <f>IFERROR(WWWW[[#This Row],['#_Water sources passed]]/WWWW[[#This Row],['#_Water sources tested for fecal coliform ]],"no test")</f>
        <v>no test</v>
      </c>
      <c r="CF323" s="950" t="str">
        <f>IFERROR(WWWW[[#This Row],['#_Household passed]]/WWWW[[#This Row],['#_Household water samples tested for fecal coliform]],"no test")</f>
        <v>no test</v>
      </c>
      <c r="CG323" s="949" t="str">
        <f>IF(AND(WWWW[[#This Row],[% of water sources passed]]="no test",WWWW[[#This Row],[% Household passed]]="no test"),"No Test","Tested")</f>
        <v>No Test</v>
      </c>
      <c r="CH323" s="949">
        <f>WWWW[[#This Row],['#_Constructed/existing protected hand dug well]]-WWWW[[#This Row],['#_Non-functional protected hand dug well]]</f>
        <v>0</v>
      </c>
      <c r="CI323" s="949">
        <f>(WWWW[[#This Row],['#_Constructed/Existing tube wells/boreholes/handpumps_WASH_agency]]+WWWW[[#This Row],['#_Non-Cluster partner water tube-wells/boreholes/handpumps]])-WWWW[[#This Row],['#_Non-functional tube wells/boreholes/handpumps]]</f>
        <v>0</v>
      </c>
      <c r="CJ323" s="949">
        <f>WWWW[[#This Row],['#_Constructed/Existingwater storage tank with gravity fed reticulation system]]-WWWW[[#This Row],['#_Non-functional storage tank gravity fed reticulation system]]</f>
        <v>0</v>
      </c>
      <c r="CK323" s="949">
        <f>(WWWW[[#This Row],['#_Water_Liters_supplied_by_Water boating or water trucking]]/90)/15</f>
        <v>0</v>
      </c>
      <c r="CL323" s="949">
        <f>WWWW[[#This Row],['#_Water_Liters_from_Constructed/Existing water distribution system from river or natural spring]]/90/15</f>
        <v>0</v>
      </c>
      <c r="CM323" s="425">
        <f>IF(WWWW[[#This Row],['#_of water points in TLS/CFS]]*500&gt;WWWW[[#This Row],[Total PoP ]],WWWW[[#This Row],[Total PoP ]],WWWW[[#This Row],['#_of water points in TLS/CFS]]*500)</f>
        <v>0</v>
      </c>
      <c r="CN323" s="425">
        <f>IF(WWWW[[#This Row],['#_of water points in THF]]*500&gt;WWWW[[#This Row],[Total PoP ]],WWWW[[#This Row],[Total PoP ]],WWWW[[#This Row],['#_of water points in THF]]*500)</f>
        <v>0</v>
      </c>
      <c r="CO323" s="96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3" s="96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3" s="950">
        <f>IF(WWWW[[#This Row],[Location Type 1]]="Village",WWWW[[#This Row],[Access to safe drinking water for Village]],WWWW[[#This Row],[Access to safe drinking water for Camp]])</f>
        <v>0</v>
      </c>
      <c r="CR323" s="961">
        <f>WWWW[[#This Row],[%Equitable and continuous access to sufficient quantity of safe drinking water]]*WWWW[[#This Row],[Total PoP ]]</f>
        <v>0</v>
      </c>
      <c r="CS323" s="950">
        <f>IF((WWWW[[#This Row],['#_Constructed/Existing protected/fenced ponds]]*250)/WWWW[[#This Row],[Total PoP ]]&gt;1,1,(WWWW[[#This Row],['#_Constructed/Existing protected/fenced ponds]]*250)/WWWW[[#This Row],[Total PoP ]])</f>
        <v>0</v>
      </c>
      <c r="CT323" s="961">
        <f>WWWW[[#This Row],[% Access to unimproved water points]]*WWWW[[#This Row],[Total PoP ]]</f>
        <v>0</v>
      </c>
      <c r="CU323" s="95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3" s="96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3" s="961">
        <f>WWWW[[#This Row],[HRP1]]/500</f>
        <v>0</v>
      </c>
      <c r="CX323" s="964">
        <f>1-WWWW[[#This Row],[% Equitable and continuous access to sufficient quantity of domestic water]]</f>
        <v>1</v>
      </c>
      <c r="CY323" s="961">
        <f>WWWW[[#This Row],[%equitable and continuous access to sufficient quantity of safe drinking and domestic water''s GAP]]*WWWW[[#This Row],[Total PoP ]]</f>
        <v>170</v>
      </c>
      <c r="CZ323" s="949">
        <f>IF(WWWW[[#This Row],[Total required water points]]-WWWW[[#This Row],['#Water points coverage]]&lt;0,0,WWWW[[#This Row],[Total required water points]]-WWWW[[#This Row],['#Water points coverage]])</f>
        <v>1</v>
      </c>
      <c r="DA323" s="949">
        <f>ROUND(IF(WWWW[[#This Row],[Total PoP ]]&lt;500,1,WWWW[[#This Row],[Total PoP ]]/500),0)</f>
        <v>1</v>
      </c>
      <c r="DB323" s="949">
        <f>(WWWW[[#This Row],['#_Constructed latrines_by_WASHAgencies]]+WWWW[[#This Row],['#_Non Cluster partner latrines]])-WWWW[[#This Row],['#_Non-functional latrines]]</f>
        <v>0</v>
      </c>
      <c r="DC323" s="634">
        <f>WWWW[[#This Row],[HRP2]]/WWWW[[#This Row],[Total PoP ]]</f>
        <v>0</v>
      </c>
      <c r="DD323" s="96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3" s="96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3" s="94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3" s="425">
        <f>IF(WWWW[[#This Row],['# of functional latrines in THF supported by WASH partners during the reporting period2]]="",0,WWWW[[#This Row],['# of functional latrines in THF supported by WASH partners during the reporting period2]]*50)</f>
        <v>0</v>
      </c>
      <c r="DH323" s="949">
        <f>ROUND(IF(WWWW[[#This Row],[Location Type 1]]="camp",WWWW[[#This Row],[Total PoP ]]/20,IF(WWWW[[#This Row],[Location Type 1]]="Temporary Location",WWWW[[#This Row],[Total PoP ]]/50,(WWWW[[#This Row],[Total PoP ]]/6))),0)</f>
        <v>9</v>
      </c>
      <c r="DI323" s="949">
        <f>IF(WWWW[[#This Row],[Total required Latrines]]-(WWWW[[#This Row],['#_Constructed latrines_by_WASHAgencies]]+WWWW[[#This Row],['#_Non Cluster partner latrines]])&lt;0,0,WWWW[[#This Row],[Total required Latrines]]-(WWWW[[#This Row],['#_Constructed latrines_by_WASHAgencies]]+WWWW[[#This Row],['#_Non Cluster partner latrines]]))</f>
        <v>9</v>
      </c>
      <c r="DJ323" s="964">
        <f>1-WWWW[[#This Row],[% people access to functioning Latrine]]</f>
        <v>1</v>
      </c>
      <c r="DK323" s="963">
        <f>IF(OR(WWWW[[#This Row],['#_Non-functional latrines]]="",WWWW[[#This Row],['#_Non-functional latrines]]=0),0,WWWW[[#This Row],['#_Non-functional latrines]]/(WWWW[[#This Row],['#_Constructed latrines_by_WASHAgencies]]+WWWW[[#This Row],['#_Non Cluster partner latrines]]))</f>
        <v>0</v>
      </c>
      <c r="DL323" s="961">
        <f>IF(500*(WWWW[[#This Row],['#_male hygiene promoters]]+WWWW[[#This Row],['#_female hygiene promoters]])&gt;WWWW[[#This Row],[Total PoP ]],WWWW[[#This Row],[Total PoP ]],500*(WWWW[[#This Row],['#_male hygiene promoters]]+WWWW[[#This Row],['#_female hygiene promoters]]))</f>
        <v>0</v>
      </c>
      <c r="DM323" s="94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3" s="94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3" s="949">
        <f>IF(WWWW[[#This Row],['# People with access to soap]]&gt;WWWW[[#This Row],['# People with access to Sanity Pads]],WWWW[[#This Row],['# People with access to soap]],WWWW[[#This Row],['# People with access to Sanity Pads]])</f>
        <v>0</v>
      </c>
      <c r="DP323" s="949">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3" s="964">
        <f>IF(WWWW[[#This Row],[HRP3]]/WWWW[[#This Row],[Total PoP ]]&gt;1,1,WWWW[[#This Row],[HRP3]]/WWWW[[#This Row],[Total PoP ]])</f>
        <v>0</v>
      </c>
      <c r="DR323" s="963">
        <f>1-WWWW[[#This Row],[Hygiene Coverage%]]</f>
        <v>1</v>
      </c>
      <c r="DS323" s="950">
        <f>WWWW[[#This Row],['# people reached by regular dedicated hygiene promotion_5]]/WWWW[[#This Row],[Total PoP ]]</f>
        <v>0</v>
      </c>
      <c r="DT323" s="96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3" s="95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3" s="949">
        <f>WWWW[[#This Row],['#_Constructed/Existing hand washing stations]]-WWWW[[#This Row],['#_Non-Functional_hand_washing_stations]]</f>
        <v>0</v>
      </c>
      <c r="DW323" s="961">
        <f>IF(WWWW[[#This Row],['# Functional hand washing stations during reporting period]]*20&gt;WWWW[[#This Row],[Total HH]],WWWW[[#This Row],[Total HH]],WWWW[[#This Row],['# Functional hand washing stations during reporting period]]*20)</f>
        <v>0</v>
      </c>
      <c r="DX323" s="961">
        <f>IF(WWWW[[#This Row],[Is sufficient soap available for TLS? (Yes/No)]]="yes",WWWW[[#This Row],['#_Constructed/Existing hand washing stations at TLS/CFS/THF]],0)</f>
        <v>0</v>
      </c>
      <c r="DY323" s="429">
        <f>IF(WWWW[[#This Row],['# Functional hand washing stations during reporting period]]*100&gt;WWWW[[#This Row],[Total PoP ]],WWWW[[#This Row],[Total PoP ]],WWWW[[#This Row],['# Functional hand washing stations during reporting period]]*100)</f>
        <v>0</v>
      </c>
      <c r="DZ323" s="429" t="str">
        <f>IF(OR(WWWW[[#This Row],['#_students at TLS_CFS]]="",WWWW[[#This Row],['#_students at TLS_CFS]]=0),"No","Yes")</f>
        <v>No</v>
      </c>
      <c r="EA32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3" s="951">
        <f>VLOOKUP(WWWW[[#This Row],[Site Name]],SiteDB6[[Site Name]:[CCCM Management]],6,FALSE)</f>
        <v>0</v>
      </c>
      <c r="EF323" s="951">
        <f>VLOOKUP(WWWW[[#This Row],[Site Name]],SiteDB6[[Site Name]:[CCCM Focal Agency]],7,FALSE)</f>
        <v>0</v>
      </c>
      <c r="EG323" s="951" t="str">
        <f>VLOOKUP(WWWW[[#This Row],[Site Name]],SiteDB6[[Site Name]:[Location Type 1]],9,FALSE)</f>
        <v>Camp</v>
      </c>
      <c r="EH323" s="951" t="str">
        <f>VLOOKUP(WWWW[[#This Row],[Site Name]],SiteDB6[[Site Name]:[Type of Accommodation]],10,FALSE)</f>
        <v>Camp Like setting</v>
      </c>
      <c r="EI323" s="951" t="str">
        <f>VLOOKUP(WWWW[[#This Row],[Site Name]],SiteDB6[[Site Name]:[Ethnic or GCA/NGCA]],11,FALSE)</f>
        <v>GCA</v>
      </c>
      <c r="EJ323" s="951">
        <f>VLOOKUP(WWWW[[#This Row],[Site Name]],SiteDB6[[Site Name]:[Lat]],12,FALSE)</f>
        <v>23.729893000000001</v>
      </c>
      <c r="EK323" s="951">
        <f>VLOOKUP(WWWW[[#This Row],[Site Name]],SiteDB6[[Site Name]:[Long]],13,FALSE)</f>
        <v>98.779853500000002</v>
      </c>
      <c r="EL323" s="951" t="str">
        <f>VLOOKUP(WWWW[[#This Row],[Site Name]],SiteDB6[[Site Name]:[Pcode]],3,FALSE)</f>
        <v>MMR015CMP070</v>
      </c>
      <c r="EM323" s="962" t="str">
        <f t="shared" si="4"/>
        <v>Notcovered</v>
      </c>
      <c r="EN323" s="962"/>
      <c r="EO323" s="951">
        <f>VLOOKUP(WWWW[[#This Row],[Site Name]],SiteDB6[[Site Name]:[Pop
(Kachin/Shan-CCCM as of July 2021)]],16,FALSE)</f>
        <v>34</v>
      </c>
      <c r="EP323" s="951">
        <f>VLOOKUP(WWWW[[#This Row],[Site Name]],SiteDB6[[Site Name]:[Pop
(Kachin/Shan-CCCM as of July 2021)]],17,FALSE)</f>
        <v>170</v>
      </c>
    </row>
    <row r="324" spans="1:146">
      <c r="A324" s="921" t="s">
        <v>2786</v>
      </c>
      <c r="B324" s="921" t="s">
        <v>309</v>
      </c>
      <c r="C324" s="922" t="s">
        <v>309</v>
      </c>
      <c r="D324" s="922"/>
      <c r="E324" s="922" t="s">
        <v>37</v>
      </c>
      <c r="F324" s="922" t="s">
        <v>38</v>
      </c>
      <c r="G324" s="594" t="str">
        <f>VLOOKUP(WWWW[[#This Row],[Site Name]],SiteDB6[[Site Name]:[Location Type]],8,FALSE)</f>
        <v>Camp</v>
      </c>
      <c r="H324" s="753" t="s">
        <v>3049</v>
      </c>
      <c r="I324" s="924">
        <v>67</v>
      </c>
      <c r="J324" s="924">
        <v>308</v>
      </c>
      <c r="K324" s="925" t="s">
        <v>2672</v>
      </c>
      <c r="L324" s="926" t="s">
        <v>2673</v>
      </c>
      <c r="M324" s="924"/>
      <c r="N324" s="924"/>
      <c r="O324" s="924"/>
      <c r="P324" s="924"/>
      <c r="Q324" s="927"/>
      <c r="R324" s="924"/>
      <c r="S324" s="924">
        <v>4</v>
      </c>
      <c r="T324" s="449"/>
      <c r="U324" s="924"/>
      <c r="V324" s="924"/>
      <c r="W324" s="924"/>
      <c r="X324" s="924"/>
      <c r="Y324" s="924"/>
      <c r="Z324" s="924"/>
      <c r="AA324" s="924"/>
      <c r="AB324" s="924"/>
      <c r="AC324" s="924"/>
      <c r="AD324" s="924"/>
      <c r="AE324" s="924"/>
      <c r="AF324" s="924"/>
      <c r="AG324" s="924"/>
      <c r="AH324" s="924"/>
      <c r="AI324" s="924"/>
      <c r="AJ324" s="924"/>
      <c r="AK324" s="924"/>
      <c r="AL324" s="924"/>
      <c r="AM324" s="924"/>
      <c r="AN324" s="924"/>
      <c r="AO324" s="449"/>
      <c r="AP324" s="928"/>
      <c r="AQ324" s="924"/>
      <c r="AR324" s="924"/>
      <c r="AS324" s="929"/>
      <c r="AT324" s="924"/>
      <c r="AU324" s="924"/>
      <c r="AV324" s="924"/>
      <c r="AW324" s="924"/>
      <c r="AX324" s="924"/>
      <c r="AY324" s="923" t="s">
        <v>140</v>
      </c>
      <c r="AZ324" s="928" t="s">
        <v>140</v>
      </c>
      <c r="BA324" s="924"/>
      <c r="BB324" s="924"/>
      <c r="BC324" s="924"/>
      <c r="BD324" s="449"/>
      <c r="BE324" s="449"/>
      <c r="BF324" s="923"/>
      <c r="BG324" s="924">
        <v>7</v>
      </c>
      <c r="BH324" s="924"/>
      <c r="BI324" s="924"/>
      <c r="BJ324" s="924">
        <v>7</v>
      </c>
      <c r="BK324" s="924"/>
      <c r="BL324" s="924"/>
      <c r="BM324" s="924"/>
      <c r="BN324" s="924"/>
      <c r="BO324" s="924"/>
      <c r="BP324" s="923"/>
      <c r="BQ324" s="930"/>
      <c r="BR324" s="929"/>
      <c r="BS324" s="923"/>
      <c r="BT324" s="424"/>
      <c r="BU324" s="424"/>
      <c r="BV324" s="426"/>
      <c r="BW324" s="424"/>
      <c r="BX324" s="449"/>
      <c r="BY324" s="449"/>
      <c r="BZ324" s="449"/>
      <c r="CA324" s="449"/>
      <c r="CB324" s="449"/>
      <c r="CC324" s="807"/>
      <c r="CD324" s="449"/>
      <c r="CE324" s="931" t="str">
        <f>IFERROR(WWWW[[#This Row],['#_Water sources passed]]/WWWW[[#This Row],['#_Water sources tested for fecal coliform ]],"no test")</f>
        <v>no test</v>
      </c>
      <c r="CF324" s="929" t="str">
        <f>IFERROR(WWWW[[#This Row],['#_Household passed]]/WWWW[[#This Row],['#_Household water samples tested for fecal coliform]],"no test")</f>
        <v>no test</v>
      </c>
      <c r="CG324" s="930" t="str">
        <f>IF(AND(WWWW[[#This Row],[% of water sources passed]]="no test",WWWW[[#This Row],[% Household passed]]="no test"),"No Test","Tested")</f>
        <v>No Test</v>
      </c>
      <c r="CH324" s="930">
        <f>WWWW[[#This Row],['#_Constructed/existing protected hand dug well]]-WWWW[[#This Row],['#_Non-functional protected hand dug well]]</f>
        <v>0</v>
      </c>
      <c r="CI324" s="930">
        <f>(WWWW[[#This Row],['#_Constructed/Existing tube wells/boreholes/handpumps_WASH_agency]]+WWWW[[#This Row],['#_Non-Cluster partner water tube-wells/boreholes/handpumps]])-WWWW[[#This Row],['#_Non-functional tube wells/boreholes/handpumps]]</f>
        <v>0</v>
      </c>
      <c r="CJ324" s="930">
        <f>WWWW[[#This Row],['#_Constructed/Existingwater storage tank with gravity fed reticulation system]]-WWWW[[#This Row],['#_Non-functional storage tank gravity fed reticulation system]]</f>
        <v>0</v>
      </c>
      <c r="CK324" s="930">
        <f>(WWWW[[#This Row],['#_Water_Liters_supplied_by_Water boating or water trucking]]/90)/15</f>
        <v>0</v>
      </c>
      <c r="CL324" s="930">
        <f>WWWW[[#This Row],['#_Water_Liters_from_Constructed/Existing water distribution system from river or natural spring]]/90/15</f>
        <v>0</v>
      </c>
      <c r="CM324" s="425">
        <f>IF(WWWW[[#This Row],['#_of water points in TLS/CFS]]*500&gt;WWWW[[#This Row],[Total PoP ]],WWWW[[#This Row],[Total PoP ]],WWWW[[#This Row],['#_of water points in TLS/CFS]]*500)</f>
        <v>0</v>
      </c>
      <c r="CN324" s="425">
        <f>IF(WWWW[[#This Row],['#_of water points in THF]]*500&gt;WWWW[[#This Row],[Total PoP ]],WWWW[[#This Row],[Total PoP ]],WWWW[[#This Row],['#_of water points in THF]]*500)</f>
        <v>0</v>
      </c>
      <c r="CO32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4" s="929">
        <f>IF(WWWW[[#This Row],[Location Type 1]]="Village",WWWW[[#This Row],[Access to safe drinking water for Village]],WWWW[[#This Row],[Access to safe drinking water for Camp]])</f>
        <v>0</v>
      </c>
      <c r="CR324" s="927">
        <f>WWWW[[#This Row],[%Equitable and continuous access to sufficient quantity of safe drinking water]]*WWWW[[#This Row],[Total PoP ]]</f>
        <v>0</v>
      </c>
      <c r="CS324" s="929">
        <f>IF((WWWW[[#This Row],['#_Constructed/Existing protected/fenced ponds]]*250)/WWWW[[#This Row],[Total PoP ]]&gt;1,1,(WWWW[[#This Row],['#_Constructed/Existing protected/fenced ponds]]*250)/WWWW[[#This Row],[Total PoP ]])</f>
        <v>0</v>
      </c>
      <c r="CT324" s="927">
        <f>WWWW[[#This Row],[% Access to unimproved water points]]*WWWW[[#This Row],[Total PoP ]]</f>
        <v>0</v>
      </c>
      <c r="CU32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4" s="927">
        <f>WWWW[[#This Row],[HRP1]]/500</f>
        <v>0</v>
      </c>
      <c r="CX324" s="932">
        <f>1-WWWW[[#This Row],[% Equitable and continuous access to sufficient quantity of domestic water]]</f>
        <v>1</v>
      </c>
      <c r="CY324" s="927">
        <f>WWWW[[#This Row],[%equitable and continuous access to sufficient quantity of safe drinking and domestic water''s GAP]]*WWWW[[#This Row],[Total PoP ]]</f>
        <v>308</v>
      </c>
      <c r="CZ324" s="930">
        <f>IF(WWWW[[#This Row],[Total required water points]]-WWWW[[#This Row],['#Water points coverage]]&lt;0,0,WWWW[[#This Row],[Total required water points]]-WWWW[[#This Row],['#Water points coverage]])</f>
        <v>1</v>
      </c>
      <c r="DA324" s="930">
        <f>ROUND(IF(WWWW[[#This Row],[Total PoP ]]&lt;500,1,WWWW[[#This Row],[Total PoP ]]/500),0)</f>
        <v>1</v>
      </c>
      <c r="DB324" s="930">
        <f>(WWWW[[#This Row],['#_Constructed latrines_by_WASHAgencies]]+WWWW[[#This Row],['#_Non Cluster partner latrines]])-WWWW[[#This Row],['#_Non-functional latrines]]</f>
        <v>0</v>
      </c>
      <c r="DC324" s="634">
        <f>WWWW[[#This Row],[HRP2]]/WWWW[[#This Row],[Total PoP ]]</f>
        <v>0</v>
      </c>
      <c r="DD32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4" s="425">
        <f>IF(WWWW[[#This Row],['# of functional latrines in THF supported by WASH partners during the reporting period2]]="",0,WWWW[[#This Row],['# of functional latrines in THF supported by WASH partners during the reporting period2]]*50)</f>
        <v>0</v>
      </c>
      <c r="DH324" s="930">
        <f>ROUND(IF(WWWW[[#This Row],[Location Type 1]]="camp",WWWW[[#This Row],[Total PoP ]]/20,IF(WWWW[[#This Row],[Location Type 1]]="Temporary Location",WWWW[[#This Row],[Total PoP ]]/50,(WWWW[[#This Row],[Total PoP ]]/6))),0)</f>
        <v>15</v>
      </c>
      <c r="DI324" s="930">
        <f>IF(WWWW[[#This Row],[Total required Latrines]]-(WWWW[[#This Row],['#_Constructed latrines_by_WASHAgencies]]+WWWW[[#This Row],['#_Non Cluster partner latrines]])&lt;0,0,WWWW[[#This Row],[Total required Latrines]]-(WWWW[[#This Row],['#_Constructed latrines_by_WASHAgencies]]+WWWW[[#This Row],['#_Non Cluster partner latrines]]))</f>
        <v>15</v>
      </c>
      <c r="DJ324" s="932">
        <f>1-WWWW[[#This Row],[% people access to functioning Latrine]]</f>
        <v>1</v>
      </c>
      <c r="DK324" s="931">
        <f>IF(OR(WWWW[[#This Row],['#_Non-functional latrines]]="",WWWW[[#This Row],['#_Non-functional latrines]]=0),0,WWWW[[#This Row],['#_Non-functional latrines]]/(WWWW[[#This Row],['#_Constructed latrines_by_WASHAgencies]]+WWWW[[#This Row],['#_Non Cluster partner latrines]]))</f>
        <v>0</v>
      </c>
      <c r="DL324" s="927">
        <f>IF(500*(WWWW[[#This Row],['#_male hygiene promoters]]+WWWW[[#This Row],['#_female hygiene promoters]])&gt;WWWW[[#This Row],[Total PoP ]],WWWW[[#This Row],[Total PoP ]],500*(WWWW[[#This Row],['#_male hygiene promoters]]+WWWW[[#This Row],['#_female hygiene promoters]]))</f>
        <v>0</v>
      </c>
      <c r="DM32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4" s="930">
        <f>IF(WWWW[[#This Row],['# People with access to soap]]&gt;WWWW[[#This Row],['# People with access to Sanity Pads]],WWWW[[#This Row],['# People with access to soap]],WWWW[[#This Row],['# People with access to Sanity Pads]])</f>
        <v>0</v>
      </c>
      <c r="DP32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4" s="932">
        <f>IF(WWWW[[#This Row],[HRP3]]/WWWW[[#This Row],[Total PoP ]]&gt;1,1,WWWW[[#This Row],[HRP3]]/WWWW[[#This Row],[Total PoP ]])</f>
        <v>0</v>
      </c>
      <c r="DR324" s="931">
        <f>1-WWWW[[#This Row],[Hygiene Coverage%]]</f>
        <v>1</v>
      </c>
      <c r="DS324" s="929">
        <f>WWWW[[#This Row],['# people reached by regular dedicated hygiene promotion_5]]/WWWW[[#This Row],[Total PoP ]]</f>
        <v>0</v>
      </c>
      <c r="DT32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4" s="930">
        <f>WWWW[[#This Row],['#_Constructed/Existing hand washing stations]]-WWWW[[#This Row],['#_Non-Functional_hand_washing_stations]]</f>
        <v>7</v>
      </c>
      <c r="DW324" s="927">
        <f>IF(WWWW[[#This Row],['# Functional hand washing stations during reporting period]]*20&gt;WWWW[[#This Row],[Total HH]],WWWW[[#This Row],[Total HH]],WWWW[[#This Row],['# Functional hand washing stations during reporting period]]*20)</f>
        <v>67</v>
      </c>
      <c r="DX324" s="927">
        <f>IF(WWWW[[#This Row],[Is sufficient soap available for TLS? (Yes/No)]]="yes",WWWW[[#This Row],['#_Constructed/Existing hand washing stations at TLS/CFS/THF]],0)</f>
        <v>0</v>
      </c>
      <c r="DY324" s="429">
        <f>IF(WWWW[[#This Row],['# Functional hand washing stations during reporting period]]*100&gt;WWWW[[#This Row],[Total PoP ]],WWWW[[#This Row],[Total PoP ]],WWWW[[#This Row],['# Functional hand washing stations during reporting period]]*100)</f>
        <v>308</v>
      </c>
      <c r="DZ324" s="429" t="str">
        <f>IF(OR(WWWW[[#This Row],['#_students at TLS_CFS]]="",WWWW[[#This Row],['#_students at TLS_CFS]]=0),"No","Yes")</f>
        <v>No</v>
      </c>
      <c r="EA32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4" s="923">
        <f>VLOOKUP(WWWW[[#This Row],[Site Name]],SiteDB6[[Site Name]:[CCCM Management]],6,FALSE)</f>
        <v>0</v>
      </c>
      <c r="EF324" s="923" t="str">
        <f>VLOOKUP(WWWW[[#This Row],[Site Name]],SiteDB6[[Site Name]:[CCCM Focal Agency]],7,FALSE)</f>
        <v>uncovered</v>
      </c>
      <c r="EG324" s="923" t="str">
        <f>VLOOKUP(WWWW[[#This Row],[Site Name]],SiteDB6[[Site Name]:[Location Type 1]],9,FALSE)</f>
        <v>Camp</v>
      </c>
      <c r="EH324" s="923" t="str">
        <f>VLOOKUP(WWWW[[#This Row],[Site Name]],SiteDB6[[Site Name]:[Type of Accommodation]],10,FALSE)</f>
        <v>IDPs in host</v>
      </c>
      <c r="EI324" s="923" t="str">
        <f>VLOOKUP(WWWW[[#This Row],[Site Name]],SiteDB6[[Site Name]:[Ethnic or GCA/NGCA]],11,FALSE)</f>
        <v>GCA</v>
      </c>
      <c r="EJ324" s="923">
        <f>VLOOKUP(WWWW[[#This Row],[Site Name]],SiteDB6[[Site Name]:[Lat]],12,FALSE)</f>
        <v>24.118618999999999</v>
      </c>
      <c r="EK324" s="923">
        <f>VLOOKUP(WWWW[[#This Row],[Site Name]],SiteDB6[[Site Name]:[Long]],13,FALSE)</f>
        <v>97.298055000000005</v>
      </c>
      <c r="EL324" s="923" t="str">
        <f>VLOOKUP(WWWW[[#This Row],[Site Name]],SiteDB6[[Site Name]:[Pcode]],3,FALSE)</f>
        <v>MMR001CMP196</v>
      </c>
      <c r="EM324" s="928" t="str">
        <f t="shared" si="4"/>
        <v>Notcovered</v>
      </c>
      <c r="EN324" s="928"/>
      <c r="EO324" s="923">
        <f>VLOOKUP(WWWW[[#This Row],[Site Name]],SiteDB6[[Site Name]:[Pop
(Kachin/Shan-CCCM as of July 2021)]],16,FALSE)</f>
        <v>70</v>
      </c>
      <c r="EP324" s="923">
        <f>VLOOKUP(WWWW[[#This Row],[Site Name]],SiteDB6[[Site Name]:[Pop
(Kachin/Shan-CCCM as of July 2021)]],17,FALSE)</f>
        <v>344</v>
      </c>
    </row>
    <row r="325" spans="1:146">
      <c r="A325" s="921" t="s">
        <v>2786</v>
      </c>
      <c r="B325" s="921" t="s">
        <v>309</v>
      </c>
      <c r="C325" s="922" t="s">
        <v>309</v>
      </c>
      <c r="D325" s="922"/>
      <c r="E325" s="922" t="s">
        <v>37</v>
      </c>
      <c r="F325" s="922" t="s">
        <v>152</v>
      </c>
      <c r="G325" s="594" t="str">
        <f>VLOOKUP(WWWW[[#This Row],[Site Name]],SiteDB6[[Site Name]:[Location Type]],8,FALSE)</f>
        <v>Camp</v>
      </c>
      <c r="H325" s="922" t="s">
        <v>1547</v>
      </c>
      <c r="I325" s="924">
        <v>6</v>
      </c>
      <c r="J325" s="924">
        <v>32</v>
      </c>
      <c r="K325" s="925" t="s">
        <v>2672</v>
      </c>
      <c r="L325" s="926" t="s">
        <v>2673</v>
      </c>
      <c r="M325" s="924"/>
      <c r="N325" s="924"/>
      <c r="O325" s="924"/>
      <c r="P325" s="924"/>
      <c r="Q325" s="927"/>
      <c r="R325" s="924"/>
      <c r="S325" s="924"/>
      <c r="T325" s="449"/>
      <c r="U325" s="924"/>
      <c r="V325" s="924"/>
      <c r="W325" s="924"/>
      <c r="X325" s="924"/>
      <c r="Y325" s="924"/>
      <c r="Z325" s="924"/>
      <c r="AA325" s="924"/>
      <c r="AB325" s="924"/>
      <c r="AC325" s="924"/>
      <c r="AD325" s="924"/>
      <c r="AE325" s="924"/>
      <c r="AF325" s="924"/>
      <c r="AG325" s="924"/>
      <c r="AH325" s="924"/>
      <c r="AI325" s="924"/>
      <c r="AJ325" s="924"/>
      <c r="AK325" s="924"/>
      <c r="AL325" s="924"/>
      <c r="AM325" s="924"/>
      <c r="AN325" s="924"/>
      <c r="AO325" s="449"/>
      <c r="AP325" s="928"/>
      <c r="AQ325" s="924"/>
      <c r="AR325" s="924"/>
      <c r="AS325" s="929"/>
      <c r="AT325" s="924"/>
      <c r="AU325" s="924"/>
      <c r="AV325" s="924"/>
      <c r="AW325" s="924"/>
      <c r="AX325" s="924"/>
      <c r="AY325" s="923" t="s">
        <v>140</v>
      </c>
      <c r="AZ325" s="928" t="s">
        <v>140</v>
      </c>
      <c r="BA325" s="924"/>
      <c r="BB325" s="924"/>
      <c r="BC325" s="924"/>
      <c r="BD325" s="449"/>
      <c r="BE325" s="449"/>
      <c r="BF325" s="923"/>
      <c r="BG325" s="924">
        <v>3</v>
      </c>
      <c r="BH325" s="924"/>
      <c r="BI325" s="924"/>
      <c r="BJ325" s="924">
        <v>2</v>
      </c>
      <c r="BK325" s="924"/>
      <c r="BL325" s="924"/>
      <c r="BM325" s="924"/>
      <c r="BN325" s="924"/>
      <c r="BO325" s="924"/>
      <c r="BP325" s="923"/>
      <c r="BQ325" s="930"/>
      <c r="BR325" s="929"/>
      <c r="BS325" s="923"/>
      <c r="BT325" s="424"/>
      <c r="BU325" s="424"/>
      <c r="BV325" s="426"/>
      <c r="BW325" s="424"/>
      <c r="BX325" s="449"/>
      <c r="BY325" s="449"/>
      <c r="BZ325" s="449"/>
      <c r="CA325" s="449"/>
      <c r="CB325" s="449"/>
      <c r="CC325" s="807"/>
      <c r="CD325" s="449"/>
      <c r="CE325" s="931" t="str">
        <f>IFERROR(WWWW[[#This Row],['#_Water sources passed]]/WWWW[[#This Row],['#_Water sources tested for fecal coliform ]],"no test")</f>
        <v>no test</v>
      </c>
      <c r="CF325" s="929" t="str">
        <f>IFERROR(WWWW[[#This Row],['#_Household passed]]/WWWW[[#This Row],['#_Household water samples tested for fecal coliform]],"no test")</f>
        <v>no test</v>
      </c>
      <c r="CG325" s="930" t="str">
        <f>IF(AND(WWWW[[#This Row],[% of water sources passed]]="no test",WWWW[[#This Row],[% Household passed]]="no test"),"No Test","Tested")</f>
        <v>No Test</v>
      </c>
      <c r="CH325" s="930">
        <f>WWWW[[#This Row],['#_Constructed/existing protected hand dug well]]-WWWW[[#This Row],['#_Non-functional protected hand dug well]]</f>
        <v>0</v>
      </c>
      <c r="CI325" s="930">
        <f>(WWWW[[#This Row],['#_Constructed/Existing tube wells/boreholes/handpumps_WASH_agency]]+WWWW[[#This Row],['#_Non-Cluster partner water tube-wells/boreholes/handpumps]])-WWWW[[#This Row],['#_Non-functional tube wells/boreholes/handpumps]]</f>
        <v>0</v>
      </c>
      <c r="CJ325" s="930">
        <f>WWWW[[#This Row],['#_Constructed/Existingwater storage tank with gravity fed reticulation system]]-WWWW[[#This Row],['#_Non-functional storage tank gravity fed reticulation system]]</f>
        <v>0</v>
      </c>
      <c r="CK325" s="930">
        <f>(WWWW[[#This Row],['#_Water_Liters_supplied_by_Water boating or water trucking]]/90)/15</f>
        <v>0</v>
      </c>
      <c r="CL325" s="930">
        <f>WWWW[[#This Row],['#_Water_Liters_from_Constructed/Existing water distribution system from river or natural spring]]/90/15</f>
        <v>0</v>
      </c>
      <c r="CM325" s="425">
        <f>IF(WWWW[[#This Row],['#_of water points in TLS/CFS]]*500&gt;WWWW[[#This Row],[Total PoP ]],WWWW[[#This Row],[Total PoP ]],WWWW[[#This Row],['#_of water points in TLS/CFS]]*500)</f>
        <v>0</v>
      </c>
      <c r="CN325" s="425">
        <f>IF(WWWW[[#This Row],['#_of water points in THF]]*500&gt;WWWW[[#This Row],[Total PoP ]],WWWW[[#This Row],[Total PoP ]],WWWW[[#This Row],['#_of water points in THF]]*500)</f>
        <v>0</v>
      </c>
      <c r="CO32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5" s="929">
        <f>IF(WWWW[[#This Row],[Location Type 1]]="Village",WWWW[[#This Row],[Access to safe drinking water for Village]],WWWW[[#This Row],[Access to safe drinking water for Camp]])</f>
        <v>0</v>
      </c>
      <c r="CR325" s="927">
        <f>WWWW[[#This Row],[%Equitable and continuous access to sufficient quantity of safe drinking water]]*WWWW[[#This Row],[Total PoP ]]</f>
        <v>0</v>
      </c>
      <c r="CS325" s="929">
        <f>IF((WWWW[[#This Row],['#_Constructed/Existing protected/fenced ponds]]*250)/WWWW[[#This Row],[Total PoP ]]&gt;1,1,(WWWW[[#This Row],['#_Constructed/Existing protected/fenced ponds]]*250)/WWWW[[#This Row],[Total PoP ]])</f>
        <v>0</v>
      </c>
      <c r="CT325" s="927">
        <f>WWWW[[#This Row],[% Access to unimproved water points]]*WWWW[[#This Row],[Total PoP ]]</f>
        <v>0</v>
      </c>
      <c r="CU32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5" s="927">
        <f>WWWW[[#This Row],[HRP1]]/500</f>
        <v>0</v>
      </c>
      <c r="CX325" s="932">
        <f>1-WWWW[[#This Row],[% Equitable and continuous access to sufficient quantity of domestic water]]</f>
        <v>1</v>
      </c>
      <c r="CY325" s="927">
        <f>WWWW[[#This Row],[%equitable and continuous access to sufficient quantity of safe drinking and domestic water''s GAP]]*WWWW[[#This Row],[Total PoP ]]</f>
        <v>32</v>
      </c>
      <c r="CZ325" s="930">
        <f>IF(WWWW[[#This Row],[Total required water points]]-WWWW[[#This Row],['#Water points coverage]]&lt;0,0,WWWW[[#This Row],[Total required water points]]-WWWW[[#This Row],['#Water points coverage]])</f>
        <v>1</v>
      </c>
      <c r="DA325" s="930">
        <f>ROUND(IF(WWWW[[#This Row],[Total PoP ]]&lt;500,1,WWWW[[#This Row],[Total PoP ]]/500),0)</f>
        <v>1</v>
      </c>
      <c r="DB325" s="930">
        <f>(WWWW[[#This Row],['#_Constructed latrines_by_WASHAgencies]]+WWWW[[#This Row],['#_Non Cluster partner latrines]])-WWWW[[#This Row],['#_Non-functional latrines]]</f>
        <v>0</v>
      </c>
      <c r="DC325" s="634">
        <f>WWWW[[#This Row],[HRP2]]/WWWW[[#This Row],[Total PoP ]]</f>
        <v>0</v>
      </c>
      <c r="DD32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5" s="425">
        <f>IF(WWWW[[#This Row],['# of functional latrines in THF supported by WASH partners during the reporting period2]]="",0,WWWW[[#This Row],['# of functional latrines in THF supported by WASH partners during the reporting period2]]*50)</f>
        <v>0</v>
      </c>
      <c r="DH325" s="930">
        <f>ROUND(IF(WWWW[[#This Row],[Location Type 1]]="camp",WWWW[[#This Row],[Total PoP ]]/20,IF(WWWW[[#This Row],[Location Type 1]]="Temporary Location",WWWW[[#This Row],[Total PoP ]]/50,(WWWW[[#This Row],[Total PoP ]]/6))),0)</f>
        <v>2</v>
      </c>
      <c r="DI325" s="930">
        <f>IF(WWWW[[#This Row],[Total required Latrines]]-(WWWW[[#This Row],['#_Constructed latrines_by_WASHAgencies]]+WWWW[[#This Row],['#_Non Cluster partner latrines]])&lt;0,0,WWWW[[#This Row],[Total required Latrines]]-(WWWW[[#This Row],['#_Constructed latrines_by_WASHAgencies]]+WWWW[[#This Row],['#_Non Cluster partner latrines]]))</f>
        <v>2</v>
      </c>
      <c r="DJ325" s="932">
        <f>1-WWWW[[#This Row],[% people access to functioning Latrine]]</f>
        <v>1</v>
      </c>
      <c r="DK325" s="931">
        <f>IF(OR(WWWW[[#This Row],['#_Non-functional latrines]]="",WWWW[[#This Row],['#_Non-functional latrines]]=0),0,WWWW[[#This Row],['#_Non-functional latrines]]/(WWWW[[#This Row],['#_Constructed latrines_by_WASHAgencies]]+WWWW[[#This Row],['#_Non Cluster partner latrines]]))</f>
        <v>0</v>
      </c>
      <c r="DL325" s="927">
        <f>IF(500*(WWWW[[#This Row],['#_male hygiene promoters]]+WWWW[[#This Row],['#_female hygiene promoters]])&gt;WWWW[[#This Row],[Total PoP ]],WWWW[[#This Row],[Total PoP ]],500*(WWWW[[#This Row],['#_male hygiene promoters]]+WWWW[[#This Row],['#_female hygiene promoters]]))</f>
        <v>0</v>
      </c>
      <c r="DM32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5" s="930">
        <f>IF(WWWW[[#This Row],['# People with access to soap]]&gt;WWWW[[#This Row],['# People with access to Sanity Pads]],WWWW[[#This Row],['# People with access to soap]],WWWW[[#This Row],['# People with access to Sanity Pads]])</f>
        <v>0</v>
      </c>
      <c r="DP32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5" s="932">
        <f>IF(WWWW[[#This Row],[HRP3]]/WWWW[[#This Row],[Total PoP ]]&gt;1,1,WWWW[[#This Row],[HRP3]]/WWWW[[#This Row],[Total PoP ]])</f>
        <v>0</v>
      </c>
      <c r="DR325" s="931">
        <f>1-WWWW[[#This Row],[Hygiene Coverage%]]</f>
        <v>1</v>
      </c>
      <c r="DS325" s="929">
        <f>WWWW[[#This Row],['# people reached by regular dedicated hygiene promotion_5]]/WWWW[[#This Row],[Total PoP ]]</f>
        <v>0</v>
      </c>
      <c r="DT32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5" s="930">
        <f>WWWW[[#This Row],['#_Constructed/Existing hand washing stations]]-WWWW[[#This Row],['#_Non-Functional_hand_washing_stations]]</f>
        <v>3</v>
      </c>
      <c r="DW325" s="927">
        <f>IF(WWWW[[#This Row],['# Functional hand washing stations during reporting period]]*20&gt;WWWW[[#This Row],[Total HH]],WWWW[[#This Row],[Total HH]],WWWW[[#This Row],['# Functional hand washing stations during reporting period]]*20)</f>
        <v>6</v>
      </c>
      <c r="DX325" s="927">
        <f>IF(WWWW[[#This Row],[Is sufficient soap available for TLS? (Yes/No)]]="yes",WWWW[[#This Row],['#_Constructed/Existing hand washing stations at TLS/CFS/THF]],0)</f>
        <v>0</v>
      </c>
      <c r="DY325" s="429">
        <f>IF(WWWW[[#This Row],['# Functional hand washing stations during reporting period]]*100&gt;WWWW[[#This Row],[Total PoP ]],WWWW[[#This Row],[Total PoP ]],WWWW[[#This Row],['# Functional hand washing stations during reporting period]]*100)</f>
        <v>32</v>
      </c>
      <c r="DZ325" s="429" t="str">
        <f>IF(OR(WWWW[[#This Row],['#_students at TLS_CFS]]="",WWWW[[#This Row],['#_students at TLS_CFS]]=0),"No","Yes")</f>
        <v>No</v>
      </c>
      <c r="EA32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5" s="923">
        <f>VLOOKUP(WWWW[[#This Row],[Site Name]],SiteDB6[[Site Name]:[CCCM Management]],6,FALSE)</f>
        <v>0</v>
      </c>
      <c r="EF325" s="923" t="str">
        <f>VLOOKUP(WWWW[[#This Row],[Site Name]],SiteDB6[[Site Name]:[CCCM Focal Agency]],7,FALSE)</f>
        <v>uncovered</v>
      </c>
      <c r="EG325" s="923" t="str">
        <f>VLOOKUP(WWWW[[#This Row],[Site Name]],SiteDB6[[Site Name]:[Location Type 1]],9,FALSE)</f>
        <v>Camp</v>
      </c>
      <c r="EH325" s="923" t="str">
        <f>VLOOKUP(WWWW[[#This Row],[Site Name]],SiteDB6[[Site Name]:[Type of Accommodation]],10,FALSE)</f>
        <v>Camp like setting</v>
      </c>
      <c r="EI325" s="923" t="str">
        <f>VLOOKUP(WWWW[[#This Row],[Site Name]],SiteDB6[[Site Name]:[Ethnic or GCA/NGCA]],11,FALSE)</f>
        <v>GCA</v>
      </c>
      <c r="EJ325" s="923">
        <f>VLOOKUP(WWWW[[#This Row],[Site Name]],SiteDB6[[Site Name]:[Lat]],12,FALSE)</f>
        <v>25.30274</v>
      </c>
      <c r="EK325" s="923">
        <f>VLOOKUP(WWWW[[#This Row],[Site Name]],SiteDB6[[Site Name]:[Long]],13,FALSE)</f>
        <v>96.940380000000005</v>
      </c>
      <c r="EL325" s="923" t="str">
        <f>VLOOKUP(WWWW[[#This Row],[Site Name]],SiteDB6[[Site Name]:[Pcode]],3,FALSE)</f>
        <v>MMR001CMP262</v>
      </c>
      <c r="EM325" s="928" t="str">
        <f t="shared" ref="EM325:EM388" si="5">IF(C325="none","Notcovered","Covered")</f>
        <v>Notcovered</v>
      </c>
      <c r="EN325" s="928"/>
      <c r="EO325" s="923">
        <f>VLOOKUP(WWWW[[#This Row],[Site Name]],SiteDB6[[Site Name]:[Pop
(Kachin/Shan-CCCM as of July 2021)]],16,FALSE)</f>
        <v>5</v>
      </c>
      <c r="EP325" s="923">
        <f>VLOOKUP(WWWW[[#This Row],[Site Name]],SiteDB6[[Site Name]:[Pop
(Kachin/Shan-CCCM as of July 2021)]],17,FALSE)</f>
        <v>32</v>
      </c>
    </row>
    <row r="326" spans="1:146">
      <c r="A326" s="921" t="s">
        <v>2786</v>
      </c>
      <c r="B326" s="921" t="s">
        <v>309</v>
      </c>
      <c r="C326" s="922" t="s">
        <v>309</v>
      </c>
      <c r="D326" s="922"/>
      <c r="E326" s="922" t="s">
        <v>37</v>
      </c>
      <c r="F326" s="922" t="s">
        <v>157</v>
      </c>
      <c r="G326" s="594" t="str">
        <f>VLOOKUP(WWWW[[#This Row],[Site Name]],SiteDB6[[Site Name]:[Location Type]],8,FALSE)</f>
        <v>Camp</v>
      </c>
      <c r="H326" s="753" t="s">
        <v>3050</v>
      </c>
      <c r="I326" s="924">
        <v>27</v>
      </c>
      <c r="J326" s="924">
        <v>126</v>
      </c>
      <c r="K326" s="925" t="s">
        <v>2672</v>
      </c>
      <c r="L326" s="926" t="s">
        <v>2673</v>
      </c>
      <c r="M326" s="924"/>
      <c r="N326" s="924"/>
      <c r="O326" s="924"/>
      <c r="P326" s="924"/>
      <c r="Q326" s="927"/>
      <c r="R326" s="924"/>
      <c r="S326" s="924"/>
      <c r="T326" s="449"/>
      <c r="U326" s="924"/>
      <c r="V326" s="924"/>
      <c r="W326" s="924"/>
      <c r="X326" s="924"/>
      <c r="Y326" s="924"/>
      <c r="Z326" s="924"/>
      <c r="AA326" s="924"/>
      <c r="AB326" s="924"/>
      <c r="AC326" s="924"/>
      <c r="AD326" s="924"/>
      <c r="AE326" s="924"/>
      <c r="AF326" s="924"/>
      <c r="AG326" s="924"/>
      <c r="AH326" s="924"/>
      <c r="AI326" s="924"/>
      <c r="AJ326" s="924"/>
      <c r="AK326" s="924"/>
      <c r="AL326" s="924"/>
      <c r="AM326" s="924"/>
      <c r="AN326" s="924"/>
      <c r="AO326" s="449"/>
      <c r="AP326" s="928"/>
      <c r="AQ326" s="924"/>
      <c r="AR326" s="924"/>
      <c r="AS326" s="929"/>
      <c r="AT326" s="924"/>
      <c r="AU326" s="924"/>
      <c r="AV326" s="924"/>
      <c r="AW326" s="924"/>
      <c r="AX326" s="924"/>
      <c r="AY326" s="923" t="s">
        <v>140</v>
      </c>
      <c r="AZ326" s="928" t="s">
        <v>140</v>
      </c>
      <c r="BA326" s="924"/>
      <c r="BB326" s="924"/>
      <c r="BC326" s="924"/>
      <c r="BD326" s="449"/>
      <c r="BE326" s="449"/>
      <c r="BF326" s="923"/>
      <c r="BG326" s="924">
        <v>8</v>
      </c>
      <c r="BH326" s="924"/>
      <c r="BI326" s="924"/>
      <c r="BJ326" s="924">
        <v>3</v>
      </c>
      <c r="BK326" s="924"/>
      <c r="BL326" s="924"/>
      <c r="BM326" s="924"/>
      <c r="BN326" s="924"/>
      <c r="BO326" s="924"/>
      <c r="BP326" s="923"/>
      <c r="BQ326" s="930"/>
      <c r="BR326" s="929"/>
      <c r="BS326" s="923"/>
      <c r="BT326" s="424"/>
      <c r="BU326" s="424"/>
      <c r="BV326" s="426"/>
      <c r="BW326" s="424"/>
      <c r="BX326" s="449"/>
      <c r="BY326" s="449"/>
      <c r="BZ326" s="449"/>
      <c r="CA326" s="449"/>
      <c r="CB326" s="449"/>
      <c r="CC326" s="807"/>
      <c r="CD326" s="449"/>
      <c r="CE326" s="931" t="str">
        <f>IFERROR(WWWW[[#This Row],['#_Water sources passed]]/WWWW[[#This Row],['#_Water sources tested for fecal coliform ]],"no test")</f>
        <v>no test</v>
      </c>
      <c r="CF326" s="929" t="str">
        <f>IFERROR(WWWW[[#This Row],['#_Household passed]]/WWWW[[#This Row],['#_Household water samples tested for fecal coliform]],"no test")</f>
        <v>no test</v>
      </c>
      <c r="CG326" s="930" t="str">
        <f>IF(AND(WWWW[[#This Row],[% of water sources passed]]="no test",WWWW[[#This Row],[% Household passed]]="no test"),"No Test","Tested")</f>
        <v>No Test</v>
      </c>
      <c r="CH326" s="930">
        <f>WWWW[[#This Row],['#_Constructed/existing protected hand dug well]]-WWWW[[#This Row],['#_Non-functional protected hand dug well]]</f>
        <v>0</v>
      </c>
      <c r="CI326" s="930">
        <f>(WWWW[[#This Row],['#_Constructed/Existing tube wells/boreholes/handpumps_WASH_agency]]+WWWW[[#This Row],['#_Non-Cluster partner water tube-wells/boreholes/handpumps]])-WWWW[[#This Row],['#_Non-functional tube wells/boreholes/handpumps]]</f>
        <v>0</v>
      </c>
      <c r="CJ326" s="930">
        <f>WWWW[[#This Row],['#_Constructed/Existingwater storage tank with gravity fed reticulation system]]-WWWW[[#This Row],['#_Non-functional storage tank gravity fed reticulation system]]</f>
        <v>0</v>
      </c>
      <c r="CK326" s="930">
        <f>(WWWW[[#This Row],['#_Water_Liters_supplied_by_Water boating or water trucking]]/90)/15</f>
        <v>0</v>
      </c>
      <c r="CL326" s="930">
        <f>WWWW[[#This Row],['#_Water_Liters_from_Constructed/Existing water distribution system from river or natural spring]]/90/15</f>
        <v>0</v>
      </c>
      <c r="CM326" s="425">
        <f>IF(WWWW[[#This Row],['#_of water points in TLS/CFS]]*500&gt;WWWW[[#This Row],[Total PoP ]],WWWW[[#This Row],[Total PoP ]],WWWW[[#This Row],['#_of water points in TLS/CFS]]*500)</f>
        <v>0</v>
      </c>
      <c r="CN326" s="425">
        <f>IF(WWWW[[#This Row],['#_of water points in THF]]*500&gt;WWWW[[#This Row],[Total PoP ]],WWWW[[#This Row],[Total PoP ]],WWWW[[#This Row],['#_of water points in THF]]*500)</f>
        <v>0</v>
      </c>
      <c r="CO32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6" s="929">
        <f>IF(WWWW[[#This Row],[Location Type 1]]="Village",WWWW[[#This Row],[Access to safe drinking water for Village]],WWWW[[#This Row],[Access to safe drinking water for Camp]])</f>
        <v>0</v>
      </c>
      <c r="CR326" s="927">
        <f>WWWW[[#This Row],[%Equitable and continuous access to sufficient quantity of safe drinking water]]*WWWW[[#This Row],[Total PoP ]]</f>
        <v>0</v>
      </c>
      <c r="CS326" s="929">
        <f>IF((WWWW[[#This Row],['#_Constructed/Existing protected/fenced ponds]]*250)/WWWW[[#This Row],[Total PoP ]]&gt;1,1,(WWWW[[#This Row],['#_Constructed/Existing protected/fenced ponds]]*250)/WWWW[[#This Row],[Total PoP ]])</f>
        <v>0</v>
      </c>
      <c r="CT326" s="927">
        <f>WWWW[[#This Row],[% Access to unimproved water points]]*WWWW[[#This Row],[Total PoP ]]</f>
        <v>0</v>
      </c>
      <c r="CU32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6" s="927">
        <f>WWWW[[#This Row],[HRP1]]/500</f>
        <v>0</v>
      </c>
      <c r="CX326" s="932">
        <f>1-WWWW[[#This Row],[% Equitable and continuous access to sufficient quantity of domestic water]]</f>
        <v>1</v>
      </c>
      <c r="CY326" s="927">
        <f>WWWW[[#This Row],[%equitable and continuous access to sufficient quantity of safe drinking and domestic water''s GAP]]*WWWW[[#This Row],[Total PoP ]]</f>
        <v>126</v>
      </c>
      <c r="CZ326" s="930">
        <f>IF(WWWW[[#This Row],[Total required water points]]-WWWW[[#This Row],['#Water points coverage]]&lt;0,0,WWWW[[#This Row],[Total required water points]]-WWWW[[#This Row],['#Water points coverage]])</f>
        <v>1</v>
      </c>
      <c r="DA326" s="930">
        <f>ROUND(IF(WWWW[[#This Row],[Total PoP ]]&lt;500,1,WWWW[[#This Row],[Total PoP ]]/500),0)</f>
        <v>1</v>
      </c>
      <c r="DB326" s="930">
        <f>(WWWW[[#This Row],['#_Constructed latrines_by_WASHAgencies]]+WWWW[[#This Row],['#_Non Cluster partner latrines]])-WWWW[[#This Row],['#_Non-functional latrines]]</f>
        <v>0</v>
      </c>
      <c r="DC326" s="634">
        <f>WWWW[[#This Row],[HRP2]]/WWWW[[#This Row],[Total PoP ]]</f>
        <v>0</v>
      </c>
      <c r="DD32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6" s="425">
        <f>IF(WWWW[[#This Row],['# of functional latrines in THF supported by WASH partners during the reporting period2]]="",0,WWWW[[#This Row],['# of functional latrines in THF supported by WASH partners during the reporting period2]]*50)</f>
        <v>0</v>
      </c>
      <c r="DH326" s="930">
        <f>ROUND(IF(WWWW[[#This Row],[Location Type 1]]="camp",WWWW[[#This Row],[Total PoP ]]/20,IF(WWWW[[#This Row],[Location Type 1]]="Temporary Location",WWWW[[#This Row],[Total PoP ]]/50,(WWWW[[#This Row],[Total PoP ]]/6))),0)</f>
        <v>6</v>
      </c>
      <c r="DI326" s="930">
        <f>IF(WWWW[[#This Row],[Total required Latrines]]-(WWWW[[#This Row],['#_Constructed latrines_by_WASHAgencies]]+WWWW[[#This Row],['#_Non Cluster partner latrines]])&lt;0,0,WWWW[[#This Row],[Total required Latrines]]-(WWWW[[#This Row],['#_Constructed latrines_by_WASHAgencies]]+WWWW[[#This Row],['#_Non Cluster partner latrines]]))</f>
        <v>6</v>
      </c>
      <c r="DJ326" s="932">
        <f>1-WWWW[[#This Row],[% people access to functioning Latrine]]</f>
        <v>1</v>
      </c>
      <c r="DK326" s="931">
        <f>IF(OR(WWWW[[#This Row],['#_Non-functional latrines]]="",WWWW[[#This Row],['#_Non-functional latrines]]=0),0,WWWW[[#This Row],['#_Non-functional latrines]]/(WWWW[[#This Row],['#_Constructed latrines_by_WASHAgencies]]+WWWW[[#This Row],['#_Non Cluster partner latrines]]))</f>
        <v>0</v>
      </c>
      <c r="DL326" s="927">
        <f>IF(500*(WWWW[[#This Row],['#_male hygiene promoters]]+WWWW[[#This Row],['#_female hygiene promoters]])&gt;WWWW[[#This Row],[Total PoP ]],WWWW[[#This Row],[Total PoP ]],500*(WWWW[[#This Row],['#_male hygiene promoters]]+WWWW[[#This Row],['#_female hygiene promoters]]))</f>
        <v>0</v>
      </c>
      <c r="DM32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6" s="930">
        <f>IF(WWWW[[#This Row],['# People with access to soap]]&gt;WWWW[[#This Row],['# People with access to Sanity Pads]],WWWW[[#This Row],['# People with access to soap]],WWWW[[#This Row],['# People with access to Sanity Pads]])</f>
        <v>0</v>
      </c>
      <c r="DP32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6" s="932">
        <f>IF(WWWW[[#This Row],[HRP3]]/WWWW[[#This Row],[Total PoP ]]&gt;1,1,WWWW[[#This Row],[HRP3]]/WWWW[[#This Row],[Total PoP ]])</f>
        <v>0</v>
      </c>
      <c r="DR326" s="931">
        <f>1-WWWW[[#This Row],[Hygiene Coverage%]]</f>
        <v>1</v>
      </c>
      <c r="DS326" s="929">
        <f>WWWW[[#This Row],['# people reached by regular dedicated hygiene promotion_5]]/WWWW[[#This Row],[Total PoP ]]</f>
        <v>0</v>
      </c>
      <c r="DT32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6" s="930">
        <f>WWWW[[#This Row],['#_Constructed/Existing hand washing stations]]-WWWW[[#This Row],['#_Non-Functional_hand_washing_stations]]</f>
        <v>8</v>
      </c>
      <c r="DW326" s="927">
        <f>IF(WWWW[[#This Row],['# Functional hand washing stations during reporting period]]*20&gt;WWWW[[#This Row],[Total HH]],WWWW[[#This Row],[Total HH]],WWWW[[#This Row],['# Functional hand washing stations during reporting period]]*20)</f>
        <v>27</v>
      </c>
      <c r="DX326" s="927">
        <f>IF(WWWW[[#This Row],[Is sufficient soap available for TLS? (Yes/No)]]="yes",WWWW[[#This Row],['#_Constructed/Existing hand washing stations at TLS/CFS/THF]],0)</f>
        <v>0</v>
      </c>
      <c r="DY326" s="429">
        <f>IF(WWWW[[#This Row],['# Functional hand washing stations during reporting period]]*100&gt;WWWW[[#This Row],[Total PoP ]],WWWW[[#This Row],[Total PoP ]],WWWW[[#This Row],['# Functional hand washing stations during reporting period]]*100)</f>
        <v>126</v>
      </c>
      <c r="DZ326" s="429" t="str">
        <f>IF(OR(WWWW[[#This Row],['#_students at TLS_CFS]]="",WWWW[[#This Row],['#_students at TLS_CFS]]=0),"No","Yes")</f>
        <v>No</v>
      </c>
      <c r="EA32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6" s="923">
        <f>VLOOKUP(WWWW[[#This Row],[Site Name]],SiteDB6[[Site Name]:[CCCM Management]],6,FALSE)</f>
        <v>0</v>
      </c>
      <c r="EF326" s="923" t="str">
        <f>VLOOKUP(WWWW[[#This Row],[Site Name]],SiteDB6[[Site Name]:[CCCM Focal Agency]],7,FALSE)</f>
        <v>uncovered</v>
      </c>
      <c r="EG326" s="923" t="str">
        <f>VLOOKUP(WWWW[[#This Row],[Site Name]],SiteDB6[[Site Name]:[Location Type 1]],9,FALSE)</f>
        <v>Camp</v>
      </c>
      <c r="EH326" s="923" t="str">
        <f>VLOOKUP(WWWW[[#This Row],[Site Name]],SiteDB6[[Site Name]:[Type of Accommodation]],10,FALSE)</f>
        <v>IDPs in host</v>
      </c>
      <c r="EI326" s="923" t="str">
        <f>VLOOKUP(WWWW[[#This Row],[Site Name]],SiteDB6[[Site Name]:[Ethnic or GCA/NGCA]],11,FALSE)</f>
        <v>GCA</v>
      </c>
      <c r="EJ326" s="923">
        <f>VLOOKUP(WWWW[[#This Row],[Site Name]],SiteDB6[[Site Name]:[Lat]],12,FALSE)</f>
        <v>24.996279999999999</v>
      </c>
      <c r="EK326" s="923">
        <f>VLOOKUP(WWWW[[#This Row],[Site Name]],SiteDB6[[Site Name]:[Long]],13,FALSE)</f>
        <v>96.52534</v>
      </c>
      <c r="EL326" s="923" t="str">
        <f>VLOOKUP(WWWW[[#This Row],[Site Name]],SiteDB6[[Site Name]:[Pcode]],3,FALSE)</f>
        <v>MMR001CMP232</v>
      </c>
      <c r="EM326" s="928" t="str">
        <f t="shared" si="5"/>
        <v>Notcovered</v>
      </c>
      <c r="EN326" s="928"/>
      <c r="EO326" s="923">
        <f>VLOOKUP(WWWW[[#This Row],[Site Name]],SiteDB6[[Site Name]:[Pop
(Kachin/Shan-CCCM as of July 2021)]],16,FALSE)</f>
        <v>26</v>
      </c>
      <c r="EP326" s="923">
        <f>VLOOKUP(WWWW[[#This Row],[Site Name]],SiteDB6[[Site Name]:[Pop
(Kachin/Shan-CCCM as of July 2021)]],17,FALSE)</f>
        <v>125</v>
      </c>
    </row>
    <row r="327" spans="1:146">
      <c r="A327" s="921" t="s">
        <v>2786</v>
      </c>
      <c r="B327" s="921" t="s">
        <v>309</v>
      </c>
      <c r="C327" s="922" t="s">
        <v>309</v>
      </c>
      <c r="D327" s="922"/>
      <c r="E327" s="922" t="s">
        <v>37</v>
      </c>
      <c r="F327" s="922" t="s">
        <v>157</v>
      </c>
      <c r="G327" s="594" t="str">
        <f>VLOOKUP(WWWW[[#This Row],[Site Name]],SiteDB6[[Site Name]:[Location Type]],8,FALSE)</f>
        <v>Camp</v>
      </c>
      <c r="H327" s="753" t="s">
        <v>3051</v>
      </c>
      <c r="I327" s="924">
        <v>15</v>
      </c>
      <c r="J327" s="924">
        <v>71</v>
      </c>
      <c r="K327" s="925" t="s">
        <v>2672</v>
      </c>
      <c r="L327" s="926" t="s">
        <v>2673</v>
      </c>
      <c r="M327" s="924"/>
      <c r="N327" s="924"/>
      <c r="O327" s="924"/>
      <c r="P327" s="924"/>
      <c r="Q327" s="927"/>
      <c r="R327" s="924"/>
      <c r="S327" s="924">
        <v>4</v>
      </c>
      <c r="T327" s="449"/>
      <c r="U327" s="924"/>
      <c r="V327" s="924"/>
      <c r="W327" s="924"/>
      <c r="X327" s="924"/>
      <c r="Y327" s="924"/>
      <c r="Z327" s="924"/>
      <c r="AA327" s="924"/>
      <c r="AB327" s="924"/>
      <c r="AC327" s="924"/>
      <c r="AD327" s="924"/>
      <c r="AE327" s="924"/>
      <c r="AF327" s="924"/>
      <c r="AG327" s="924"/>
      <c r="AH327" s="924"/>
      <c r="AI327" s="924"/>
      <c r="AJ327" s="924"/>
      <c r="AK327" s="924"/>
      <c r="AL327" s="924"/>
      <c r="AM327" s="924"/>
      <c r="AN327" s="924"/>
      <c r="AO327" s="449"/>
      <c r="AP327" s="928"/>
      <c r="AQ327" s="924"/>
      <c r="AR327" s="924"/>
      <c r="AS327" s="929"/>
      <c r="AT327" s="924"/>
      <c r="AU327" s="924"/>
      <c r="AV327" s="924"/>
      <c r="AW327" s="924"/>
      <c r="AX327" s="924"/>
      <c r="AY327" s="923" t="s">
        <v>140</v>
      </c>
      <c r="AZ327" s="928" t="s">
        <v>140</v>
      </c>
      <c r="BA327" s="924"/>
      <c r="BB327" s="924"/>
      <c r="BC327" s="924"/>
      <c r="BD327" s="449"/>
      <c r="BE327" s="449"/>
      <c r="BF327" s="923"/>
      <c r="BG327" s="924">
        <v>3</v>
      </c>
      <c r="BH327" s="924"/>
      <c r="BI327" s="924"/>
      <c r="BJ327" s="924">
        <v>2</v>
      </c>
      <c r="BK327" s="924"/>
      <c r="BL327" s="924"/>
      <c r="BM327" s="924"/>
      <c r="BN327" s="924"/>
      <c r="BO327" s="924"/>
      <c r="BP327" s="923"/>
      <c r="BQ327" s="930"/>
      <c r="BR327" s="929"/>
      <c r="BS327" s="923"/>
      <c r="BT327" s="424"/>
      <c r="BU327" s="424"/>
      <c r="BV327" s="426"/>
      <c r="BW327" s="424"/>
      <c r="BX327" s="449"/>
      <c r="BY327" s="449"/>
      <c r="BZ327" s="449"/>
      <c r="CA327" s="449"/>
      <c r="CB327" s="449"/>
      <c r="CC327" s="807"/>
      <c r="CD327" s="449"/>
      <c r="CE327" s="931" t="str">
        <f>IFERROR(WWWW[[#This Row],['#_Water sources passed]]/WWWW[[#This Row],['#_Water sources tested for fecal coliform ]],"no test")</f>
        <v>no test</v>
      </c>
      <c r="CF327" s="929" t="str">
        <f>IFERROR(WWWW[[#This Row],['#_Household passed]]/WWWW[[#This Row],['#_Household water samples tested for fecal coliform]],"no test")</f>
        <v>no test</v>
      </c>
      <c r="CG327" s="930" t="str">
        <f>IF(AND(WWWW[[#This Row],[% of water sources passed]]="no test",WWWW[[#This Row],[% Household passed]]="no test"),"No Test","Tested")</f>
        <v>No Test</v>
      </c>
      <c r="CH327" s="930">
        <f>WWWW[[#This Row],['#_Constructed/existing protected hand dug well]]-WWWW[[#This Row],['#_Non-functional protected hand dug well]]</f>
        <v>0</v>
      </c>
      <c r="CI327" s="930">
        <f>(WWWW[[#This Row],['#_Constructed/Existing tube wells/boreholes/handpumps_WASH_agency]]+WWWW[[#This Row],['#_Non-Cluster partner water tube-wells/boreholes/handpumps]])-WWWW[[#This Row],['#_Non-functional tube wells/boreholes/handpumps]]</f>
        <v>0</v>
      </c>
      <c r="CJ327" s="930">
        <f>WWWW[[#This Row],['#_Constructed/Existingwater storage tank with gravity fed reticulation system]]-WWWW[[#This Row],['#_Non-functional storage tank gravity fed reticulation system]]</f>
        <v>0</v>
      </c>
      <c r="CK327" s="930">
        <f>(WWWW[[#This Row],['#_Water_Liters_supplied_by_Water boating or water trucking]]/90)/15</f>
        <v>0</v>
      </c>
      <c r="CL327" s="930">
        <f>WWWW[[#This Row],['#_Water_Liters_from_Constructed/Existing water distribution system from river or natural spring]]/90/15</f>
        <v>0</v>
      </c>
      <c r="CM327" s="425">
        <f>IF(WWWW[[#This Row],['#_of water points in TLS/CFS]]*500&gt;WWWW[[#This Row],[Total PoP ]],WWWW[[#This Row],[Total PoP ]],WWWW[[#This Row],['#_of water points in TLS/CFS]]*500)</f>
        <v>0</v>
      </c>
      <c r="CN327" s="425">
        <f>IF(WWWW[[#This Row],['#_of water points in THF]]*500&gt;WWWW[[#This Row],[Total PoP ]],WWWW[[#This Row],[Total PoP ]],WWWW[[#This Row],['#_of water points in THF]]*500)</f>
        <v>0</v>
      </c>
      <c r="CO32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7" s="929">
        <f>IF(WWWW[[#This Row],[Location Type 1]]="Village",WWWW[[#This Row],[Access to safe drinking water for Village]],WWWW[[#This Row],[Access to safe drinking water for Camp]])</f>
        <v>0</v>
      </c>
      <c r="CR327" s="927">
        <f>WWWW[[#This Row],[%Equitable and continuous access to sufficient quantity of safe drinking water]]*WWWW[[#This Row],[Total PoP ]]</f>
        <v>0</v>
      </c>
      <c r="CS327" s="929">
        <f>IF((WWWW[[#This Row],['#_Constructed/Existing protected/fenced ponds]]*250)/WWWW[[#This Row],[Total PoP ]]&gt;1,1,(WWWW[[#This Row],['#_Constructed/Existing protected/fenced ponds]]*250)/WWWW[[#This Row],[Total PoP ]])</f>
        <v>0</v>
      </c>
      <c r="CT327" s="927">
        <f>WWWW[[#This Row],[% Access to unimproved water points]]*WWWW[[#This Row],[Total PoP ]]</f>
        <v>0</v>
      </c>
      <c r="CU32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7" s="927">
        <f>WWWW[[#This Row],[HRP1]]/500</f>
        <v>0</v>
      </c>
      <c r="CX327" s="932">
        <f>1-WWWW[[#This Row],[% Equitable and continuous access to sufficient quantity of domestic water]]</f>
        <v>1</v>
      </c>
      <c r="CY327" s="927">
        <f>WWWW[[#This Row],[%equitable and continuous access to sufficient quantity of safe drinking and domestic water''s GAP]]*WWWW[[#This Row],[Total PoP ]]</f>
        <v>71</v>
      </c>
      <c r="CZ327" s="930">
        <f>IF(WWWW[[#This Row],[Total required water points]]-WWWW[[#This Row],['#Water points coverage]]&lt;0,0,WWWW[[#This Row],[Total required water points]]-WWWW[[#This Row],['#Water points coverage]])</f>
        <v>1</v>
      </c>
      <c r="DA327" s="930">
        <f>ROUND(IF(WWWW[[#This Row],[Total PoP ]]&lt;500,1,WWWW[[#This Row],[Total PoP ]]/500),0)</f>
        <v>1</v>
      </c>
      <c r="DB327" s="930">
        <f>(WWWW[[#This Row],['#_Constructed latrines_by_WASHAgencies]]+WWWW[[#This Row],['#_Non Cluster partner latrines]])-WWWW[[#This Row],['#_Non-functional latrines]]</f>
        <v>0</v>
      </c>
      <c r="DC327" s="634">
        <f>WWWW[[#This Row],[HRP2]]/WWWW[[#This Row],[Total PoP ]]</f>
        <v>0</v>
      </c>
      <c r="DD32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7" s="425">
        <f>IF(WWWW[[#This Row],['# of functional latrines in THF supported by WASH partners during the reporting period2]]="",0,WWWW[[#This Row],['# of functional latrines in THF supported by WASH partners during the reporting period2]]*50)</f>
        <v>0</v>
      </c>
      <c r="DH327" s="930">
        <f>ROUND(IF(WWWW[[#This Row],[Location Type 1]]="camp",WWWW[[#This Row],[Total PoP ]]/20,IF(WWWW[[#This Row],[Location Type 1]]="Temporary Location",WWWW[[#This Row],[Total PoP ]]/50,(WWWW[[#This Row],[Total PoP ]]/6))),0)</f>
        <v>4</v>
      </c>
      <c r="DI327" s="930">
        <f>IF(WWWW[[#This Row],[Total required Latrines]]-(WWWW[[#This Row],['#_Constructed latrines_by_WASHAgencies]]+WWWW[[#This Row],['#_Non Cluster partner latrines]])&lt;0,0,WWWW[[#This Row],[Total required Latrines]]-(WWWW[[#This Row],['#_Constructed latrines_by_WASHAgencies]]+WWWW[[#This Row],['#_Non Cluster partner latrines]]))</f>
        <v>4</v>
      </c>
      <c r="DJ327" s="932">
        <f>1-WWWW[[#This Row],[% people access to functioning Latrine]]</f>
        <v>1</v>
      </c>
      <c r="DK327" s="931">
        <f>IF(OR(WWWW[[#This Row],['#_Non-functional latrines]]="",WWWW[[#This Row],['#_Non-functional latrines]]=0),0,WWWW[[#This Row],['#_Non-functional latrines]]/(WWWW[[#This Row],['#_Constructed latrines_by_WASHAgencies]]+WWWW[[#This Row],['#_Non Cluster partner latrines]]))</f>
        <v>0</v>
      </c>
      <c r="DL327" s="927">
        <f>IF(500*(WWWW[[#This Row],['#_male hygiene promoters]]+WWWW[[#This Row],['#_female hygiene promoters]])&gt;WWWW[[#This Row],[Total PoP ]],WWWW[[#This Row],[Total PoP ]],500*(WWWW[[#This Row],['#_male hygiene promoters]]+WWWW[[#This Row],['#_female hygiene promoters]]))</f>
        <v>0</v>
      </c>
      <c r="DM32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7" s="930">
        <f>IF(WWWW[[#This Row],['# People with access to soap]]&gt;WWWW[[#This Row],['# People with access to Sanity Pads]],WWWW[[#This Row],['# People with access to soap]],WWWW[[#This Row],['# People with access to Sanity Pads]])</f>
        <v>0</v>
      </c>
      <c r="DP32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7" s="932">
        <f>IF(WWWW[[#This Row],[HRP3]]/WWWW[[#This Row],[Total PoP ]]&gt;1,1,WWWW[[#This Row],[HRP3]]/WWWW[[#This Row],[Total PoP ]])</f>
        <v>0</v>
      </c>
      <c r="DR327" s="931">
        <f>1-WWWW[[#This Row],[Hygiene Coverage%]]</f>
        <v>1</v>
      </c>
      <c r="DS327" s="929">
        <f>WWWW[[#This Row],['# people reached by regular dedicated hygiene promotion_5]]/WWWW[[#This Row],[Total PoP ]]</f>
        <v>0</v>
      </c>
      <c r="DT32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7" s="930">
        <f>WWWW[[#This Row],['#_Constructed/Existing hand washing stations]]-WWWW[[#This Row],['#_Non-Functional_hand_washing_stations]]</f>
        <v>3</v>
      </c>
      <c r="DW327" s="927">
        <f>IF(WWWW[[#This Row],['# Functional hand washing stations during reporting period]]*20&gt;WWWW[[#This Row],[Total HH]],WWWW[[#This Row],[Total HH]],WWWW[[#This Row],['# Functional hand washing stations during reporting period]]*20)</f>
        <v>15</v>
      </c>
      <c r="DX327" s="927">
        <f>IF(WWWW[[#This Row],[Is sufficient soap available for TLS? (Yes/No)]]="yes",WWWW[[#This Row],['#_Constructed/Existing hand washing stations at TLS/CFS/THF]],0)</f>
        <v>0</v>
      </c>
      <c r="DY327" s="429">
        <f>IF(WWWW[[#This Row],['# Functional hand washing stations during reporting period]]*100&gt;WWWW[[#This Row],[Total PoP ]],WWWW[[#This Row],[Total PoP ]],WWWW[[#This Row],['# Functional hand washing stations during reporting period]]*100)</f>
        <v>71</v>
      </c>
      <c r="DZ327" s="429" t="str">
        <f>IF(OR(WWWW[[#This Row],['#_students at TLS_CFS]]="",WWWW[[#This Row],['#_students at TLS_CFS]]=0),"No","Yes")</f>
        <v>No</v>
      </c>
      <c r="EA32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7" s="923">
        <f>VLOOKUP(WWWW[[#This Row],[Site Name]],SiteDB6[[Site Name]:[CCCM Management]],6,FALSE)</f>
        <v>0</v>
      </c>
      <c r="EF327" s="923" t="str">
        <f>VLOOKUP(WWWW[[#This Row],[Site Name]],SiteDB6[[Site Name]:[CCCM Focal Agency]],7,FALSE)</f>
        <v>uncovered</v>
      </c>
      <c r="EG327" s="923" t="str">
        <f>VLOOKUP(WWWW[[#This Row],[Site Name]],SiteDB6[[Site Name]:[Location Type 1]],9,FALSE)</f>
        <v>Camp</v>
      </c>
      <c r="EH327" s="923" t="str">
        <f>VLOOKUP(WWWW[[#This Row],[Site Name]],SiteDB6[[Site Name]:[Type of Accommodation]],10,FALSE)</f>
        <v>IDPs in host</v>
      </c>
      <c r="EI327" s="923" t="str">
        <f>VLOOKUP(WWWW[[#This Row],[Site Name]],SiteDB6[[Site Name]:[Ethnic or GCA/NGCA]],11,FALSE)</f>
        <v>GCA</v>
      </c>
      <c r="EJ327" s="923">
        <f>VLOOKUP(WWWW[[#This Row],[Site Name]],SiteDB6[[Site Name]:[Lat]],12,FALSE)</f>
        <v>24.764959999999999</v>
      </c>
      <c r="EK327" s="923">
        <f>VLOOKUP(WWWW[[#This Row],[Site Name]],SiteDB6[[Site Name]:[Long]],13,FALSE)</f>
        <v>96.366919999999993</v>
      </c>
      <c r="EL327" s="923" t="str">
        <f>VLOOKUP(WWWW[[#This Row],[Site Name]],SiteDB6[[Site Name]:[Pcode]],3,FALSE)</f>
        <v>MMR001CMP233</v>
      </c>
      <c r="EM327" s="928" t="str">
        <f t="shared" si="5"/>
        <v>Notcovered</v>
      </c>
      <c r="EN327" s="928"/>
      <c r="EO327" s="923">
        <f>VLOOKUP(WWWW[[#This Row],[Site Name]],SiteDB6[[Site Name]:[Pop
(Kachin/Shan-CCCM as of July 2021)]],16,FALSE)</f>
        <v>7</v>
      </c>
      <c r="EP327" s="923">
        <f>VLOOKUP(WWWW[[#This Row],[Site Name]],SiteDB6[[Site Name]:[Pop
(Kachin/Shan-CCCM as of July 2021)]],17,FALSE)</f>
        <v>35</v>
      </c>
    </row>
    <row r="328" spans="1:146">
      <c r="A328" s="921" t="s">
        <v>2786</v>
      </c>
      <c r="B328" s="921" t="s">
        <v>309</v>
      </c>
      <c r="C328" s="922" t="s">
        <v>309</v>
      </c>
      <c r="D328" s="922"/>
      <c r="E328" s="922" t="s">
        <v>37</v>
      </c>
      <c r="F328" s="922" t="s">
        <v>205</v>
      </c>
      <c r="G328" s="594" t="str">
        <f>VLOOKUP(WWWW[[#This Row],[Site Name]],SiteDB6[[Site Name]:[Location Type]],8,FALSE)</f>
        <v>Camp</v>
      </c>
      <c r="H328" s="753" t="s">
        <v>3046</v>
      </c>
      <c r="I328" s="924">
        <v>223</v>
      </c>
      <c r="J328" s="924">
        <v>1067</v>
      </c>
      <c r="K328" s="925" t="s">
        <v>2672</v>
      </c>
      <c r="L328" s="926" t="s">
        <v>2673</v>
      </c>
      <c r="M328" s="924"/>
      <c r="N328" s="924"/>
      <c r="O328" s="924"/>
      <c r="P328" s="924"/>
      <c r="Q328" s="927"/>
      <c r="R328" s="924"/>
      <c r="S328" s="924">
        <v>4</v>
      </c>
      <c r="T328" s="449"/>
      <c r="U328" s="924"/>
      <c r="V328" s="924"/>
      <c r="W328" s="924"/>
      <c r="X328" s="924"/>
      <c r="Y328" s="924"/>
      <c r="Z328" s="924"/>
      <c r="AA328" s="924"/>
      <c r="AB328" s="924"/>
      <c r="AC328" s="924"/>
      <c r="AD328" s="924"/>
      <c r="AE328" s="924"/>
      <c r="AF328" s="924"/>
      <c r="AG328" s="924"/>
      <c r="AH328" s="924"/>
      <c r="AI328" s="924"/>
      <c r="AJ328" s="924"/>
      <c r="AK328" s="924"/>
      <c r="AL328" s="924"/>
      <c r="AM328" s="924"/>
      <c r="AN328" s="924"/>
      <c r="AO328" s="449"/>
      <c r="AP328" s="928"/>
      <c r="AQ328" s="924"/>
      <c r="AR328" s="924"/>
      <c r="AS328" s="929"/>
      <c r="AT328" s="924"/>
      <c r="AU328" s="924"/>
      <c r="AV328" s="924"/>
      <c r="AW328" s="924"/>
      <c r="AX328" s="924"/>
      <c r="AY328" s="923" t="s">
        <v>140</v>
      </c>
      <c r="AZ328" s="928" t="s">
        <v>140</v>
      </c>
      <c r="BA328" s="924"/>
      <c r="BB328" s="924"/>
      <c r="BC328" s="924"/>
      <c r="BD328" s="449"/>
      <c r="BE328" s="449"/>
      <c r="BF328" s="923"/>
      <c r="BG328" s="924">
        <v>3</v>
      </c>
      <c r="BH328" s="924"/>
      <c r="BI328" s="924"/>
      <c r="BJ328" s="924">
        <v>2</v>
      </c>
      <c r="BK328" s="924"/>
      <c r="BL328" s="924"/>
      <c r="BM328" s="924"/>
      <c r="BN328" s="924"/>
      <c r="BO328" s="924"/>
      <c r="BP328" s="923"/>
      <c r="BQ328" s="930"/>
      <c r="BR328" s="929"/>
      <c r="BS328" s="923"/>
      <c r="BT328" s="424"/>
      <c r="BU328" s="424"/>
      <c r="BV328" s="426"/>
      <c r="BW328" s="424"/>
      <c r="BX328" s="449"/>
      <c r="BY328" s="449"/>
      <c r="BZ328" s="449"/>
      <c r="CA328" s="449"/>
      <c r="CB328" s="449"/>
      <c r="CC328" s="807"/>
      <c r="CD328" s="449"/>
      <c r="CE328" s="931" t="str">
        <f>IFERROR(WWWW[[#This Row],['#_Water sources passed]]/WWWW[[#This Row],['#_Water sources tested for fecal coliform ]],"no test")</f>
        <v>no test</v>
      </c>
      <c r="CF328" s="929" t="str">
        <f>IFERROR(WWWW[[#This Row],['#_Household passed]]/WWWW[[#This Row],['#_Household water samples tested for fecal coliform]],"no test")</f>
        <v>no test</v>
      </c>
      <c r="CG328" s="930" t="str">
        <f>IF(AND(WWWW[[#This Row],[% of water sources passed]]="no test",WWWW[[#This Row],[% Household passed]]="no test"),"No Test","Tested")</f>
        <v>No Test</v>
      </c>
      <c r="CH328" s="930">
        <f>WWWW[[#This Row],['#_Constructed/existing protected hand dug well]]-WWWW[[#This Row],['#_Non-functional protected hand dug well]]</f>
        <v>0</v>
      </c>
      <c r="CI328" s="930">
        <f>(WWWW[[#This Row],['#_Constructed/Existing tube wells/boreholes/handpumps_WASH_agency]]+WWWW[[#This Row],['#_Non-Cluster partner water tube-wells/boreholes/handpumps]])-WWWW[[#This Row],['#_Non-functional tube wells/boreholes/handpumps]]</f>
        <v>0</v>
      </c>
      <c r="CJ328" s="930">
        <f>WWWW[[#This Row],['#_Constructed/Existingwater storage tank with gravity fed reticulation system]]-WWWW[[#This Row],['#_Non-functional storage tank gravity fed reticulation system]]</f>
        <v>0</v>
      </c>
      <c r="CK328" s="930">
        <f>(WWWW[[#This Row],['#_Water_Liters_supplied_by_Water boating or water trucking]]/90)/15</f>
        <v>0</v>
      </c>
      <c r="CL328" s="930">
        <f>WWWW[[#This Row],['#_Water_Liters_from_Constructed/Existing water distribution system from river or natural spring]]/90/15</f>
        <v>0</v>
      </c>
      <c r="CM328" s="425">
        <f>IF(WWWW[[#This Row],['#_of water points in TLS/CFS]]*500&gt;WWWW[[#This Row],[Total PoP ]],WWWW[[#This Row],[Total PoP ]],WWWW[[#This Row],['#_of water points in TLS/CFS]]*500)</f>
        <v>0</v>
      </c>
      <c r="CN328" s="425">
        <f>IF(WWWW[[#This Row],['#_of water points in THF]]*500&gt;WWWW[[#This Row],[Total PoP ]],WWWW[[#This Row],[Total PoP ]],WWWW[[#This Row],['#_of water points in THF]]*500)</f>
        <v>0</v>
      </c>
      <c r="CO32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8" s="929">
        <f>IF(WWWW[[#This Row],[Location Type 1]]="Village",WWWW[[#This Row],[Access to safe drinking water for Village]],WWWW[[#This Row],[Access to safe drinking water for Camp]])</f>
        <v>0</v>
      </c>
      <c r="CR328" s="927">
        <f>WWWW[[#This Row],[%Equitable and continuous access to sufficient quantity of safe drinking water]]*WWWW[[#This Row],[Total PoP ]]</f>
        <v>0</v>
      </c>
      <c r="CS328" s="929">
        <f>IF((WWWW[[#This Row],['#_Constructed/Existing protected/fenced ponds]]*250)/WWWW[[#This Row],[Total PoP ]]&gt;1,1,(WWWW[[#This Row],['#_Constructed/Existing protected/fenced ponds]]*250)/WWWW[[#This Row],[Total PoP ]])</f>
        <v>0</v>
      </c>
      <c r="CT328" s="927">
        <f>WWWW[[#This Row],[% Access to unimproved water points]]*WWWW[[#This Row],[Total PoP ]]</f>
        <v>0</v>
      </c>
      <c r="CU32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8" s="927">
        <f>WWWW[[#This Row],[HRP1]]/500</f>
        <v>0</v>
      </c>
      <c r="CX328" s="932">
        <f>1-WWWW[[#This Row],[% Equitable and continuous access to sufficient quantity of domestic water]]</f>
        <v>1</v>
      </c>
      <c r="CY328" s="927">
        <f>WWWW[[#This Row],[%equitable and continuous access to sufficient quantity of safe drinking and domestic water''s GAP]]*WWWW[[#This Row],[Total PoP ]]</f>
        <v>1067</v>
      </c>
      <c r="CZ328" s="930">
        <f>IF(WWWW[[#This Row],[Total required water points]]-WWWW[[#This Row],['#Water points coverage]]&lt;0,0,WWWW[[#This Row],[Total required water points]]-WWWW[[#This Row],['#Water points coverage]])</f>
        <v>2</v>
      </c>
      <c r="DA328" s="930">
        <f>ROUND(IF(WWWW[[#This Row],[Total PoP ]]&lt;500,1,WWWW[[#This Row],[Total PoP ]]/500),0)</f>
        <v>2</v>
      </c>
      <c r="DB328" s="930">
        <f>(WWWW[[#This Row],['#_Constructed latrines_by_WASHAgencies]]+WWWW[[#This Row],['#_Non Cluster partner latrines]])-WWWW[[#This Row],['#_Non-functional latrines]]</f>
        <v>0</v>
      </c>
      <c r="DC328" s="634">
        <f>WWWW[[#This Row],[HRP2]]/WWWW[[#This Row],[Total PoP ]]</f>
        <v>0</v>
      </c>
      <c r="DD32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8" s="425">
        <f>IF(WWWW[[#This Row],['# of functional latrines in THF supported by WASH partners during the reporting period2]]="",0,WWWW[[#This Row],['# of functional latrines in THF supported by WASH partners during the reporting period2]]*50)</f>
        <v>0</v>
      </c>
      <c r="DH328" s="930">
        <f>ROUND(IF(WWWW[[#This Row],[Location Type 1]]="camp",WWWW[[#This Row],[Total PoP ]]/20,IF(WWWW[[#This Row],[Location Type 1]]="Temporary Location",WWWW[[#This Row],[Total PoP ]]/50,(WWWW[[#This Row],[Total PoP ]]/6))),0)</f>
        <v>53</v>
      </c>
      <c r="DI328" s="930">
        <f>IF(WWWW[[#This Row],[Total required Latrines]]-(WWWW[[#This Row],['#_Constructed latrines_by_WASHAgencies]]+WWWW[[#This Row],['#_Non Cluster partner latrines]])&lt;0,0,WWWW[[#This Row],[Total required Latrines]]-(WWWW[[#This Row],['#_Constructed latrines_by_WASHAgencies]]+WWWW[[#This Row],['#_Non Cluster partner latrines]]))</f>
        <v>53</v>
      </c>
      <c r="DJ328" s="932">
        <f>1-WWWW[[#This Row],[% people access to functioning Latrine]]</f>
        <v>1</v>
      </c>
      <c r="DK328" s="931">
        <f>IF(OR(WWWW[[#This Row],['#_Non-functional latrines]]="",WWWW[[#This Row],['#_Non-functional latrines]]=0),0,WWWW[[#This Row],['#_Non-functional latrines]]/(WWWW[[#This Row],['#_Constructed latrines_by_WASHAgencies]]+WWWW[[#This Row],['#_Non Cluster partner latrines]]))</f>
        <v>0</v>
      </c>
      <c r="DL328" s="927">
        <f>IF(500*(WWWW[[#This Row],['#_male hygiene promoters]]+WWWW[[#This Row],['#_female hygiene promoters]])&gt;WWWW[[#This Row],[Total PoP ]],WWWW[[#This Row],[Total PoP ]],500*(WWWW[[#This Row],['#_male hygiene promoters]]+WWWW[[#This Row],['#_female hygiene promoters]]))</f>
        <v>0</v>
      </c>
      <c r="DM32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8" s="930">
        <f>IF(WWWW[[#This Row],['# People with access to soap]]&gt;WWWW[[#This Row],['# People with access to Sanity Pads]],WWWW[[#This Row],['# People with access to soap]],WWWW[[#This Row],['# People with access to Sanity Pads]])</f>
        <v>0</v>
      </c>
      <c r="DP32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8" s="932">
        <f>IF(WWWW[[#This Row],[HRP3]]/WWWW[[#This Row],[Total PoP ]]&gt;1,1,WWWW[[#This Row],[HRP3]]/WWWW[[#This Row],[Total PoP ]])</f>
        <v>0</v>
      </c>
      <c r="DR328" s="931">
        <f>1-WWWW[[#This Row],[Hygiene Coverage%]]</f>
        <v>1</v>
      </c>
      <c r="DS328" s="929">
        <f>WWWW[[#This Row],['# people reached by regular dedicated hygiene promotion_5]]/WWWW[[#This Row],[Total PoP ]]</f>
        <v>0</v>
      </c>
      <c r="DT32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8" s="930">
        <f>WWWW[[#This Row],['#_Constructed/Existing hand washing stations]]-WWWW[[#This Row],['#_Non-Functional_hand_washing_stations]]</f>
        <v>3</v>
      </c>
      <c r="DW328" s="927">
        <f>IF(WWWW[[#This Row],['# Functional hand washing stations during reporting period]]*20&gt;WWWW[[#This Row],[Total HH]],WWWW[[#This Row],[Total HH]],WWWW[[#This Row],['# Functional hand washing stations during reporting period]]*20)</f>
        <v>60</v>
      </c>
      <c r="DX328" s="927">
        <f>IF(WWWW[[#This Row],[Is sufficient soap available for TLS? (Yes/No)]]="yes",WWWW[[#This Row],['#_Constructed/Existing hand washing stations at TLS/CFS/THF]],0)</f>
        <v>0</v>
      </c>
      <c r="DY328" s="429">
        <f>IF(WWWW[[#This Row],['# Functional hand washing stations during reporting period]]*100&gt;WWWW[[#This Row],[Total PoP ]],WWWW[[#This Row],[Total PoP ]],WWWW[[#This Row],['# Functional hand washing stations during reporting period]]*100)</f>
        <v>300</v>
      </c>
      <c r="DZ328" s="429" t="str">
        <f>IF(OR(WWWW[[#This Row],['#_students at TLS_CFS]]="",WWWW[[#This Row],['#_students at TLS_CFS]]=0),"No","Yes")</f>
        <v>No</v>
      </c>
      <c r="EA32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8" s="923">
        <f>VLOOKUP(WWWW[[#This Row],[Site Name]],SiteDB6[[Site Name]:[CCCM Management]],6,FALSE)</f>
        <v>0</v>
      </c>
      <c r="EF328" s="923" t="str">
        <f>VLOOKUP(WWWW[[#This Row],[Site Name]],SiteDB6[[Site Name]:[CCCM Focal Agency]],7,FALSE)</f>
        <v>uncovered</v>
      </c>
      <c r="EG328" s="923" t="str">
        <f>VLOOKUP(WWWW[[#This Row],[Site Name]],SiteDB6[[Site Name]:[Location Type 1]],9,FALSE)</f>
        <v>Camp</v>
      </c>
      <c r="EH328" s="923" t="str">
        <f>VLOOKUP(WWWW[[#This Row],[Site Name]],SiteDB6[[Site Name]:[Type of Accommodation]],10,FALSE)</f>
        <v>IDPs in host</v>
      </c>
      <c r="EI328" s="923" t="str">
        <f>VLOOKUP(WWWW[[#This Row],[Site Name]],SiteDB6[[Site Name]:[Ethnic or GCA/NGCA]],11,FALSE)</f>
        <v>GCA</v>
      </c>
      <c r="EJ328" s="923">
        <f>VLOOKUP(WWWW[[#This Row],[Site Name]],SiteDB6[[Site Name]:[Lat]],12,FALSE)</f>
        <v>24.251232000000002</v>
      </c>
      <c r="EK328" s="923">
        <f>VLOOKUP(WWWW[[#This Row],[Site Name]],SiteDB6[[Site Name]:[Long]],13,FALSE)</f>
        <v>97.348405</v>
      </c>
      <c r="EL328" s="923" t="str">
        <f>VLOOKUP(WWWW[[#This Row],[Site Name]],SiteDB6[[Site Name]:[Pcode]],3,FALSE)</f>
        <v>MMR001CMP197</v>
      </c>
      <c r="EM328" s="928" t="str">
        <f t="shared" si="5"/>
        <v>Notcovered</v>
      </c>
      <c r="EN328" s="928"/>
      <c r="EO328" s="923">
        <f>VLOOKUP(WWWW[[#This Row],[Site Name]],SiteDB6[[Site Name]:[Pop
(Kachin/Shan-CCCM as of July 2021)]],16,FALSE)</f>
        <v>171</v>
      </c>
      <c r="EP328" s="923">
        <f>VLOOKUP(WWWW[[#This Row],[Site Name]],SiteDB6[[Site Name]:[Pop
(Kachin/Shan-CCCM as of July 2021)]],17,FALSE)</f>
        <v>882</v>
      </c>
    </row>
    <row r="329" spans="1:146">
      <c r="A329" s="921" t="s">
        <v>2786</v>
      </c>
      <c r="B329" s="921" t="s">
        <v>309</v>
      </c>
      <c r="C329" s="922" t="s">
        <v>309</v>
      </c>
      <c r="D329" s="922"/>
      <c r="E329" s="922" t="s">
        <v>37</v>
      </c>
      <c r="F329" s="922" t="s">
        <v>205</v>
      </c>
      <c r="G329" s="594" t="str">
        <f>VLOOKUP(WWWW[[#This Row],[Site Name]],SiteDB6[[Site Name]:[Location Type]],8,FALSE)</f>
        <v>Camp</v>
      </c>
      <c r="H329" s="753" t="s">
        <v>3043</v>
      </c>
      <c r="I329" s="924">
        <v>15</v>
      </c>
      <c r="J329" s="924">
        <v>101</v>
      </c>
      <c r="K329" s="925" t="s">
        <v>2672</v>
      </c>
      <c r="L329" s="926" t="s">
        <v>2673</v>
      </c>
      <c r="M329" s="924"/>
      <c r="N329" s="924"/>
      <c r="O329" s="924"/>
      <c r="P329" s="924"/>
      <c r="Q329" s="927"/>
      <c r="R329" s="924"/>
      <c r="S329" s="924">
        <v>1</v>
      </c>
      <c r="T329" s="449"/>
      <c r="U329" s="924"/>
      <c r="V329" s="924"/>
      <c r="W329" s="924"/>
      <c r="X329" s="924"/>
      <c r="Y329" s="924"/>
      <c r="Z329" s="924"/>
      <c r="AA329" s="924"/>
      <c r="AB329" s="924"/>
      <c r="AC329" s="924"/>
      <c r="AD329" s="924"/>
      <c r="AE329" s="924"/>
      <c r="AF329" s="924"/>
      <c r="AG329" s="924"/>
      <c r="AH329" s="924"/>
      <c r="AI329" s="924"/>
      <c r="AJ329" s="924"/>
      <c r="AK329" s="924"/>
      <c r="AL329" s="924"/>
      <c r="AM329" s="924"/>
      <c r="AN329" s="924"/>
      <c r="AO329" s="449"/>
      <c r="AP329" s="928"/>
      <c r="AQ329" s="924"/>
      <c r="AR329" s="924"/>
      <c r="AS329" s="929"/>
      <c r="AT329" s="924"/>
      <c r="AU329" s="924"/>
      <c r="AV329" s="924"/>
      <c r="AW329" s="924"/>
      <c r="AX329" s="924"/>
      <c r="AY329" s="923" t="s">
        <v>140</v>
      </c>
      <c r="AZ329" s="928" t="s">
        <v>140</v>
      </c>
      <c r="BA329" s="924"/>
      <c r="BB329" s="924"/>
      <c r="BC329" s="924"/>
      <c r="BD329" s="449"/>
      <c r="BE329" s="449"/>
      <c r="BF329" s="923"/>
      <c r="BG329" s="924">
        <v>1</v>
      </c>
      <c r="BH329" s="924"/>
      <c r="BI329" s="924"/>
      <c r="BJ329" s="924">
        <v>3</v>
      </c>
      <c r="BK329" s="924"/>
      <c r="BL329" s="924"/>
      <c r="BM329" s="924"/>
      <c r="BN329" s="924"/>
      <c r="BO329" s="924"/>
      <c r="BP329" s="923"/>
      <c r="BQ329" s="930"/>
      <c r="BR329" s="929"/>
      <c r="BS329" s="923"/>
      <c r="BT329" s="424"/>
      <c r="BU329" s="424"/>
      <c r="BV329" s="426"/>
      <c r="BW329" s="424"/>
      <c r="BX329" s="449"/>
      <c r="BY329" s="449"/>
      <c r="BZ329" s="449"/>
      <c r="CA329" s="449"/>
      <c r="CB329" s="449"/>
      <c r="CC329" s="807"/>
      <c r="CD329" s="449"/>
      <c r="CE329" s="931" t="str">
        <f>IFERROR(WWWW[[#This Row],['#_Water sources passed]]/WWWW[[#This Row],['#_Water sources tested for fecal coliform ]],"no test")</f>
        <v>no test</v>
      </c>
      <c r="CF329" s="929" t="str">
        <f>IFERROR(WWWW[[#This Row],['#_Household passed]]/WWWW[[#This Row],['#_Household water samples tested for fecal coliform]],"no test")</f>
        <v>no test</v>
      </c>
      <c r="CG329" s="930" t="str">
        <f>IF(AND(WWWW[[#This Row],[% of water sources passed]]="no test",WWWW[[#This Row],[% Household passed]]="no test"),"No Test","Tested")</f>
        <v>No Test</v>
      </c>
      <c r="CH329" s="930">
        <f>WWWW[[#This Row],['#_Constructed/existing protected hand dug well]]-WWWW[[#This Row],['#_Non-functional protected hand dug well]]</f>
        <v>0</v>
      </c>
      <c r="CI329" s="930">
        <f>(WWWW[[#This Row],['#_Constructed/Existing tube wells/boreholes/handpumps_WASH_agency]]+WWWW[[#This Row],['#_Non-Cluster partner water tube-wells/boreholes/handpumps]])-WWWW[[#This Row],['#_Non-functional tube wells/boreholes/handpumps]]</f>
        <v>0</v>
      </c>
      <c r="CJ329" s="930">
        <f>WWWW[[#This Row],['#_Constructed/Existingwater storage tank with gravity fed reticulation system]]-WWWW[[#This Row],['#_Non-functional storage tank gravity fed reticulation system]]</f>
        <v>0</v>
      </c>
      <c r="CK329" s="930">
        <f>(WWWW[[#This Row],['#_Water_Liters_supplied_by_Water boating or water trucking]]/90)/15</f>
        <v>0</v>
      </c>
      <c r="CL329" s="930">
        <f>WWWW[[#This Row],['#_Water_Liters_from_Constructed/Existing water distribution system from river or natural spring]]/90/15</f>
        <v>0</v>
      </c>
      <c r="CM329" s="425">
        <f>IF(WWWW[[#This Row],['#_of water points in TLS/CFS]]*500&gt;WWWW[[#This Row],[Total PoP ]],WWWW[[#This Row],[Total PoP ]],WWWW[[#This Row],['#_of water points in TLS/CFS]]*500)</f>
        <v>0</v>
      </c>
      <c r="CN329" s="425">
        <f>IF(WWWW[[#This Row],['#_of water points in THF]]*500&gt;WWWW[[#This Row],[Total PoP ]],WWWW[[#This Row],[Total PoP ]],WWWW[[#This Row],['#_of water points in THF]]*500)</f>
        <v>0</v>
      </c>
      <c r="CO32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2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29" s="929">
        <f>IF(WWWW[[#This Row],[Location Type 1]]="Village",WWWW[[#This Row],[Access to safe drinking water for Village]],WWWW[[#This Row],[Access to safe drinking water for Camp]])</f>
        <v>0</v>
      </c>
      <c r="CR329" s="927">
        <f>WWWW[[#This Row],[%Equitable and continuous access to sufficient quantity of safe drinking water]]*WWWW[[#This Row],[Total PoP ]]</f>
        <v>0</v>
      </c>
      <c r="CS329" s="929">
        <f>IF((WWWW[[#This Row],['#_Constructed/Existing protected/fenced ponds]]*250)/WWWW[[#This Row],[Total PoP ]]&gt;1,1,(WWWW[[#This Row],['#_Constructed/Existing protected/fenced ponds]]*250)/WWWW[[#This Row],[Total PoP ]])</f>
        <v>0</v>
      </c>
      <c r="CT329" s="927">
        <f>WWWW[[#This Row],[% Access to unimproved water points]]*WWWW[[#This Row],[Total PoP ]]</f>
        <v>0</v>
      </c>
      <c r="CU32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2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29" s="927">
        <f>WWWW[[#This Row],[HRP1]]/500</f>
        <v>0</v>
      </c>
      <c r="CX329" s="932">
        <f>1-WWWW[[#This Row],[% Equitable and continuous access to sufficient quantity of domestic water]]</f>
        <v>1</v>
      </c>
      <c r="CY329" s="927">
        <f>WWWW[[#This Row],[%equitable and continuous access to sufficient quantity of safe drinking and domestic water''s GAP]]*WWWW[[#This Row],[Total PoP ]]</f>
        <v>101</v>
      </c>
      <c r="CZ329" s="930">
        <f>IF(WWWW[[#This Row],[Total required water points]]-WWWW[[#This Row],['#Water points coverage]]&lt;0,0,WWWW[[#This Row],[Total required water points]]-WWWW[[#This Row],['#Water points coverage]])</f>
        <v>1</v>
      </c>
      <c r="DA329" s="930">
        <f>ROUND(IF(WWWW[[#This Row],[Total PoP ]]&lt;500,1,WWWW[[#This Row],[Total PoP ]]/500),0)</f>
        <v>1</v>
      </c>
      <c r="DB329" s="930">
        <f>(WWWW[[#This Row],['#_Constructed latrines_by_WASHAgencies]]+WWWW[[#This Row],['#_Non Cluster partner latrines]])-WWWW[[#This Row],['#_Non-functional latrines]]</f>
        <v>0</v>
      </c>
      <c r="DC329" s="634">
        <f>WWWW[[#This Row],[HRP2]]/WWWW[[#This Row],[Total PoP ]]</f>
        <v>0</v>
      </c>
      <c r="DD32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2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2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29" s="425">
        <f>IF(WWWW[[#This Row],['# of functional latrines in THF supported by WASH partners during the reporting period2]]="",0,WWWW[[#This Row],['# of functional latrines in THF supported by WASH partners during the reporting period2]]*50)</f>
        <v>0</v>
      </c>
      <c r="DH329" s="930">
        <f>ROUND(IF(WWWW[[#This Row],[Location Type 1]]="camp",WWWW[[#This Row],[Total PoP ]]/20,IF(WWWW[[#This Row],[Location Type 1]]="Temporary Location",WWWW[[#This Row],[Total PoP ]]/50,(WWWW[[#This Row],[Total PoP ]]/6))),0)</f>
        <v>5</v>
      </c>
      <c r="DI329" s="930">
        <f>IF(WWWW[[#This Row],[Total required Latrines]]-(WWWW[[#This Row],['#_Constructed latrines_by_WASHAgencies]]+WWWW[[#This Row],['#_Non Cluster partner latrines]])&lt;0,0,WWWW[[#This Row],[Total required Latrines]]-(WWWW[[#This Row],['#_Constructed latrines_by_WASHAgencies]]+WWWW[[#This Row],['#_Non Cluster partner latrines]]))</f>
        <v>5</v>
      </c>
      <c r="DJ329" s="932">
        <f>1-WWWW[[#This Row],[% people access to functioning Latrine]]</f>
        <v>1</v>
      </c>
      <c r="DK329" s="931">
        <f>IF(OR(WWWW[[#This Row],['#_Non-functional latrines]]="",WWWW[[#This Row],['#_Non-functional latrines]]=0),0,WWWW[[#This Row],['#_Non-functional latrines]]/(WWWW[[#This Row],['#_Constructed latrines_by_WASHAgencies]]+WWWW[[#This Row],['#_Non Cluster partner latrines]]))</f>
        <v>0</v>
      </c>
      <c r="DL329" s="927">
        <f>IF(500*(WWWW[[#This Row],['#_male hygiene promoters]]+WWWW[[#This Row],['#_female hygiene promoters]])&gt;WWWW[[#This Row],[Total PoP ]],WWWW[[#This Row],[Total PoP ]],500*(WWWW[[#This Row],['#_male hygiene promoters]]+WWWW[[#This Row],['#_female hygiene promoters]]))</f>
        <v>0</v>
      </c>
      <c r="DM32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2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29" s="930">
        <f>IF(WWWW[[#This Row],['# People with access to soap]]&gt;WWWW[[#This Row],['# People with access to Sanity Pads]],WWWW[[#This Row],['# People with access to soap]],WWWW[[#This Row],['# People with access to Sanity Pads]])</f>
        <v>0</v>
      </c>
      <c r="DP32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29" s="932">
        <f>IF(WWWW[[#This Row],[HRP3]]/WWWW[[#This Row],[Total PoP ]]&gt;1,1,WWWW[[#This Row],[HRP3]]/WWWW[[#This Row],[Total PoP ]])</f>
        <v>0</v>
      </c>
      <c r="DR329" s="931">
        <f>1-WWWW[[#This Row],[Hygiene Coverage%]]</f>
        <v>1</v>
      </c>
      <c r="DS329" s="929">
        <f>WWWW[[#This Row],['# people reached by regular dedicated hygiene promotion_5]]/WWWW[[#This Row],[Total PoP ]]</f>
        <v>0</v>
      </c>
      <c r="DT32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2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29" s="930">
        <f>WWWW[[#This Row],['#_Constructed/Existing hand washing stations]]-WWWW[[#This Row],['#_Non-Functional_hand_washing_stations]]</f>
        <v>1</v>
      </c>
      <c r="DW329" s="927">
        <f>IF(WWWW[[#This Row],['# Functional hand washing stations during reporting period]]*20&gt;WWWW[[#This Row],[Total HH]],WWWW[[#This Row],[Total HH]],WWWW[[#This Row],['# Functional hand washing stations during reporting period]]*20)</f>
        <v>15</v>
      </c>
      <c r="DX329" s="927">
        <f>IF(WWWW[[#This Row],[Is sufficient soap available for TLS? (Yes/No)]]="yes",WWWW[[#This Row],['#_Constructed/Existing hand washing stations at TLS/CFS/THF]],0)</f>
        <v>0</v>
      </c>
      <c r="DY329" s="429">
        <f>IF(WWWW[[#This Row],['# Functional hand washing stations during reporting period]]*100&gt;WWWW[[#This Row],[Total PoP ]],WWWW[[#This Row],[Total PoP ]],WWWW[[#This Row],['# Functional hand washing stations during reporting period]]*100)</f>
        <v>100</v>
      </c>
      <c r="DZ329" s="429" t="str">
        <f>IF(OR(WWWW[[#This Row],['#_students at TLS_CFS]]="",WWWW[[#This Row],['#_students at TLS_CFS]]=0),"No","Yes")</f>
        <v>No</v>
      </c>
      <c r="EA32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2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2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2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29" s="923">
        <f>VLOOKUP(WWWW[[#This Row],[Site Name]],SiteDB6[[Site Name]:[CCCM Management]],6,FALSE)</f>
        <v>0</v>
      </c>
      <c r="EF329" s="923" t="str">
        <f>VLOOKUP(WWWW[[#This Row],[Site Name]],SiteDB6[[Site Name]:[CCCM Focal Agency]],7,FALSE)</f>
        <v>uncovered</v>
      </c>
      <c r="EG329" s="923" t="str">
        <f>VLOOKUP(WWWW[[#This Row],[Site Name]],SiteDB6[[Site Name]:[Location Type 1]],9,FALSE)</f>
        <v>Camp</v>
      </c>
      <c r="EH329" s="923" t="str">
        <f>VLOOKUP(WWWW[[#This Row],[Site Name]],SiteDB6[[Site Name]:[Type of Accommodation]],10,FALSE)</f>
        <v>IDPs in host</v>
      </c>
      <c r="EI329" s="923" t="str">
        <f>VLOOKUP(WWWW[[#This Row],[Site Name]],SiteDB6[[Site Name]:[Ethnic or GCA/NGCA]],11,FALSE)</f>
        <v>GCA</v>
      </c>
      <c r="EJ329" s="923">
        <f>VLOOKUP(WWWW[[#This Row],[Site Name]],SiteDB6[[Site Name]:[Lat]],12,FALSE)</f>
        <v>24.404876999999999</v>
      </c>
      <c r="EK329" s="923">
        <f>VLOOKUP(WWWW[[#This Row],[Site Name]],SiteDB6[[Site Name]:[Long]],13,FALSE)</f>
        <v>97.407787999999996</v>
      </c>
      <c r="EL329" s="923" t="str">
        <f>VLOOKUP(WWWW[[#This Row],[Site Name]],SiteDB6[[Site Name]:[Pcode]],3,FALSE)</f>
        <v>MMR001CMP061</v>
      </c>
      <c r="EM329" s="928" t="str">
        <f t="shared" si="5"/>
        <v>Notcovered</v>
      </c>
      <c r="EN329" s="928"/>
      <c r="EO329" s="923">
        <f>VLOOKUP(WWWW[[#This Row],[Site Name]],SiteDB6[[Site Name]:[Pop
(Kachin/Shan-CCCM as of July 2021)]],16,FALSE)</f>
        <v>15</v>
      </c>
      <c r="EP329" s="923">
        <f>VLOOKUP(WWWW[[#This Row],[Site Name]],SiteDB6[[Site Name]:[Pop
(Kachin/Shan-CCCM as of July 2021)]],17,FALSE)</f>
        <v>101</v>
      </c>
    </row>
    <row r="330" spans="1:146">
      <c r="A330" s="921" t="s">
        <v>2786</v>
      </c>
      <c r="B330" s="921" t="s">
        <v>309</v>
      </c>
      <c r="C330" s="922" t="s">
        <v>309</v>
      </c>
      <c r="D330" s="922"/>
      <c r="E330" s="922" t="s">
        <v>37</v>
      </c>
      <c r="F330" s="922" t="s">
        <v>159</v>
      </c>
      <c r="G330" s="594" t="str">
        <f>VLOOKUP(WWWW[[#This Row],[Site Name]],SiteDB6[[Site Name]:[Location Type]],8,FALSE)</f>
        <v>Camp</v>
      </c>
      <c r="H330" s="922" t="s">
        <v>2244</v>
      </c>
      <c r="I330" s="924">
        <v>26</v>
      </c>
      <c r="J330" s="924">
        <v>147</v>
      </c>
      <c r="K330" s="925" t="s">
        <v>2672</v>
      </c>
      <c r="L330" s="926" t="s">
        <v>2673</v>
      </c>
      <c r="M330" s="924"/>
      <c r="N330" s="924"/>
      <c r="O330" s="924"/>
      <c r="P330" s="924"/>
      <c r="Q330" s="927"/>
      <c r="R330" s="924"/>
      <c r="S330" s="924">
        <v>4</v>
      </c>
      <c r="T330" s="449"/>
      <c r="U330" s="924"/>
      <c r="V330" s="924"/>
      <c r="W330" s="924"/>
      <c r="X330" s="924"/>
      <c r="Y330" s="924"/>
      <c r="Z330" s="924"/>
      <c r="AA330" s="924"/>
      <c r="AB330" s="924"/>
      <c r="AC330" s="924"/>
      <c r="AD330" s="924"/>
      <c r="AE330" s="924"/>
      <c r="AF330" s="924"/>
      <c r="AG330" s="924"/>
      <c r="AH330" s="924"/>
      <c r="AI330" s="924"/>
      <c r="AJ330" s="924"/>
      <c r="AK330" s="924"/>
      <c r="AL330" s="924"/>
      <c r="AM330" s="924"/>
      <c r="AN330" s="924"/>
      <c r="AO330" s="449"/>
      <c r="AP330" s="928"/>
      <c r="AQ330" s="924"/>
      <c r="AR330" s="924"/>
      <c r="AS330" s="929"/>
      <c r="AT330" s="924"/>
      <c r="AU330" s="924"/>
      <c r="AV330" s="924"/>
      <c r="AW330" s="924"/>
      <c r="AX330" s="924"/>
      <c r="AY330" s="923" t="s">
        <v>140</v>
      </c>
      <c r="AZ330" s="928" t="s">
        <v>140</v>
      </c>
      <c r="BA330" s="924"/>
      <c r="BB330" s="924"/>
      <c r="BC330" s="924"/>
      <c r="BD330" s="449"/>
      <c r="BE330" s="449"/>
      <c r="BF330" s="923"/>
      <c r="BG330" s="924">
        <v>1</v>
      </c>
      <c r="BH330" s="924"/>
      <c r="BI330" s="924"/>
      <c r="BJ330" s="924">
        <v>1</v>
      </c>
      <c r="BK330" s="924"/>
      <c r="BL330" s="924"/>
      <c r="BM330" s="924"/>
      <c r="BN330" s="924"/>
      <c r="BO330" s="924"/>
      <c r="BP330" s="923"/>
      <c r="BQ330" s="930"/>
      <c r="BR330" s="929"/>
      <c r="BS330" s="923"/>
      <c r="BT330" s="424"/>
      <c r="BU330" s="424"/>
      <c r="BV330" s="426"/>
      <c r="BW330" s="424"/>
      <c r="BX330" s="449"/>
      <c r="BY330" s="449"/>
      <c r="BZ330" s="449"/>
      <c r="CA330" s="449"/>
      <c r="CB330" s="449"/>
      <c r="CC330" s="807"/>
      <c r="CD330" s="449"/>
      <c r="CE330" s="931" t="str">
        <f>IFERROR(WWWW[[#This Row],['#_Water sources passed]]/WWWW[[#This Row],['#_Water sources tested for fecal coliform ]],"no test")</f>
        <v>no test</v>
      </c>
      <c r="CF330" s="929" t="str">
        <f>IFERROR(WWWW[[#This Row],['#_Household passed]]/WWWW[[#This Row],['#_Household water samples tested for fecal coliform]],"no test")</f>
        <v>no test</v>
      </c>
      <c r="CG330" s="930" t="str">
        <f>IF(AND(WWWW[[#This Row],[% of water sources passed]]="no test",WWWW[[#This Row],[% Household passed]]="no test"),"No Test","Tested")</f>
        <v>No Test</v>
      </c>
      <c r="CH330" s="930">
        <f>WWWW[[#This Row],['#_Constructed/existing protected hand dug well]]-WWWW[[#This Row],['#_Non-functional protected hand dug well]]</f>
        <v>0</v>
      </c>
      <c r="CI330" s="930">
        <f>(WWWW[[#This Row],['#_Constructed/Existing tube wells/boreholes/handpumps_WASH_agency]]+WWWW[[#This Row],['#_Non-Cluster partner water tube-wells/boreholes/handpumps]])-WWWW[[#This Row],['#_Non-functional tube wells/boreholes/handpumps]]</f>
        <v>0</v>
      </c>
      <c r="CJ330" s="930">
        <f>WWWW[[#This Row],['#_Constructed/Existingwater storage tank with gravity fed reticulation system]]-WWWW[[#This Row],['#_Non-functional storage tank gravity fed reticulation system]]</f>
        <v>0</v>
      </c>
      <c r="CK330" s="930">
        <f>(WWWW[[#This Row],['#_Water_Liters_supplied_by_Water boating or water trucking]]/90)/15</f>
        <v>0</v>
      </c>
      <c r="CL330" s="930">
        <f>WWWW[[#This Row],['#_Water_Liters_from_Constructed/Existing water distribution system from river or natural spring]]/90/15</f>
        <v>0</v>
      </c>
      <c r="CM330" s="425">
        <f>IF(WWWW[[#This Row],['#_of water points in TLS/CFS]]*500&gt;WWWW[[#This Row],[Total PoP ]],WWWW[[#This Row],[Total PoP ]],WWWW[[#This Row],['#_of water points in TLS/CFS]]*500)</f>
        <v>0</v>
      </c>
      <c r="CN330" s="425">
        <f>IF(WWWW[[#This Row],['#_of water points in THF]]*500&gt;WWWW[[#This Row],[Total PoP ]],WWWW[[#This Row],[Total PoP ]],WWWW[[#This Row],['#_of water points in THF]]*500)</f>
        <v>0</v>
      </c>
      <c r="CO33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0" s="929">
        <f>IF(WWWW[[#This Row],[Location Type 1]]="Village",WWWW[[#This Row],[Access to safe drinking water for Village]],WWWW[[#This Row],[Access to safe drinking water for Camp]])</f>
        <v>0</v>
      </c>
      <c r="CR330" s="927">
        <f>WWWW[[#This Row],[%Equitable and continuous access to sufficient quantity of safe drinking water]]*WWWW[[#This Row],[Total PoP ]]</f>
        <v>0</v>
      </c>
      <c r="CS330" s="929">
        <f>IF((WWWW[[#This Row],['#_Constructed/Existing protected/fenced ponds]]*250)/WWWW[[#This Row],[Total PoP ]]&gt;1,1,(WWWW[[#This Row],['#_Constructed/Existing protected/fenced ponds]]*250)/WWWW[[#This Row],[Total PoP ]])</f>
        <v>0</v>
      </c>
      <c r="CT330" s="927">
        <f>WWWW[[#This Row],[% Access to unimproved water points]]*WWWW[[#This Row],[Total PoP ]]</f>
        <v>0</v>
      </c>
      <c r="CU33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0" s="927">
        <f>WWWW[[#This Row],[HRP1]]/500</f>
        <v>0</v>
      </c>
      <c r="CX330" s="932">
        <f>1-WWWW[[#This Row],[% Equitable and continuous access to sufficient quantity of domestic water]]</f>
        <v>1</v>
      </c>
      <c r="CY330" s="927">
        <f>WWWW[[#This Row],[%equitable and continuous access to sufficient quantity of safe drinking and domestic water''s GAP]]*WWWW[[#This Row],[Total PoP ]]</f>
        <v>147</v>
      </c>
      <c r="CZ330" s="930">
        <f>IF(WWWW[[#This Row],[Total required water points]]-WWWW[[#This Row],['#Water points coverage]]&lt;0,0,WWWW[[#This Row],[Total required water points]]-WWWW[[#This Row],['#Water points coverage]])</f>
        <v>1</v>
      </c>
      <c r="DA330" s="930">
        <f>ROUND(IF(WWWW[[#This Row],[Total PoP ]]&lt;500,1,WWWW[[#This Row],[Total PoP ]]/500),0)</f>
        <v>1</v>
      </c>
      <c r="DB330" s="930">
        <f>(WWWW[[#This Row],['#_Constructed latrines_by_WASHAgencies]]+WWWW[[#This Row],['#_Non Cluster partner latrines]])-WWWW[[#This Row],['#_Non-functional latrines]]</f>
        <v>0</v>
      </c>
      <c r="DC330" s="634">
        <f>WWWW[[#This Row],[HRP2]]/WWWW[[#This Row],[Total PoP ]]</f>
        <v>0</v>
      </c>
      <c r="DD33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0" s="425">
        <f>IF(WWWW[[#This Row],['# of functional latrines in THF supported by WASH partners during the reporting period2]]="",0,WWWW[[#This Row],['# of functional latrines in THF supported by WASH partners during the reporting period2]]*50)</f>
        <v>0</v>
      </c>
      <c r="DH330" s="930">
        <f>ROUND(IF(WWWW[[#This Row],[Location Type 1]]="camp",WWWW[[#This Row],[Total PoP ]]/20,IF(WWWW[[#This Row],[Location Type 1]]="Temporary Location",WWWW[[#This Row],[Total PoP ]]/50,(WWWW[[#This Row],[Total PoP ]]/6))),0)</f>
        <v>7</v>
      </c>
      <c r="DI330" s="930">
        <f>IF(WWWW[[#This Row],[Total required Latrines]]-(WWWW[[#This Row],['#_Constructed latrines_by_WASHAgencies]]+WWWW[[#This Row],['#_Non Cluster partner latrines]])&lt;0,0,WWWW[[#This Row],[Total required Latrines]]-(WWWW[[#This Row],['#_Constructed latrines_by_WASHAgencies]]+WWWW[[#This Row],['#_Non Cluster partner latrines]]))</f>
        <v>7</v>
      </c>
      <c r="DJ330" s="932">
        <f>1-WWWW[[#This Row],[% people access to functioning Latrine]]</f>
        <v>1</v>
      </c>
      <c r="DK330" s="931">
        <f>IF(OR(WWWW[[#This Row],['#_Non-functional latrines]]="",WWWW[[#This Row],['#_Non-functional latrines]]=0),0,WWWW[[#This Row],['#_Non-functional latrines]]/(WWWW[[#This Row],['#_Constructed latrines_by_WASHAgencies]]+WWWW[[#This Row],['#_Non Cluster partner latrines]]))</f>
        <v>0</v>
      </c>
      <c r="DL330" s="927">
        <f>IF(500*(WWWW[[#This Row],['#_male hygiene promoters]]+WWWW[[#This Row],['#_female hygiene promoters]])&gt;WWWW[[#This Row],[Total PoP ]],WWWW[[#This Row],[Total PoP ]],500*(WWWW[[#This Row],['#_male hygiene promoters]]+WWWW[[#This Row],['#_female hygiene promoters]]))</f>
        <v>0</v>
      </c>
      <c r="DM33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0" s="930">
        <f>IF(WWWW[[#This Row],['# People with access to soap]]&gt;WWWW[[#This Row],['# People with access to Sanity Pads]],WWWW[[#This Row],['# People with access to soap]],WWWW[[#This Row],['# People with access to Sanity Pads]])</f>
        <v>0</v>
      </c>
      <c r="DP33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0" s="932">
        <f>IF(WWWW[[#This Row],[HRP3]]/WWWW[[#This Row],[Total PoP ]]&gt;1,1,WWWW[[#This Row],[HRP3]]/WWWW[[#This Row],[Total PoP ]])</f>
        <v>0</v>
      </c>
      <c r="DR330" s="931">
        <f>1-WWWW[[#This Row],[Hygiene Coverage%]]</f>
        <v>1</v>
      </c>
      <c r="DS330" s="929">
        <f>WWWW[[#This Row],['# people reached by regular dedicated hygiene promotion_5]]/WWWW[[#This Row],[Total PoP ]]</f>
        <v>0</v>
      </c>
      <c r="DT33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0" s="930">
        <f>WWWW[[#This Row],['#_Constructed/Existing hand washing stations]]-WWWW[[#This Row],['#_Non-Functional_hand_washing_stations]]</f>
        <v>1</v>
      </c>
      <c r="DW330" s="927">
        <f>IF(WWWW[[#This Row],['# Functional hand washing stations during reporting period]]*20&gt;WWWW[[#This Row],[Total HH]],WWWW[[#This Row],[Total HH]],WWWW[[#This Row],['# Functional hand washing stations during reporting period]]*20)</f>
        <v>20</v>
      </c>
      <c r="DX330" s="927">
        <f>IF(WWWW[[#This Row],[Is sufficient soap available for TLS? (Yes/No)]]="yes",WWWW[[#This Row],['#_Constructed/Existing hand washing stations at TLS/CFS/THF]],0)</f>
        <v>0</v>
      </c>
      <c r="DY330" s="429">
        <f>IF(WWWW[[#This Row],['# Functional hand washing stations during reporting period]]*100&gt;WWWW[[#This Row],[Total PoP ]],WWWW[[#This Row],[Total PoP ]],WWWW[[#This Row],['# Functional hand washing stations during reporting period]]*100)</f>
        <v>100</v>
      </c>
      <c r="DZ330" s="429" t="str">
        <f>IF(OR(WWWW[[#This Row],['#_students at TLS_CFS]]="",WWWW[[#This Row],['#_students at TLS_CFS]]=0),"No","Yes")</f>
        <v>No</v>
      </c>
      <c r="EA33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0" s="923">
        <f>VLOOKUP(WWWW[[#This Row],[Site Name]],SiteDB6[[Site Name]:[CCCM Management]],6,FALSE)</f>
        <v>0</v>
      </c>
      <c r="EF330" s="923" t="str">
        <f>VLOOKUP(WWWW[[#This Row],[Site Name]],SiteDB6[[Site Name]:[CCCM Focal Agency]],7,FALSE)</f>
        <v>uncovered</v>
      </c>
      <c r="EG330" s="923" t="str">
        <f>VLOOKUP(WWWW[[#This Row],[Site Name]],SiteDB6[[Site Name]:[Location Type 1]],9,FALSE)</f>
        <v>Camp</v>
      </c>
      <c r="EH330" s="923" t="str">
        <f>VLOOKUP(WWWW[[#This Row],[Site Name]],SiteDB6[[Site Name]:[Type of Accommodation]],10,FALSE)</f>
        <v>Camp</v>
      </c>
      <c r="EI330" s="923" t="str">
        <f>VLOOKUP(WWWW[[#This Row],[Site Name]],SiteDB6[[Site Name]:[Ethnic or GCA/NGCA]],11,FALSE)</f>
        <v>GCA</v>
      </c>
      <c r="EJ330" s="923">
        <f>VLOOKUP(WWWW[[#This Row],[Site Name]],SiteDB6[[Site Name]:[Lat]],12,FALSE)</f>
        <v>25.387892000000001</v>
      </c>
      <c r="EK330" s="923">
        <f>VLOOKUP(WWWW[[#This Row],[Site Name]],SiteDB6[[Site Name]:[Long]],13,FALSE)</f>
        <v>97.325181999999998</v>
      </c>
      <c r="EL330" s="923" t="str">
        <f>VLOOKUP(WWWW[[#This Row],[Site Name]],SiteDB6[[Site Name]:[Pcode]],3,FALSE)</f>
        <v>MMR001CMP276</v>
      </c>
      <c r="EM330" s="928" t="str">
        <f t="shared" si="5"/>
        <v>Notcovered</v>
      </c>
      <c r="EN330" s="928"/>
      <c r="EO330" s="923">
        <f>VLOOKUP(WWWW[[#This Row],[Site Name]],SiteDB6[[Site Name]:[Pop
(Kachin/Shan-CCCM as of July 2021)]],16,FALSE)</f>
        <v>26</v>
      </c>
      <c r="EP330" s="923">
        <f>VLOOKUP(WWWW[[#This Row],[Site Name]],SiteDB6[[Site Name]:[Pop
(Kachin/Shan-CCCM as of July 2021)]],17,FALSE)</f>
        <v>138</v>
      </c>
    </row>
    <row r="331" spans="1:146">
      <c r="A331" s="921" t="s">
        <v>2786</v>
      </c>
      <c r="B331" s="921" t="s">
        <v>309</v>
      </c>
      <c r="C331" s="922" t="s">
        <v>309</v>
      </c>
      <c r="D331" s="922"/>
      <c r="E331" s="922" t="s">
        <v>37</v>
      </c>
      <c r="F331" s="922" t="s">
        <v>184</v>
      </c>
      <c r="G331" s="594" t="str">
        <f>VLOOKUP(WWWW[[#This Row],[Site Name]],SiteDB6[[Site Name]:[Location Type]],8,FALSE)</f>
        <v>Camp</v>
      </c>
      <c r="H331" s="922" t="s">
        <v>2115</v>
      </c>
      <c r="I331" s="924">
        <v>31</v>
      </c>
      <c r="J331" s="924">
        <v>171</v>
      </c>
      <c r="K331" s="925" t="s">
        <v>2672</v>
      </c>
      <c r="L331" s="926" t="s">
        <v>2673</v>
      </c>
      <c r="M331" s="924"/>
      <c r="N331" s="924"/>
      <c r="O331" s="924"/>
      <c r="P331" s="924"/>
      <c r="Q331" s="927"/>
      <c r="R331" s="924"/>
      <c r="S331" s="924">
        <v>4</v>
      </c>
      <c r="T331" s="449"/>
      <c r="U331" s="924"/>
      <c r="V331" s="924"/>
      <c r="W331" s="924"/>
      <c r="X331" s="924"/>
      <c r="Y331" s="924"/>
      <c r="Z331" s="924"/>
      <c r="AA331" s="924"/>
      <c r="AB331" s="924"/>
      <c r="AC331" s="924"/>
      <c r="AD331" s="924"/>
      <c r="AE331" s="924"/>
      <c r="AF331" s="924"/>
      <c r="AG331" s="924"/>
      <c r="AH331" s="924"/>
      <c r="AI331" s="924"/>
      <c r="AJ331" s="924"/>
      <c r="AK331" s="924"/>
      <c r="AL331" s="924"/>
      <c r="AM331" s="924"/>
      <c r="AN331" s="924"/>
      <c r="AO331" s="449"/>
      <c r="AP331" s="928"/>
      <c r="AQ331" s="924"/>
      <c r="AR331" s="924"/>
      <c r="AS331" s="929"/>
      <c r="AT331" s="924"/>
      <c r="AU331" s="924"/>
      <c r="AV331" s="924"/>
      <c r="AW331" s="924"/>
      <c r="AX331" s="924"/>
      <c r="AY331" s="923" t="s">
        <v>140</v>
      </c>
      <c r="AZ331" s="928" t="s">
        <v>140</v>
      </c>
      <c r="BA331" s="924"/>
      <c r="BB331" s="924"/>
      <c r="BC331" s="924"/>
      <c r="BD331" s="449"/>
      <c r="BE331" s="449"/>
      <c r="BF331" s="923"/>
      <c r="BG331" s="924">
        <v>1</v>
      </c>
      <c r="BH331" s="924"/>
      <c r="BI331" s="924"/>
      <c r="BJ331" s="924">
        <v>1</v>
      </c>
      <c r="BK331" s="924"/>
      <c r="BL331" s="924"/>
      <c r="BM331" s="924"/>
      <c r="BN331" s="924"/>
      <c r="BO331" s="924"/>
      <c r="BP331" s="923"/>
      <c r="BQ331" s="930"/>
      <c r="BR331" s="929"/>
      <c r="BS331" s="923"/>
      <c r="BT331" s="424"/>
      <c r="BU331" s="424"/>
      <c r="BV331" s="426"/>
      <c r="BW331" s="424"/>
      <c r="BX331" s="449"/>
      <c r="BY331" s="449"/>
      <c r="BZ331" s="449"/>
      <c r="CA331" s="449"/>
      <c r="CB331" s="449"/>
      <c r="CC331" s="807"/>
      <c r="CD331" s="449"/>
      <c r="CE331" s="931" t="str">
        <f>IFERROR(WWWW[[#This Row],['#_Water sources passed]]/WWWW[[#This Row],['#_Water sources tested for fecal coliform ]],"no test")</f>
        <v>no test</v>
      </c>
      <c r="CF331" s="929" t="str">
        <f>IFERROR(WWWW[[#This Row],['#_Household passed]]/WWWW[[#This Row],['#_Household water samples tested for fecal coliform]],"no test")</f>
        <v>no test</v>
      </c>
      <c r="CG331" s="930" t="str">
        <f>IF(AND(WWWW[[#This Row],[% of water sources passed]]="no test",WWWW[[#This Row],[% Household passed]]="no test"),"No Test","Tested")</f>
        <v>No Test</v>
      </c>
      <c r="CH331" s="930">
        <f>WWWW[[#This Row],['#_Constructed/existing protected hand dug well]]-WWWW[[#This Row],['#_Non-functional protected hand dug well]]</f>
        <v>0</v>
      </c>
      <c r="CI331" s="930">
        <f>(WWWW[[#This Row],['#_Constructed/Existing tube wells/boreholes/handpumps_WASH_agency]]+WWWW[[#This Row],['#_Non-Cluster partner water tube-wells/boreholes/handpumps]])-WWWW[[#This Row],['#_Non-functional tube wells/boreholes/handpumps]]</f>
        <v>0</v>
      </c>
      <c r="CJ331" s="930">
        <f>WWWW[[#This Row],['#_Constructed/Existingwater storage tank with gravity fed reticulation system]]-WWWW[[#This Row],['#_Non-functional storage tank gravity fed reticulation system]]</f>
        <v>0</v>
      </c>
      <c r="CK331" s="930">
        <f>(WWWW[[#This Row],['#_Water_Liters_supplied_by_Water boating or water trucking]]/90)/15</f>
        <v>0</v>
      </c>
      <c r="CL331" s="930">
        <f>WWWW[[#This Row],['#_Water_Liters_from_Constructed/Existing water distribution system from river or natural spring]]/90/15</f>
        <v>0</v>
      </c>
      <c r="CM331" s="425">
        <f>IF(WWWW[[#This Row],['#_of water points in TLS/CFS]]*500&gt;WWWW[[#This Row],[Total PoP ]],WWWW[[#This Row],[Total PoP ]],WWWW[[#This Row],['#_of water points in TLS/CFS]]*500)</f>
        <v>0</v>
      </c>
      <c r="CN331" s="425">
        <f>IF(WWWW[[#This Row],['#_of water points in THF]]*500&gt;WWWW[[#This Row],[Total PoP ]],WWWW[[#This Row],[Total PoP ]],WWWW[[#This Row],['#_of water points in THF]]*500)</f>
        <v>0</v>
      </c>
      <c r="CO33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1" s="929">
        <f>IF(WWWW[[#This Row],[Location Type 1]]="Village",WWWW[[#This Row],[Access to safe drinking water for Village]],WWWW[[#This Row],[Access to safe drinking water for Camp]])</f>
        <v>0</v>
      </c>
      <c r="CR331" s="927">
        <f>WWWW[[#This Row],[%Equitable and continuous access to sufficient quantity of safe drinking water]]*WWWW[[#This Row],[Total PoP ]]</f>
        <v>0</v>
      </c>
      <c r="CS331" s="929">
        <f>IF((WWWW[[#This Row],['#_Constructed/Existing protected/fenced ponds]]*250)/WWWW[[#This Row],[Total PoP ]]&gt;1,1,(WWWW[[#This Row],['#_Constructed/Existing protected/fenced ponds]]*250)/WWWW[[#This Row],[Total PoP ]])</f>
        <v>0</v>
      </c>
      <c r="CT331" s="927">
        <f>WWWW[[#This Row],[% Access to unimproved water points]]*WWWW[[#This Row],[Total PoP ]]</f>
        <v>0</v>
      </c>
      <c r="CU33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1" s="927">
        <f>WWWW[[#This Row],[HRP1]]/500</f>
        <v>0</v>
      </c>
      <c r="CX331" s="932">
        <f>1-WWWW[[#This Row],[% Equitable and continuous access to sufficient quantity of domestic water]]</f>
        <v>1</v>
      </c>
      <c r="CY331" s="927">
        <f>WWWW[[#This Row],[%equitable and continuous access to sufficient quantity of safe drinking and domestic water''s GAP]]*WWWW[[#This Row],[Total PoP ]]</f>
        <v>171</v>
      </c>
      <c r="CZ331" s="930">
        <f>IF(WWWW[[#This Row],[Total required water points]]-WWWW[[#This Row],['#Water points coverage]]&lt;0,0,WWWW[[#This Row],[Total required water points]]-WWWW[[#This Row],['#Water points coverage]])</f>
        <v>1</v>
      </c>
      <c r="DA331" s="930">
        <f>ROUND(IF(WWWW[[#This Row],[Total PoP ]]&lt;500,1,WWWW[[#This Row],[Total PoP ]]/500),0)</f>
        <v>1</v>
      </c>
      <c r="DB331" s="930">
        <f>(WWWW[[#This Row],['#_Constructed latrines_by_WASHAgencies]]+WWWW[[#This Row],['#_Non Cluster partner latrines]])-WWWW[[#This Row],['#_Non-functional latrines]]</f>
        <v>0</v>
      </c>
      <c r="DC331" s="634">
        <f>WWWW[[#This Row],[HRP2]]/WWWW[[#This Row],[Total PoP ]]</f>
        <v>0</v>
      </c>
      <c r="DD33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1" s="425">
        <f>IF(WWWW[[#This Row],['# of functional latrines in THF supported by WASH partners during the reporting period2]]="",0,WWWW[[#This Row],['# of functional latrines in THF supported by WASH partners during the reporting period2]]*50)</f>
        <v>0</v>
      </c>
      <c r="DH331" s="930">
        <f>ROUND(IF(WWWW[[#This Row],[Location Type 1]]="camp",WWWW[[#This Row],[Total PoP ]]/20,IF(WWWW[[#This Row],[Location Type 1]]="Temporary Location",WWWW[[#This Row],[Total PoP ]]/50,(WWWW[[#This Row],[Total PoP ]]/6))),0)</f>
        <v>9</v>
      </c>
      <c r="DI331" s="930">
        <f>IF(WWWW[[#This Row],[Total required Latrines]]-(WWWW[[#This Row],['#_Constructed latrines_by_WASHAgencies]]+WWWW[[#This Row],['#_Non Cluster partner latrines]])&lt;0,0,WWWW[[#This Row],[Total required Latrines]]-(WWWW[[#This Row],['#_Constructed latrines_by_WASHAgencies]]+WWWW[[#This Row],['#_Non Cluster partner latrines]]))</f>
        <v>9</v>
      </c>
      <c r="DJ331" s="932">
        <f>1-WWWW[[#This Row],[% people access to functioning Latrine]]</f>
        <v>1</v>
      </c>
      <c r="DK331" s="931">
        <f>IF(OR(WWWW[[#This Row],['#_Non-functional latrines]]="",WWWW[[#This Row],['#_Non-functional latrines]]=0),0,WWWW[[#This Row],['#_Non-functional latrines]]/(WWWW[[#This Row],['#_Constructed latrines_by_WASHAgencies]]+WWWW[[#This Row],['#_Non Cluster partner latrines]]))</f>
        <v>0</v>
      </c>
      <c r="DL331" s="927">
        <f>IF(500*(WWWW[[#This Row],['#_male hygiene promoters]]+WWWW[[#This Row],['#_female hygiene promoters]])&gt;WWWW[[#This Row],[Total PoP ]],WWWW[[#This Row],[Total PoP ]],500*(WWWW[[#This Row],['#_male hygiene promoters]]+WWWW[[#This Row],['#_female hygiene promoters]]))</f>
        <v>0</v>
      </c>
      <c r="DM33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1" s="930">
        <f>IF(WWWW[[#This Row],['# People with access to soap]]&gt;WWWW[[#This Row],['# People with access to Sanity Pads]],WWWW[[#This Row],['# People with access to soap]],WWWW[[#This Row],['# People with access to Sanity Pads]])</f>
        <v>0</v>
      </c>
      <c r="DP331"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1" s="932">
        <f>IF(WWWW[[#This Row],[HRP3]]/WWWW[[#This Row],[Total PoP ]]&gt;1,1,WWWW[[#This Row],[HRP3]]/WWWW[[#This Row],[Total PoP ]])</f>
        <v>0</v>
      </c>
      <c r="DR331" s="931">
        <f>1-WWWW[[#This Row],[Hygiene Coverage%]]</f>
        <v>1</v>
      </c>
      <c r="DS331" s="929">
        <f>WWWW[[#This Row],['# people reached by regular dedicated hygiene promotion_5]]/WWWW[[#This Row],[Total PoP ]]</f>
        <v>0</v>
      </c>
      <c r="DT33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1" s="930">
        <f>WWWW[[#This Row],['#_Constructed/Existing hand washing stations]]-WWWW[[#This Row],['#_Non-Functional_hand_washing_stations]]</f>
        <v>1</v>
      </c>
      <c r="DW331" s="927">
        <f>IF(WWWW[[#This Row],['# Functional hand washing stations during reporting period]]*20&gt;WWWW[[#This Row],[Total HH]],WWWW[[#This Row],[Total HH]],WWWW[[#This Row],['# Functional hand washing stations during reporting period]]*20)</f>
        <v>20</v>
      </c>
      <c r="DX331" s="927">
        <f>IF(WWWW[[#This Row],[Is sufficient soap available for TLS? (Yes/No)]]="yes",WWWW[[#This Row],['#_Constructed/Existing hand washing stations at TLS/CFS/THF]],0)</f>
        <v>0</v>
      </c>
      <c r="DY331" s="429">
        <f>IF(WWWW[[#This Row],['# Functional hand washing stations during reporting period]]*100&gt;WWWW[[#This Row],[Total PoP ]],WWWW[[#This Row],[Total PoP ]],WWWW[[#This Row],['# Functional hand washing stations during reporting period]]*100)</f>
        <v>100</v>
      </c>
      <c r="DZ331" s="429" t="str">
        <f>IF(OR(WWWW[[#This Row],['#_students at TLS_CFS]]="",WWWW[[#This Row],['#_students at TLS_CFS]]=0),"No","Yes")</f>
        <v>No</v>
      </c>
      <c r="EA33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1" s="923">
        <f>VLOOKUP(WWWW[[#This Row],[Site Name]],SiteDB6[[Site Name]:[CCCM Management]],6,FALSE)</f>
        <v>0</v>
      </c>
      <c r="EF331" s="923" t="str">
        <f>VLOOKUP(WWWW[[#This Row],[Site Name]],SiteDB6[[Site Name]:[CCCM Focal Agency]],7,FALSE)</f>
        <v>uncovered</v>
      </c>
      <c r="EG331" s="923" t="str">
        <f>VLOOKUP(WWWW[[#This Row],[Site Name]],SiteDB6[[Site Name]:[Location Type 1]],9,FALSE)</f>
        <v>Camp</v>
      </c>
      <c r="EH331" s="923" t="str">
        <f>VLOOKUP(WWWW[[#This Row],[Site Name]],SiteDB6[[Site Name]:[Type of Accommodation]],10,FALSE)</f>
        <v>Camp like setting</v>
      </c>
      <c r="EI331" s="923" t="str">
        <f>VLOOKUP(WWWW[[#This Row],[Site Name]],SiteDB6[[Site Name]:[Ethnic or GCA/NGCA]],11,FALSE)</f>
        <v>GCA</v>
      </c>
      <c r="EJ331" s="923">
        <f>VLOOKUP(WWWW[[#This Row],[Site Name]],SiteDB6[[Site Name]:[Lat]],12,FALSE)</f>
        <v>26.299828999999999</v>
      </c>
      <c r="EK331" s="923">
        <f>VLOOKUP(WWWW[[#This Row],[Site Name]],SiteDB6[[Site Name]:[Long]],13,FALSE)</f>
        <v>97.487258999999995</v>
      </c>
      <c r="EL331" s="923" t="str">
        <f>VLOOKUP(WWWW[[#This Row],[Site Name]],SiteDB6[[Site Name]:[Pcode]],3,FALSE)</f>
        <v>MMR001CMP272</v>
      </c>
      <c r="EM331" s="928" t="str">
        <f t="shared" si="5"/>
        <v>Notcovered</v>
      </c>
      <c r="EN331" s="928"/>
      <c r="EO331" s="923">
        <f>VLOOKUP(WWWW[[#This Row],[Site Name]],SiteDB6[[Site Name]:[Pop
(Kachin/Shan-CCCM as of July 2021)]],16,FALSE)</f>
        <v>31</v>
      </c>
      <c r="EP331" s="923">
        <f>VLOOKUP(WWWW[[#This Row],[Site Name]],SiteDB6[[Site Name]:[Pop
(Kachin/Shan-CCCM as of July 2021)]],17,FALSE)</f>
        <v>171</v>
      </c>
    </row>
    <row r="332" spans="1:146">
      <c r="A332" s="921" t="s">
        <v>2786</v>
      </c>
      <c r="B332" s="921" t="s">
        <v>309</v>
      </c>
      <c r="C332" s="922" t="s">
        <v>309</v>
      </c>
      <c r="D332" s="922"/>
      <c r="E332" s="922" t="s">
        <v>37</v>
      </c>
      <c r="F332" s="922" t="s">
        <v>142</v>
      </c>
      <c r="G332" s="594" t="str">
        <f>VLOOKUP(WWWW[[#This Row],[Site Name]],SiteDB6[[Site Name]:[Location Type]],8,FALSE)</f>
        <v>Camp</v>
      </c>
      <c r="H332" s="922" t="s">
        <v>2803</v>
      </c>
      <c r="I332" s="924">
        <v>48</v>
      </c>
      <c r="J332" s="924">
        <v>240</v>
      </c>
      <c r="K332" s="925"/>
      <c r="L332" s="926"/>
      <c r="M332" s="924"/>
      <c r="N332" s="924"/>
      <c r="O332" s="924"/>
      <c r="P332" s="924"/>
      <c r="Q332" s="927"/>
      <c r="R332" s="924"/>
      <c r="S332" s="924"/>
      <c r="T332" s="449"/>
      <c r="U332" s="924"/>
      <c r="V332" s="924"/>
      <c r="W332" s="924"/>
      <c r="X332" s="924"/>
      <c r="Y332" s="924"/>
      <c r="Z332" s="924"/>
      <c r="AA332" s="924"/>
      <c r="AB332" s="924"/>
      <c r="AC332" s="924"/>
      <c r="AD332" s="924"/>
      <c r="AE332" s="924"/>
      <c r="AF332" s="924"/>
      <c r="AG332" s="924"/>
      <c r="AH332" s="924"/>
      <c r="AI332" s="924"/>
      <c r="AJ332" s="924"/>
      <c r="AK332" s="924"/>
      <c r="AL332" s="924"/>
      <c r="AM332" s="924"/>
      <c r="AN332" s="924"/>
      <c r="AO332" s="449"/>
      <c r="AP332" s="928"/>
      <c r="AQ332" s="924"/>
      <c r="AR332" s="924"/>
      <c r="AS332" s="929"/>
      <c r="AT332" s="924"/>
      <c r="AU332" s="924"/>
      <c r="AV332" s="924"/>
      <c r="AW332" s="924"/>
      <c r="AX332" s="924"/>
      <c r="AY332" s="923" t="s">
        <v>140</v>
      </c>
      <c r="AZ332" s="928" t="s">
        <v>140</v>
      </c>
      <c r="BA332" s="924"/>
      <c r="BB332" s="924"/>
      <c r="BC332" s="924"/>
      <c r="BD332" s="449"/>
      <c r="BE332" s="449"/>
      <c r="BF332" s="923"/>
      <c r="BG332" s="924">
        <v>7</v>
      </c>
      <c r="BH332" s="924"/>
      <c r="BI332" s="924"/>
      <c r="BJ332" s="924">
        <v>4</v>
      </c>
      <c r="BK332" s="924"/>
      <c r="BL332" s="924"/>
      <c r="BM332" s="924"/>
      <c r="BN332" s="924"/>
      <c r="BO332" s="924"/>
      <c r="BP332" s="923"/>
      <c r="BQ332" s="930"/>
      <c r="BR332" s="929"/>
      <c r="BS332" s="923"/>
      <c r="BT332" s="424"/>
      <c r="BU332" s="424"/>
      <c r="BV332" s="426"/>
      <c r="BW332" s="424"/>
      <c r="BX332" s="449"/>
      <c r="BY332" s="449"/>
      <c r="BZ332" s="449"/>
      <c r="CA332" s="449"/>
      <c r="CB332" s="449"/>
      <c r="CC332" s="807"/>
      <c r="CD332" s="449"/>
      <c r="CE332" s="931" t="str">
        <f>IFERROR(WWWW[[#This Row],['#_Water sources passed]]/WWWW[[#This Row],['#_Water sources tested for fecal coliform ]],"no test")</f>
        <v>no test</v>
      </c>
      <c r="CF332" s="929" t="str">
        <f>IFERROR(WWWW[[#This Row],['#_Household passed]]/WWWW[[#This Row],['#_Household water samples tested for fecal coliform]],"no test")</f>
        <v>no test</v>
      </c>
      <c r="CG332" s="930" t="str">
        <f>IF(AND(WWWW[[#This Row],[% of water sources passed]]="no test",WWWW[[#This Row],[% Household passed]]="no test"),"No Test","Tested")</f>
        <v>No Test</v>
      </c>
      <c r="CH332" s="930">
        <f>WWWW[[#This Row],['#_Constructed/existing protected hand dug well]]-WWWW[[#This Row],['#_Non-functional protected hand dug well]]</f>
        <v>0</v>
      </c>
      <c r="CI332" s="930">
        <f>(WWWW[[#This Row],['#_Constructed/Existing tube wells/boreholes/handpumps_WASH_agency]]+WWWW[[#This Row],['#_Non-Cluster partner water tube-wells/boreholes/handpumps]])-WWWW[[#This Row],['#_Non-functional tube wells/boreholes/handpumps]]</f>
        <v>0</v>
      </c>
      <c r="CJ332" s="930">
        <f>WWWW[[#This Row],['#_Constructed/Existingwater storage tank with gravity fed reticulation system]]-WWWW[[#This Row],['#_Non-functional storage tank gravity fed reticulation system]]</f>
        <v>0</v>
      </c>
      <c r="CK332" s="930">
        <f>(WWWW[[#This Row],['#_Water_Liters_supplied_by_Water boating or water trucking]]/90)/15</f>
        <v>0</v>
      </c>
      <c r="CL332" s="930">
        <f>WWWW[[#This Row],['#_Water_Liters_from_Constructed/Existing water distribution system from river or natural spring]]/90/15</f>
        <v>0</v>
      </c>
      <c r="CM332" s="425">
        <f>IF(WWWW[[#This Row],['#_of water points in TLS/CFS]]*500&gt;WWWW[[#This Row],[Total PoP ]],WWWW[[#This Row],[Total PoP ]],WWWW[[#This Row],['#_of water points in TLS/CFS]]*500)</f>
        <v>0</v>
      </c>
      <c r="CN332" s="425">
        <f>IF(WWWW[[#This Row],['#_of water points in THF]]*500&gt;WWWW[[#This Row],[Total PoP ]],WWWW[[#This Row],[Total PoP ]],WWWW[[#This Row],['#_of water points in THF]]*500)</f>
        <v>0</v>
      </c>
      <c r="CO33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2" s="929">
        <f>IF(WWWW[[#This Row],[Location Type 1]]="Village",WWWW[[#This Row],[Access to safe drinking water for Village]],WWWW[[#This Row],[Access to safe drinking water for Camp]])</f>
        <v>0</v>
      </c>
      <c r="CR332" s="927">
        <f>WWWW[[#This Row],[%Equitable and continuous access to sufficient quantity of safe drinking water]]*WWWW[[#This Row],[Total PoP ]]</f>
        <v>0</v>
      </c>
      <c r="CS332" s="929">
        <f>IF((WWWW[[#This Row],['#_Constructed/Existing protected/fenced ponds]]*250)/WWWW[[#This Row],[Total PoP ]]&gt;1,1,(WWWW[[#This Row],['#_Constructed/Existing protected/fenced ponds]]*250)/WWWW[[#This Row],[Total PoP ]])</f>
        <v>0</v>
      </c>
      <c r="CT332" s="927">
        <f>WWWW[[#This Row],[% Access to unimproved water points]]*WWWW[[#This Row],[Total PoP ]]</f>
        <v>0</v>
      </c>
      <c r="CU33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2" s="927">
        <f>WWWW[[#This Row],[HRP1]]/500</f>
        <v>0</v>
      </c>
      <c r="CX332" s="932">
        <f>1-WWWW[[#This Row],[% Equitable and continuous access to sufficient quantity of domestic water]]</f>
        <v>1</v>
      </c>
      <c r="CY332" s="927">
        <f>WWWW[[#This Row],[%equitable and continuous access to sufficient quantity of safe drinking and domestic water''s GAP]]*WWWW[[#This Row],[Total PoP ]]</f>
        <v>240</v>
      </c>
      <c r="CZ332" s="930">
        <f>IF(WWWW[[#This Row],[Total required water points]]-WWWW[[#This Row],['#Water points coverage]]&lt;0,0,WWWW[[#This Row],[Total required water points]]-WWWW[[#This Row],['#Water points coverage]])</f>
        <v>1</v>
      </c>
      <c r="DA332" s="930">
        <f>ROUND(IF(WWWW[[#This Row],[Total PoP ]]&lt;500,1,WWWW[[#This Row],[Total PoP ]]/500),0)</f>
        <v>1</v>
      </c>
      <c r="DB332" s="930">
        <f>(WWWW[[#This Row],['#_Constructed latrines_by_WASHAgencies]]+WWWW[[#This Row],['#_Non Cluster partner latrines]])-WWWW[[#This Row],['#_Non-functional latrines]]</f>
        <v>0</v>
      </c>
      <c r="DC332" s="634">
        <f>WWWW[[#This Row],[HRP2]]/WWWW[[#This Row],[Total PoP ]]</f>
        <v>0</v>
      </c>
      <c r="DD33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2" s="425">
        <f>IF(WWWW[[#This Row],['# of functional latrines in THF supported by WASH partners during the reporting period2]]="",0,WWWW[[#This Row],['# of functional latrines in THF supported by WASH partners during the reporting period2]]*50)</f>
        <v>0</v>
      </c>
      <c r="DH332" s="930">
        <f>ROUND(IF(WWWW[[#This Row],[Location Type 1]]="camp",WWWW[[#This Row],[Total PoP ]]/20,IF(WWWW[[#This Row],[Location Type 1]]="Temporary Location",WWWW[[#This Row],[Total PoP ]]/50,(WWWW[[#This Row],[Total PoP ]]/6))),0)</f>
        <v>12</v>
      </c>
      <c r="DI332" s="930">
        <f>IF(WWWW[[#This Row],[Total required Latrines]]-(WWWW[[#This Row],['#_Constructed latrines_by_WASHAgencies]]+WWWW[[#This Row],['#_Non Cluster partner latrines]])&lt;0,0,WWWW[[#This Row],[Total required Latrines]]-(WWWW[[#This Row],['#_Constructed latrines_by_WASHAgencies]]+WWWW[[#This Row],['#_Non Cluster partner latrines]]))</f>
        <v>12</v>
      </c>
      <c r="DJ332" s="932">
        <f>1-WWWW[[#This Row],[% people access to functioning Latrine]]</f>
        <v>1</v>
      </c>
      <c r="DK332" s="931">
        <f>IF(OR(WWWW[[#This Row],['#_Non-functional latrines]]="",WWWW[[#This Row],['#_Non-functional latrines]]=0),0,WWWW[[#This Row],['#_Non-functional latrines]]/(WWWW[[#This Row],['#_Constructed latrines_by_WASHAgencies]]+WWWW[[#This Row],['#_Non Cluster partner latrines]]))</f>
        <v>0</v>
      </c>
      <c r="DL332" s="927">
        <f>IF(500*(WWWW[[#This Row],['#_male hygiene promoters]]+WWWW[[#This Row],['#_female hygiene promoters]])&gt;WWWW[[#This Row],[Total PoP ]],WWWW[[#This Row],[Total PoP ]],500*(WWWW[[#This Row],['#_male hygiene promoters]]+WWWW[[#This Row],['#_female hygiene promoters]]))</f>
        <v>0</v>
      </c>
      <c r="DM33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2" s="930">
        <f>IF(WWWW[[#This Row],['# People with access to soap]]&gt;WWWW[[#This Row],['# People with access to Sanity Pads]],WWWW[[#This Row],['# People with access to soap]],WWWW[[#This Row],['# People with access to Sanity Pads]])</f>
        <v>0</v>
      </c>
      <c r="DP332"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2" s="932">
        <f>IF(WWWW[[#This Row],[HRP3]]/WWWW[[#This Row],[Total PoP ]]&gt;1,1,WWWW[[#This Row],[HRP3]]/WWWW[[#This Row],[Total PoP ]])</f>
        <v>0</v>
      </c>
      <c r="DR332" s="931">
        <f>1-WWWW[[#This Row],[Hygiene Coverage%]]</f>
        <v>1</v>
      </c>
      <c r="DS332" s="929">
        <f>WWWW[[#This Row],['# people reached by regular dedicated hygiene promotion_5]]/WWWW[[#This Row],[Total PoP ]]</f>
        <v>0</v>
      </c>
      <c r="DT33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2" s="930">
        <f>WWWW[[#This Row],['#_Constructed/Existing hand washing stations]]-WWWW[[#This Row],['#_Non-Functional_hand_washing_stations]]</f>
        <v>7</v>
      </c>
      <c r="DW332" s="927">
        <f>IF(WWWW[[#This Row],['# Functional hand washing stations during reporting period]]*20&gt;WWWW[[#This Row],[Total HH]],WWWW[[#This Row],[Total HH]],WWWW[[#This Row],['# Functional hand washing stations during reporting period]]*20)</f>
        <v>48</v>
      </c>
      <c r="DX332" s="927">
        <f>IF(WWWW[[#This Row],[Is sufficient soap available for TLS? (Yes/No)]]="yes",WWWW[[#This Row],['#_Constructed/Existing hand washing stations at TLS/CFS/THF]],0)</f>
        <v>0</v>
      </c>
      <c r="DY332" s="429">
        <f>IF(WWWW[[#This Row],['# Functional hand washing stations during reporting period]]*100&gt;WWWW[[#This Row],[Total PoP ]],WWWW[[#This Row],[Total PoP ]],WWWW[[#This Row],['# Functional hand washing stations during reporting period]]*100)</f>
        <v>240</v>
      </c>
      <c r="DZ332" s="429" t="str">
        <f>IF(OR(WWWW[[#This Row],['#_students at TLS_CFS]]="",WWWW[[#This Row],['#_students at TLS_CFS]]=0),"No","Yes")</f>
        <v>No</v>
      </c>
      <c r="EA33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2" s="923">
        <f>VLOOKUP(WWWW[[#This Row],[Site Name]],SiteDB6[[Site Name]:[CCCM Management]],6,FALSE)</f>
        <v>0</v>
      </c>
      <c r="EF332" s="923" t="str">
        <f>VLOOKUP(WWWW[[#This Row],[Site Name]],SiteDB6[[Site Name]:[CCCM Focal Agency]],7,FALSE)</f>
        <v xml:space="preserve">Uncovered  </v>
      </c>
      <c r="EG332" s="923" t="str">
        <f>VLOOKUP(WWWW[[#This Row],[Site Name]],SiteDB6[[Site Name]:[Location Type 1]],9,FALSE)</f>
        <v>Camp</v>
      </c>
      <c r="EH332" s="923" t="str">
        <f>VLOOKUP(WWWW[[#This Row],[Site Name]],SiteDB6[[Site Name]:[Type of Accommodation]],10,FALSE)</f>
        <v>Camp like setting</v>
      </c>
      <c r="EI332" s="923" t="str">
        <f>VLOOKUP(WWWW[[#This Row],[Site Name]],SiteDB6[[Site Name]:[Ethnic or GCA/NGCA]],11,FALSE)</f>
        <v>GCA</v>
      </c>
      <c r="EJ332" s="923">
        <f>VLOOKUP(WWWW[[#This Row],[Site Name]],SiteDB6[[Site Name]:[Lat]],12,FALSE)</f>
        <v>0</v>
      </c>
      <c r="EK332" s="923">
        <f>VLOOKUP(WWWW[[#This Row],[Site Name]],SiteDB6[[Site Name]:[Long]],13,FALSE)</f>
        <v>0</v>
      </c>
      <c r="EL332" s="923" t="str">
        <f>VLOOKUP(WWWW[[#This Row],[Site Name]],SiteDB6[[Site Name]:[Pcode]],3,FALSE)</f>
        <v>MMR001CMP293</v>
      </c>
      <c r="EM332" s="928" t="str">
        <f t="shared" si="5"/>
        <v>Notcovered</v>
      </c>
      <c r="EN332" s="928"/>
      <c r="EO332" s="923">
        <f>VLOOKUP(WWWW[[#This Row],[Site Name]],SiteDB6[[Site Name]:[Pop
(Kachin/Shan-CCCM as of July 2021)]],16,FALSE)</f>
        <v>48</v>
      </c>
      <c r="EP332" s="923">
        <f>VLOOKUP(WWWW[[#This Row],[Site Name]],SiteDB6[[Site Name]:[Pop
(Kachin/Shan-CCCM as of July 2021)]],17,FALSE)</f>
        <v>240</v>
      </c>
    </row>
    <row r="333" spans="1:146">
      <c r="A333" s="921" t="s">
        <v>2786</v>
      </c>
      <c r="B333" s="921" t="s">
        <v>309</v>
      </c>
      <c r="C333" s="922" t="s">
        <v>309</v>
      </c>
      <c r="D333" s="922"/>
      <c r="E333" s="922" t="s">
        <v>37</v>
      </c>
      <c r="F333" s="922" t="s">
        <v>142</v>
      </c>
      <c r="G333" s="594" t="str">
        <f>VLOOKUP(WWWW[[#This Row],[Site Name]],SiteDB6[[Site Name]:[Location Type]],8,FALSE)</f>
        <v>Camp</v>
      </c>
      <c r="H333" s="922" t="s">
        <v>2804</v>
      </c>
      <c r="I333" s="924">
        <v>34</v>
      </c>
      <c r="J333" s="924">
        <v>189</v>
      </c>
      <c r="K333" s="925"/>
      <c r="L333" s="926"/>
      <c r="M333" s="924"/>
      <c r="N333" s="924"/>
      <c r="O333" s="924"/>
      <c r="P333" s="924"/>
      <c r="Q333" s="927"/>
      <c r="R333" s="924"/>
      <c r="S333" s="924"/>
      <c r="T333" s="449"/>
      <c r="U333" s="924"/>
      <c r="V333" s="924"/>
      <c r="W333" s="924"/>
      <c r="X333" s="924"/>
      <c r="Y333" s="924"/>
      <c r="Z333" s="924"/>
      <c r="AA333" s="924"/>
      <c r="AB333" s="924"/>
      <c r="AC333" s="924"/>
      <c r="AD333" s="924"/>
      <c r="AE333" s="924"/>
      <c r="AF333" s="924"/>
      <c r="AG333" s="924"/>
      <c r="AH333" s="924"/>
      <c r="AI333" s="924"/>
      <c r="AJ333" s="924"/>
      <c r="AK333" s="924"/>
      <c r="AL333" s="924"/>
      <c r="AM333" s="924"/>
      <c r="AN333" s="924"/>
      <c r="AO333" s="449"/>
      <c r="AP333" s="928"/>
      <c r="AQ333" s="924"/>
      <c r="AR333" s="924"/>
      <c r="AS333" s="929"/>
      <c r="AT333" s="924"/>
      <c r="AU333" s="924"/>
      <c r="AV333" s="924"/>
      <c r="AW333" s="924"/>
      <c r="AX333" s="924"/>
      <c r="AY333" s="923" t="s">
        <v>140</v>
      </c>
      <c r="AZ333" s="928" t="s">
        <v>140</v>
      </c>
      <c r="BA333" s="924"/>
      <c r="BB333" s="924"/>
      <c r="BC333" s="924"/>
      <c r="BD333" s="449"/>
      <c r="BE333" s="449"/>
      <c r="BF333" s="923"/>
      <c r="BG333" s="924">
        <v>3</v>
      </c>
      <c r="BH333" s="924"/>
      <c r="BI333" s="924"/>
      <c r="BJ333" s="924">
        <v>2</v>
      </c>
      <c r="BK333" s="924"/>
      <c r="BL333" s="924"/>
      <c r="BM333" s="924"/>
      <c r="BN333" s="924"/>
      <c r="BO333" s="924"/>
      <c r="BP333" s="923"/>
      <c r="BQ333" s="930"/>
      <c r="BR333" s="929"/>
      <c r="BS333" s="923"/>
      <c r="BT333" s="424"/>
      <c r="BU333" s="424"/>
      <c r="BV333" s="426"/>
      <c r="BW333" s="424"/>
      <c r="BX333" s="449"/>
      <c r="BY333" s="449"/>
      <c r="BZ333" s="449"/>
      <c r="CA333" s="449"/>
      <c r="CB333" s="449"/>
      <c r="CC333" s="807"/>
      <c r="CD333" s="449"/>
      <c r="CE333" s="931" t="str">
        <f>IFERROR(WWWW[[#This Row],['#_Water sources passed]]/WWWW[[#This Row],['#_Water sources tested for fecal coliform ]],"no test")</f>
        <v>no test</v>
      </c>
      <c r="CF333" s="929" t="str">
        <f>IFERROR(WWWW[[#This Row],['#_Household passed]]/WWWW[[#This Row],['#_Household water samples tested for fecal coliform]],"no test")</f>
        <v>no test</v>
      </c>
      <c r="CG333" s="930" t="str">
        <f>IF(AND(WWWW[[#This Row],[% of water sources passed]]="no test",WWWW[[#This Row],[% Household passed]]="no test"),"No Test","Tested")</f>
        <v>No Test</v>
      </c>
      <c r="CH333" s="930">
        <f>WWWW[[#This Row],['#_Constructed/existing protected hand dug well]]-WWWW[[#This Row],['#_Non-functional protected hand dug well]]</f>
        <v>0</v>
      </c>
      <c r="CI333" s="930">
        <f>(WWWW[[#This Row],['#_Constructed/Existing tube wells/boreholes/handpumps_WASH_agency]]+WWWW[[#This Row],['#_Non-Cluster partner water tube-wells/boreholes/handpumps]])-WWWW[[#This Row],['#_Non-functional tube wells/boreholes/handpumps]]</f>
        <v>0</v>
      </c>
      <c r="CJ333" s="930">
        <f>WWWW[[#This Row],['#_Constructed/Existingwater storage tank with gravity fed reticulation system]]-WWWW[[#This Row],['#_Non-functional storage tank gravity fed reticulation system]]</f>
        <v>0</v>
      </c>
      <c r="CK333" s="930">
        <f>(WWWW[[#This Row],['#_Water_Liters_supplied_by_Water boating or water trucking]]/90)/15</f>
        <v>0</v>
      </c>
      <c r="CL333" s="930">
        <f>WWWW[[#This Row],['#_Water_Liters_from_Constructed/Existing water distribution system from river or natural spring]]/90/15</f>
        <v>0</v>
      </c>
      <c r="CM333" s="425">
        <f>IF(WWWW[[#This Row],['#_of water points in TLS/CFS]]*500&gt;WWWW[[#This Row],[Total PoP ]],WWWW[[#This Row],[Total PoP ]],WWWW[[#This Row],['#_of water points in TLS/CFS]]*500)</f>
        <v>0</v>
      </c>
      <c r="CN333" s="425">
        <f>IF(WWWW[[#This Row],['#_of water points in THF]]*500&gt;WWWW[[#This Row],[Total PoP ]],WWWW[[#This Row],[Total PoP ]],WWWW[[#This Row],['#_of water points in THF]]*500)</f>
        <v>0</v>
      </c>
      <c r="CO33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3" s="929">
        <f>IF(WWWW[[#This Row],[Location Type 1]]="Village",WWWW[[#This Row],[Access to safe drinking water for Village]],WWWW[[#This Row],[Access to safe drinking water for Camp]])</f>
        <v>0</v>
      </c>
      <c r="CR333" s="927">
        <f>WWWW[[#This Row],[%Equitable and continuous access to sufficient quantity of safe drinking water]]*WWWW[[#This Row],[Total PoP ]]</f>
        <v>0</v>
      </c>
      <c r="CS333" s="929">
        <f>IF((WWWW[[#This Row],['#_Constructed/Existing protected/fenced ponds]]*250)/WWWW[[#This Row],[Total PoP ]]&gt;1,1,(WWWW[[#This Row],['#_Constructed/Existing protected/fenced ponds]]*250)/WWWW[[#This Row],[Total PoP ]])</f>
        <v>0</v>
      </c>
      <c r="CT333" s="927">
        <f>WWWW[[#This Row],[% Access to unimproved water points]]*WWWW[[#This Row],[Total PoP ]]</f>
        <v>0</v>
      </c>
      <c r="CU33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3" s="927">
        <f>WWWW[[#This Row],[HRP1]]/500</f>
        <v>0</v>
      </c>
      <c r="CX333" s="932">
        <f>1-WWWW[[#This Row],[% Equitable and continuous access to sufficient quantity of domestic water]]</f>
        <v>1</v>
      </c>
      <c r="CY333" s="927">
        <f>WWWW[[#This Row],[%equitable and continuous access to sufficient quantity of safe drinking and domestic water''s GAP]]*WWWW[[#This Row],[Total PoP ]]</f>
        <v>189</v>
      </c>
      <c r="CZ333" s="930">
        <f>IF(WWWW[[#This Row],[Total required water points]]-WWWW[[#This Row],['#Water points coverage]]&lt;0,0,WWWW[[#This Row],[Total required water points]]-WWWW[[#This Row],['#Water points coverage]])</f>
        <v>1</v>
      </c>
      <c r="DA333" s="930">
        <f>ROUND(IF(WWWW[[#This Row],[Total PoP ]]&lt;500,1,WWWW[[#This Row],[Total PoP ]]/500),0)</f>
        <v>1</v>
      </c>
      <c r="DB333" s="930">
        <f>(WWWW[[#This Row],['#_Constructed latrines_by_WASHAgencies]]+WWWW[[#This Row],['#_Non Cluster partner latrines]])-WWWW[[#This Row],['#_Non-functional latrines]]</f>
        <v>0</v>
      </c>
      <c r="DC333" s="634">
        <f>WWWW[[#This Row],[HRP2]]/WWWW[[#This Row],[Total PoP ]]</f>
        <v>0</v>
      </c>
      <c r="DD33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3" s="425">
        <f>IF(WWWW[[#This Row],['# of functional latrines in THF supported by WASH partners during the reporting period2]]="",0,WWWW[[#This Row],['# of functional latrines in THF supported by WASH partners during the reporting period2]]*50)</f>
        <v>0</v>
      </c>
      <c r="DH333" s="930">
        <f>ROUND(IF(WWWW[[#This Row],[Location Type 1]]="camp",WWWW[[#This Row],[Total PoP ]]/20,IF(WWWW[[#This Row],[Location Type 1]]="Temporary Location",WWWW[[#This Row],[Total PoP ]]/50,(WWWW[[#This Row],[Total PoP ]]/6))),0)</f>
        <v>9</v>
      </c>
      <c r="DI333" s="930">
        <f>IF(WWWW[[#This Row],[Total required Latrines]]-(WWWW[[#This Row],['#_Constructed latrines_by_WASHAgencies]]+WWWW[[#This Row],['#_Non Cluster partner latrines]])&lt;0,0,WWWW[[#This Row],[Total required Latrines]]-(WWWW[[#This Row],['#_Constructed latrines_by_WASHAgencies]]+WWWW[[#This Row],['#_Non Cluster partner latrines]]))</f>
        <v>9</v>
      </c>
      <c r="DJ333" s="932">
        <f>1-WWWW[[#This Row],[% people access to functioning Latrine]]</f>
        <v>1</v>
      </c>
      <c r="DK333" s="931">
        <f>IF(OR(WWWW[[#This Row],['#_Non-functional latrines]]="",WWWW[[#This Row],['#_Non-functional latrines]]=0),0,WWWW[[#This Row],['#_Non-functional latrines]]/(WWWW[[#This Row],['#_Constructed latrines_by_WASHAgencies]]+WWWW[[#This Row],['#_Non Cluster partner latrines]]))</f>
        <v>0</v>
      </c>
      <c r="DL333" s="927">
        <f>IF(500*(WWWW[[#This Row],['#_male hygiene promoters]]+WWWW[[#This Row],['#_female hygiene promoters]])&gt;WWWW[[#This Row],[Total PoP ]],WWWW[[#This Row],[Total PoP ]],500*(WWWW[[#This Row],['#_male hygiene promoters]]+WWWW[[#This Row],['#_female hygiene promoters]]))</f>
        <v>0</v>
      </c>
      <c r="DM33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3" s="930">
        <f>IF(WWWW[[#This Row],['# People with access to soap]]&gt;WWWW[[#This Row],['# People with access to Sanity Pads]],WWWW[[#This Row],['# People with access to soap]],WWWW[[#This Row],['# People with access to Sanity Pads]])</f>
        <v>0</v>
      </c>
      <c r="DP33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3" s="932">
        <f>IF(WWWW[[#This Row],[HRP3]]/WWWW[[#This Row],[Total PoP ]]&gt;1,1,WWWW[[#This Row],[HRP3]]/WWWW[[#This Row],[Total PoP ]])</f>
        <v>0</v>
      </c>
      <c r="DR333" s="931">
        <f>1-WWWW[[#This Row],[Hygiene Coverage%]]</f>
        <v>1</v>
      </c>
      <c r="DS333" s="929">
        <f>WWWW[[#This Row],['# people reached by regular dedicated hygiene promotion_5]]/WWWW[[#This Row],[Total PoP ]]</f>
        <v>0</v>
      </c>
      <c r="DT33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3" s="930">
        <f>WWWW[[#This Row],['#_Constructed/Existing hand washing stations]]-WWWW[[#This Row],['#_Non-Functional_hand_washing_stations]]</f>
        <v>3</v>
      </c>
      <c r="DW333" s="927">
        <f>IF(WWWW[[#This Row],['# Functional hand washing stations during reporting period]]*20&gt;WWWW[[#This Row],[Total HH]],WWWW[[#This Row],[Total HH]],WWWW[[#This Row],['# Functional hand washing stations during reporting period]]*20)</f>
        <v>34</v>
      </c>
      <c r="DX333" s="927">
        <f>IF(WWWW[[#This Row],[Is sufficient soap available for TLS? (Yes/No)]]="yes",WWWW[[#This Row],['#_Constructed/Existing hand washing stations at TLS/CFS/THF]],0)</f>
        <v>0</v>
      </c>
      <c r="DY333" s="429">
        <f>IF(WWWW[[#This Row],['# Functional hand washing stations during reporting period]]*100&gt;WWWW[[#This Row],[Total PoP ]],WWWW[[#This Row],[Total PoP ]],WWWW[[#This Row],['# Functional hand washing stations during reporting period]]*100)</f>
        <v>189</v>
      </c>
      <c r="DZ333" s="429" t="str">
        <f>IF(OR(WWWW[[#This Row],['#_students at TLS_CFS]]="",WWWW[[#This Row],['#_students at TLS_CFS]]=0),"No","Yes")</f>
        <v>No</v>
      </c>
      <c r="EA33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3" s="923">
        <f>VLOOKUP(WWWW[[#This Row],[Site Name]],SiteDB6[[Site Name]:[CCCM Management]],6,FALSE)</f>
        <v>0</v>
      </c>
      <c r="EF333" s="923" t="str">
        <f>VLOOKUP(WWWW[[#This Row],[Site Name]],SiteDB6[[Site Name]:[CCCM Focal Agency]],7,FALSE)</f>
        <v xml:space="preserve">Uncovered  </v>
      </c>
      <c r="EG333" s="923" t="str">
        <f>VLOOKUP(WWWW[[#This Row],[Site Name]],SiteDB6[[Site Name]:[Location Type 1]],9,FALSE)</f>
        <v>Camp</v>
      </c>
      <c r="EH333" s="923" t="str">
        <f>VLOOKUP(WWWW[[#This Row],[Site Name]],SiteDB6[[Site Name]:[Type of Accommodation]],10,FALSE)</f>
        <v>Camp like setting</v>
      </c>
      <c r="EI333" s="923" t="str">
        <f>VLOOKUP(WWWW[[#This Row],[Site Name]],SiteDB6[[Site Name]:[Ethnic or GCA/NGCA]],11,FALSE)</f>
        <v>GCA</v>
      </c>
      <c r="EJ333" s="923">
        <f>VLOOKUP(WWWW[[#This Row],[Site Name]],SiteDB6[[Site Name]:[Lat]],12,FALSE)</f>
        <v>0</v>
      </c>
      <c r="EK333" s="923">
        <f>VLOOKUP(WWWW[[#This Row],[Site Name]],SiteDB6[[Site Name]:[Long]],13,FALSE)</f>
        <v>0</v>
      </c>
      <c r="EL333" s="923" t="str">
        <f>VLOOKUP(WWWW[[#This Row],[Site Name]],SiteDB6[[Site Name]:[Pcode]],3,FALSE)</f>
        <v>MMR001CMP294</v>
      </c>
      <c r="EM333" s="928" t="str">
        <f t="shared" si="5"/>
        <v>Notcovered</v>
      </c>
      <c r="EN333" s="928"/>
      <c r="EO333" s="923">
        <f>VLOOKUP(WWWW[[#This Row],[Site Name]],SiteDB6[[Site Name]:[Pop
(Kachin/Shan-CCCM as of July 2021)]],16,FALSE)</f>
        <v>34</v>
      </c>
      <c r="EP333" s="923">
        <f>VLOOKUP(WWWW[[#This Row],[Site Name]],SiteDB6[[Site Name]:[Pop
(Kachin/Shan-CCCM as of July 2021)]],17,FALSE)</f>
        <v>189</v>
      </c>
    </row>
    <row r="334" spans="1:146">
      <c r="A334" s="921" t="s">
        <v>2786</v>
      </c>
      <c r="B334" s="921" t="s">
        <v>309</v>
      </c>
      <c r="C334" s="922" t="s">
        <v>309</v>
      </c>
      <c r="D334" s="922"/>
      <c r="E334" s="922" t="s">
        <v>37</v>
      </c>
      <c r="F334" s="922" t="s">
        <v>142</v>
      </c>
      <c r="G334" s="594" t="str">
        <f>VLOOKUP(WWWW[[#This Row],[Site Name]],SiteDB6[[Site Name]:[Location Type]],8,FALSE)</f>
        <v>Camp</v>
      </c>
      <c r="H334" s="922" t="s">
        <v>2802</v>
      </c>
      <c r="I334" s="924">
        <v>45</v>
      </c>
      <c r="J334" s="924">
        <v>247</v>
      </c>
      <c r="K334" s="925"/>
      <c r="L334" s="926"/>
      <c r="M334" s="924"/>
      <c r="N334" s="924"/>
      <c r="O334" s="924"/>
      <c r="P334" s="924"/>
      <c r="Q334" s="927"/>
      <c r="R334" s="924"/>
      <c r="S334" s="924"/>
      <c r="T334" s="449"/>
      <c r="U334" s="924"/>
      <c r="V334" s="924"/>
      <c r="W334" s="924"/>
      <c r="X334" s="924"/>
      <c r="Y334" s="924"/>
      <c r="Z334" s="924"/>
      <c r="AA334" s="924"/>
      <c r="AB334" s="924"/>
      <c r="AC334" s="924"/>
      <c r="AD334" s="924"/>
      <c r="AE334" s="924"/>
      <c r="AF334" s="924"/>
      <c r="AG334" s="924"/>
      <c r="AH334" s="924"/>
      <c r="AI334" s="924"/>
      <c r="AJ334" s="924"/>
      <c r="AK334" s="924"/>
      <c r="AL334" s="924"/>
      <c r="AM334" s="924"/>
      <c r="AN334" s="924"/>
      <c r="AO334" s="449"/>
      <c r="AP334" s="928"/>
      <c r="AQ334" s="924"/>
      <c r="AR334" s="924"/>
      <c r="AS334" s="929"/>
      <c r="AT334" s="924"/>
      <c r="AU334" s="924"/>
      <c r="AV334" s="924"/>
      <c r="AW334" s="924"/>
      <c r="AX334" s="924"/>
      <c r="AY334" s="923" t="s">
        <v>140</v>
      </c>
      <c r="AZ334" s="928" t="s">
        <v>140</v>
      </c>
      <c r="BA334" s="924"/>
      <c r="BB334" s="924"/>
      <c r="BC334" s="924"/>
      <c r="BD334" s="449"/>
      <c r="BE334" s="449"/>
      <c r="BF334" s="923"/>
      <c r="BG334" s="924">
        <v>3</v>
      </c>
      <c r="BH334" s="924"/>
      <c r="BI334" s="924"/>
      <c r="BJ334" s="924">
        <v>2</v>
      </c>
      <c r="BK334" s="924"/>
      <c r="BL334" s="924"/>
      <c r="BM334" s="924"/>
      <c r="BN334" s="924"/>
      <c r="BO334" s="924"/>
      <c r="BP334" s="923"/>
      <c r="BQ334" s="930"/>
      <c r="BR334" s="929"/>
      <c r="BS334" s="923"/>
      <c r="BT334" s="424"/>
      <c r="BU334" s="424"/>
      <c r="BV334" s="426"/>
      <c r="BW334" s="424"/>
      <c r="BX334" s="449"/>
      <c r="BY334" s="449"/>
      <c r="BZ334" s="449"/>
      <c r="CA334" s="449"/>
      <c r="CB334" s="449"/>
      <c r="CC334" s="807"/>
      <c r="CD334" s="449"/>
      <c r="CE334" s="931" t="str">
        <f>IFERROR(WWWW[[#This Row],['#_Water sources passed]]/WWWW[[#This Row],['#_Water sources tested for fecal coliform ]],"no test")</f>
        <v>no test</v>
      </c>
      <c r="CF334" s="929" t="str">
        <f>IFERROR(WWWW[[#This Row],['#_Household passed]]/WWWW[[#This Row],['#_Household water samples tested for fecal coliform]],"no test")</f>
        <v>no test</v>
      </c>
      <c r="CG334" s="930" t="str">
        <f>IF(AND(WWWW[[#This Row],[% of water sources passed]]="no test",WWWW[[#This Row],[% Household passed]]="no test"),"No Test","Tested")</f>
        <v>No Test</v>
      </c>
      <c r="CH334" s="930">
        <f>WWWW[[#This Row],['#_Constructed/existing protected hand dug well]]-WWWW[[#This Row],['#_Non-functional protected hand dug well]]</f>
        <v>0</v>
      </c>
      <c r="CI334" s="930">
        <f>(WWWW[[#This Row],['#_Constructed/Existing tube wells/boreholes/handpumps_WASH_agency]]+WWWW[[#This Row],['#_Non-Cluster partner water tube-wells/boreholes/handpumps]])-WWWW[[#This Row],['#_Non-functional tube wells/boreholes/handpumps]]</f>
        <v>0</v>
      </c>
      <c r="CJ334" s="930">
        <f>WWWW[[#This Row],['#_Constructed/Existingwater storage tank with gravity fed reticulation system]]-WWWW[[#This Row],['#_Non-functional storage tank gravity fed reticulation system]]</f>
        <v>0</v>
      </c>
      <c r="CK334" s="930">
        <f>(WWWW[[#This Row],['#_Water_Liters_supplied_by_Water boating or water trucking]]/90)/15</f>
        <v>0</v>
      </c>
      <c r="CL334" s="930">
        <f>WWWW[[#This Row],['#_Water_Liters_from_Constructed/Existing water distribution system from river or natural spring]]/90/15</f>
        <v>0</v>
      </c>
      <c r="CM334" s="425">
        <f>IF(WWWW[[#This Row],['#_of water points in TLS/CFS]]*500&gt;WWWW[[#This Row],[Total PoP ]],WWWW[[#This Row],[Total PoP ]],WWWW[[#This Row],['#_of water points in TLS/CFS]]*500)</f>
        <v>0</v>
      </c>
      <c r="CN334" s="425">
        <f>IF(WWWW[[#This Row],['#_of water points in THF]]*500&gt;WWWW[[#This Row],[Total PoP ]],WWWW[[#This Row],[Total PoP ]],WWWW[[#This Row],['#_of water points in THF]]*500)</f>
        <v>0</v>
      </c>
      <c r="CO33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4" s="929">
        <f>IF(WWWW[[#This Row],[Location Type 1]]="Village",WWWW[[#This Row],[Access to safe drinking water for Village]],WWWW[[#This Row],[Access to safe drinking water for Camp]])</f>
        <v>0</v>
      </c>
      <c r="CR334" s="927">
        <f>WWWW[[#This Row],[%Equitable and continuous access to sufficient quantity of safe drinking water]]*WWWW[[#This Row],[Total PoP ]]</f>
        <v>0</v>
      </c>
      <c r="CS334" s="929">
        <f>IF((WWWW[[#This Row],['#_Constructed/Existing protected/fenced ponds]]*250)/WWWW[[#This Row],[Total PoP ]]&gt;1,1,(WWWW[[#This Row],['#_Constructed/Existing protected/fenced ponds]]*250)/WWWW[[#This Row],[Total PoP ]])</f>
        <v>0</v>
      </c>
      <c r="CT334" s="927">
        <f>WWWW[[#This Row],[% Access to unimproved water points]]*WWWW[[#This Row],[Total PoP ]]</f>
        <v>0</v>
      </c>
      <c r="CU33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4" s="927">
        <f>WWWW[[#This Row],[HRP1]]/500</f>
        <v>0</v>
      </c>
      <c r="CX334" s="932">
        <f>1-WWWW[[#This Row],[% Equitable and continuous access to sufficient quantity of domestic water]]</f>
        <v>1</v>
      </c>
      <c r="CY334" s="927">
        <f>WWWW[[#This Row],[%equitable and continuous access to sufficient quantity of safe drinking and domestic water''s GAP]]*WWWW[[#This Row],[Total PoP ]]</f>
        <v>247</v>
      </c>
      <c r="CZ334" s="930">
        <f>IF(WWWW[[#This Row],[Total required water points]]-WWWW[[#This Row],['#Water points coverage]]&lt;0,0,WWWW[[#This Row],[Total required water points]]-WWWW[[#This Row],['#Water points coverage]])</f>
        <v>1</v>
      </c>
      <c r="DA334" s="930">
        <f>ROUND(IF(WWWW[[#This Row],[Total PoP ]]&lt;500,1,WWWW[[#This Row],[Total PoP ]]/500),0)</f>
        <v>1</v>
      </c>
      <c r="DB334" s="930">
        <f>(WWWW[[#This Row],['#_Constructed latrines_by_WASHAgencies]]+WWWW[[#This Row],['#_Non Cluster partner latrines]])-WWWW[[#This Row],['#_Non-functional latrines]]</f>
        <v>0</v>
      </c>
      <c r="DC334" s="634">
        <f>WWWW[[#This Row],[HRP2]]/WWWW[[#This Row],[Total PoP ]]</f>
        <v>0</v>
      </c>
      <c r="DD33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4" s="425">
        <f>IF(WWWW[[#This Row],['# of functional latrines in THF supported by WASH partners during the reporting period2]]="",0,WWWW[[#This Row],['# of functional latrines in THF supported by WASH partners during the reporting period2]]*50)</f>
        <v>0</v>
      </c>
      <c r="DH334" s="930">
        <f>ROUND(IF(WWWW[[#This Row],[Location Type 1]]="camp",WWWW[[#This Row],[Total PoP ]]/20,IF(WWWW[[#This Row],[Location Type 1]]="Temporary Location",WWWW[[#This Row],[Total PoP ]]/50,(WWWW[[#This Row],[Total PoP ]]/6))),0)</f>
        <v>12</v>
      </c>
      <c r="DI334" s="930">
        <f>IF(WWWW[[#This Row],[Total required Latrines]]-(WWWW[[#This Row],['#_Constructed latrines_by_WASHAgencies]]+WWWW[[#This Row],['#_Non Cluster partner latrines]])&lt;0,0,WWWW[[#This Row],[Total required Latrines]]-(WWWW[[#This Row],['#_Constructed latrines_by_WASHAgencies]]+WWWW[[#This Row],['#_Non Cluster partner latrines]]))</f>
        <v>12</v>
      </c>
      <c r="DJ334" s="932">
        <f>1-WWWW[[#This Row],[% people access to functioning Latrine]]</f>
        <v>1</v>
      </c>
      <c r="DK334" s="931">
        <f>IF(OR(WWWW[[#This Row],['#_Non-functional latrines]]="",WWWW[[#This Row],['#_Non-functional latrines]]=0),0,WWWW[[#This Row],['#_Non-functional latrines]]/(WWWW[[#This Row],['#_Constructed latrines_by_WASHAgencies]]+WWWW[[#This Row],['#_Non Cluster partner latrines]]))</f>
        <v>0</v>
      </c>
      <c r="DL334" s="927">
        <f>IF(500*(WWWW[[#This Row],['#_male hygiene promoters]]+WWWW[[#This Row],['#_female hygiene promoters]])&gt;WWWW[[#This Row],[Total PoP ]],WWWW[[#This Row],[Total PoP ]],500*(WWWW[[#This Row],['#_male hygiene promoters]]+WWWW[[#This Row],['#_female hygiene promoters]]))</f>
        <v>0</v>
      </c>
      <c r="DM33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4" s="930">
        <f>IF(WWWW[[#This Row],['# People with access to soap]]&gt;WWWW[[#This Row],['# People with access to Sanity Pads]],WWWW[[#This Row],['# People with access to soap]],WWWW[[#This Row],['# People with access to Sanity Pads]])</f>
        <v>0</v>
      </c>
      <c r="DP33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4" s="932">
        <f>IF(WWWW[[#This Row],[HRP3]]/WWWW[[#This Row],[Total PoP ]]&gt;1,1,WWWW[[#This Row],[HRP3]]/WWWW[[#This Row],[Total PoP ]])</f>
        <v>0</v>
      </c>
      <c r="DR334" s="931">
        <f>1-WWWW[[#This Row],[Hygiene Coverage%]]</f>
        <v>1</v>
      </c>
      <c r="DS334" s="929">
        <f>WWWW[[#This Row],['# people reached by regular dedicated hygiene promotion_5]]/WWWW[[#This Row],[Total PoP ]]</f>
        <v>0</v>
      </c>
      <c r="DT33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4" s="930">
        <f>WWWW[[#This Row],['#_Constructed/Existing hand washing stations]]-WWWW[[#This Row],['#_Non-Functional_hand_washing_stations]]</f>
        <v>3</v>
      </c>
      <c r="DW334" s="927">
        <f>IF(WWWW[[#This Row],['# Functional hand washing stations during reporting period]]*20&gt;WWWW[[#This Row],[Total HH]],WWWW[[#This Row],[Total HH]],WWWW[[#This Row],['# Functional hand washing stations during reporting period]]*20)</f>
        <v>45</v>
      </c>
      <c r="DX334" s="927">
        <f>IF(WWWW[[#This Row],[Is sufficient soap available for TLS? (Yes/No)]]="yes",WWWW[[#This Row],['#_Constructed/Existing hand washing stations at TLS/CFS/THF]],0)</f>
        <v>0</v>
      </c>
      <c r="DY334" s="429">
        <f>IF(WWWW[[#This Row],['# Functional hand washing stations during reporting period]]*100&gt;WWWW[[#This Row],[Total PoP ]],WWWW[[#This Row],[Total PoP ]],WWWW[[#This Row],['# Functional hand washing stations during reporting period]]*100)</f>
        <v>247</v>
      </c>
      <c r="DZ334" s="429" t="str">
        <f>IF(OR(WWWW[[#This Row],['#_students at TLS_CFS]]="",WWWW[[#This Row],['#_students at TLS_CFS]]=0),"No","Yes")</f>
        <v>No</v>
      </c>
      <c r="EA33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4" s="923">
        <f>VLOOKUP(WWWW[[#This Row],[Site Name]],SiteDB6[[Site Name]:[CCCM Management]],6,FALSE)</f>
        <v>0</v>
      </c>
      <c r="EF334" s="923" t="str">
        <f>VLOOKUP(WWWW[[#This Row],[Site Name]],SiteDB6[[Site Name]:[CCCM Focal Agency]],7,FALSE)</f>
        <v xml:space="preserve">Uncovered  </v>
      </c>
      <c r="EG334" s="923" t="str">
        <f>VLOOKUP(WWWW[[#This Row],[Site Name]],SiteDB6[[Site Name]:[Location Type 1]],9,FALSE)</f>
        <v>Camp</v>
      </c>
      <c r="EH334" s="923" t="str">
        <f>VLOOKUP(WWWW[[#This Row],[Site Name]],SiteDB6[[Site Name]:[Type of Accommodation]],10,FALSE)</f>
        <v>Camp like setting</v>
      </c>
      <c r="EI334" s="923" t="str">
        <f>VLOOKUP(WWWW[[#This Row],[Site Name]],SiteDB6[[Site Name]:[Ethnic or GCA/NGCA]],11,FALSE)</f>
        <v>GCA</v>
      </c>
      <c r="EJ334" s="923">
        <f>VLOOKUP(WWWW[[#This Row],[Site Name]],SiteDB6[[Site Name]:[Lat]],12,FALSE)</f>
        <v>0</v>
      </c>
      <c r="EK334" s="923">
        <f>VLOOKUP(WWWW[[#This Row],[Site Name]],SiteDB6[[Site Name]:[Long]],13,FALSE)</f>
        <v>0</v>
      </c>
      <c r="EL334" s="923" t="str">
        <f>VLOOKUP(WWWW[[#This Row],[Site Name]],SiteDB6[[Site Name]:[Pcode]],3,FALSE)</f>
        <v>MMR001CMP292</v>
      </c>
      <c r="EM334" s="928" t="str">
        <f t="shared" si="5"/>
        <v>Notcovered</v>
      </c>
      <c r="EN334" s="928"/>
      <c r="EO334" s="923">
        <f>VLOOKUP(WWWW[[#This Row],[Site Name]],SiteDB6[[Site Name]:[Pop
(Kachin/Shan-CCCM as of July 2021)]],16,FALSE)</f>
        <v>87</v>
      </c>
      <c r="EP334" s="923">
        <f>VLOOKUP(WWWW[[#This Row],[Site Name]],SiteDB6[[Site Name]:[Pop
(Kachin/Shan-CCCM as of July 2021)]],17,FALSE)</f>
        <v>478</v>
      </c>
    </row>
    <row r="335" spans="1:146">
      <c r="A335" s="921" t="s">
        <v>2786</v>
      </c>
      <c r="B335" s="921" t="s">
        <v>309</v>
      </c>
      <c r="C335" s="922" t="s">
        <v>309</v>
      </c>
      <c r="D335" s="922"/>
      <c r="E335" s="922" t="s">
        <v>37</v>
      </c>
      <c r="F335" s="922" t="s">
        <v>142</v>
      </c>
      <c r="G335" s="594" t="str">
        <f>VLOOKUP(WWWW[[#This Row],[Site Name]],SiteDB6[[Site Name]:[Location Type]],8,FALSE)</f>
        <v>Camp</v>
      </c>
      <c r="H335" s="922" t="s">
        <v>2799</v>
      </c>
      <c r="I335" s="924">
        <v>40</v>
      </c>
      <c r="J335" s="924">
        <v>220</v>
      </c>
      <c r="K335" s="925"/>
      <c r="L335" s="926"/>
      <c r="M335" s="924"/>
      <c r="N335" s="924"/>
      <c r="O335" s="924"/>
      <c r="P335" s="924"/>
      <c r="Q335" s="927"/>
      <c r="R335" s="924"/>
      <c r="S335" s="924"/>
      <c r="T335" s="449"/>
      <c r="U335" s="924"/>
      <c r="V335" s="924"/>
      <c r="W335" s="924"/>
      <c r="X335" s="924"/>
      <c r="Y335" s="924"/>
      <c r="Z335" s="924"/>
      <c r="AA335" s="924"/>
      <c r="AB335" s="924"/>
      <c r="AC335" s="924"/>
      <c r="AD335" s="924"/>
      <c r="AE335" s="924"/>
      <c r="AF335" s="924"/>
      <c r="AG335" s="924"/>
      <c r="AH335" s="924"/>
      <c r="AI335" s="924"/>
      <c r="AJ335" s="924"/>
      <c r="AK335" s="924"/>
      <c r="AL335" s="924"/>
      <c r="AM335" s="924"/>
      <c r="AN335" s="924"/>
      <c r="AO335" s="449"/>
      <c r="AP335" s="928"/>
      <c r="AQ335" s="924"/>
      <c r="AR335" s="924"/>
      <c r="AS335" s="929"/>
      <c r="AT335" s="924"/>
      <c r="AU335" s="924"/>
      <c r="AV335" s="924"/>
      <c r="AW335" s="924"/>
      <c r="AX335" s="924"/>
      <c r="AY335" s="923" t="s">
        <v>140</v>
      </c>
      <c r="AZ335" s="928" t="s">
        <v>140</v>
      </c>
      <c r="BA335" s="924"/>
      <c r="BB335" s="924"/>
      <c r="BC335" s="924"/>
      <c r="BD335" s="449"/>
      <c r="BE335" s="449"/>
      <c r="BF335" s="923"/>
      <c r="BG335" s="924">
        <v>3</v>
      </c>
      <c r="BH335" s="924"/>
      <c r="BI335" s="924"/>
      <c r="BJ335" s="924">
        <v>2</v>
      </c>
      <c r="BK335" s="924"/>
      <c r="BL335" s="924"/>
      <c r="BM335" s="924"/>
      <c r="BN335" s="924"/>
      <c r="BO335" s="924"/>
      <c r="BP335" s="923"/>
      <c r="BQ335" s="930"/>
      <c r="BR335" s="929"/>
      <c r="BS335" s="923"/>
      <c r="BT335" s="424"/>
      <c r="BU335" s="424"/>
      <c r="BV335" s="426"/>
      <c r="BW335" s="424"/>
      <c r="BX335" s="449"/>
      <c r="BY335" s="449"/>
      <c r="BZ335" s="449"/>
      <c r="CA335" s="449"/>
      <c r="CB335" s="449"/>
      <c r="CC335" s="807"/>
      <c r="CD335" s="449"/>
      <c r="CE335" s="931" t="str">
        <f>IFERROR(WWWW[[#This Row],['#_Water sources passed]]/WWWW[[#This Row],['#_Water sources tested for fecal coliform ]],"no test")</f>
        <v>no test</v>
      </c>
      <c r="CF335" s="929" t="str">
        <f>IFERROR(WWWW[[#This Row],['#_Household passed]]/WWWW[[#This Row],['#_Household water samples tested for fecal coliform]],"no test")</f>
        <v>no test</v>
      </c>
      <c r="CG335" s="930" t="str">
        <f>IF(AND(WWWW[[#This Row],[% of water sources passed]]="no test",WWWW[[#This Row],[% Household passed]]="no test"),"No Test","Tested")</f>
        <v>No Test</v>
      </c>
      <c r="CH335" s="930">
        <f>WWWW[[#This Row],['#_Constructed/existing protected hand dug well]]-WWWW[[#This Row],['#_Non-functional protected hand dug well]]</f>
        <v>0</v>
      </c>
      <c r="CI335" s="930">
        <f>(WWWW[[#This Row],['#_Constructed/Existing tube wells/boreholes/handpumps_WASH_agency]]+WWWW[[#This Row],['#_Non-Cluster partner water tube-wells/boreholes/handpumps]])-WWWW[[#This Row],['#_Non-functional tube wells/boreholes/handpumps]]</f>
        <v>0</v>
      </c>
      <c r="CJ335" s="930">
        <f>WWWW[[#This Row],['#_Constructed/Existingwater storage tank with gravity fed reticulation system]]-WWWW[[#This Row],['#_Non-functional storage tank gravity fed reticulation system]]</f>
        <v>0</v>
      </c>
      <c r="CK335" s="930">
        <f>(WWWW[[#This Row],['#_Water_Liters_supplied_by_Water boating or water trucking]]/90)/15</f>
        <v>0</v>
      </c>
      <c r="CL335" s="930">
        <f>WWWW[[#This Row],['#_Water_Liters_from_Constructed/Existing water distribution system from river or natural spring]]/90/15</f>
        <v>0</v>
      </c>
      <c r="CM335" s="425">
        <f>IF(WWWW[[#This Row],['#_of water points in TLS/CFS]]*500&gt;WWWW[[#This Row],[Total PoP ]],WWWW[[#This Row],[Total PoP ]],WWWW[[#This Row],['#_of water points in TLS/CFS]]*500)</f>
        <v>0</v>
      </c>
      <c r="CN335" s="425">
        <f>IF(WWWW[[#This Row],['#_of water points in THF]]*500&gt;WWWW[[#This Row],[Total PoP ]],WWWW[[#This Row],[Total PoP ]],WWWW[[#This Row],['#_of water points in THF]]*500)</f>
        <v>0</v>
      </c>
      <c r="CO33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5" s="929">
        <f>IF(WWWW[[#This Row],[Location Type 1]]="Village",WWWW[[#This Row],[Access to safe drinking water for Village]],WWWW[[#This Row],[Access to safe drinking water for Camp]])</f>
        <v>0</v>
      </c>
      <c r="CR335" s="927">
        <f>WWWW[[#This Row],[%Equitable and continuous access to sufficient quantity of safe drinking water]]*WWWW[[#This Row],[Total PoP ]]</f>
        <v>0</v>
      </c>
      <c r="CS335" s="929">
        <f>IF((WWWW[[#This Row],['#_Constructed/Existing protected/fenced ponds]]*250)/WWWW[[#This Row],[Total PoP ]]&gt;1,1,(WWWW[[#This Row],['#_Constructed/Existing protected/fenced ponds]]*250)/WWWW[[#This Row],[Total PoP ]])</f>
        <v>0</v>
      </c>
      <c r="CT335" s="927">
        <f>WWWW[[#This Row],[% Access to unimproved water points]]*WWWW[[#This Row],[Total PoP ]]</f>
        <v>0</v>
      </c>
      <c r="CU33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5" s="927">
        <f>WWWW[[#This Row],[HRP1]]/500</f>
        <v>0</v>
      </c>
      <c r="CX335" s="932">
        <f>1-WWWW[[#This Row],[% Equitable and continuous access to sufficient quantity of domestic water]]</f>
        <v>1</v>
      </c>
      <c r="CY335" s="927">
        <f>WWWW[[#This Row],[%equitable and continuous access to sufficient quantity of safe drinking and domestic water''s GAP]]*WWWW[[#This Row],[Total PoP ]]</f>
        <v>220</v>
      </c>
      <c r="CZ335" s="930">
        <f>IF(WWWW[[#This Row],[Total required water points]]-WWWW[[#This Row],['#Water points coverage]]&lt;0,0,WWWW[[#This Row],[Total required water points]]-WWWW[[#This Row],['#Water points coverage]])</f>
        <v>1</v>
      </c>
      <c r="DA335" s="930">
        <f>ROUND(IF(WWWW[[#This Row],[Total PoP ]]&lt;500,1,WWWW[[#This Row],[Total PoP ]]/500),0)</f>
        <v>1</v>
      </c>
      <c r="DB335" s="930">
        <f>(WWWW[[#This Row],['#_Constructed latrines_by_WASHAgencies]]+WWWW[[#This Row],['#_Non Cluster partner latrines]])-WWWW[[#This Row],['#_Non-functional latrines]]</f>
        <v>0</v>
      </c>
      <c r="DC335" s="634">
        <f>WWWW[[#This Row],[HRP2]]/WWWW[[#This Row],[Total PoP ]]</f>
        <v>0</v>
      </c>
      <c r="DD33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5" s="425">
        <f>IF(WWWW[[#This Row],['# of functional latrines in THF supported by WASH partners during the reporting period2]]="",0,WWWW[[#This Row],['# of functional latrines in THF supported by WASH partners during the reporting period2]]*50)</f>
        <v>0</v>
      </c>
      <c r="DH335" s="930">
        <f>ROUND(IF(WWWW[[#This Row],[Location Type 1]]="camp",WWWW[[#This Row],[Total PoP ]]/20,IF(WWWW[[#This Row],[Location Type 1]]="Temporary Location",WWWW[[#This Row],[Total PoP ]]/50,(WWWW[[#This Row],[Total PoP ]]/6))),0)</f>
        <v>11</v>
      </c>
      <c r="DI335" s="930">
        <f>IF(WWWW[[#This Row],[Total required Latrines]]-(WWWW[[#This Row],['#_Constructed latrines_by_WASHAgencies]]+WWWW[[#This Row],['#_Non Cluster partner latrines]])&lt;0,0,WWWW[[#This Row],[Total required Latrines]]-(WWWW[[#This Row],['#_Constructed latrines_by_WASHAgencies]]+WWWW[[#This Row],['#_Non Cluster partner latrines]]))</f>
        <v>11</v>
      </c>
      <c r="DJ335" s="932">
        <f>1-WWWW[[#This Row],[% people access to functioning Latrine]]</f>
        <v>1</v>
      </c>
      <c r="DK335" s="931">
        <f>IF(OR(WWWW[[#This Row],['#_Non-functional latrines]]="",WWWW[[#This Row],['#_Non-functional latrines]]=0),0,WWWW[[#This Row],['#_Non-functional latrines]]/(WWWW[[#This Row],['#_Constructed latrines_by_WASHAgencies]]+WWWW[[#This Row],['#_Non Cluster partner latrines]]))</f>
        <v>0</v>
      </c>
      <c r="DL335" s="927">
        <f>IF(500*(WWWW[[#This Row],['#_male hygiene promoters]]+WWWW[[#This Row],['#_female hygiene promoters]])&gt;WWWW[[#This Row],[Total PoP ]],WWWW[[#This Row],[Total PoP ]],500*(WWWW[[#This Row],['#_male hygiene promoters]]+WWWW[[#This Row],['#_female hygiene promoters]]))</f>
        <v>0</v>
      </c>
      <c r="DM33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5" s="930">
        <f>IF(WWWW[[#This Row],['# People with access to soap]]&gt;WWWW[[#This Row],['# People with access to Sanity Pads]],WWWW[[#This Row],['# People with access to soap]],WWWW[[#This Row],['# People with access to Sanity Pads]])</f>
        <v>0</v>
      </c>
      <c r="DP33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5" s="932">
        <f>IF(WWWW[[#This Row],[HRP3]]/WWWW[[#This Row],[Total PoP ]]&gt;1,1,WWWW[[#This Row],[HRP3]]/WWWW[[#This Row],[Total PoP ]])</f>
        <v>0</v>
      </c>
      <c r="DR335" s="931">
        <f>1-WWWW[[#This Row],[Hygiene Coverage%]]</f>
        <v>1</v>
      </c>
      <c r="DS335" s="929">
        <f>WWWW[[#This Row],['# people reached by regular dedicated hygiene promotion_5]]/WWWW[[#This Row],[Total PoP ]]</f>
        <v>0</v>
      </c>
      <c r="DT33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5" s="930">
        <f>WWWW[[#This Row],['#_Constructed/Existing hand washing stations]]-WWWW[[#This Row],['#_Non-Functional_hand_washing_stations]]</f>
        <v>3</v>
      </c>
      <c r="DW335" s="927">
        <f>IF(WWWW[[#This Row],['# Functional hand washing stations during reporting period]]*20&gt;WWWW[[#This Row],[Total HH]],WWWW[[#This Row],[Total HH]],WWWW[[#This Row],['# Functional hand washing stations during reporting period]]*20)</f>
        <v>40</v>
      </c>
      <c r="DX335" s="927">
        <f>IF(WWWW[[#This Row],[Is sufficient soap available for TLS? (Yes/No)]]="yes",WWWW[[#This Row],['#_Constructed/Existing hand washing stations at TLS/CFS/THF]],0)</f>
        <v>0</v>
      </c>
      <c r="DY335" s="429">
        <f>IF(WWWW[[#This Row],['# Functional hand washing stations during reporting period]]*100&gt;WWWW[[#This Row],[Total PoP ]],WWWW[[#This Row],[Total PoP ]],WWWW[[#This Row],['# Functional hand washing stations during reporting period]]*100)</f>
        <v>220</v>
      </c>
      <c r="DZ335" s="429" t="str">
        <f>IF(OR(WWWW[[#This Row],['#_students at TLS_CFS]]="",WWWW[[#This Row],['#_students at TLS_CFS]]=0),"No","Yes")</f>
        <v>No</v>
      </c>
      <c r="EA33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5" s="923">
        <f>VLOOKUP(WWWW[[#This Row],[Site Name]],SiteDB6[[Site Name]:[CCCM Management]],6,FALSE)</f>
        <v>0</v>
      </c>
      <c r="EF335" s="923" t="str">
        <f>VLOOKUP(WWWW[[#This Row],[Site Name]],SiteDB6[[Site Name]:[CCCM Focal Agency]],7,FALSE)</f>
        <v xml:space="preserve">Uncovered  </v>
      </c>
      <c r="EG335" s="923" t="str">
        <f>VLOOKUP(WWWW[[#This Row],[Site Name]],SiteDB6[[Site Name]:[Location Type 1]],9,FALSE)</f>
        <v>Camp</v>
      </c>
      <c r="EH335" s="923" t="str">
        <f>VLOOKUP(WWWW[[#This Row],[Site Name]],SiteDB6[[Site Name]:[Type of Accommodation]],10,FALSE)</f>
        <v>Camp like setting</v>
      </c>
      <c r="EI335" s="923" t="str">
        <f>VLOOKUP(WWWW[[#This Row],[Site Name]],SiteDB6[[Site Name]:[Ethnic or GCA/NGCA]],11,FALSE)</f>
        <v>GCA</v>
      </c>
      <c r="EJ335" s="923">
        <f>VLOOKUP(WWWW[[#This Row],[Site Name]],SiteDB6[[Site Name]:[Lat]],12,FALSE)</f>
        <v>25.210599999999999</v>
      </c>
      <c r="EK335" s="923">
        <f>VLOOKUP(WWWW[[#This Row],[Site Name]],SiteDB6[[Site Name]:[Long]],13,FALSE)</f>
        <v>97.264700000000005</v>
      </c>
      <c r="EL335" s="923" t="str">
        <f>VLOOKUP(WWWW[[#This Row],[Site Name]],SiteDB6[[Site Name]:[Pcode]],3,FALSE)</f>
        <v>MMR001CMP289</v>
      </c>
      <c r="EM335" s="928" t="str">
        <f t="shared" si="5"/>
        <v>Notcovered</v>
      </c>
      <c r="EN335" s="928"/>
      <c r="EO335" s="923">
        <f>VLOOKUP(WWWW[[#This Row],[Site Name]],SiteDB6[[Site Name]:[Pop
(Kachin/Shan-CCCM as of July 2021)]],16,FALSE)</f>
        <v>40</v>
      </c>
      <c r="EP335" s="923">
        <f>VLOOKUP(WWWW[[#This Row],[Site Name]],SiteDB6[[Site Name]:[Pop
(Kachin/Shan-CCCM as of July 2021)]],17,FALSE)</f>
        <v>220</v>
      </c>
    </row>
    <row r="336" spans="1:146">
      <c r="A336" s="921" t="s">
        <v>2786</v>
      </c>
      <c r="B336" s="921" t="s">
        <v>309</v>
      </c>
      <c r="C336" s="922" t="s">
        <v>309</v>
      </c>
      <c r="D336" s="922"/>
      <c r="E336" s="922" t="s">
        <v>37</v>
      </c>
      <c r="F336" s="922" t="s">
        <v>142</v>
      </c>
      <c r="G336" s="594" t="str">
        <f>VLOOKUP(WWWW[[#This Row],[Site Name]],SiteDB6[[Site Name]:[Location Type]],8,FALSE)</f>
        <v>Camp</v>
      </c>
      <c r="H336" s="922" t="s">
        <v>2805</v>
      </c>
      <c r="I336" s="924">
        <v>12</v>
      </c>
      <c r="J336" s="924">
        <v>59</v>
      </c>
      <c r="K336" s="925"/>
      <c r="L336" s="926"/>
      <c r="M336" s="924"/>
      <c r="N336" s="924"/>
      <c r="O336" s="924"/>
      <c r="P336" s="924"/>
      <c r="Q336" s="927"/>
      <c r="R336" s="924"/>
      <c r="S336" s="924"/>
      <c r="T336" s="449"/>
      <c r="U336" s="924"/>
      <c r="V336" s="924"/>
      <c r="W336" s="924"/>
      <c r="X336" s="924"/>
      <c r="Y336" s="924"/>
      <c r="Z336" s="924"/>
      <c r="AA336" s="924"/>
      <c r="AB336" s="924"/>
      <c r="AC336" s="924"/>
      <c r="AD336" s="924"/>
      <c r="AE336" s="924"/>
      <c r="AF336" s="924"/>
      <c r="AG336" s="924"/>
      <c r="AH336" s="924"/>
      <c r="AI336" s="924"/>
      <c r="AJ336" s="924"/>
      <c r="AK336" s="924"/>
      <c r="AL336" s="924"/>
      <c r="AM336" s="924"/>
      <c r="AN336" s="924"/>
      <c r="AO336" s="449"/>
      <c r="AP336" s="928"/>
      <c r="AQ336" s="924"/>
      <c r="AR336" s="924"/>
      <c r="AS336" s="929"/>
      <c r="AT336" s="924"/>
      <c r="AU336" s="924"/>
      <c r="AV336" s="924"/>
      <c r="AW336" s="924"/>
      <c r="AX336" s="924"/>
      <c r="AY336" s="923" t="s">
        <v>140</v>
      </c>
      <c r="AZ336" s="928" t="s">
        <v>140</v>
      </c>
      <c r="BA336" s="924"/>
      <c r="BB336" s="924"/>
      <c r="BC336" s="924"/>
      <c r="BD336" s="449"/>
      <c r="BE336" s="449"/>
      <c r="BF336" s="923"/>
      <c r="BG336" s="924">
        <v>7</v>
      </c>
      <c r="BH336" s="924"/>
      <c r="BI336" s="924"/>
      <c r="BJ336" s="924">
        <v>7</v>
      </c>
      <c r="BK336" s="924"/>
      <c r="BL336" s="924"/>
      <c r="BM336" s="924"/>
      <c r="BN336" s="924"/>
      <c r="BO336" s="924"/>
      <c r="BP336" s="923"/>
      <c r="BQ336" s="930"/>
      <c r="BR336" s="929"/>
      <c r="BS336" s="923"/>
      <c r="BT336" s="424"/>
      <c r="BU336" s="424"/>
      <c r="BV336" s="426"/>
      <c r="BW336" s="424"/>
      <c r="BX336" s="449"/>
      <c r="BY336" s="449"/>
      <c r="BZ336" s="449"/>
      <c r="CA336" s="449"/>
      <c r="CB336" s="449"/>
      <c r="CC336" s="807"/>
      <c r="CD336" s="449"/>
      <c r="CE336" s="931" t="str">
        <f>IFERROR(WWWW[[#This Row],['#_Water sources passed]]/WWWW[[#This Row],['#_Water sources tested for fecal coliform ]],"no test")</f>
        <v>no test</v>
      </c>
      <c r="CF336" s="929" t="str">
        <f>IFERROR(WWWW[[#This Row],['#_Household passed]]/WWWW[[#This Row],['#_Household water samples tested for fecal coliform]],"no test")</f>
        <v>no test</v>
      </c>
      <c r="CG336" s="930" t="str">
        <f>IF(AND(WWWW[[#This Row],[% of water sources passed]]="no test",WWWW[[#This Row],[% Household passed]]="no test"),"No Test","Tested")</f>
        <v>No Test</v>
      </c>
      <c r="CH336" s="930">
        <f>WWWW[[#This Row],['#_Constructed/existing protected hand dug well]]-WWWW[[#This Row],['#_Non-functional protected hand dug well]]</f>
        <v>0</v>
      </c>
      <c r="CI336" s="930">
        <f>(WWWW[[#This Row],['#_Constructed/Existing tube wells/boreholes/handpumps_WASH_agency]]+WWWW[[#This Row],['#_Non-Cluster partner water tube-wells/boreholes/handpumps]])-WWWW[[#This Row],['#_Non-functional tube wells/boreholes/handpumps]]</f>
        <v>0</v>
      </c>
      <c r="CJ336" s="930">
        <f>WWWW[[#This Row],['#_Constructed/Existingwater storage tank with gravity fed reticulation system]]-WWWW[[#This Row],['#_Non-functional storage tank gravity fed reticulation system]]</f>
        <v>0</v>
      </c>
      <c r="CK336" s="930">
        <f>(WWWW[[#This Row],['#_Water_Liters_supplied_by_Water boating or water trucking]]/90)/15</f>
        <v>0</v>
      </c>
      <c r="CL336" s="930">
        <f>WWWW[[#This Row],['#_Water_Liters_from_Constructed/Existing water distribution system from river or natural spring]]/90/15</f>
        <v>0</v>
      </c>
      <c r="CM336" s="425">
        <f>IF(WWWW[[#This Row],['#_of water points in TLS/CFS]]*500&gt;WWWW[[#This Row],[Total PoP ]],WWWW[[#This Row],[Total PoP ]],WWWW[[#This Row],['#_of water points in TLS/CFS]]*500)</f>
        <v>0</v>
      </c>
      <c r="CN336" s="425">
        <f>IF(WWWW[[#This Row],['#_of water points in THF]]*500&gt;WWWW[[#This Row],[Total PoP ]],WWWW[[#This Row],[Total PoP ]],WWWW[[#This Row],['#_of water points in THF]]*500)</f>
        <v>0</v>
      </c>
      <c r="CO33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6" s="929">
        <f>IF(WWWW[[#This Row],[Location Type 1]]="Village",WWWW[[#This Row],[Access to safe drinking water for Village]],WWWW[[#This Row],[Access to safe drinking water for Camp]])</f>
        <v>0</v>
      </c>
      <c r="CR336" s="927">
        <f>WWWW[[#This Row],[%Equitable and continuous access to sufficient quantity of safe drinking water]]*WWWW[[#This Row],[Total PoP ]]</f>
        <v>0</v>
      </c>
      <c r="CS336" s="929">
        <f>IF((WWWW[[#This Row],['#_Constructed/Existing protected/fenced ponds]]*250)/WWWW[[#This Row],[Total PoP ]]&gt;1,1,(WWWW[[#This Row],['#_Constructed/Existing protected/fenced ponds]]*250)/WWWW[[#This Row],[Total PoP ]])</f>
        <v>0</v>
      </c>
      <c r="CT336" s="927">
        <f>WWWW[[#This Row],[% Access to unimproved water points]]*WWWW[[#This Row],[Total PoP ]]</f>
        <v>0</v>
      </c>
      <c r="CU33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6" s="927">
        <f>WWWW[[#This Row],[HRP1]]/500</f>
        <v>0</v>
      </c>
      <c r="CX336" s="932">
        <f>1-WWWW[[#This Row],[% Equitable and continuous access to sufficient quantity of domestic water]]</f>
        <v>1</v>
      </c>
      <c r="CY336" s="927">
        <f>WWWW[[#This Row],[%equitable and continuous access to sufficient quantity of safe drinking and domestic water''s GAP]]*WWWW[[#This Row],[Total PoP ]]</f>
        <v>59</v>
      </c>
      <c r="CZ336" s="930">
        <f>IF(WWWW[[#This Row],[Total required water points]]-WWWW[[#This Row],['#Water points coverage]]&lt;0,0,WWWW[[#This Row],[Total required water points]]-WWWW[[#This Row],['#Water points coverage]])</f>
        <v>1</v>
      </c>
      <c r="DA336" s="930">
        <f>ROUND(IF(WWWW[[#This Row],[Total PoP ]]&lt;500,1,WWWW[[#This Row],[Total PoP ]]/500),0)</f>
        <v>1</v>
      </c>
      <c r="DB336" s="930">
        <f>(WWWW[[#This Row],['#_Constructed latrines_by_WASHAgencies]]+WWWW[[#This Row],['#_Non Cluster partner latrines]])-WWWW[[#This Row],['#_Non-functional latrines]]</f>
        <v>0</v>
      </c>
      <c r="DC336" s="634">
        <f>WWWW[[#This Row],[HRP2]]/WWWW[[#This Row],[Total PoP ]]</f>
        <v>0</v>
      </c>
      <c r="DD33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6" s="425">
        <f>IF(WWWW[[#This Row],['# of functional latrines in THF supported by WASH partners during the reporting period2]]="",0,WWWW[[#This Row],['# of functional latrines in THF supported by WASH partners during the reporting period2]]*50)</f>
        <v>0</v>
      </c>
      <c r="DH336" s="930">
        <f>ROUND(IF(WWWW[[#This Row],[Location Type 1]]="camp",WWWW[[#This Row],[Total PoP ]]/20,IF(WWWW[[#This Row],[Location Type 1]]="Temporary Location",WWWW[[#This Row],[Total PoP ]]/50,(WWWW[[#This Row],[Total PoP ]]/6))),0)</f>
        <v>3</v>
      </c>
      <c r="DI336" s="930">
        <f>IF(WWWW[[#This Row],[Total required Latrines]]-(WWWW[[#This Row],['#_Constructed latrines_by_WASHAgencies]]+WWWW[[#This Row],['#_Non Cluster partner latrines]])&lt;0,0,WWWW[[#This Row],[Total required Latrines]]-(WWWW[[#This Row],['#_Constructed latrines_by_WASHAgencies]]+WWWW[[#This Row],['#_Non Cluster partner latrines]]))</f>
        <v>3</v>
      </c>
      <c r="DJ336" s="932">
        <f>1-WWWW[[#This Row],[% people access to functioning Latrine]]</f>
        <v>1</v>
      </c>
      <c r="DK336" s="931">
        <f>IF(OR(WWWW[[#This Row],['#_Non-functional latrines]]="",WWWW[[#This Row],['#_Non-functional latrines]]=0),0,WWWW[[#This Row],['#_Non-functional latrines]]/(WWWW[[#This Row],['#_Constructed latrines_by_WASHAgencies]]+WWWW[[#This Row],['#_Non Cluster partner latrines]]))</f>
        <v>0</v>
      </c>
      <c r="DL336" s="927">
        <f>IF(500*(WWWW[[#This Row],['#_male hygiene promoters]]+WWWW[[#This Row],['#_female hygiene promoters]])&gt;WWWW[[#This Row],[Total PoP ]],WWWW[[#This Row],[Total PoP ]],500*(WWWW[[#This Row],['#_male hygiene promoters]]+WWWW[[#This Row],['#_female hygiene promoters]]))</f>
        <v>0</v>
      </c>
      <c r="DM33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6" s="930">
        <f>IF(WWWW[[#This Row],['# People with access to soap]]&gt;WWWW[[#This Row],['# People with access to Sanity Pads]],WWWW[[#This Row],['# People with access to soap]],WWWW[[#This Row],['# People with access to Sanity Pads]])</f>
        <v>0</v>
      </c>
      <c r="DP33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6" s="932">
        <f>IF(WWWW[[#This Row],[HRP3]]/WWWW[[#This Row],[Total PoP ]]&gt;1,1,WWWW[[#This Row],[HRP3]]/WWWW[[#This Row],[Total PoP ]])</f>
        <v>0</v>
      </c>
      <c r="DR336" s="931">
        <f>1-WWWW[[#This Row],[Hygiene Coverage%]]</f>
        <v>1</v>
      </c>
      <c r="DS336" s="929">
        <f>WWWW[[#This Row],['# people reached by regular dedicated hygiene promotion_5]]/WWWW[[#This Row],[Total PoP ]]</f>
        <v>0</v>
      </c>
      <c r="DT33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6" s="930">
        <f>WWWW[[#This Row],['#_Constructed/Existing hand washing stations]]-WWWW[[#This Row],['#_Non-Functional_hand_washing_stations]]</f>
        <v>7</v>
      </c>
      <c r="DW336" s="927">
        <f>IF(WWWW[[#This Row],['# Functional hand washing stations during reporting period]]*20&gt;WWWW[[#This Row],[Total HH]],WWWW[[#This Row],[Total HH]],WWWW[[#This Row],['# Functional hand washing stations during reporting period]]*20)</f>
        <v>12</v>
      </c>
      <c r="DX336" s="927">
        <f>IF(WWWW[[#This Row],[Is sufficient soap available for TLS? (Yes/No)]]="yes",WWWW[[#This Row],['#_Constructed/Existing hand washing stations at TLS/CFS/THF]],0)</f>
        <v>0</v>
      </c>
      <c r="DY336" s="429">
        <f>IF(WWWW[[#This Row],['# Functional hand washing stations during reporting period]]*100&gt;WWWW[[#This Row],[Total PoP ]],WWWW[[#This Row],[Total PoP ]],WWWW[[#This Row],['# Functional hand washing stations during reporting period]]*100)</f>
        <v>59</v>
      </c>
      <c r="DZ336" s="429" t="str">
        <f>IF(OR(WWWW[[#This Row],['#_students at TLS_CFS]]="",WWWW[[#This Row],['#_students at TLS_CFS]]=0),"No","Yes")</f>
        <v>No</v>
      </c>
      <c r="EA33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6" s="923">
        <f>VLOOKUP(WWWW[[#This Row],[Site Name]],SiteDB6[[Site Name]:[CCCM Management]],6,FALSE)</f>
        <v>0</v>
      </c>
      <c r="EF336" s="923" t="str">
        <f>VLOOKUP(WWWW[[#This Row],[Site Name]],SiteDB6[[Site Name]:[CCCM Focal Agency]],7,FALSE)</f>
        <v xml:space="preserve">Uncovered  </v>
      </c>
      <c r="EG336" s="923" t="str">
        <f>VLOOKUP(WWWW[[#This Row],[Site Name]],SiteDB6[[Site Name]:[Location Type 1]],9,FALSE)</f>
        <v>Camp</v>
      </c>
      <c r="EH336" s="923" t="str">
        <f>VLOOKUP(WWWW[[#This Row],[Site Name]],SiteDB6[[Site Name]:[Type of Accommodation]],10,FALSE)</f>
        <v>Camp like setting</v>
      </c>
      <c r="EI336" s="923" t="str">
        <f>VLOOKUP(WWWW[[#This Row],[Site Name]],SiteDB6[[Site Name]:[Ethnic or GCA/NGCA]],11,FALSE)</f>
        <v>GCA</v>
      </c>
      <c r="EJ336" s="923">
        <f>VLOOKUP(WWWW[[#This Row],[Site Name]],SiteDB6[[Site Name]:[Lat]],12,FALSE)</f>
        <v>0</v>
      </c>
      <c r="EK336" s="923">
        <f>VLOOKUP(WWWW[[#This Row],[Site Name]],SiteDB6[[Site Name]:[Long]],13,FALSE)</f>
        <v>0</v>
      </c>
      <c r="EL336" s="923" t="str">
        <f>VLOOKUP(WWWW[[#This Row],[Site Name]],SiteDB6[[Site Name]:[Pcode]],3,FALSE)</f>
        <v>MMR001CMP295</v>
      </c>
      <c r="EM336" s="928" t="str">
        <f t="shared" si="5"/>
        <v>Notcovered</v>
      </c>
      <c r="EN336" s="928"/>
      <c r="EO336" s="923">
        <f>VLOOKUP(WWWW[[#This Row],[Site Name]],SiteDB6[[Site Name]:[Pop
(Kachin/Shan-CCCM as of July 2021)]],16,FALSE)</f>
        <v>12</v>
      </c>
      <c r="EP336" s="923">
        <f>VLOOKUP(WWWW[[#This Row],[Site Name]],SiteDB6[[Site Name]:[Pop
(Kachin/Shan-CCCM as of July 2021)]],17,FALSE)</f>
        <v>59</v>
      </c>
    </row>
    <row r="337" spans="1:146">
      <c r="A337" s="921" t="s">
        <v>2786</v>
      </c>
      <c r="B337" s="921" t="s">
        <v>309</v>
      </c>
      <c r="C337" s="922" t="s">
        <v>309</v>
      </c>
      <c r="D337" s="922"/>
      <c r="E337" s="922" t="s">
        <v>37</v>
      </c>
      <c r="F337" s="922" t="s">
        <v>142</v>
      </c>
      <c r="G337" s="594" t="str">
        <f>VLOOKUP(WWWW[[#This Row],[Site Name]],SiteDB6[[Site Name]:[Location Type]],8,FALSE)</f>
        <v>Camp</v>
      </c>
      <c r="H337" s="922" t="s">
        <v>2796</v>
      </c>
      <c r="I337" s="924">
        <v>12</v>
      </c>
      <c r="J337" s="924">
        <v>80</v>
      </c>
      <c r="K337" s="925"/>
      <c r="L337" s="926"/>
      <c r="M337" s="924"/>
      <c r="N337" s="924"/>
      <c r="O337" s="924"/>
      <c r="P337" s="924"/>
      <c r="Q337" s="927"/>
      <c r="R337" s="924"/>
      <c r="S337" s="924"/>
      <c r="T337" s="449"/>
      <c r="U337" s="924"/>
      <c r="V337" s="924"/>
      <c r="W337" s="924"/>
      <c r="X337" s="924"/>
      <c r="Y337" s="924"/>
      <c r="Z337" s="924"/>
      <c r="AA337" s="924"/>
      <c r="AB337" s="924"/>
      <c r="AC337" s="924"/>
      <c r="AD337" s="924"/>
      <c r="AE337" s="924"/>
      <c r="AF337" s="924"/>
      <c r="AG337" s="924"/>
      <c r="AH337" s="924"/>
      <c r="AI337" s="924"/>
      <c r="AJ337" s="924"/>
      <c r="AK337" s="924"/>
      <c r="AL337" s="924"/>
      <c r="AM337" s="924"/>
      <c r="AN337" s="924"/>
      <c r="AO337" s="449"/>
      <c r="AP337" s="928"/>
      <c r="AQ337" s="924"/>
      <c r="AR337" s="924"/>
      <c r="AS337" s="929"/>
      <c r="AT337" s="924"/>
      <c r="AU337" s="924"/>
      <c r="AV337" s="924"/>
      <c r="AW337" s="924"/>
      <c r="AX337" s="924"/>
      <c r="AY337" s="923" t="s">
        <v>140</v>
      </c>
      <c r="AZ337" s="928" t="s">
        <v>140</v>
      </c>
      <c r="BA337" s="924"/>
      <c r="BB337" s="924"/>
      <c r="BC337" s="924"/>
      <c r="BD337" s="449"/>
      <c r="BE337" s="449"/>
      <c r="BF337" s="923"/>
      <c r="BG337" s="924">
        <v>7</v>
      </c>
      <c r="BH337" s="924"/>
      <c r="BI337" s="924"/>
      <c r="BJ337" s="924">
        <v>4</v>
      </c>
      <c r="BK337" s="924"/>
      <c r="BL337" s="924"/>
      <c r="BM337" s="924"/>
      <c r="BN337" s="924"/>
      <c r="BO337" s="924"/>
      <c r="BP337" s="923"/>
      <c r="BQ337" s="930"/>
      <c r="BR337" s="929"/>
      <c r="BS337" s="923"/>
      <c r="BT337" s="424"/>
      <c r="BU337" s="424"/>
      <c r="BV337" s="426"/>
      <c r="BW337" s="424"/>
      <c r="BX337" s="449"/>
      <c r="BY337" s="449"/>
      <c r="BZ337" s="449"/>
      <c r="CA337" s="449"/>
      <c r="CB337" s="449"/>
      <c r="CC337" s="807"/>
      <c r="CD337" s="449"/>
      <c r="CE337" s="931" t="str">
        <f>IFERROR(WWWW[[#This Row],['#_Water sources passed]]/WWWW[[#This Row],['#_Water sources tested for fecal coliform ]],"no test")</f>
        <v>no test</v>
      </c>
      <c r="CF337" s="929" t="str">
        <f>IFERROR(WWWW[[#This Row],['#_Household passed]]/WWWW[[#This Row],['#_Household water samples tested for fecal coliform]],"no test")</f>
        <v>no test</v>
      </c>
      <c r="CG337" s="930" t="str">
        <f>IF(AND(WWWW[[#This Row],[% of water sources passed]]="no test",WWWW[[#This Row],[% Household passed]]="no test"),"No Test","Tested")</f>
        <v>No Test</v>
      </c>
      <c r="CH337" s="930">
        <f>WWWW[[#This Row],['#_Constructed/existing protected hand dug well]]-WWWW[[#This Row],['#_Non-functional protected hand dug well]]</f>
        <v>0</v>
      </c>
      <c r="CI337" s="930">
        <f>(WWWW[[#This Row],['#_Constructed/Existing tube wells/boreholes/handpumps_WASH_agency]]+WWWW[[#This Row],['#_Non-Cluster partner water tube-wells/boreholes/handpumps]])-WWWW[[#This Row],['#_Non-functional tube wells/boreholes/handpumps]]</f>
        <v>0</v>
      </c>
      <c r="CJ337" s="930">
        <f>WWWW[[#This Row],['#_Constructed/Existingwater storage tank with gravity fed reticulation system]]-WWWW[[#This Row],['#_Non-functional storage tank gravity fed reticulation system]]</f>
        <v>0</v>
      </c>
      <c r="CK337" s="930">
        <f>(WWWW[[#This Row],['#_Water_Liters_supplied_by_Water boating or water trucking]]/90)/15</f>
        <v>0</v>
      </c>
      <c r="CL337" s="930">
        <f>WWWW[[#This Row],['#_Water_Liters_from_Constructed/Existing water distribution system from river or natural spring]]/90/15</f>
        <v>0</v>
      </c>
      <c r="CM337" s="425">
        <f>IF(WWWW[[#This Row],['#_of water points in TLS/CFS]]*500&gt;WWWW[[#This Row],[Total PoP ]],WWWW[[#This Row],[Total PoP ]],WWWW[[#This Row],['#_of water points in TLS/CFS]]*500)</f>
        <v>0</v>
      </c>
      <c r="CN337" s="425">
        <f>IF(WWWW[[#This Row],['#_of water points in THF]]*500&gt;WWWW[[#This Row],[Total PoP ]],WWWW[[#This Row],[Total PoP ]],WWWW[[#This Row],['#_of water points in THF]]*500)</f>
        <v>0</v>
      </c>
      <c r="CO33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7" s="929">
        <f>IF(WWWW[[#This Row],[Location Type 1]]="Village",WWWW[[#This Row],[Access to safe drinking water for Village]],WWWW[[#This Row],[Access to safe drinking water for Camp]])</f>
        <v>0</v>
      </c>
      <c r="CR337" s="927">
        <f>WWWW[[#This Row],[%Equitable and continuous access to sufficient quantity of safe drinking water]]*WWWW[[#This Row],[Total PoP ]]</f>
        <v>0</v>
      </c>
      <c r="CS337" s="929">
        <f>IF((WWWW[[#This Row],['#_Constructed/Existing protected/fenced ponds]]*250)/WWWW[[#This Row],[Total PoP ]]&gt;1,1,(WWWW[[#This Row],['#_Constructed/Existing protected/fenced ponds]]*250)/WWWW[[#This Row],[Total PoP ]])</f>
        <v>0</v>
      </c>
      <c r="CT337" s="927">
        <f>WWWW[[#This Row],[% Access to unimproved water points]]*WWWW[[#This Row],[Total PoP ]]</f>
        <v>0</v>
      </c>
      <c r="CU33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7" s="927">
        <f>WWWW[[#This Row],[HRP1]]/500</f>
        <v>0</v>
      </c>
      <c r="CX337" s="932">
        <f>1-WWWW[[#This Row],[% Equitable and continuous access to sufficient quantity of domestic water]]</f>
        <v>1</v>
      </c>
      <c r="CY337" s="927">
        <f>WWWW[[#This Row],[%equitable and continuous access to sufficient quantity of safe drinking and domestic water''s GAP]]*WWWW[[#This Row],[Total PoP ]]</f>
        <v>80</v>
      </c>
      <c r="CZ337" s="930">
        <f>IF(WWWW[[#This Row],[Total required water points]]-WWWW[[#This Row],['#Water points coverage]]&lt;0,0,WWWW[[#This Row],[Total required water points]]-WWWW[[#This Row],['#Water points coverage]])</f>
        <v>1</v>
      </c>
      <c r="DA337" s="930">
        <f>ROUND(IF(WWWW[[#This Row],[Total PoP ]]&lt;500,1,WWWW[[#This Row],[Total PoP ]]/500),0)</f>
        <v>1</v>
      </c>
      <c r="DB337" s="930">
        <f>(WWWW[[#This Row],['#_Constructed latrines_by_WASHAgencies]]+WWWW[[#This Row],['#_Non Cluster partner latrines]])-WWWW[[#This Row],['#_Non-functional latrines]]</f>
        <v>0</v>
      </c>
      <c r="DC337" s="634">
        <f>WWWW[[#This Row],[HRP2]]/WWWW[[#This Row],[Total PoP ]]</f>
        <v>0</v>
      </c>
      <c r="DD33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7" s="425">
        <f>IF(WWWW[[#This Row],['# of functional latrines in THF supported by WASH partners during the reporting period2]]="",0,WWWW[[#This Row],['# of functional latrines in THF supported by WASH partners during the reporting period2]]*50)</f>
        <v>0</v>
      </c>
      <c r="DH337" s="930">
        <f>ROUND(IF(WWWW[[#This Row],[Location Type 1]]="camp",WWWW[[#This Row],[Total PoP ]]/20,IF(WWWW[[#This Row],[Location Type 1]]="Temporary Location",WWWW[[#This Row],[Total PoP ]]/50,(WWWW[[#This Row],[Total PoP ]]/6))),0)</f>
        <v>4</v>
      </c>
      <c r="DI337" s="930">
        <f>IF(WWWW[[#This Row],[Total required Latrines]]-(WWWW[[#This Row],['#_Constructed latrines_by_WASHAgencies]]+WWWW[[#This Row],['#_Non Cluster partner latrines]])&lt;0,0,WWWW[[#This Row],[Total required Latrines]]-(WWWW[[#This Row],['#_Constructed latrines_by_WASHAgencies]]+WWWW[[#This Row],['#_Non Cluster partner latrines]]))</f>
        <v>4</v>
      </c>
      <c r="DJ337" s="932">
        <f>1-WWWW[[#This Row],[% people access to functioning Latrine]]</f>
        <v>1</v>
      </c>
      <c r="DK337" s="931">
        <f>IF(OR(WWWW[[#This Row],['#_Non-functional latrines]]="",WWWW[[#This Row],['#_Non-functional latrines]]=0),0,WWWW[[#This Row],['#_Non-functional latrines]]/(WWWW[[#This Row],['#_Constructed latrines_by_WASHAgencies]]+WWWW[[#This Row],['#_Non Cluster partner latrines]]))</f>
        <v>0</v>
      </c>
      <c r="DL337" s="927">
        <f>IF(500*(WWWW[[#This Row],['#_male hygiene promoters]]+WWWW[[#This Row],['#_female hygiene promoters]])&gt;WWWW[[#This Row],[Total PoP ]],WWWW[[#This Row],[Total PoP ]],500*(WWWW[[#This Row],['#_male hygiene promoters]]+WWWW[[#This Row],['#_female hygiene promoters]]))</f>
        <v>0</v>
      </c>
      <c r="DM33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7" s="930">
        <f>IF(WWWW[[#This Row],['# People with access to soap]]&gt;WWWW[[#This Row],['# People with access to Sanity Pads]],WWWW[[#This Row],['# People with access to soap]],WWWW[[#This Row],['# People with access to Sanity Pads]])</f>
        <v>0</v>
      </c>
      <c r="DP337"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7" s="932">
        <f>IF(WWWW[[#This Row],[HRP3]]/WWWW[[#This Row],[Total PoP ]]&gt;1,1,WWWW[[#This Row],[HRP3]]/WWWW[[#This Row],[Total PoP ]])</f>
        <v>0</v>
      </c>
      <c r="DR337" s="931">
        <f>1-WWWW[[#This Row],[Hygiene Coverage%]]</f>
        <v>1</v>
      </c>
      <c r="DS337" s="929">
        <f>WWWW[[#This Row],['# people reached by regular dedicated hygiene promotion_5]]/WWWW[[#This Row],[Total PoP ]]</f>
        <v>0</v>
      </c>
      <c r="DT33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7" s="930">
        <f>WWWW[[#This Row],['#_Constructed/Existing hand washing stations]]-WWWW[[#This Row],['#_Non-Functional_hand_washing_stations]]</f>
        <v>7</v>
      </c>
      <c r="DW337" s="927">
        <f>IF(WWWW[[#This Row],['# Functional hand washing stations during reporting period]]*20&gt;WWWW[[#This Row],[Total HH]],WWWW[[#This Row],[Total HH]],WWWW[[#This Row],['# Functional hand washing stations during reporting period]]*20)</f>
        <v>12</v>
      </c>
      <c r="DX337" s="927">
        <f>IF(WWWW[[#This Row],[Is sufficient soap available for TLS? (Yes/No)]]="yes",WWWW[[#This Row],['#_Constructed/Existing hand washing stations at TLS/CFS/THF]],0)</f>
        <v>0</v>
      </c>
      <c r="DY337" s="429">
        <f>IF(WWWW[[#This Row],['# Functional hand washing stations during reporting period]]*100&gt;WWWW[[#This Row],[Total PoP ]],WWWW[[#This Row],[Total PoP ]],WWWW[[#This Row],['# Functional hand washing stations during reporting period]]*100)</f>
        <v>80</v>
      </c>
      <c r="DZ337" s="429" t="str">
        <f>IF(OR(WWWW[[#This Row],['#_students at TLS_CFS]]="",WWWW[[#This Row],['#_students at TLS_CFS]]=0),"No","Yes")</f>
        <v>No</v>
      </c>
      <c r="EA33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7" s="923" t="str">
        <f>VLOOKUP(WWWW[[#This Row],[Site Name]],SiteDB6[[Site Name]:[CCCM Management]],6,FALSE)</f>
        <v>Yes</v>
      </c>
      <c r="EF337" s="923" t="str">
        <f>VLOOKUP(WWWW[[#This Row],[Site Name]],SiteDB6[[Site Name]:[CCCM Focal Agency]],7,FALSE)</f>
        <v>Shalom</v>
      </c>
      <c r="EG337" s="923" t="str">
        <f>VLOOKUP(WWWW[[#This Row],[Site Name]],SiteDB6[[Site Name]:[Location Type 1]],9,FALSE)</f>
        <v>Camp</v>
      </c>
      <c r="EH337" s="923" t="str">
        <f>VLOOKUP(WWWW[[#This Row],[Site Name]],SiteDB6[[Site Name]:[Type of Accommodation]],10,FALSE)</f>
        <v>Camp like setting</v>
      </c>
      <c r="EI337" s="923" t="str">
        <f>VLOOKUP(WWWW[[#This Row],[Site Name]],SiteDB6[[Site Name]:[Ethnic or GCA/NGCA]],11,FALSE)</f>
        <v>GCA</v>
      </c>
      <c r="EJ337" s="923">
        <f>VLOOKUP(WWWW[[#This Row],[Site Name]],SiteDB6[[Site Name]:[Lat]],12,FALSE)</f>
        <v>25.221299999999999</v>
      </c>
      <c r="EK337" s="923">
        <f>VLOOKUP(WWWW[[#This Row],[Site Name]],SiteDB6[[Site Name]:[Long]],13,FALSE)</f>
        <v>97.255300000000005</v>
      </c>
      <c r="EL337" s="923" t="str">
        <f>VLOOKUP(WWWW[[#This Row],[Site Name]],SiteDB6[[Site Name]:[Pcode]],3,FALSE)</f>
        <v>MMR001CMP286</v>
      </c>
      <c r="EM337" s="928" t="str">
        <f t="shared" si="5"/>
        <v>Notcovered</v>
      </c>
      <c r="EN337" s="928"/>
      <c r="EO337" s="923">
        <f>VLOOKUP(WWWW[[#This Row],[Site Name]],SiteDB6[[Site Name]:[Pop
(Kachin/Shan-CCCM as of July 2021)]],16,FALSE)</f>
        <v>12</v>
      </c>
      <c r="EP337" s="923">
        <f>VLOOKUP(WWWW[[#This Row],[Site Name]],SiteDB6[[Site Name]:[Pop
(Kachin/Shan-CCCM as of July 2021)]],17,FALSE)</f>
        <v>80</v>
      </c>
    </row>
    <row r="338" spans="1:146">
      <c r="A338" s="921" t="s">
        <v>2786</v>
      </c>
      <c r="B338" s="921" t="s">
        <v>309</v>
      </c>
      <c r="C338" s="922" t="s">
        <v>309</v>
      </c>
      <c r="D338" s="922"/>
      <c r="E338" s="922" t="s">
        <v>37</v>
      </c>
      <c r="F338" s="922" t="s">
        <v>142</v>
      </c>
      <c r="G338" s="594" t="str">
        <f>VLOOKUP(WWWW[[#This Row],[Site Name]],SiteDB6[[Site Name]:[Location Type]],8,FALSE)</f>
        <v>Camp</v>
      </c>
      <c r="H338" s="922" t="s">
        <v>778</v>
      </c>
      <c r="I338" s="924">
        <v>45</v>
      </c>
      <c r="J338" s="924">
        <v>247</v>
      </c>
      <c r="K338" s="925" t="s">
        <v>2672</v>
      </c>
      <c r="L338" s="926" t="s">
        <v>2673</v>
      </c>
      <c r="M338" s="924"/>
      <c r="N338" s="924"/>
      <c r="O338" s="924"/>
      <c r="P338" s="924"/>
      <c r="Q338" s="927"/>
      <c r="R338" s="924"/>
      <c r="S338" s="924">
        <v>2</v>
      </c>
      <c r="T338" s="449"/>
      <c r="U338" s="924"/>
      <c r="V338" s="924"/>
      <c r="W338" s="924"/>
      <c r="X338" s="924"/>
      <c r="Y338" s="924"/>
      <c r="Z338" s="924"/>
      <c r="AA338" s="924"/>
      <c r="AB338" s="924"/>
      <c r="AC338" s="924"/>
      <c r="AD338" s="924"/>
      <c r="AE338" s="924"/>
      <c r="AF338" s="924"/>
      <c r="AG338" s="924"/>
      <c r="AH338" s="924"/>
      <c r="AI338" s="924"/>
      <c r="AJ338" s="924"/>
      <c r="AK338" s="924"/>
      <c r="AL338" s="924"/>
      <c r="AM338" s="924"/>
      <c r="AN338" s="924"/>
      <c r="AO338" s="449"/>
      <c r="AP338" s="928"/>
      <c r="AQ338" s="924"/>
      <c r="AR338" s="924"/>
      <c r="AS338" s="929"/>
      <c r="AT338" s="924"/>
      <c r="AU338" s="924"/>
      <c r="AV338" s="924"/>
      <c r="AW338" s="924"/>
      <c r="AX338" s="924"/>
      <c r="AY338" s="923" t="s">
        <v>140</v>
      </c>
      <c r="AZ338" s="928" t="s">
        <v>140</v>
      </c>
      <c r="BA338" s="924"/>
      <c r="BB338" s="924"/>
      <c r="BC338" s="924"/>
      <c r="BD338" s="449"/>
      <c r="BE338" s="449"/>
      <c r="BF338" s="923"/>
      <c r="BG338" s="924">
        <v>1</v>
      </c>
      <c r="BH338" s="924"/>
      <c r="BI338" s="924"/>
      <c r="BJ338" s="924">
        <v>3</v>
      </c>
      <c r="BK338" s="924"/>
      <c r="BL338" s="924"/>
      <c r="BM338" s="924"/>
      <c r="BN338" s="924"/>
      <c r="BO338" s="924"/>
      <c r="BP338" s="923"/>
      <c r="BQ338" s="930"/>
      <c r="BR338" s="929"/>
      <c r="BS338" s="923"/>
      <c r="BT338" s="424"/>
      <c r="BU338" s="424"/>
      <c r="BV338" s="426"/>
      <c r="BW338" s="424"/>
      <c r="BX338" s="449"/>
      <c r="BY338" s="449"/>
      <c r="BZ338" s="449"/>
      <c r="CA338" s="449"/>
      <c r="CB338" s="449"/>
      <c r="CC338" s="807"/>
      <c r="CD338" s="449"/>
      <c r="CE338" s="931" t="str">
        <f>IFERROR(WWWW[[#This Row],['#_Water sources passed]]/WWWW[[#This Row],['#_Water sources tested for fecal coliform ]],"no test")</f>
        <v>no test</v>
      </c>
      <c r="CF338" s="929" t="str">
        <f>IFERROR(WWWW[[#This Row],['#_Household passed]]/WWWW[[#This Row],['#_Household water samples tested for fecal coliform]],"no test")</f>
        <v>no test</v>
      </c>
      <c r="CG338" s="930" t="str">
        <f>IF(AND(WWWW[[#This Row],[% of water sources passed]]="no test",WWWW[[#This Row],[% Household passed]]="no test"),"No Test","Tested")</f>
        <v>No Test</v>
      </c>
      <c r="CH338" s="930">
        <f>WWWW[[#This Row],['#_Constructed/existing protected hand dug well]]-WWWW[[#This Row],['#_Non-functional protected hand dug well]]</f>
        <v>0</v>
      </c>
      <c r="CI338" s="930">
        <f>(WWWW[[#This Row],['#_Constructed/Existing tube wells/boreholes/handpumps_WASH_agency]]+WWWW[[#This Row],['#_Non-Cluster partner water tube-wells/boreholes/handpumps]])-WWWW[[#This Row],['#_Non-functional tube wells/boreholes/handpumps]]</f>
        <v>0</v>
      </c>
      <c r="CJ338" s="930">
        <f>WWWW[[#This Row],['#_Constructed/Existingwater storage tank with gravity fed reticulation system]]-WWWW[[#This Row],['#_Non-functional storage tank gravity fed reticulation system]]</f>
        <v>0</v>
      </c>
      <c r="CK338" s="930">
        <f>(WWWW[[#This Row],['#_Water_Liters_supplied_by_Water boating or water trucking]]/90)/15</f>
        <v>0</v>
      </c>
      <c r="CL338" s="930">
        <f>WWWW[[#This Row],['#_Water_Liters_from_Constructed/Existing water distribution system from river or natural spring]]/90/15</f>
        <v>0</v>
      </c>
      <c r="CM338" s="425">
        <f>IF(WWWW[[#This Row],['#_of water points in TLS/CFS]]*500&gt;WWWW[[#This Row],[Total PoP ]],WWWW[[#This Row],[Total PoP ]],WWWW[[#This Row],['#_of water points in TLS/CFS]]*500)</f>
        <v>0</v>
      </c>
      <c r="CN338" s="425">
        <f>IF(WWWW[[#This Row],['#_of water points in THF]]*500&gt;WWWW[[#This Row],[Total PoP ]],WWWW[[#This Row],[Total PoP ]],WWWW[[#This Row],['#_of water points in THF]]*500)</f>
        <v>0</v>
      </c>
      <c r="CO33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8" s="929">
        <f>IF(WWWW[[#This Row],[Location Type 1]]="Village",WWWW[[#This Row],[Access to safe drinking water for Village]],WWWW[[#This Row],[Access to safe drinking water for Camp]])</f>
        <v>0</v>
      </c>
      <c r="CR338" s="927">
        <f>WWWW[[#This Row],[%Equitable and continuous access to sufficient quantity of safe drinking water]]*WWWW[[#This Row],[Total PoP ]]</f>
        <v>0</v>
      </c>
      <c r="CS338" s="929">
        <f>IF((WWWW[[#This Row],['#_Constructed/Existing protected/fenced ponds]]*250)/WWWW[[#This Row],[Total PoP ]]&gt;1,1,(WWWW[[#This Row],['#_Constructed/Existing protected/fenced ponds]]*250)/WWWW[[#This Row],[Total PoP ]])</f>
        <v>0</v>
      </c>
      <c r="CT338" s="927">
        <f>WWWW[[#This Row],[% Access to unimproved water points]]*WWWW[[#This Row],[Total PoP ]]</f>
        <v>0</v>
      </c>
      <c r="CU33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8" s="927">
        <f>WWWW[[#This Row],[HRP1]]/500</f>
        <v>0</v>
      </c>
      <c r="CX338" s="932">
        <f>1-WWWW[[#This Row],[% Equitable and continuous access to sufficient quantity of domestic water]]</f>
        <v>1</v>
      </c>
      <c r="CY338" s="927">
        <f>WWWW[[#This Row],[%equitable and continuous access to sufficient quantity of safe drinking and domestic water''s GAP]]*WWWW[[#This Row],[Total PoP ]]</f>
        <v>247</v>
      </c>
      <c r="CZ338" s="930">
        <f>IF(WWWW[[#This Row],[Total required water points]]-WWWW[[#This Row],['#Water points coverage]]&lt;0,0,WWWW[[#This Row],[Total required water points]]-WWWW[[#This Row],['#Water points coverage]])</f>
        <v>1</v>
      </c>
      <c r="DA338" s="930">
        <f>ROUND(IF(WWWW[[#This Row],[Total PoP ]]&lt;500,1,WWWW[[#This Row],[Total PoP ]]/500),0)</f>
        <v>1</v>
      </c>
      <c r="DB338" s="930">
        <f>(WWWW[[#This Row],['#_Constructed latrines_by_WASHAgencies]]+WWWW[[#This Row],['#_Non Cluster partner latrines]])-WWWW[[#This Row],['#_Non-functional latrines]]</f>
        <v>0</v>
      </c>
      <c r="DC338" s="634">
        <f>WWWW[[#This Row],[HRP2]]/WWWW[[#This Row],[Total PoP ]]</f>
        <v>0</v>
      </c>
      <c r="DD33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8" s="425">
        <f>IF(WWWW[[#This Row],['# of functional latrines in THF supported by WASH partners during the reporting period2]]="",0,WWWW[[#This Row],['# of functional latrines in THF supported by WASH partners during the reporting period2]]*50)</f>
        <v>0</v>
      </c>
      <c r="DH338" s="930">
        <f>ROUND(IF(WWWW[[#This Row],[Location Type 1]]="camp",WWWW[[#This Row],[Total PoP ]]/20,IF(WWWW[[#This Row],[Location Type 1]]="Temporary Location",WWWW[[#This Row],[Total PoP ]]/50,(WWWW[[#This Row],[Total PoP ]]/6))),0)</f>
        <v>12</v>
      </c>
      <c r="DI338" s="930">
        <f>IF(WWWW[[#This Row],[Total required Latrines]]-(WWWW[[#This Row],['#_Constructed latrines_by_WASHAgencies]]+WWWW[[#This Row],['#_Non Cluster partner latrines]])&lt;0,0,WWWW[[#This Row],[Total required Latrines]]-(WWWW[[#This Row],['#_Constructed latrines_by_WASHAgencies]]+WWWW[[#This Row],['#_Non Cluster partner latrines]]))</f>
        <v>12</v>
      </c>
      <c r="DJ338" s="932">
        <f>1-WWWW[[#This Row],[% people access to functioning Latrine]]</f>
        <v>1</v>
      </c>
      <c r="DK338" s="931">
        <f>IF(OR(WWWW[[#This Row],['#_Non-functional latrines]]="",WWWW[[#This Row],['#_Non-functional latrines]]=0),0,WWWW[[#This Row],['#_Non-functional latrines]]/(WWWW[[#This Row],['#_Constructed latrines_by_WASHAgencies]]+WWWW[[#This Row],['#_Non Cluster partner latrines]]))</f>
        <v>0</v>
      </c>
      <c r="DL338" s="927">
        <f>IF(500*(WWWW[[#This Row],['#_male hygiene promoters]]+WWWW[[#This Row],['#_female hygiene promoters]])&gt;WWWW[[#This Row],[Total PoP ]],WWWW[[#This Row],[Total PoP ]],500*(WWWW[[#This Row],['#_male hygiene promoters]]+WWWW[[#This Row],['#_female hygiene promoters]]))</f>
        <v>0</v>
      </c>
      <c r="DM33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8" s="930">
        <f>IF(WWWW[[#This Row],['# People with access to soap]]&gt;WWWW[[#This Row],['# People with access to Sanity Pads]],WWWW[[#This Row],['# People with access to soap]],WWWW[[#This Row],['# People with access to Sanity Pads]])</f>
        <v>0</v>
      </c>
      <c r="DP33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8" s="932">
        <f>IF(WWWW[[#This Row],[HRP3]]/WWWW[[#This Row],[Total PoP ]]&gt;1,1,WWWW[[#This Row],[HRP3]]/WWWW[[#This Row],[Total PoP ]])</f>
        <v>0</v>
      </c>
      <c r="DR338" s="931">
        <f>1-WWWW[[#This Row],[Hygiene Coverage%]]</f>
        <v>1</v>
      </c>
      <c r="DS338" s="929">
        <f>WWWW[[#This Row],['# people reached by regular dedicated hygiene promotion_5]]/WWWW[[#This Row],[Total PoP ]]</f>
        <v>0</v>
      </c>
      <c r="DT33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8" s="930">
        <f>WWWW[[#This Row],['#_Constructed/Existing hand washing stations]]-WWWW[[#This Row],['#_Non-Functional_hand_washing_stations]]</f>
        <v>1</v>
      </c>
      <c r="DW338" s="927">
        <f>IF(WWWW[[#This Row],['# Functional hand washing stations during reporting period]]*20&gt;WWWW[[#This Row],[Total HH]],WWWW[[#This Row],[Total HH]],WWWW[[#This Row],['# Functional hand washing stations during reporting period]]*20)</f>
        <v>20</v>
      </c>
      <c r="DX338" s="927">
        <f>IF(WWWW[[#This Row],[Is sufficient soap available for TLS? (Yes/No)]]="yes",WWWW[[#This Row],['#_Constructed/Existing hand washing stations at TLS/CFS/THF]],0)</f>
        <v>0</v>
      </c>
      <c r="DY338" s="429">
        <f>IF(WWWW[[#This Row],['# Functional hand washing stations during reporting period]]*100&gt;WWWW[[#This Row],[Total PoP ]],WWWW[[#This Row],[Total PoP ]],WWWW[[#This Row],['# Functional hand washing stations during reporting period]]*100)</f>
        <v>100</v>
      </c>
      <c r="DZ338" s="429" t="str">
        <f>IF(OR(WWWW[[#This Row],['#_students at TLS_CFS]]="",WWWW[[#This Row],['#_students at TLS_CFS]]=0),"No","Yes")</f>
        <v>No</v>
      </c>
      <c r="EA33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8" s="923">
        <f>VLOOKUP(WWWW[[#This Row],[Site Name]],SiteDB6[[Site Name]:[CCCM Management]],6,FALSE)</f>
        <v>0</v>
      </c>
      <c r="EF338" s="923" t="str">
        <f>VLOOKUP(WWWW[[#This Row],[Site Name]],SiteDB6[[Site Name]:[CCCM Focal Agency]],7,FALSE)</f>
        <v>uncovered</v>
      </c>
      <c r="EG338" s="923" t="str">
        <f>VLOOKUP(WWWW[[#This Row],[Site Name]],SiteDB6[[Site Name]:[Location Type 1]],9,FALSE)</f>
        <v>Camp</v>
      </c>
      <c r="EH338" s="923" t="str">
        <f>VLOOKUP(WWWW[[#This Row],[Site Name]],SiteDB6[[Site Name]:[Type of Accommodation]],10,FALSE)</f>
        <v>Camp like setting</v>
      </c>
      <c r="EI338" s="923" t="str">
        <f>VLOOKUP(WWWW[[#This Row],[Site Name]],SiteDB6[[Site Name]:[Ethnic or GCA/NGCA]],11,FALSE)</f>
        <v>GCA</v>
      </c>
      <c r="EJ338" s="923">
        <f>VLOOKUP(WWWW[[#This Row],[Site Name]],SiteDB6[[Site Name]:[Lat]],12,FALSE)</f>
        <v>25.391428000000001</v>
      </c>
      <c r="EK338" s="923">
        <f>VLOOKUP(WWWW[[#This Row],[Site Name]],SiteDB6[[Site Name]:[Long]],13,FALSE)</f>
        <v>97.898184999999998</v>
      </c>
      <c r="EL338" s="923" t="str">
        <f>VLOOKUP(WWWW[[#This Row],[Site Name]],SiteDB6[[Site Name]:[Pcode]],3,FALSE)</f>
        <v>MMR001CMP258</v>
      </c>
      <c r="EM338" s="928" t="str">
        <f t="shared" si="5"/>
        <v>Notcovered</v>
      </c>
      <c r="EN338" s="928"/>
      <c r="EO338" s="923">
        <f>VLOOKUP(WWWW[[#This Row],[Site Name]],SiteDB6[[Site Name]:[Pop
(Kachin/Shan-CCCM as of July 2021)]],16,FALSE)</f>
        <v>45</v>
      </c>
      <c r="EP338" s="923">
        <f>VLOOKUP(WWWW[[#This Row],[Site Name]],SiteDB6[[Site Name]:[Pop
(Kachin/Shan-CCCM as of July 2021)]],17,FALSE)</f>
        <v>247</v>
      </c>
    </row>
    <row r="339" spans="1:146">
      <c r="A339" s="921" t="s">
        <v>2786</v>
      </c>
      <c r="B339" s="921" t="s">
        <v>309</v>
      </c>
      <c r="C339" s="922" t="s">
        <v>309</v>
      </c>
      <c r="D339" s="922"/>
      <c r="E339" s="922" t="s">
        <v>37</v>
      </c>
      <c r="F339" s="922" t="s">
        <v>142</v>
      </c>
      <c r="G339" s="594" t="str">
        <f>VLOOKUP(WWWW[[#This Row],[Site Name]],SiteDB6[[Site Name]:[Location Type]],8,FALSE)</f>
        <v>Camp</v>
      </c>
      <c r="H339" s="922" t="s">
        <v>2797</v>
      </c>
      <c r="I339" s="924">
        <v>27</v>
      </c>
      <c r="J339" s="924">
        <v>139</v>
      </c>
      <c r="K339" s="925"/>
      <c r="L339" s="926"/>
      <c r="M339" s="924"/>
      <c r="N339" s="924"/>
      <c r="O339" s="924"/>
      <c r="P339" s="924"/>
      <c r="Q339" s="927"/>
      <c r="R339" s="924"/>
      <c r="S339" s="924"/>
      <c r="T339" s="449"/>
      <c r="U339" s="924"/>
      <c r="V339" s="924"/>
      <c r="W339" s="924"/>
      <c r="X339" s="924"/>
      <c r="Y339" s="924"/>
      <c r="Z339" s="924"/>
      <c r="AA339" s="924"/>
      <c r="AB339" s="924"/>
      <c r="AC339" s="924"/>
      <c r="AD339" s="924"/>
      <c r="AE339" s="924"/>
      <c r="AF339" s="924"/>
      <c r="AG339" s="924"/>
      <c r="AH339" s="924"/>
      <c r="AI339" s="924"/>
      <c r="AJ339" s="924"/>
      <c r="AK339" s="924"/>
      <c r="AL339" s="924"/>
      <c r="AM339" s="924"/>
      <c r="AN339" s="924"/>
      <c r="AO339" s="449"/>
      <c r="AP339" s="928"/>
      <c r="AQ339" s="924"/>
      <c r="AR339" s="924"/>
      <c r="AS339" s="929"/>
      <c r="AT339" s="924"/>
      <c r="AU339" s="924"/>
      <c r="AV339" s="924"/>
      <c r="AW339" s="924"/>
      <c r="AX339" s="924"/>
      <c r="AY339" s="923" t="s">
        <v>140</v>
      </c>
      <c r="AZ339" s="928" t="s">
        <v>140</v>
      </c>
      <c r="BA339" s="924"/>
      <c r="BB339" s="924"/>
      <c r="BC339" s="924"/>
      <c r="BD339" s="449"/>
      <c r="BE339" s="449"/>
      <c r="BF339" s="923"/>
      <c r="BG339" s="924">
        <v>7</v>
      </c>
      <c r="BH339" s="924"/>
      <c r="BI339" s="924"/>
      <c r="BJ339" s="924">
        <v>7</v>
      </c>
      <c r="BK339" s="924"/>
      <c r="BL339" s="924"/>
      <c r="BM339" s="924"/>
      <c r="BN339" s="924"/>
      <c r="BO339" s="924"/>
      <c r="BP339" s="923"/>
      <c r="BQ339" s="930"/>
      <c r="BR339" s="929"/>
      <c r="BS339" s="923"/>
      <c r="BT339" s="424"/>
      <c r="BU339" s="424"/>
      <c r="BV339" s="426"/>
      <c r="BW339" s="424"/>
      <c r="BX339" s="449"/>
      <c r="BY339" s="449"/>
      <c r="BZ339" s="449"/>
      <c r="CA339" s="449"/>
      <c r="CB339" s="449"/>
      <c r="CC339" s="807"/>
      <c r="CD339" s="449"/>
      <c r="CE339" s="931" t="str">
        <f>IFERROR(WWWW[[#This Row],['#_Water sources passed]]/WWWW[[#This Row],['#_Water sources tested for fecal coliform ]],"no test")</f>
        <v>no test</v>
      </c>
      <c r="CF339" s="929" t="str">
        <f>IFERROR(WWWW[[#This Row],['#_Household passed]]/WWWW[[#This Row],['#_Household water samples tested for fecal coliform]],"no test")</f>
        <v>no test</v>
      </c>
      <c r="CG339" s="930" t="str">
        <f>IF(AND(WWWW[[#This Row],[% of water sources passed]]="no test",WWWW[[#This Row],[% Household passed]]="no test"),"No Test","Tested")</f>
        <v>No Test</v>
      </c>
      <c r="CH339" s="930">
        <f>WWWW[[#This Row],['#_Constructed/existing protected hand dug well]]-WWWW[[#This Row],['#_Non-functional protected hand dug well]]</f>
        <v>0</v>
      </c>
      <c r="CI339" s="930">
        <f>(WWWW[[#This Row],['#_Constructed/Existing tube wells/boreholes/handpumps_WASH_agency]]+WWWW[[#This Row],['#_Non-Cluster partner water tube-wells/boreholes/handpumps]])-WWWW[[#This Row],['#_Non-functional tube wells/boreholes/handpumps]]</f>
        <v>0</v>
      </c>
      <c r="CJ339" s="930">
        <f>WWWW[[#This Row],['#_Constructed/Existingwater storage tank with gravity fed reticulation system]]-WWWW[[#This Row],['#_Non-functional storage tank gravity fed reticulation system]]</f>
        <v>0</v>
      </c>
      <c r="CK339" s="930">
        <f>(WWWW[[#This Row],['#_Water_Liters_supplied_by_Water boating or water trucking]]/90)/15</f>
        <v>0</v>
      </c>
      <c r="CL339" s="930">
        <f>WWWW[[#This Row],['#_Water_Liters_from_Constructed/Existing water distribution system from river or natural spring]]/90/15</f>
        <v>0</v>
      </c>
      <c r="CM339" s="425">
        <f>IF(WWWW[[#This Row],['#_of water points in TLS/CFS]]*500&gt;WWWW[[#This Row],[Total PoP ]],WWWW[[#This Row],[Total PoP ]],WWWW[[#This Row],['#_of water points in TLS/CFS]]*500)</f>
        <v>0</v>
      </c>
      <c r="CN339" s="425">
        <f>IF(WWWW[[#This Row],['#_of water points in THF]]*500&gt;WWWW[[#This Row],[Total PoP ]],WWWW[[#This Row],[Total PoP ]],WWWW[[#This Row],['#_of water points in THF]]*500)</f>
        <v>0</v>
      </c>
      <c r="CO33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3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39" s="929">
        <f>IF(WWWW[[#This Row],[Location Type 1]]="Village",WWWW[[#This Row],[Access to safe drinking water for Village]],WWWW[[#This Row],[Access to safe drinking water for Camp]])</f>
        <v>0</v>
      </c>
      <c r="CR339" s="927">
        <f>WWWW[[#This Row],[%Equitable and continuous access to sufficient quantity of safe drinking water]]*WWWW[[#This Row],[Total PoP ]]</f>
        <v>0</v>
      </c>
      <c r="CS339" s="929">
        <f>IF((WWWW[[#This Row],['#_Constructed/Existing protected/fenced ponds]]*250)/WWWW[[#This Row],[Total PoP ]]&gt;1,1,(WWWW[[#This Row],['#_Constructed/Existing protected/fenced ponds]]*250)/WWWW[[#This Row],[Total PoP ]])</f>
        <v>0</v>
      </c>
      <c r="CT339" s="927">
        <f>WWWW[[#This Row],[% Access to unimproved water points]]*WWWW[[#This Row],[Total PoP ]]</f>
        <v>0</v>
      </c>
      <c r="CU33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3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39" s="927">
        <f>WWWW[[#This Row],[HRP1]]/500</f>
        <v>0</v>
      </c>
      <c r="CX339" s="932">
        <f>1-WWWW[[#This Row],[% Equitable and continuous access to sufficient quantity of domestic water]]</f>
        <v>1</v>
      </c>
      <c r="CY339" s="927">
        <f>WWWW[[#This Row],[%equitable and continuous access to sufficient quantity of safe drinking and domestic water''s GAP]]*WWWW[[#This Row],[Total PoP ]]</f>
        <v>139</v>
      </c>
      <c r="CZ339" s="930">
        <f>IF(WWWW[[#This Row],[Total required water points]]-WWWW[[#This Row],['#Water points coverage]]&lt;0,0,WWWW[[#This Row],[Total required water points]]-WWWW[[#This Row],['#Water points coverage]])</f>
        <v>1</v>
      </c>
      <c r="DA339" s="930">
        <f>ROUND(IF(WWWW[[#This Row],[Total PoP ]]&lt;500,1,WWWW[[#This Row],[Total PoP ]]/500),0)</f>
        <v>1</v>
      </c>
      <c r="DB339" s="930">
        <f>(WWWW[[#This Row],['#_Constructed latrines_by_WASHAgencies]]+WWWW[[#This Row],['#_Non Cluster partner latrines]])-WWWW[[#This Row],['#_Non-functional latrines]]</f>
        <v>0</v>
      </c>
      <c r="DC339" s="634">
        <f>WWWW[[#This Row],[HRP2]]/WWWW[[#This Row],[Total PoP ]]</f>
        <v>0</v>
      </c>
      <c r="DD33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3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3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39" s="425">
        <f>IF(WWWW[[#This Row],['# of functional latrines in THF supported by WASH partners during the reporting period2]]="",0,WWWW[[#This Row],['# of functional latrines in THF supported by WASH partners during the reporting period2]]*50)</f>
        <v>0</v>
      </c>
      <c r="DH339" s="930">
        <f>ROUND(IF(WWWW[[#This Row],[Location Type 1]]="camp",WWWW[[#This Row],[Total PoP ]]/20,IF(WWWW[[#This Row],[Location Type 1]]="Temporary Location",WWWW[[#This Row],[Total PoP ]]/50,(WWWW[[#This Row],[Total PoP ]]/6))),0)</f>
        <v>7</v>
      </c>
      <c r="DI339" s="930">
        <f>IF(WWWW[[#This Row],[Total required Latrines]]-(WWWW[[#This Row],['#_Constructed latrines_by_WASHAgencies]]+WWWW[[#This Row],['#_Non Cluster partner latrines]])&lt;0,0,WWWW[[#This Row],[Total required Latrines]]-(WWWW[[#This Row],['#_Constructed latrines_by_WASHAgencies]]+WWWW[[#This Row],['#_Non Cluster partner latrines]]))</f>
        <v>7</v>
      </c>
      <c r="DJ339" s="932">
        <f>1-WWWW[[#This Row],[% people access to functioning Latrine]]</f>
        <v>1</v>
      </c>
      <c r="DK339" s="931">
        <f>IF(OR(WWWW[[#This Row],['#_Non-functional latrines]]="",WWWW[[#This Row],['#_Non-functional latrines]]=0),0,WWWW[[#This Row],['#_Non-functional latrines]]/(WWWW[[#This Row],['#_Constructed latrines_by_WASHAgencies]]+WWWW[[#This Row],['#_Non Cluster partner latrines]]))</f>
        <v>0</v>
      </c>
      <c r="DL339" s="927">
        <f>IF(500*(WWWW[[#This Row],['#_male hygiene promoters]]+WWWW[[#This Row],['#_female hygiene promoters]])&gt;WWWW[[#This Row],[Total PoP ]],WWWW[[#This Row],[Total PoP ]],500*(WWWW[[#This Row],['#_male hygiene promoters]]+WWWW[[#This Row],['#_female hygiene promoters]]))</f>
        <v>0</v>
      </c>
      <c r="DM33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3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39" s="930">
        <f>IF(WWWW[[#This Row],['# People with access to soap]]&gt;WWWW[[#This Row],['# People with access to Sanity Pads]],WWWW[[#This Row],['# People with access to soap]],WWWW[[#This Row],['# People with access to Sanity Pads]])</f>
        <v>0</v>
      </c>
      <c r="DP33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39" s="932">
        <f>IF(WWWW[[#This Row],[HRP3]]/WWWW[[#This Row],[Total PoP ]]&gt;1,1,WWWW[[#This Row],[HRP3]]/WWWW[[#This Row],[Total PoP ]])</f>
        <v>0</v>
      </c>
      <c r="DR339" s="931">
        <f>1-WWWW[[#This Row],[Hygiene Coverage%]]</f>
        <v>1</v>
      </c>
      <c r="DS339" s="929">
        <f>WWWW[[#This Row],['# people reached by regular dedicated hygiene promotion_5]]/WWWW[[#This Row],[Total PoP ]]</f>
        <v>0</v>
      </c>
      <c r="DT33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3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39" s="930">
        <f>WWWW[[#This Row],['#_Constructed/Existing hand washing stations]]-WWWW[[#This Row],['#_Non-Functional_hand_washing_stations]]</f>
        <v>7</v>
      </c>
      <c r="DW339" s="927">
        <f>IF(WWWW[[#This Row],['# Functional hand washing stations during reporting period]]*20&gt;WWWW[[#This Row],[Total HH]],WWWW[[#This Row],[Total HH]],WWWW[[#This Row],['# Functional hand washing stations during reporting period]]*20)</f>
        <v>27</v>
      </c>
      <c r="DX339" s="927">
        <f>IF(WWWW[[#This Row],[Is sufficient soap available for TLS? (Yes/No)]]="yes",WWWW[[#This Row],['#_Constructed/Existing hand washing stations at TLS/CFS/THF]],0)</f>
        <v>0</v>
      </c>
      <c r="DY339" s="429">
        <f>IF(WWWW[[#This Row],['# Functional hand washing stations during reporting period]]*100&gt;WWWW[[#This Row],[Total PoP ]],WWWW[[#This Row],[Total PoP ]],WWWW[[#This Row],['# Functional hand washing stations during reporting period]]*100)</f>
        <v>139</v>
      </c>
      <c r="DZ339" s="429" t="str">
        <f>IF(OR(WWWW[[#This Row],['#_students at TLS_CFS]]="",WWWW[[#This Row],['#_students at TLS_CFS]]=0),"No","Yes")</f>
        <v>No</v>
      </c>
      <c r="EA33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3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3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3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39" s="923">
        <f>VLOOKUP(WWWW[[#This Row],[Site Name]],SiteDB6[[Site Name]:[CCCM Management]],6,FALSE)</f>
        <v>0</v>
      </c>
      <c r="EF339" s="923" t="str">
        <f>VLOOKUP(WWWW[[#This Row],[Site Name]],SiteDB6[[Site Name]:[CCCM Focal Agency]],7,FALSE)</f>
        <v xml:space="preserve">Uncovered  </v>
      </c>
      <c r="EG339" s="923" t="str">
        <f>VLOOKUP(WWWW[[#This Row],[Site Name]],SiteDB6[[Site Name]:[Location Type 1]],9,FALSE)</f>
        <v>Camp</v>
      </c>
      <c r="EH339" s="923" t="str">
        <f>VLOOKUP(WWWW[[#This Row],[Site Name]],SiteDB6[[Site Name]:[Type of Accommodation]],10,FALSE)</f>
        <v>Camp like setting</v>
      </c>
      <c r="EI339" s="923" t="str">
        <f>VLOOKUP(WWWW[[#This Row],[Site Name]],SiteDB6[[Site Name]:[Ethnic or GCA/NGCA]],11,FALSE)</f>
        <v>GCA</v>
      </c>
      <c r="EJ339" s="923">
        <f>VLOOKUP(WWWW[[#This Row],[Site Name]],SiteDB6[[Site Name]:[Lat]],12,FALSE)</f>
        <v>25.211500000000001</v>
      </c>
      <c r="EK339" s="923">
        <f>VLOOKUP(WWWW[[#This Row],[Site Name]],SiteDB6[[Site Name]:[Long]],13,FALSE)</f>
        <v>97.261799999999994</v>
      </c>
      <c r="EL339" s="923" t="str">
        <f>VLOOKUP(WWWW[[#This Row],[Site Name]],SiteDB6[[Site Name]:[Pcode]],3,FALSE)</f>
        <v>MMR001CMP287</v>
      </c>
      <c r="EM339" s="928" t="str">
        <f t="shared" si="5"/>
        <v>Notcovered</v>
      </c>
      <c r="EN339" s="928"/>
      <c r="EO339" s="923">
        <f>VLOOKUP(WWWW[[#This Row],[Site Name]],SiteDB6[[Site Name]:[Pop
(Kachin/Shan-CCCM as of July 2021)]],16,FALSE)</f>
        <v>27</v>
      </c>
      <c r="EP339" s="923">
        <f>VLOOKUP(WWWW[[#This Row],[Site Name]],SiteDB6[[Site Name]:[Pop
(Kachin/Shan-CCCM as of July 2021)]],17,FALSE)</f>
        <v>139</v>
      </c>
    </row>
    <row r="340" spans="1:146">
      <c r="A340" s="921" t="s">
        <v>2786</v>
      </c>
      <c r="B340" s="921" t="s">
        <v>242</v>
      </c>
      <c r="C340" s="922" t="s">
        <v>242</v>
      </c>
      <c r="D340" s="922" t="s">
        <v>299</v>
      </c>
      <c r="E340" s="922" t="s">
        <v>37</v>
      </c>
      <c r="F340" s="922" t="s">
        <v>146</v>
      </c>
      <c r="G340" s="594" t="str">
        <f>VLOOKUP(WWWW[[#This Row],[Site Name]],SiteDB6[[Site Name]:[Location Type]],8,FALSE)</f>
        <v>Camp</v>
      </c>
      <c r="H340" s="922" t="s">
        <v>245</v>
      </c>
      <c r="I340" s="924">
        <v>138</v>
      </c>
      <c r="J340" s="924">
        <v>706</v>
      </c>
      <c r="K340" s="925">
        <v>44562</v>
      </c>
      <c r="L340" s="926">
        <v>44926</v>
      </c>
      <c r="M340" s="924"/>
      <c r="N340" s="924">
        <v>1</v>
      </c>
      <c r="O340" s="924">
        <v>1</v>
      </c>
      <c r="P340" s="924"/>
      <c r="Q340" s="927" t="s">
        <v>41</v>
      </c>
      <c r="R340" s="924">
        <v>2</v>
      </c>
      <c r="S340" s="924">
        <v>6</v>
      </c>
      <c r="T340" s="449"/>
      <c r="U340" s="924"/>
      <c r="V340" s="924"/>
      <c r="W340" s="924"/>
      <c r="X340" s="924"/>
      <c r="Y340" s="924"/>
      <c r="Z340" s="924"/>
      <c r="AA340" s="924">
        <v>12</v>
      </c>
      <c r="AB340" s="924"/>
      <c r="AC340" s="924">
        <v>1</v>
      </c>
      <c r="AD340" s="924"/>
      <c r="AE340" s="924">
        <v>3</v>
      </c>
      <c r="AF340" s="924"/>
      <c r="AG340" s="924">
        <v>1</v>
      </c>
      <c r="AH340" s="924"/>
      <c r="AI340" s="924"/>
      <c r="AJ340" s="924"/>
      <c r="AK340" s="924"/>
      <c r="AL340" s="924"/>
      <c r="AM340" s="924"/>
      <c r="AN340" s="924"/>
      <c r="AO340" s="449"/>
      <c r="AP340" s="928"/>
      <c r="AQ340" s="924">
        <v>15</v>
      </c>
      <c r="AR340" s="924"/>
      <c r="AS340" s="929"/>
      <c r="AT340" s="924">
        <v>4</v>
      </c>
      <c r="AU340" s="924">
        <v>1</v>
      </c>
      <c r="AV340" s="924">
        <v>6</v>
      </c>
      <c r="AW340" s="924"/>
      <c r="AX340" s="924">
        <v>0</v>
      </c>
      <c r="AY340" s="923" t="s">
        <v>41</v>
      </c>
      <c r="AZ340" s="928" t="s">
        <v>137</v>
      </c>
      <c r="BA340" s="924"/>
      <c r="BB340" s="924"/>
      <c r="BC340" s="924"/>
      <c r="BD340" s="449"/>
      <c r="BE340" s="449"/>
      <c r="BF340" s="923"/>
      <c r="BG340" s="924">
        <v>2</v>
      </c>
      <c r="BH340" s="924"/>
      <c r="BI340" s="924"/>
      <c r="BJ340" s="924">
        <v>1</v>
      </c>
      <c r="BK340" s="924"/>
      <c r="BL340" s="924"/>
      <c r="BM340" s="924">
        <v>1</v>
      </c>
      <c r="BN340" s="924"/>
      <c r="BO340" s="924"/>
      <c r="BP340" s="923"/>
      <c r="BQ340" s="930"/>
      <c r="BR340" s="929"/>
      <c r="BS340" s="923"/>
      <c r="BT340" s="424">
        <v>0.8</v>
      </c>
      <c r="BU340" s="424">
        <v>0.3</v>
      </c>
      <c r="BV340" s="426"/>
      <c r="BW340" s="424">
        <v>0.9</v>
      </c>
      <c r="BX340" s="449"/>
      <c r="BY340" s="449"/>
      <c r="BZ340" s="449"/>
      <c r="CA340" s="449"/>
      <c r="CB340" s="449"/>
      <c r="CC340" s="807"/>
      <c r="CD340" s="449"/>
      <c r="CE340" s="931" t="str">
        <f>IFERROR(WWWW[[#This Row],['#_Water sources passed]]/WWWW[[#This Row],['#_Water sources tested for fecal coliform ]],"no test")</f>
        <v>no test</v>
      </c>
      <c r="CF340" s="929" t="str">
        <f>IFERROR(WWWW[[#This Row],['#_Household passed]]/WWWW[[#This Row],['#_Household water samples tested for fecal coliform]],"no test")</f>
        <v>no test</v>
      </c>
      <c r="CG340" s="930" t="str">
        <f>IF(AND(WWWW[[#This Row],[% of water sources passed]]="no test",WWWW[[#This Row],[% Household passed]]="no test"),"No Test","Tested")</f>
        <v>No Test</v>
      </c>
      <c r="CH340" s="930">
        <f>WWWW[[#This Row],['#_Constructed/existing protected hand dug well]]-WWWW[[#This Row],['#_Non-functional protected hand dug well]]</f>
        <v>0</v>
      </c>
      <c r="CI340" s="930">
        <f>(WWWW[[#This Row],['#_Constructed/Existing tube wells/boreholes/handpumps_WASH_agency]]+WWWW[[#This Row],['#_Non-Cluster partner water tube-wells/boreholes/handpumps]])-WWWW[[#This Row],['#_Non-functional tube wells/boreholes/handpumps]]</f>
        <v>0</v>
      </c>
      <c r="CJ340" s="930">
        <f>WWWW[[#This Row],['#_Constructed/Existingwater storage tank with gravity fed reticulation system]]-WWWW[[#This Row],['#_Non-functional storage tank gravity fed reticulation system]]</f>
        <v>12</v>
      </c>
      <c r="CK340" s="930">
        <f>(WWWW[[#This Row],['#_Water_Liters_supplied_by_Water boating or water trucking]]/90)/15</f>
        <v>0</v>
      </c>
      <c r="CL340" s="930">
        <f>WWWW[[#This Row],['#_Water_Liters_from_Constructed/Existing water distribution system from river or natural spring]]/90/15</f>
        <v>0</v>
      </c>
      <c r="CM340" s="425">
        <f>IF(WWWW[[#This Row],['#_of water points in TLS/CFS]]*500&gt;WWWW[[#This Row],[Total PoP ]],WWWW[[#This Row],[Total PoP ]],WWWW[[#This Row],['#_of water points in TLS/CFS]]*500)</f>
        <v>0</v>
      </c>
      <c r="CN340" s="425">
        <f>IF(WWWW[[#This Row],['#_of water points in THF]]*500&gt;WWWW[[#This Row],[Total PoP ]],WWWW[[#This Row],[Total PoP ]],WWWW[[#This Row],['#_of water points in THF]]*500)</f>
        <v>0</v>
      </c>
      <c r="CO34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0" s="929">
        <f>IF(WWWW[[#This Row],[Location Type 1]]="Village",WWWW[[#This Row],[Access to safe drinking water for Village]],WWWW[[#This Row],[Access to safe drinking water for Camp]])</f>
        <v>1</v>
      </c>
      <c r="CR340" s="927">
        <f>WWWW[[#This Row],[%Equitable and continuous access to sufficient quantity of safe drinking water]]*WWWW[[#This Row],[Total PoP ]]</f>
        <v>706</v>
      </c>
      <c r="CS340" s="929">
        <f>IF((WWWW[[#This Row],['#_Constructed/Existing protected/fenced ponds]]*250)/WWWW[[#This Row],[Total PoP ]]&gt;1,1,(WWWW[[#This Row],['#_Constructed/Existing protected/fenced ponds]]*250)/WWWW[[#This Row],[Total PoP ]])</f>
        <v>1</v>
      </c>
      <c r="CT340" s="927">
        <f>WWWW[[#This Row],[% Access to unimproved water points]]*WWWW[[#This Row],[Total PoP ]]</f>
        <v>706</v>
      </c>
      <c r="CU34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706</v>
      </c>
      <c r="CW340" s="927">
        <f>WWWW[[#This Row],[HRP1]]/500</f>
        <v>1.4119999999999999</v>
      </c>
      <c r="CX340" s="932">
        <f>1-WWWW[[#This Row],[% Equitable and continuous access to sufficient quantity of domestic water]]</f>
        <v>0</v>
      </c>
      <c r="CY340" s="927">
        <f>WWWW[[#This Row],[%equitable and continuous access to sufficient quantity of safe drinking and domestic water''s GAP]]*WWWW[[#This Row],[Total PoP ]]</f>
        <v>0</v>
      </c>
      <c r="CZ340" s="930">
        <f>IF(WWWW[[#This Row],[Total required water points]]-WWWW[[#This Row],['#Water points coverage]]&lt;0,0,WWWW[[#This Row],[Total required water points]]-WWWW[[#This Row],['#Water points coverage]])</f>
        <v>0</v>
      </c>
      <c r="DA340" s="930">
        <f>ROUND(IF(WWWW[[#This Row],[Total PoP ]]&lt;500,1,WWWW[[#This Row],[Total PoP ]]/500),0)</f>
        <v>1</v>
      </c>
      <c r="DB340" s="930">
        <f>(WWWW[[#This Row],['#_Constructed latrines_by_WASHAgencies]]+WWWW[[#This Row],['#_Non Cluster partner latrines]])-WWWW[[#This Row],['#_Non-functional latrines]]</f>
        <v>11</v>
      </c>
      <c r="DC340" s="634">
        <f>WWWW[[#This Row],[HRP2]]/WWWW[[#This Row],[Total PoP ]]</f>
        <v>0.31161473087818697</v>
      </c>
      <c r="DD34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34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4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0" s="425">
        <f>IF(WWWW[[#This Row],['# of functional latrines in THF supported by WASH partners during the reporting period2]]="",0,WWWW[[#This Row],['# of functional latrines in THF supported by WASH partners during the reporting period2]]*50)</f>
        <v>0</v>
      </c>
      <c r="DH340" s="930">
        <f>ROUND(IF(WWWW[[#This Row],[Location Type 1]]="camp",WWWW[[#This Row],[Total PoP ]]/20,IF(WWWW[[#This Row],[Location Type 1]]="Temporary Location",WWWW[[#This Row],[Total PoP ]]/50,(WWWW[[#This Row],[Total PoP ]]/6))),0)</f>
        <v>35</v>
      </c>
      <c r="DI340" s="930">
        <f>IF(WWWW[[#This Row],[Total required Latrines]]-(WWWW[[#This Row],['#_Constructed latrines_by_WASHAgencies]]+WWWW[[#This Row],['#_Non Cluster partner latrines]])&lt;0,0,WWWW[[#This Row],[Total required Latrines]]-(WWWW[[#This Row],['#_Constructed latrines_by_WASHAgencies]]+WWWW[[#This Row],['#_Non Cluster partner latrines]]))</f>
        <v>20</v>
      </c>
      <c r="DJ340" s="932">
        <f>1-WWWW[[#This Row],[% people access to functioning Latrine]]</f>
        <v>0.68838526912181308</v>
      </c>
      <c r="DK340" s="931">
        <f>IF(OR(WWWW[[#This Row],['#_Non-functional latrines]]="",WWWW[[#This Row],['#_Non-functional latrines]]=0),0,WWWW[[#This Row],['#_Non-functional latrines]]/(WWWW[[#This Row],['#_Constructed latrines_by_WASHAgencies]]+WWWW[[#This Row],['#_Non Cluster partner latrines]]))</f>
        <v>0.26666666666666666</v>
      </c>
      <c r="DL340" s="927">
        <f>IF(500*(WWWW[[#This Row],['#_male hygiene promoters]]+WWWW[[#This Row],['#_female hygiene promoters]])&gt;WWWW[[#This Row],[Total PoP ]],WWWW[[#This Row],[Total PoP ]],500*(WWWW[[#This Row],['#_male hygiene promoters]]+WWWW[[#This Row],['#_female hygiene promoters]]))</f>
        <v>500</v>
      </c>
      <c r="DM34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0" s="930">
        <f>IF(WWWW[[#This Row],['# People with access to soap]]&gt;WWWW[[#This Row],['# People with access to Sanity Pads]],WWWW[[#This Row],['# People with access to soap]],WWWW[[#This Row],['# People with access to Sanity Pads]])</f>
        <v>0</v>
      </c>
      <c r="DP340" s="93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Q340" s="932">
        <f>IF(WWWW[[#This Row],[HRP3]]/WWWW[[#This Row],[Total PoP ]]&gt;1,1,WWWW[[#This Row],[HRP3]]/WWWW[[#This Row],[Total PoP ]])</f>
        <v>0.70821529745042489</v>
      </c>
      <c r="DR340" s="931">
        <f>1-WWWW[[#This Row],[Hygiene Coverage%]]</f>
        <v>0.29178470254957511</v>
      </c>
      <c r="DS340" s="929">
        <f>WWWW[[#This Row],['# people reached by regular dedicated hygiene promotion_5]]/WWWW[[#This Row],[Total PoP ]]</f>
        <v>0.70821529745042489</v>
      </c>
      <c r="DT34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0" s="930">
        <f>WWWW[[#This Row],['#_Constructed/Existing hand washing stations]]-WWWW[[#This Row],['#_Non-Functional_hand_washing_stations]]</f>
        <v>2</v>
      </c>
      <c r="DW340" s="927">
        <f>IF(WWWW[[#This Row],['# Functional hand washing stations during reporting period]]*20&gt;WWWW[[#This Row],[Total HH]],WWWW[[#This Row],[Total HH]],WWWW[[#This Row],['# Functional hand washing stations during reporting period]]*20)</f>
        <v>40</v>
      </c>
      <c r="DX340" s="927">
        <f>IF(WWWW[[#This Row],[Is sufficient soap available for TLS? (Yes/No)]]="yes",WWWW[[#This Row],['#_Constructed/Existing hand washing stations at TLS/CFS/THF]],0)</f>
        <v>0</v>
      </c>
      <c r="DY340" s="429">
        <f>IF(WWWW[[#This Row],['# Functional hand washing stations during reporting period]]*100&gt;WWWW[[#This Row],[Total PoP ]],WWWW[[#This Row],[Total PoP ]],WWWW[[#This Row],['# Functional hand washing stations during reporting period]]*100)</f>
        <v>200</v>
      </c>
      <c r="DZ340" s="429" t="str">
        <f>IF(OR(WWWW[[#This Row],['#_students at TLS_CFS]]="",WWWW[[#This Row],['#_students at TLS_CFS]]=0),"No","Yes")</f>
        <v>No</v>
      </c>
      <c r="EA34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0" s="923" t="str">
        <f>VLOOKUP(WWWW[[#This Row],[Site Name]],SiteDB6[[Site Name]:[CCCM Management]],6,FALSE)</f>
        <v>Yes</v>
      </c>
      <c r="EF340" s="923" t="str">
        <f>VLOOKUP(WWWW[[#This Row],[Site Name]],SiteDB6[[Site Name]:[CCCM Focal Agency]],7,FALSE)</f>
        <v>Shalom</v>
      </c>
      <c r="EG340" s="923" t="str">
        <f>VLOOKUP(WWWW[[#This Row],[Site Name]],SiteDB6[[Site Name]:[Location Type 1]],9,FALSE)</f>
        <v>Camp</v>
      </c>
      <c r="EH340" s="923" t="str">
        <f>VLOOKUP(WWWW[[#This Row],[Site Name]],SiteDB6[[Site Name]:[Type of Accommodation]],10,FALSE)</f>
        <v>Camp</v>
      </c>
      <c r="EI340" s="923" t="str">
        <f>VLOOKUP(WWWW[[#This Row],[Site Name]],SiteDB6[[Site Name]:[Ethnic or GCA/NGCA]],11,FALSE)</f>
        <v>GCA</v>
      </c>
      <c r="EJ340" s="923">
        <f>VLOOKUP(WWWW[[#This Row],[Site Name]],SiteDB6[[Site Name]:[Lat]],12,FALSE)</f>
        <v>25.889410000000002</v>
      </c>
      <c r="EK340" s="923">
        <f>VLOOKUP(WWWW[[#This Row],[Site Name]],SiteDB6[[Site Name]:[Long]],13,FALSE)</f>
        <v>98.131550000000004</v>
      </c>
      <c r="EL340" s="923" t="str">
        <f>VLOOKUP(WWWW[[#This Row],[Site Name]],SiteDB6[[Site Name]:[Pcode]],3,FALSE)</f>
        <v>MMR001CMP042</v>
      </c>
      <c r="EM340" s="928" t="str">
        <f t="shared" si="5"/>
        <v>Covered</v>
      </c>
      <c r="EN340" s="928"/>
      <c r="EO340" s="923">
        <f>VLOOKUP(WWWW[[#This Row],[Site Name]],SiteDB6[[Site Name]:[Pop
(Kachin/Shan-CCCM as of July 2021)]],16,FALSE)</f>
        <v>138</v>
      </c>
      <c r="EP340" s="923">
        <f>VLOOKUP(WWWW[[#This Row],[Site Name]],SiteDB6[[Site Name]:[Pop
(Kachin/Shan-CCCM as of July 2021)]],17,FALSE)</f>
        <v>706</v>
      </c>
    </row>
    <row r="341" spans="1:146">
      <c r="A341" s="921" t="s">
        <v>2786</v>
      </c>
      <c r="B341" s="921" t="s">
        <v>242</v>
      </c>
      <c r="C341" s="922" t="s">
        <v>242</v>
      </c>
      <c r="D341" s="922" t="s">
        <v>299</v>
      </c>
      <c r="E341" s="922" t="s">
        <v>37</v>
      </c>
      <c r="F341" s="922" t="s">
        <v>146</v>
      </c>
      <c r="G341" s="594" t="str">
        <f>VLOOKUP(WWWW[[#This Row],[Site Name]],SiteDB6[[Site Name]:[Location Type]],8,FALSE)</f>
        <v>Camp</v>
      </c>
      <c r="H341" s="922" t="s">
        <v>247</v>
      </c>
      <c r="I341" s="924">
        <v>201</v>
      </c>
      <c r="J341" s="924">
        <v>884</v>
      </c>
      <c r="K341" s="925">
        <v>44562</v>
      </c>
      <c r="L341" s="926">
        <v>44926</v>
      </c>
      <c r="M341" s="924">
        <v>410</v>
      </c>
      <c r="N341" s="924">
        <v>1</v>
      </c>
      <c r="O341" s="924"/>
      <c r="P341" s="924"/>
      <c r="Q341" s="927" t="s">
        <v>41</v>
      </c>
      <c r="R341" s="924">
        <v>4</v>
      </c>
      <c r="S341" s="924">
        <v>2</v>
      </c>
      <c r="T341" s="449">
        <v>1</v>
      </c>
      <c r="U341" s="924"/>
      <c r="V341" s="924"/>
      <c r="W341" s="924"/>
      <c r="X341" s="924"/>
      <c r="Y341" s="924"/>
      <c r="Z341" s="924"/>
      <c r="AA341" s="924">
        <v>3</v>
      </c>
      <c r="AB341" s="924"/>
      <c r="AC341" s="924">
        <v>2</v>
      </c>
      <c r="AD341" s="924"/>
      <c r="AE341" s="924"/>
      <c r="AF341" s="924"/>
      <c r="AG341" s="924">
        <v>10</v>
      </c>
      <c r="AH341" s="924"/>
      <c r="AI341" s="924"/>
      <c r="AJ341" s="924"/>
      <c r="AK341" s="924"/>
      <c r="AL341" s="924"/>
      <c r="AM341" s="924">
        <v>3</v>
      </c>
      <c r="AN341" s="924">
        <v>3</v>
      </c>
      <c r="AO341" s="449"/>
      <c r="AP341" s="928"/>
      <c r="AQ341" s="924">
        <v>50</v>
      </c>
      <c r="AR341" s="924">
        <v>8</v>
      </c>
      <c r="AS341" s="929" t="s">
        <v>3083</v>
      </c>
      <c r="AT341" s="924">
        <v>6</v>
      </c>
      <c r="AU341" s="924">
        <v>1</v>
      </c>
      <c r="AV341" s="924">
        <v>5</v>
      </c>
      <c r="AW341" s="924">
        <v>37.854120000000002</v>
      </c>
      <c r="AX341" s="924">
        <v>50</v>
      </c>
      <c r="AY341" s="923" t="s">
        <v>2705</v>
      </c>
      <c r="AZ341" s="928" t="s">
        <v>137</v>
      </c>
      <c r="BA341" s="924"/>
      <c r="BB341" s="924"/>
      <c r="BC341" s="924">
        <v>4</v>
      </c>
      <c r="BD341" s="449"/>
      <c r="BE341" s="449"/>
      <c r="BF341" s="923"/>
      <c r="BG341" s="924">
        <v>8</v>
      </c>
      <c r="BH341" s="924">
        <v>2</v>
      </c>
      <c r="BI341" s="924"/>
      <c r="BJ341" s="924">
        <v>3</v>
      </c>
      <c r="BK341" s="924"/>
      <c r="BL341" s="924">
        <v>1</v>
      </c>
      <c r="BM341" s="924">
        <v>1</v>
      </c>
      <c r="BN341" s="924">
        <v>50</v>
      </c>
      <c r="BO341" s="924">
        <v>295</v>
      </c>
      <c r="BP341" s="923"/>
      <c r="BQ341" s="930">
        <v>5</v>
      </c>
      <c r="BR341" s="929">
        <v>0.5</v>
      </c>
      <c r="BS341" s="923"/>
      <c r="BT341" s="424">
        <v>0.8</v>
      </c>
      <c r="BU341" s="424">
        <v>0.8</v>
      </c>
      <c r="BV341" s="426">
        <v>20</v>
      </c>
      <c r="BW341" s="424">
        <v>0.6</v>
      </c>
      <c r="BX341" s="449"/>
      <c r="BY341" s="449"/>
      <c r="BZ341" s="449"/>
      <c r="CA341" s="449"/>
      <c r="CB341" s="449"/>
      <c r="CC341" s="807"/>
      <c r="CD341" s="449"/>
      <c r="CE341" s="931" t="str">
        <f>IFERROR(WWWW[[#This Row],['#_Water sources passed]]/WWWW[[#This Row],['#_Water sources tested for fecal coliform ]],"no test")</f>
        <v>no test</v>
      </c>
      <c r="CF341" s="929" t="str">
        <f>IFERROR(WWWW[[#This Row],['#_Household passed]]/WWWW[[#This Row],['#_Household water samples tested for fecal coliform]],"no test")</f>
        <v>no test</v>
      </c>
      <c r="CG341" s="930" t="str">
        <f>IF(AND(WWWW[[#This Row],[% of water sources passed]]="no test",WWWW[[#This Row],[% Household passed]]="no test"),"No Test","Tested")</f>
        <v>No Test</v>
      </c>
      <c r="CH341" s="930">
        <f>WWWW[[#This Row],['#_Constructed/existing protected hand dug well]]-WWWW[[#This Row],['#_Non-functional protected hand dug well]]</f>
        <v>1</v>
      </c>
      <c r="CI341" s="930">
        <f>(WWWW[[#This Row],['#_Constructed/Existing tube wells/boreholes/handpumps_WASH_agency]]+WWWW[[#This Row],['#_Non-Cluster partner water tube-wells/boreholes/handpumps]])-WWWW[[#This Row],['#_Non-functional tube wells/boreholes/handpumps]]</f>
        <v>0</v>
      </c>
      <c r="CJ341" s="930">
        <f>WWWW[[#This Row],['#_Constructed/Existingwater storage tank with gravity fed reticulation system]]-WWWW[[#This Row],['#_Non-functional storage tank gravity fed reticulation system]]</f>
        <v>3</v>
      </c>
      <c r="CK341" s="930">
        <f>(WWWW[[#This Row],['#_Water_Liters_supplied_by_Water boating or water trucking]]/90)/15</f>
        <v>0</v>
      </c>
      <c r="CL341" s="930">
        <f>WWWW[[#This Row],['#_Water_Liters_from_Constructed/Existing water distribution system from river or natural spring]]/90/15</f>
        <v>0</v>
      </c>
      <c r="CM341" s="425">
        <f>IF(WWWW[[#This Row],['#_of water points in TLS/CFS]]*500&gt;WWWW[[#This Row],[Total PoP ]],WWWW[[#This Row],[Total PoP ]],WWWW[[#This Row],['#_of water points in TLS/CFS]]*500)</f>
        <v>884</v>
      </c>
      <c r="CN341" s="425">
        <f>IF(WWWW[[#This Row],['#_of water points in THF]]*500&gt;WWWW[[#This Row],[Total PoP ]],WWWW[[#This Row],[Total PoP ]],WWWW[[#This Row],['#_of water points in THF]]*500)</f>
        <v>0</v>
      </c>
      <c r="CO34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0.67873303167420818</v>
      </c>
      <c r="CP34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0.50904977375565608</v>
      </c>
      <c r="CQ341" s="929">
        <f>IF(WWWW[[#This Row],[Location Type 1]]="Village",WWWW[[#This Row],[Access to safe drinking water for Village]],WWWW[[#This Row],[Access to safe drinking water for Camp]])</f>
        <v>0.67873303167420818</v>
      </c>
      <c r="CR341" s="927">
        <f>WWWW[[#This Row],[%Equitable and continuous access to sufficient quantity of safe drinking water]]*WWWW[[#This Row],[Total PoP ]]</f>
        <v>600</v>
      </c>
      <c r="CS341" s="929">
        <f>IF((WWWW[[#This Row],['#_Constructed/Existing protected/fenced ponds]]*250)/WWWW[[#This Row],[Total PoP ]]&gt;1,1,(WWWW[[#This Row],['#_Constructed/Existing protected/fenced ponds]]*250)/WWWW[[#This Row],[Total PoP ]])</f>
        <v>0</v>
      </c>
      <c r="CT341" s="927">
        <f>WWWW[[#This Row],[% Access to unimproved water points]]*WWWW[[#This Row],[Total PoP ]]</f>
        <v>0</v>
      </c>
      <c r="CU34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0.67873303167420818</v>
      </c>
      <c r="CV34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600</v>
      </c>
      <c r="CW341" s="927">
        <f>WWWW[[#This Row],[HRP1]]/500</f>
        <v>1.2</v>
      </c>
      <c r="CX341" s="932">
        <f>1-WWWW[[#This Row],[% Equitable and continuous access to sufficient quantity of domestic water]]</f>
        <v>0.32126696832579182</v>
      </c>
      <c r="CY341" s="927">
        <f>WWWW[[#This Row],[%equitable and continuous access to sufficient quantity of safe drinking and domestic water''s GAP]]*WWWW[[#This Row],[Total PoP ]]</f>
        <v>284</v>
      </c>
      <c r="CZ341" s="930">
        <f>IF(WWWW[[#This Row],[Total required water points]]-WWWW[[#This Row],['#Water points coverage]]&lt;0,0,WWWW[[#This Row],[Total required water points]]-WWWW[[#This Row],['#Water points coverage]])</f>
        <v>0.8</v>
      </c>
      <c r="DA341" s="930">
        <f>ROUND(IF(WWWW[[#This Row],[Total PoP ]]&lt;500,1,WWWW[[#This Row],[Total PoP ]]/500),0)</f>
        <v>2</v>
      </c>
      <c r="DB341" s="930">
        <f>(WWWW[[#This Row],['#_Constructed latrines_by_WASHAgencies]]+WWWW[[#This Row],['#_Non Cluster partner latrines]])-WWWW[[#This Row],['#_Non-functional latrines]]</f>
        <v>52</v>
      </c>
      <c r="DC341" s="634">
        <f>WWWW[[#This Row],[HRP2]]/WWWW[[#This Row],[Total PoP ]]</f>
        <v>1</v>
      </c>
      <c r="DD34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884</v>
      </c>
      <c r="DE34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34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200</v>
      </c>
      <c r="DG341" s="425">
        <f>IF(WWWW[[#This Row],['# of functional latrines in THF supported by WASH partners during the reporting period2]]="",0,WWWW[[#This Row],['# of functional latrines in THF supported by WASH partners during the reporting period2]]*50)</f>
        <v>0</v>
      </c>
      <c r="DH341" s="930">
        <f>ROUND(IF(WWWW[[#This Row],[Location Type 1]]="camp",WWWW[[#This Row],[Total PoP ]]/20,IF(WWWW[[#This Row],[Location Type 1]]="Temporary Location",WWWW[[#This Row],[Total PoP ]]/50,(WWWW[[#This Row],[Total PoP ]]/6))),0)</f>
        <v>44</v>
      </c>
      <c r="DI341" s="930">
        <f>IF(WWWW[[#This Row],[Total required Latrines]]-(WWWW[[#This Row],['#_Constructed latrines_by_WASHAgencies]]+WWWW[[#This Row],['#_Non Cluster partner latrines]])&lt;0,0,WWWW[[#This Row],[Total required Latrines]]-(WWWW[[#This Row],['#_Constructed latrines_by_WASHAgencies]]+WWWW[[#This Row],['#_Non Cluster partner latrines]]))</f>
        <v>0</v>
      </c>
      <c r="DJ341" s="932">
        <f>1-WWWW[[#This Row],[% people access to functioning Latrine]]</f>
        <v>0</v>
      </c>
      <c r="DK341" s="931">
        <f>IF(OR(WWWW[[#This Row],['#_Non-functional latrines]]="",WWWW[[#This Row],['#_Non-functional latrines]]=0),0,WWWW[[#This Row],['#_Non-functional latrines]]/(WWWW[[#This Row],['#_Constructed latrines_by_WASHAgencies]]+WWWW[[#This Row],['#_Non Cluster partner latrines]]))</f>
        <v>0.10344827586206896</v>
      </c>
      <c r="DL341" s="927">
        <f>IF(500*(WWWW[[#This Row],['#_male hygiene promoters]]+WWWW[[#This Row],['#_female hygiene promoters]])&gt;WWWW[[#This Row],[Total PoP ]],WWWW[[#This Row],[Total PoP ]],500*(WWWW[[#This Row],['#_male hygiene promoters]]+WWWW[[#This Row],['#_female hygiene promoters]]))</f>
        <v>884</v>
      </c>
      <c r="DM34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34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O341" s="930">
        <f>IF(WWWW[[#This Row],['# People with access to soap]]&gt;WWWW[[#This Row],['# People with access to Sanity Pads]],WWWW[[#This Row],['# People with access to soap]],WWWW[[#This Row],['# People with access to Sanity Pads]])</f>
        <v>295</v>
      </c>
      <c r="DP341" s="930">
        <f>IF(WWWW[[#This Row],['# people reached by regular dedicated hygiene promotion_5]]&gt;WWWW[[#This Row],['# People received regular supply of hygiene items_6]],WWWW[[#This Row],['# people reached by regular dedicated hygiene promotion_5]],WWWW[[#This Row],['# People received regular supply of hygiene items_6]])</f>
        <v>884</v>
      </c>
      <c r="DQ341" s="932">
        <f>IF(WWWW[[#This Row],[HRP3]]/WWWW[[#This Row],[Total PoP ]]&gt;1,1,WWWW[[#This Row],[HRP3]]/WWWW[[#This Row],[Total PoP ]])</f>
        <v>1</v>
      </c>
      <c r="DR341" s="931">
        <f>1-WWWW[[#This Row],[Hygiene Coverage%]]</f>
        <v>0</v>
      </c>
      <c r="DS341" s="929">
        <f>WWWW[[#This Row],['# people reached by regular dedicated hygiene promotion_5]]/WWWW[[#This Row],[Total PoP ]]</f>
        <v>1</v>
      </c>
      <c r="DT34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U34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41" s="930">
        <f>WWWW[[#This Row],['#_Constructed/Existing hand washing stations]]-WWWW[[#This Row],['#_Non-Functional_hand_washing_stations]]</f>
        <v>6</v>
      </c>
      <c r="DW341" s="927">
        <f>IF(WWWW[[#This Row],['# Functional hand washing stations during reporting period]]*20&gt;WWWW[[#This Row],[Total HH]],WWWW[[#This Row],[Total HH]],WWWW[[#This Row],['# Functional hand washing stations during reporting period]]*20)</f>
        <v>120</v>
      </c>
      <c r="DX341" s="927">
        <f>IF(WWWW[[#This Row],[Is sufficient soap available for TLS? (Yes/No)]]="yes",WWWW[[#This Row],['#_Constructed/Existing hand washing stations at TLS/CFS/THF]],0)</f>
        <v>0</v>
      </c>
      <c r="DY341" s="429">
        <f>IF(WWWW[[#This Row],['# Functional hand washing stations during reporting period]]*100&gt;WWWW[[#This Row],[Total PoP ]],WWWW[[#This Row],[Total PoP ]],WWWW[[#This Row],['# Functional hand washing stations during reporting period]]*100)</f>
        <v>600</v>
      </c>
      <c r="DZ341" s="429" t="str">
        <f>IF(OR(WWWW[[#This Row],['#_students at TLS_CFS]]="",WWWW[[#This Row],['#_students at TLS_CFS]]=0),"No","Yes")</f>
        <v>Yes</v>
      </c>
      <c r="EA341" s="634">
        <f>IF(WWWW[[#This Row],['#_of_affected_people_surveyed_who_report_feeling_informed_about_the_different_WASH_services_available_to_them]]="","",WWWW[[#This Row],['#_of_affected_people_surveyed_who_report_feeling_informed_about_the_different_WASH_services_available_to_them]]/WWWW[[#This Row],[Total PoP ]])</f>
        <v>2.2624434389140271E-2</v>
      </c>
      <c r="EB34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884</v>
      </c>
      <c r="ED34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1" s="923" t="str">
        <f>VLOOKUP(WWWW[[#This Row],[Site Name]],SiteDB6[[Site Name]:[CCCM Management]],6,FALSE)</f>
        <v>Yes</v>
      </c>
      <c r="EF341" s="923" t="str">
        <f>VLOOKUP(WWWW[[#This Row],[Site Name]],SiteDB6[[Site Name]:[CCCM Focal Agency]],7,FALSE)</f>
        <v>Shalom</v>
      </c>
      <c r="EG341" s="923" t="str">
        <f>VLOOKUP(WWWW[[#This Row],[Site Name]],SiteDB6[[Site Name]:[Location Type 1]],9,FALSE)</f>
        <v>Camp</v>
      </c>
      <c r="EH341" s="923" t="str">
        <f>VLOOKUP(WWWW[[#This Row],[Site Name]],SiteDB6[[Site Name]:[Type of Accommodation]],10,FALSE)</f>
        <v>Camp</v>
      </c>
      <c r="EI341" s="923" t="str">
        <f>VLOOKUP(WWWW[[#This Row],[Site Name]],SiteDB6[[Site Name]:[Ethnic or GCA/NGCA]],11,FALSE)</f>
        <v>GCA</v>
      </c>
      <c r="EJ341" s="923">
        <f>VLOOKUP(WWWW[[#This Row],[Site Name]],SiteDB6[[Site Name]:[Lat]],12,FALSE)</f>
        <v>25.887339999999998</v>
      </c>
      <c r="EK341" s="923">
        <f>VLOOKUP(WWWW[[#This Row],[Site Name]],SiteDB6[[Site Name]:[Long]],13,FALSE)</f>
        <v>98.129990000000006</v>
      </c>
      <c r="EL341" s="923" t="str">
        <f>VLOOKUP(WWWW[[#This Row],[Site Name]],SiteDB6[[Site Name]:[Pcode]],3,FALSE)</f>
        <v>MMR001CMP195</v>
      </c>
      <c r="EM341" s="928" t="str">
        <f t="shared" si="5"/>
        <v>Covered</v>
      </c>
      <c r="EN341" s="928"/>
      <c r="EO341" s="923">
        <f>VLOOKUP(WWWW[[#This Row],[Site Name]],SiteDB6[[Site Name]:[Pop
(Kachin/Shan-CCCM as of July 2021)]],16,FALSE)</f>
        <v>195</v>
      </c>
      <c r="EP341" s="923">
        <f>VLOOKUP(WWWW[[#This Row],[Site Name]],SiteDB6[[Site Name]:[Pop
(Kachin/Shan-CCCM as of July 2021)]],17,FALSE)</f>
        <v>854</v>
      </c>
    </row>
    <row r="342" spans="1:146">
      <c r="A342" s="921" t="s">
        <v>2786</v>
      </c>
      <c r="B342" s="921" t="s">
        <v>242</v>
      </c>
      <c r="C342" s="922" t="s">
        <v>242</v>
      </c>
      <c r="D342" s="922" t="s">
        <v>299</v>
      </c>
      <c r="E342" s="922" t="s">
        <v>37</v>
      </c>
      <c r="F342" s="922" t="s">
        <v>148</v>
      </c>
      <c r="G342" s="594" t="str">
        <f>VLOOKUP(WWWW[[#This Row],[Site Name]],SiteDB6[[Site Name]:[Location Type]],8,FALSE)</f>
        <v>Camp</v>
      </c>
      <c r="H342" s="922" t="s">
        <v>248</v>
      </c>
      <c r="I342" s="924">
        <v>95</v>
      </c>
      <c r="J342" s="924">
        <v>440</v>
      </c>
      <c r="K342" s="925">
        <v>44562</v>
      </c>
      <c r="L342" s="926">
        <v>44926</v>
      </c>
      <c r="M342" s="924">
        <v>15</v>
      </c>
      <c r="N342" s="924">
        <v>1</v>
      </c>
      <c r="O342" s="924"/>
      <c r="P342" s="924"/>
      <c r="Q342" s="927" t="s">
        <v>41</v>
      </c>
      <c r="R342" s="924">
        <v>6</v>
      </c>
      <c r="S342" s="924">
        <v>5</v>
      </c>
      <c r="T342" s="449">
        <v>1</v>
      </c>
      <c r="U342" s="924"/>
      <c r="V342" s="924"/>
      <c r="W342" s="924"/>
      <c r="X342" s="924"/>
      <c r="Y342" s="924"/>
      <c r="Z342" s="924"/>
      <c r="AA342" s="924"/>
      <c r="AB342" s="924"/>
      <c r="AC342" s="924"/>
      <c r="AD342" s="924"/>
      <c r="AE342" s="924">
        <v>4</v>
      </c>
      <c r="AF342" s="924">
        <v>3000</v>
      </c>
      <c r="AG342" s="924">
        <v>1</v>
      </c>
      <c r="AH342" s="924"/>
      <c r="AI342" s="924"/>
      <c r="AJ342" s="924"/>
      <c r="AK342" s="924"/>
      <c r="AL342" s="924"/>
      <c r="AM342" s="924">
        <v>3</v>
      </c>
      <c r="AN342" s="924"/>
      <c r="AO342" s="449"/>
      <c r="AP342" s="928"/>
      <c r="AQ342" s="924">
        <v>6</v>
      </c>
      <c r="AR342" s="924">
        <v>5</v>
      </c>
      <c r="AS342" s="929" t="s">
        <v>2136</v>
      </c>
      <c r="AT342" s="924"/>
      <c r="AU342" s="924"/>
      <c r="AV342" s="924"/>
      <c r="AW342" s="924"/>
      <c r="AX342" s="924">
        <v>5</v>
      </c>
      <c r="AY342" s="923" t="s">
        <v>41</v>
      </c>
      <c r="AZ342" s="928" t="s">
        <v>137</v>
      </c>
      <c r="BA342" s="924"/>
      <c r="BB342" s="924"/>
      <c r="BC342" s="924"/>
      <c r="BD342" s="449"/>
      <c r="BE342" s="449"/>
      <c r="BF342" s="923" t="s">
        <v>3084</v>
      </c>
      <c r="BG342" s="924">
        <v>3</v>
      </c>
      <c r="BH342" s="924"/>
      <c r="BI342" s="924"/>
      <c r="BJ342" s="924">
        <v>3</v>
      </c>
      <c r="BK342" s="924"/>
      <c r="BL342" s="924"/>
      <c r="BM342" s="924">
        <v>1</v>
      </c>
      <c r="BN342" s="924"/>
      <c r="BO342" s="924"/>
      <c r="BP342" s="923"/>
      <c r="BQ342" s="930"/>
      <c r="BR342" s="929"/>
      <c r="BS342" s="923" t="s">
        <v>3085</v>
      </c>
      <c r="BT342" s="424">
        <v>0.1</v>
      </c>
      <c r="BU342" s="424">
        <v>0.1</v>
      </c>
      <c r="BV342" s="426"/>
      <c r="BW342" s="424">
        <v>0.1</v>
      </c>
      <c r="BX342" s="449"/>
      <c r="BY342" s="449"/>
      <c r="BZ342" s="449"/>
      <c r="CA342" s="449"/>
      <c r="CB342" s="449"/>
      <c r="CC342" s="807"/>
      <c r="CD342" s="449"/>
      <c r="CE342" s="931" t="str">
        <f>IFERROR(WWWW[[#This Row],['#_Water sources passed]]/WWWW[[#This Row],['#_Water sources tested for fecal coliform ]],"no test")</f>
        <v>no test</v>
      </c>
      <c r="CF342" s="929" t="str">
        <f>IFERROR(WWWW[[#This Row],['#_Household passed]]/WWWW[[#This Row],['#_Household water samples tested for fecal coliform]],"no test")</f>
        <v>no test</v>
      </c>
      <c r="CG342" s="930" t="str">
        <f>IF(AND(WWWW[[#This Row],[% of water sources passed]]="no test",WWWW[[#This Row],[% Household passed]]="no test"),"No Test","Tested")</f>
        <v>No Test</v>
      </c>
      <c r="CH342" s="930">
        <f>WWWW[[#This Row],['#_Constructed/existing protected hand dug well]]-WWWW[[#This Row],['#_Non-functional protected hand dug well]]</f>
        <v>1</v>
      </c>
      <c r="CI342" s="930">
        <f>(WWWW[[#This Row],['#_Constructed/Existing tube wells/boreholes/handpumps_WASH_agency]]+WWWW[[#This Row],['#_Non-Cluster partner water tube-wells/boreholes/handpumps]])-WWWW[[#This Row],['#_Non-functional tube wells/boreholes/handpumps]]</f>
        <v>0</v>
      </c>
      <c r="CJ342" s="930">
        <f>WWWW[[#This Row],['#_Constructed/Existingwater storage tank with gravity fed reticulation system]]-WWWW[[#This Row],['#_Non-functional storage tank gravity fed reticulation system]]</f>
        <v>0</v>
      </c>
      <c r="CK342" s="930">
        <f>(WWWW[[#This Row],['#_Water_Liters_supplied_by_Water boating or water trucking]]/90)/15</f>
        <v>0</v>
      </c>
      <c r="CL342" s="930">
        <f>WWWW[[#This Row],['#_Water_Liters_from_Constructed/Existing water distribution system from river or natural spring]]/90/15</f>
        <v>2.2222222222222223</v>
      </c>
      <c r="CM342" s="425">
        <f>IF(WWWW[[#This Row],['#_of water points in TLS/CFS]]*500&gt;WWWW[[#This Row],[Total PoP ]],WWWW[[#This Row],[Total PoP ]],WWWW[[#This Row],['#_of water points in TLS/CFS]]*500)</f>
        <v>0</v>
      </c>
      <c r="CN342" s="425">
        <f>IF(WWWW[[#This Row],['#_of water points in THF]]*500&gt;WWWW[[#This Row],[Total PoP ]],WWWW[[#This Row],[Total PoP ]],WWWW[[#This Row],['#_of water points in THF]]*500)</f>
        <v>0</v>
      </c>
      <c r="CO34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0.91414141414141414</v>
      </c>
      <c r="CP34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0.5732323232323232</v>
      </c>
      <c r="CQ342" s="929">
        <f>IF(WWWW[[#This Row],[Location Type 1]]="Village",WWWW[[#This Row],[Access to safe drinking water for Village]],WWWW[[#This Row],[Access to safe drinking water for Camp]])</f>
        <v>0.91414141414141414</v>
      </c>
      <c r="CR342" s="927">
        <f>WWWW[[#This Row],[%Equitable and continuous access to sufficient quantity of safe drinking water]]*WWWW[[#This Row],[Total PoP ]]</f>
        <v>402.22222222222223</v>
      </c>
      <c r="CS342" s="929">
        <f>IF((WWWW[[#This Row],['#_Constructed/Existing protected/fenced ponds]]*250)/WWWW[[#This Row],[Total PoP ]]&gt;1,1,(WWWW[[#This Row],['#_Constructed/Existing protected/fenced ponds]]*250)/WWWW[[#This Row],[Total PoP ]])</f>
        <v>1</v>
      </c>
      <c r="CT342" s="927">
        <f>WWWW[[#This Row],[% Access to unimproved water points]]*WWWW[[#This Row],[Total PoP ]]</f>
        <v>440</v>
      </c>
      <c r="CU34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440</v>
      </c>
      <c r="CW342" s="927">
        <f>WWWW[[#This Row],[HRP1]]/500</f>
        <v>0.88</v>
      </c>
      <c r="CX342" s="932">
        <f>1-WWWW[[#This Row],[% Equitable and continuous access to sufficient quantity of domestic water]]</f>
        <v>0</v>
      </c>
      <c r="CY342" s="927">
        <f>WWWW[[#This Row],[%equitable and continuous access to sufficient quantity of safe drinking and domestic water''s GAP]]*WWWW[[#This Row],[Total PoP ]]</f>
        <v>0</v>
      </c>
      <c r="CZ342" s="930">
        <f>IF(WWWW[[#This Row],[Total required water points]]-WWWW[[#This Row],['#Water points coverage]]&lt;0,0,WWWW[[#This Row],[Total required water points]]-WWWW[[#This Row],['#Water points coverage]])</f>
        <v>0.12</v>
      </c>
      <c r="DA342" s="930">
        <f>ROUND(IF(WWWW[[#This Row],[Total PoP ]]&lt;500,1,WWWW[[#This Row],[Total PoP ]]/500),0)</f>
        <v>1</v>
      </c>
      <c r="DB342" s="930">
        <f>(WWWW[[#This Row],['#_Constructed latrines_by_WASHAgencies]]+WWWW[[#This Row],['#_Non Cluster partner latrines]])-WWWW[[#This Row],['#_Non-functional latrines]]</f>
        <v>11</v>
      </c>
      <c r="DC342" s="634">
        <f>WWWW[[#This Row],[HRP2]]/WWWW[[#This Row],[Total PoP ]]</f>
        <v>0.5</v>
      </c>
      <c r="DD34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220</v>
      </c>
      <c r="DE34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2" s="425">
        <f>IF(WWWW[[#This Row],['# of functional latrines in THF supported by WASH partners during the reporting period2]]="",0,WWWW[[#This Row],['# of functional latrines in THF supported by WASH partners during the reporting period2]]*50)</f>
        <v>0</v>
      </c>
      <c r="DH342" s="930">
        <f>ROUND(IF(WWWW[[#This Row],[Location Type 1]]="camp",WWWW[[#This Row],[Total PoP ]]/20,IF(WWWW[[#This Row],[Location Type 1]]="Temporary Location",WWWW[[#This Row],[Total PoP ]]/50,(WWWW[[#This Row],[Total PoP ]]/6))),0)</f>
        <v>22</v>
      </c>
      <c r="DI342" s="930">
        <f>IF(WWWW[[#This Row],[Total required Latrines]]-(WWWW[[#This Row],['#_Constructed latrines_by_WASHAgencies]]+WWWW[[#This Row],['#_Non Cluster partner latrines]])&lt;0,0,WWWW[[#This Row],[Total required Latrines]]-(WWWW[[#This Row],['#_Constructed latrines_by_WASHAgencies]]+WWWW[[#This Row],['#_Non Cluster partner latrines]]))</f>
        <v>11</v>
      </c>
      <c r="DJ342" s="932">
        <f>1-WWWW[[#This Row],[% people access to functioning Latrine]]</f>
        <v>0.5</v>
      </c>
      <c r="DK342" s="931">
        <f>IF(OR(WWWW[[#This Row],['#_Non-functional latrines]]="",WWWW[[#This Row],['#_Non-functional latrines]]=0),0,WWWW[[#This Row],['#_Non-functional latrines]]/(WWWW[[#This Row],['#_Constructed latrines_by_WASHAgencies]]+WWWW[[#This Row],['#_Non Cluster partner latrines]]))</f>
        <v>0</v>
      </c>
      <c r="DL342" s="927">
        <f>IF(500*(WWWW[[#This Row],['#_male hygiene promoters]]+WWWW[[#This Row],['#_female hygiene promoters]])&gt;WWWW[[#This Row],[Total PoP ]],WWWW[[#This Row],[Total PoP ]],500*(WWWW[[#This Row],['#_male hygiene promoters]]+WWWW[[#This Row],['#_female hygiene promoters]]))</f>
        <v>440</v>
      </c>
      <c r="DM34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2" s="930">
        <f>IF(WWWW[[#This Row],['# People with access to soap]]&gt;WWWW[[#This Row],['# People with access to Sanity Pads]],WWWW[[#This Row],['# People with access to soap]],WWWW[[#This Row],['# People with access to Sanity Pads]])</f>
        <v>0</v>
      </c>
      <c r="DP342" s="930">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Q342" s="932">
        <f>IF(WWWW[[#This Row],[HRP3]]/WWWW[[#This Row],[Total PoP ]]&gt;1,1,WWWW[[#This Row],[HRP3]]/WWWW[[#This Row],[Total PoP ]])</f>
        <v>1</v>
      </c>
      <c r="DR342" s="931">
        <f>1-WWWW[[#This Row],[Hygiene Coverage%]]</f>
        <v>0</v>
      </c>
      <c r="DS342" s="929">
        <f>WWWW[[#This Row],['# people reached by regular dedicated hygiene promotion_5]]/WWWW[[#This Row],[Total PoP ]]</f>
        <v>1</v>
      </c>
      <c r="DT34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2" s="930">
        <f>WWWW[[#This Row],['#_Constructed/Existing hand washing stations]]-WWWW[[#This Row],['#_Non-Functional_hand_washing_stations]]</f>
        <v>3</v>
      </c>
      <c r="DW342" s="927">
        <f>IF(WWWW[[#This Row],['# Functional hand washing stations during reporting period]]*20&gt;WWWW[[#This Row],[Total HH]],WWWW[[#This Row],[Total HH]],WWWW[[#This Row],['# Functional hand washing stations during reporting period]]*20)</f>
        <v>60</v>
      </c>
      <c r="DX342" s="927">
        <f>IF(WWWW[[#This Row],[Is sufficient soap available for TLS? (Yes/No)]]="yes",WWWW[[#This Row],['#_Constructed/Existing hand washing stations at TLS/CFS/THF]],0)</f>
        <v>0</v>
      </c>
      <c r="DY342" s="429">
        <f>IF(WWWW[[#This Row],['# Functional hand washing stations during reporting period]]*100&gt;WWWW[[#This Row],[Total PoP ]],WWWW[[#This Row],[Total PoP ]],WWWW[[#This Row],['# Functional hand washing stations during reporting period]]*100)</f>
        <v>300</v>
      </c>
      <c r="DZ342" s="429" t="str">
        <f>IF(OR(WWWW[[#This Row],['#_students at TLS_CFS]]="",WWWW[[#This Row],['#_students at TLS_CFS]]=0),"No","Yes")</f>
        <v>Yes</v>
      </c>
      <c r="EA34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2" s="923" t="str">
        <f>VLOOKUP(WWWW[[#This Row],[Site Name]],SiteDB6[[Site Name]:[CCCM Management]],6,FALSE)</f>
        <v>Yes</v>
      </c>
      <c r="EF342" s="923" t="str">
        <f>VLOOKUP(WWWW[[#This Row],[Site Name]],SiteDB6[[Site Name]:[CCCM Focal Agency]],7,FALSE)</f>
        <v>Shalom</v>
      </c>
      <c r="EG342" s="923" t="str">
        <f>VLOOKUP(WWWW[[#This Row],[Site Name]],SiteDB6[[Site Name]:[Location Type 1]],9,FALSE)</f>
        <v>Camp</v>
      </c>
      <c r="EH342" s="923" t="str">
        <f>VLOOKUP(WWWW[[#This Row],[Site Name]],SiteDB6[[Site Name]:[Type of Accommodation]],10,FALSE)</f>
        <v>Camp</v>
      </c>
      <c r="EI342" s="923" t="str">
        <f>VLOOKUP(WWWW[[#This Row],[Site Name]],SiteDB6[[Site Name]:[Ethnic or GCA/NGCA]],11,FALSE)</f>
        <v>GCA</v>
      </c>
      <c r="EJ342" s="923">
        <f>VLOOKUP(WWWW[[#This Row],[Site Name]],SiteDB6[[Site Name]:[Lat]],12,FALSE)</f>
        <v>25.635300000000001</v>
      </c>
      <c r="EK342" s="923">
        <f>VLOOKUP(WWWW[[#This Row],[Site Name]],SiteDB6[[Site Name]:[Long]],13,FALSE)</f>
        <v>96.345569999999995</v>
      </c>
      <c r="EL342" s="923" t="str">
        <f>VLOOKUP(WWWW[[#This Row],[Site Name]],SiteDB6[[Site Name]:[Pcode]],3,FALSE)</f>
        <v>MMR001CMP176</v>
      </c>
      <c r="EM342" s="928" t="str">
        <f t="shared" si="5"/>
        <v>Covered</v>
      </c>
      <c r="EN342" s="928"/>
      <c r="EO342" s="923">
        <f>VLOOKUP(WWWW[[#This Row],[Site Name]],SiteDB6[[Site Name]:[Pop
(Kachin/Shan-CCCM as of July 2021)]],16,FALSE)</f>
        <v>94</v>
      </c>
      <c r="EP342" s="923">
        <f>VLOOKUP(WWWW[[#This Row],[Site Name]],SiteDB6[[Site Name]:[Pop
(Kachin/Shan-CCCM as of July 2021)]],17,FALSE)</f>
        <v>438</v>
      </c>
    </row>
    <row r="343" spans="1:146">
      <c r="A343" s="921" t="s">
        <v>2786</v>
      </c>
      <c r="B343" s="921" t="s">
        <v>242</v>
      </c>
      <c r="C343" s="922" t="s">
        <v>242</v>
      </c>
      <c r="D343" s="922" t="s">
        <v>299</v>
      </c>
      <c r="E343" s="922" t="s">
        <v>37</v>
      </c>
      <c r="F343" s="922" t="s">
        <v>148</v>
      </c>
      <c r="G343" s="594" t="str">
        <f>VLOOKUP(WWWW[[#This Row],[Site Name]],SiteDB6[[Site Name]:[Location Type]],8,FALSE)</f>
        <v>Camp</v>
      </c>
      <c r="H343" s="922" t="s">
        <v>249</v>
      </c>
      <c r="I343" s="924">
        <v>13</v>
      </c>
      <c r="J343" s="924">
        <v>72</v>
      </c>
      <c r="K343" s="925">
        <v>44562</v>
      </c>
      <c r="L343" s="926">
        <v>44926</v>
      </c>
      <c r="M343" s="924"/>
      <c r="N343" s="924">
        <v>1</v>
      </c>
      <c r="O343" s="924"/>
      <c r="P343" s="924"/>
      <c r="Q343" s="927" t="s">
        <v>41</v>
      </c>
      <c r="R343" s="924">
        <v>1</v>
      </c>
      <c r="S343" s="924">
        <v>4</v>
      </c>
      <c r="T343" s="449">
        <v>1</v>
      </c>
      <c r="U343" s="924"/>
      <c r="V343" s="924"/>
      <c r="W343" s="924"/>
      <c r="X343" s="924"/>
      <c r="Y343" s="924"/>
      <c r="Z343" s="924">
        <v>1</v>
      </c>
      <c r="AA343" s="924"/>
      <c r="AB343" s="924"/>
      <c r="AC343" s="924"/>
      <c r="AD343" s="924"/>
      <c r="AE343" s="924"/>
      <c r="AF343" s="924">
        <v>1000</v>
      </c>
      <c r="AG343" s="924">
        <v>2</v>
      </c>
      <c r="AH343" s="924"/>
      <c r="AI343" s="924"/>
      <c r="AJ343" s="924"/>
      <c r="AK343" s="924"/>
      <c r="AL343" s="924"/>
      <c r="AM343" s="924">
        <v>1</v>
      </c>
      <c r="AN343" s="924"/>
      <c r="AO343" s="449"/>
      <c r="AP343" s="928"/>
      <c r="AQ343" s="924">
        <v>5</v>
      </c>
      <c r="AR343" s="924"/>
      <c r="AS343" s="929"/>
      <c r="AT343" s="924"/>
      <c r="AU343" s="924"/>
      <c r="AV343" s="924"/>
      <c r="AW343" s="924"/>
      <c r="AX343" s="924"/>
      <c r="AY343" s="923" t="s">
        <v>41</v>
      </c>
      <c r="AZ343" s="928" t="s">
        <v>137</v>
      </c>
      <c r="BA343" s="924"/>
      <c r="BB343" s="924">
        <v>2</v>
      </c>
      <c r="BC343" s="924"/>
      <c r="BD343" s="449"/>
      <c r="BE343" s="449"/>
      <c r="BF343" s="923"/>
      <c r="BG343" s="924">
        <v>5</v>
      </c>
      <c r="BH343" s="924"/>
      <c r="BI343" s="924"/>
      <c r="BJ343" s="924">
        <v>1</v>
      </c>
      <c r="BK343" s="924"/>
      <c r="BL343" s="924"/>
      <c r="BM343" s="924">
        <v>1</v>
      </c>
      <c r="BN343" s="924"/>
      <c r="BO343" s="924"/>
      <c r="BP343" s="923"/>
      <c r="BQ343" s="930"/>
      <c r="BR343" s="929">
        <v>0.8</v>
      </c>
      <c r="BS343" s="923"/>
      <c r="BT343" s="424">
        <v>0.5</v>
      </c>
      <c r="BU343" s="424">
        <v>0.5</v>
      </c>
      <c r="BV343" s="426">
        <v>58</v>
      </c>
      <c r="BW343" s="424">
        <v>0.5</v>
      </c>
      <c r="BX343" s="449"/>
      <c r="BY343" s="449"/>
      <c r="BZ343" s="449"/>
      <c r="CA343" s="449"/>
      <c r="CB343" s="449"/>
      <c r="CC343" s="807"/>
      <c r="CD343" s="449"/>
      <c r="CE343" s="931" t="str">
        <f>IFERROR(WWWW[[#This Row],['#_Water sources passed]]/WWWW[[#This Row],['#_Water sources tested for fecal coliform ]],"no test")</f>
        <v>no test</v>
      </c>
      <c r="CF343" s="929" t="str">
        <f>IFERROR(WWWW[[#This Row],['#_Household passed]]/WWWW[[#This Row],['#_Household water samples tested for fecal coliform]],"no test")</f>
        <v>no test</v>
      </c>
      <c r="CG343" s="930" t="str">
        <f>IF(AND(WWWW[[#This Row],[% of water sources passed]]="no test",WWWW[[#This Row],[% Household passed]]="no test"),"No Test","Tested")</f>
        <v>No Test</v>
      </c>
      <c r="CH343" s="930">
        <f>WWWW[[#This Row],['#_Constructed/existing protected hand dug well]]-WWWW[[#This Row],['#_Non-functional protected hand dug well]]</f>
        <v>1</v>
      </c>
      <c r="CI343" s="930">
        <f>(WWWW[[#This Row],['#_Constructed/Existing tube wells/boreholes/handpumps_WASH_agency]]+WWWW[[#This Row],['#_Non-Cluster partner water tube-wells/boreholes/handpumps]])-WWWW[[#This Row],['#_Non-functional tube wells/boreholes/handpumps]]</f>
        <v>0</v>
      </c>
      <c r="CJ343" s="930">
        <f>WWWW[[#This Row],['#_Constructed/Existingwater storage tank with gravity fed reticulation system]]-WWWW[[#This Row],['#_Non-functional storage tank gravity fed reticulation system]]</f>
        <v>0</v>
      </c>
      <c r="CK343" s="930">
        <f>(WWWW[[#This Row],['#_Water_Liters_supplied_by_Water boating or water trucking]]/90)/15</f>
        <v>0</v>
      </c>
      <c r="CL343" s="930">
        <f>WWWW[[#This Row],['#_Water_Liters_from_Constructed/Existing water distribution system from river or natural spring]]/90/15</f>
        <v>0.7407407407407407</v>
      </c>
      <c r="CM343" s="425">
        <f>IF(WWWW[[#This Row],['#_of water points in TLS/CFS]]*500&gt;WWWW[[#This Row],[Total PoP ]],WWWW[[#This Row],[Total PoP ]],WWWW[[#This Row],['#_of water points in TLS/CFS]]*500)</f>
        <v>0</v>
      </c>
      <c r="CN343" s="425">
        <f>IF(WWWW[[#This Row],['#_of water points in THF]]*500&gt;WWWW[[#This Row],[Total PoP ]],WWWW[[#This Row],[Total PoP ]],WWWW[[#This Row],['#_of water points in THF]]*500)</f>
        <v>0</v>
      </c>
      <c r="CO34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3" s="929">
        <f>IF(WWWW[[#This Row],[Location Type 1]]="Village",WWWW[[#This Row],[Access to safe drinking water for Village]],WWWW[[#This Row],[Access to safe drinking water for Camp]])</f>
        <v>1</v>
      </c>
      <c r="CR343" s="927">
        <f>WWWW[[#This Row],[%Equitable and continuous access to sufficient quantity of safe drinking water]]*WWWW[[#This Row],[Total PoP ]]</f>
        <v>72</v>
      </c>
      <c r="CS343" s="929">
        <f>IF((WWWW[[#This Row],['#_Constructed/Existing protected/fenced ponds]]*250)/WWWW[[#This Row],[Total PoP ]]&gt;1,1,(WWWW[[#This Row],['#_Constructed/Existing protected/fenced ponds]]*250)/WWWW[[#This Row],[Total PoP ]])</f>
        <v>0</v>
      </c>
      <c r="CT343" s="927">
        <f>WWWW[[#This Row],[% Access to unimproved water points]]*WWWW[[#This Row],[Total PoP ]]</f>
        <v>0</v>
      </c>
      <c r="CU34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W343" s="927">
        <f>WWWW[[#This Row],[HRP1]]/500</f>
        <v>0.14399999999999999</v>
      </c>
      <c r="CX343" s="932">
        <f>1-WWWW[[#This Row],[% Equitable and continuous access to sufficient quantity of domestic water]]</f>
        <v>0</v>
      </c>
      <c r="CY343" s="927">
        <f>WWWW[[#This Row],[%equitable and continuous access to sufficient quantity of safe drinking and domestic water''s GAP]]*WWWW[[#This Row],[Total PoP ]]</f>
        <v>0</v>
      </c>
      <c r="CZ343" s="930">
        <f>IF(WWWW[[#This Row],[Total required water points]]-WWWW[[#This Row],['#Water points coverage]]&lt;0,0,WWWW[[#This Row],[Total required water points]]-WWWW[[#This Row],['#Water points coverage]])</f>
        <v>0.85599999999999998</v>
      </c>
      <c r="DA343" s="930">
        <f>ROUND(IF(WWWW[[#This Row],[Total PoP ]]&lt;500,1,WWWW[[#This Row],[Total PoP ]]/500),0)</f>
        <v>1</v>
      </c>
      <c r="DB343" s="930">
        <f>(WWWW[[#This Row],['#_Constructed latrines_by_WASHAgencies]]+WWWW[[#This Row],['#_Non Cluster partner latrines]])-WWWW[[#This Row],['#_Non-functional latrines]]</f>
        <v>5</v>
      </c>
      <c r="DC343" s="634">
        <f>WWWW[[#This Row],[HRP2]]/WWWW[[#This Row],[Total PoP ]]</f>
        <v>1</v>
      </c>
      <c r="DD34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72</v>
      </c>
      <c r="DE34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3" s="425">
        <f>IF(WWWW[[#This Row],['# of functional latrines in THF supported by WASH partners during the reporting period2]]="",0,WWWW[[#This Row],['# of functional latrines in THF supported by WASH partners during the reporting period2]]*50)</f>
        <v>0</v>
      </c>
      <c r="DH343" s="930">
        <f>ROUND(IF(WWWW[[#This Row],[Location Type 1]]="camp",WWWW[[#This Row],[Total PoP ]]/20,IF(WWWW[[#This Row],[Location Type 1]]="Temporary Location",WWWW[[#This Row],[Total PoP ]]/50,(WWWW[[#This Row],[Total PoP ]]/6))),0)</f>
        <v>4</v>
      </c>
      <c r="DI343" s="930">
        <f>IF(WWWW[[#This Row],[Total required Latrines]]-(WWWW[[#This Row],['#_Constructed latrines_by_WASHAgencies]]+WWWW[[#This Row],['#_Non Cluster partner latrines]])&lt;0,0,WWWW[[#This Row],[Total required Latrines]]-(WWWW[[#This Row],['#_Constructed latrines_by_WASHAgencies]]+WWWW[[#This Row],['#_Non Cluster partner latrines]]))</f>
        <v>0</v>
      </c>
      <c r="DJ343" s="932">
        <f>1-WWWW[[#This Row],[% people access to functioning Latrine]]</f>
        <v>0</v>
      </c>
      <c r="DK343" s="931">
        <f>IF(OR(WWWW[[#This Row],['#_Non-functional latrines]]="",WWWW[[#This Row],['#_Non-functional latrines]]=0),0,WWWW[[#This Row],['#_Non-functional latrines]]/(WWWW[[#This Row],['#_Constructed latrines_by_WASHAgencies]]+WWWW[[#This Row],['#_Non Cluster partner latrines]]))</f>
        <v>0</v>
      </c>
      <c r="DL343" s="927">
        <f>IF(500*(WWWW[[#This Row],['#_male hygiene promoters]]+WWWW[[#This Row],['#_female hygiene promoters]])&gt;WWWW[[#This Row],[Total PoP ]],WWWW[[#This Row],[Total PoP ]],500*(WWWW[[#This Row],['#_male hygiene promoters]]+WWWW[[#This Row],['#_female hygiene promoters]]))</f>
        <v>72</v>
      </c>
      <c r="DM34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4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3" s="930">
        <f>IF(WWWW[[#This Row],['# People with access to soap]]&gt;WWWW[[#This Row],['# People with access to Sanity Pads]],WWWW[[#This Row],['# People with access to soap]],WWWW[[#This Row],['# People with access to Sanity Pads]])</f>
        <v>0</v>
      </c>
      <c r="DP343" s="930">
        <f>IF(WWWW[[#This Row],['# people reached by regular dedicated hygiene promotion_5]]&gt;WWWW[[#This Row],['# People received regular supply of hygiene items_6]],WWWW[[#This Row],['# people reached by regular dedicated hygiene promotion_5]],WWWW[[#This Row],['# People received regular supply of hygiene items_6]])</f>
        <v>72</v>
      </c>
      <c r="DQ343" s="932">
        <f>IF(WWWW[[#This Row],[HRP3]]/WWWW[[#This Row],[Total PoP ]]&gt;1,1,WWWW[[#This Row],[HRP3]]/WWWW[[#This Row],[Total PoP ]])</f>
        <v>1</v>
      </c>
      <c r="DR343" s="931">
        <f>1-WWWW[[#This Row],[Hygiene Coverage%]]</f>
        <v>0</v>
      </c>
      <c r="DS343" s="929">
        <f>WWWW[[#This Row],['# people reached by regular dedicated hygiene promotion_5]]/WWWW[[#This Row],[Total PoP ]]</f>
        <v>1</v>
      </c>
      <c r="DT34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4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3" s="930">
        <f>WWWW[[#This Row],['#_Constructed/Existing hand washing stations]]-WWWW[[#This Row],['#_Non-Functional_hand_washing_stations]]</f>
        <v>5</v>
      </c>
      <c r="DW343" s="927">
        <f>IF(WWWW[[#This Row],['# Functional hand washing stations during reporting period]]*20&gt;WWWW[[#This Row],[Total HH]],WWWW[[#This Row],[Total HH]],WWWW[[#This Row],['# Functional hand washing stations during reporting period]]*20)</f>
        <v>13</v>
      </c>
      <c r="DX343" s="927">
        <f>IF(WWWW[[#This Row],[Is sufficient soap available for TLS? (Yes/No)]]="yes",WWWW[[#This Row],['#_Constructed/Existing hand washing stations at TLS/CFS/THF]],0)</f>
        <v>0</v>
      </c>
      <c r="DY343" s="429">
        <f>IF(WWWW[[#This Row],['# Functional hand washing stations during reporting period]]*100&gt;WWWW[[#This Row],[Total PoP ]],WWWW[[#This Row],[Total PoP ]],WWWW[[#This Row],['# Functional hand washing stations during reporting period]]*100)</f>
        <v>72</v>
      </c>
      <c r="DZ343" s="429" t="str">
        <f>IF(OR(WWWW[[#This Row],['#_students at TLS_CFS]]="",WWWW[[#This Row],['#_students at TLS_CFS]]=0),"No","Yes")</f>
        <v>No</v>
      </c>
      <c r="EA343" s="634">
        <f>IF(WWWW[[#This Row],['#_of_affected_people_surveyed_who_report_feeling_informed_about_the_different_WASH_services_available_to_them]]="","",WWWW[[#This Row],['#_of_affected_people_surveyed_who_report_feeling_informed_about_the_different_WASH_services_available_to_them]]/WWWW[[#This Row],[Total PoP ]])</f>
        <v>0.80555555555555558</v>
      </c>
      <c r="EB34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3" s="923" t="str">
        <f>VLOOKUP(WWWW[[#This Row],[Site Name]],SiteDB6[[Site Name]:[CCCM Management]],6,FALSE)</f>
        <v>Yes</v>
      </c>
      <c r="EF343" s="923" t="str">
        <f>VLOOKUP(WWWW[[#This Row],[Site Name]],SiteDB6[[Site Name]:[CCCM Focal Agency]],7,FALSE)</f>
        <v>Shalom</v>
      </c>
      <c r="EG343" s="923" t="str">
        <f>VLOOKUP(WWWW[[#This Row],[Site Name]],SiteDB6[[Site Name]:[Location Type 1]],9,FALSE)</f>
        <v>Camp</v>
      </c>
      <c r="EH343" s="923" t="str">
        <f>VLOOKUP(WWWW[[#This Row],[Site Name]],SiteDB6[[Site Name]:[Type of Accommodation]],10,FALSE)</f>
        <v>Camp</v>
      </c>
      <c r="EI343" s="923" t="str">
        <f>VLOOKUP(WWWW[[#This Row],[Site Name]],SiteDB6[[Site Name]:[Ethnic or GCA/NGCA]],11,FALSE)</f>
        <v>GCA</v>
      </c>
      <c r="EJ343" s="923">
        <f>VLOOKUP(WWWW[[#This Row],[Site Name]],SiteDB6[[Site Name]:[Lat]],12,FALSE)</f>
        <v>25.616509000000001</v>
      </c>
      <c r="EK343" s="923">
        <f>VLOOKUP(WWWW[[#This Row],[Site Name]],SiteDB6[[Site Name]:[Long]],13,FALSE)</f>
        <v>96.317350000000005</v>
      </c>
      <c r="EL343" s="923" t="str">
        <f>VLOOKUP(WWWW[[#This Row],[Site Name]],SiteDB6[[Site Name]:[Pcode]],3,FALSE)</f>
        <v>MMR001CMP190</v>
      </c>
      <c r="EM343" s="928" t="str">
        <f t="shared" si="5"/>
        <v>Covered</v>
      </c>
      <c r="EN343" s="928"/>
      <c r="EO343" s="923">
        <f>VLOOKUP(WWWW[[#This Row],[Site Name]],SiteDB6[[Site Name]:[Pop
(Kachin/Shan-CCCM as of July 2021)]],16,FALSE)</f>
        <v>14</v>
      </c>
      <c r="EP343" s="923">
        <f>VLOOKUP(WWWW[[#This Row],[Site Name]],SiteDB6[[Site Name]:[Pop
(Kachin/Shan-CCCM as of July 2021)]],17,FALSE)</f>
        <v>72</v>
      </c>
    </row>
    <row r="344" spans="1:146">
      <c r="A344" s="921" t="s">
        <v>2786</v>
      </c>
      <c r="B344" s="921" t="s">
        <v>242</v>
      </c>
      <c r="C344" s="922" t="s">
        <v>242</v>
      </c>
      <c r="D344" s="922" t="s">
        <v>299</v>
      </c>
      <c r="E344" s="922" t="s">
        <v>37</v>
      </c>
      <c r="F344" s="922" t="s">
        <v>148</v>
      </c>
      <c r="G344" s="594" t="str">
        <f>VLOOKUP(WWWW[[#This Row],[Site Name]],SiteDB6[[Site Name]:[Location Type]],8,FALSE)</f>
        <v>Camp</v>
      </c>
      <c r="H344" s="922" t="s">
        <v>250</v>
      </c>
      <c r="I344" s="924">
        <v>41</v>
      </c>
      <c r="J344" s="924">
        <v>250</v>
      </c>
      <c r="K344" s="925">
        <v>44562</v>
      </c>
      <c r="L344" s="926">
        <v>44926</v>
      </c>
      <c r="M344" s="924">
        <v>30</v>
      </c>
      <c r="N344" s="924">
        <v>1</v>
      </c>
      <c r="O344" s="924"/>
      <c r="P344" s="924"/>
      <c r="Q344" s="927" t="s">
        <v>41</v>
      </c>
      <c r="R344" s="924"/>
      <c r="S344" s="924">
        <v>5</v>
      </c>
      <c r="T344" s="449">
        <v>2</v>
      </c>
      <c r="U344" s="924"/>
      <c r="V344" s="924"/>
      <c r="W344" s="924"/>
      <c r="X344" s="924"/>
      <c r="Y344" s="924"/>
      <c r="Z344" s="924"/>
      <c r="AA344" s="924"/>
      <c r="AB344" s="924"/>
      <c r="AC344" s="924"/>
      <c r="AD344" s="924"/>
      <c r="AE344" s="924">
        <v>1</v>
      </c>
      <c r="AF344" s="924">
        <v>10000</v>
      </c>
      <c r="AG344" s="924">
        <v>1</v>
      </c>
      <c r="AH344" s="924"/>
      <c r="AI344" s="924"/>
      <c r="AJ344" s="924"/>
      <c r="AK344" s="924"/>
      <c r="AL344" s="924"/>
      <c r="AM344" s="924"/>
      <c r="AN344" s="924"/>
      <c r="AO344" s="449"/>
      <c r="AP344" s="928"/>
      <c r="AQ344" s="924">
        <v>10</v>
      </c>
      <c r="AR344" s="924"/>
      <c r="AS344" s="929"/>
      <c r="AT344" s="924"/>
      <c r="AU344" s="924"/>
      <c r="AV344" s="924"/>
      <c r="AW344" s="924"/>
      <c r="AX344" s="924"/>
      <c r="AY344" s="923" t="s">
        <v>136</v>
      </c>
      <c r="AZ344" s="928" t="s">
        <v>137</v>
      </c>
      <c r="BA344" s="924"/>
      <c r="BB344" s="924"/>
      <c r="BC344" s="924"/>
      <c r="BD344" s="449"/>
      <c r="BE344" s="449"/>
      <c r="BF344" s="923"/>
      <c r="BG344" s="924">
        <v>2</v>
      </c>
      <c r="BH344" s="924"/>
      <c r="BI344" s="924">
        <v>1</v>
      </c>
      <c r="BJ344" s="924">
        <v>2</v>
      </c>
      <c r="BK344" s="924"/>
      <c r="BL344" s="924"/>
      <c r="BM344" s="924">
        <v>1</v>
      </c>
      <c r="BN344" s="924">
        <v>41</v>
      </c>
      <c r="BO344" s="924"/>
      <c r="BP344" s="923"/>
      <c r="BQ344" s="930"/>
      <c r="BR344" s="929"/>
      <c r="BS344" s="923" t="s">
        <v>3086</v>
      </c>
      <c r="BT344" s="424">
        <v>0.5</v>
      </c>
      <c r="BU344" s="424">
        <v>0.9</v>
      </c>
      <c r="BV344" s="426">
        <v>15</v>
      </c>
      <c r="BW344" s="424"/>
      <c r="BX344" s="449"/>
      <c r="BY344" s="449"/>
      <c r="BZ344" s="449"/>
      <c r="CA344" s="449"/>
      <c r="CB344" s="449"/>
      <c r="CC344" s="807"/>
      <c r="CD344" s="449"/>
      <c r="CE344" s="931" t="str">
        <f>IFERROR(WWWW[[#This Row],['#_Water sources passed]]/WWWW[[#This Row],['#_Water sources tested for fecal coliform ]],"no test")</f>
        <v>no test</v>
      </c>
      <c r="CF344" s="929" t="str">
        <f>IFERROR(WWWW[[#This Row],['#_Household passed]]/WWWW[[#This Row],['#_Household water samples tested for fecal coliform]],"no test")</f>
        <v>no test</v>
      </c>
      <c r="CG344" s="930" t="str">
        <f>IF(AND(WWWW[[#This Row],[% of water sources passed]]="no test",WWWW[[#This Row],[% Household passed]]="no test"),"No Test","Tested")</f>
        <v>No Test</v>
      </c>
      <c r="CH344" s="930">
        <f>WWWW[[#This Row],['#_Constructed/existing protected hand dug well]]-WWWW[[#This Row],['#_Non-functional protected hand dug well]]</f>
        <v>2</v>
      </c>
      <c r="CI344" s="930">
        <f>(WWWW[[#This Row],['#_Constructed/Existing tube wells/boreholes/handpumps_WASH_agency]]+WWWW[[#This Row],['#_Non-Cluster partner water tube-wells/boreholes/handpumps]])-WWWW[[#This Row],['#_Non-functional tube wells/boreholes/handpumps]]</f>
        <v>0</v>
      </c>
      <c r="CJ344" s="930">
        <f>WWWW[[#This Row],['#_Constructed/Existingwater storage tank with gravity fed reticulation system]]-WWWW[[#This Row],['#_Non-functional storage tank gravity fed reticulation system]]</f>
        <v>0</v>
      </c>
      <c r="CK344" s="930">
        <f>(WWWW[[#This Row],['#_Water_Liters_supplied_by_Water boating or water trucking]]/90)/15</f>
        <v>0</v>
      </c>
      <c r="CL344" s="930">
        <f>WWWW[[#This Row],['#_Water_Liters_from_Constructed/Existing water distribution system from river or natural spring]]/90/15</f>
        <v>7.4074074074074074</v>
      </c>
      <c r="CM344" s="425">
        <f>IF(WWWW[[#This Row],['#_of water points in TLS/CFS]]*500&gt;WWWW[[#This Row],[Total PoP ]],WWWW[[#This Row],[Total PoP ]],WWWW[[#This Row],['#_of water points in TLS/CFS]]*500)</f>
        <v>0</v>
      </c>
      <c r="CN344" s="425">
        <f>IF(WWWW[[#This Row],['#_of water points in THF]]*500&gt;WWWW[[#This Row],[Total PoP ]],WWWW[[#This Row],[Total PoP ]],WWWW[[#This Row],['#_of water points in THF]]*500)</f>
        <v>0</v>
      </c>
      <c r="CO34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4" s="929">
        <f>IF(WWWW[[#This Row],[Location Type 1]]="Village",WWWW[[#This Row],[Access to safe drinking water for Village]],WWWW[[#This Row],[Access to safe drinking water for Camp]])</f>
        <v>1</v>
      </c>
      <c r="CR344" s="927">
        <f>WWWW[[#This Row],[%Equitable and continuous access to sufficient quantity of safe drinking water]]*WWWW[[#This Row],[Total PoP ]]</f>
        <v>250</v>
      </c>
      <c r="CS344" s="929">
        <f>IF((WWWW[[#This Row],['#_Constructed/Existing protected/fenced ponds]]*250)/WWWW[[#This Row],[Total PoP ]]&gt;1,1,(WWWW[[#This Row],['#_Constructed/Existing protected/fenced ponds]]*250)/WWWW[[#This Row],[Total PoP ]])</f>
        <v>1</v>
      </c>
      <c r="CT344" s="927">
        <f>WWWW[[#This Row],[% Access to unimproved water points]]*WWWW[[#This Row],[Total PoP ]]</f>
        <v>250</v>
      </c>
      <c r="CU34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344" s="927">
        <f>WWWW[[#This Row],[HRP1]]/500</f>
        <v>0.5</v>
      </c>
      <c r="CX344" s="932">
        <f>1-WWWW[[#This Row],[% Equitable and continuous access to sufficient quantity of domestic water]]</f>
        <v>0</v>
      </c>
      <c r="CY344" s="927">
        <f>WWWW[[#This Row],[%equitable and continuous access to sufficient quantity of safe drinking and domestic water''s GAP]]*WWWW[[#This Row],[Total PoP ]]</f>
        <v>0</v>
      </c>
      <c r="CZ344" s="930">
        <f>IF(WWWW[[#This Row],[Total required water points]]-WWWW[[#This Row],['#Water points coverage]]&lt;0,0,WWWW[[#This Row],[Total required water points]]-WWWW[[#This Row],['#Water points coverage]])</f>
        <v>0.5</v>
      </c>
      <c r="DA344" s="930">
        <f>ROUND(IF(WWWW[[#This Row],[Total PoP ]]&lt;500,1,WWWW[[#This Row],[Total PoP ]]/500),0)</f>
        <v>1</v>
      </c>
      <c r="DB344" s="930">
        <f>(WWWW[[#This Row],['#_Constructed latrines_by_WASHAgencies]]+WWWW[[#This Row],['#_Non Cluster partner latrines]])-WWWW[[#This Row],['#_Non-functional latrines]]</f>
        <v>10</v>
      </c>
      <c r="DC344" s="634">
        <f>WWWW[[#This Row],[HRP2]]/WWWW[[#This Row],[Total PoP ]]</f>
        <v>0.8</v>
      </c>
      <c r="DD34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200</v>
      </c>
      <c r="DE34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4" s="425">
        <f>IF(WWWW[[#This Row],['# of functional latrines in THF supported by WASH partners during the reporting period2]]="",0,WWWW[[#This Row],['# of functional latrines in THF supported by WASH partners during the reporting period2]]*50)</f>
        <v>0</v>
      </c>
      <c r="DH344" s="930">
        <f>ROUND(IF(WWWW[[#This Row],[Location Type 1]]="camp",WWWW[[#This Row],[Total PoP ]]/20,IF(WWWW[[#This Row],[Location Type 1]]="Temporary Location",WWWW[[#This Row],[Total PoP ]]/50,(WWWW[[#This Row],[Total PoP ]]/6))),0)</f>
        <v>13</v>
      </c>
      <c r="DI344" s="930">
        <f>IF(WWWW[[#This Row],[Total required Latrines]]-(WWWW[[#This Row],['#_Constructed latrines_by_WASHAgencies]]+WWWW[[#This Row],['#_Non Cluster partner latrines]])&lt;0,0,WWWW[[#This Row],[Total required Latrines]]-(WWWW[[#This Row],['#_Constructed latrines_by_WASHAgencies]]+WWWW[[#This Row],['#_Non Cluster partner latrines]]))</f>
        <v>3</v>
      </c>
      <c r="DJ344" s="932">
        <f>1-WWWW[[#This Row],[% people access to functioning Latrine]]</f>
        <v>0.19999999999999996</v>
      </c>
      <c r="DK344" s="931">
        <f>IF(OR(WWWW[[#This Row],['#_Non-functional latrines]]="",WWWW[[#This Row],['#_Non-functional latrines]]=0),0,WWWW[[#This Row],['#_Non-functional latrines]]/(WWWW[[#This Row],['#_Constructed latrines_by_WASHAgencies]]+WWWW[[#This Row],['#_Non Cluster partner latrines]]))</f>
        <v>0</v>
      </c>
      <c r="DL344" s="927">
        <f>IF(500*(WWWW[[#This Row],['#_male hygiene promoters]]+WWWW[[#This Row],['#_female hygiene promoters]])&gt;WWWW[[#This Row],[Total PoP ]],WWWW[[#This Row],[Total PoP ]],500*(WWWW[[#This Row],['#_male hygiene promoters]]+WWWW[[#This Row],['#_female hygiene promoters]]))</f>
        <v>250</v>
      </c>
      <c r="DM34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N34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4" s="930">
        <f>IF(WWWW[[#This Row],['# People with access to soap]]&gt;WWWW[[#This Row],['# People with access to Sanity Pads]],WWWW[[#This Row],['# People with access to soap]],WWWW[[#This Row],['# People with access to Sanity Pads]])</f>
        <v>250</v>
      </c>
      <c r="DP344" s="930">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Q344" s="932">
        <f>IF(WWWW[[#This Row],[HRP3]]/WWWW[[#This Row],[Total PoP ]]&gt;1,1,WWWW[[#This Row],[HRP3]]/WWWW[[#This Row],[Total PoP ]])</f>
        <v>1</v>
      </c>
      <c r="DR344" s="931">
        <f>1-WWWW[[#This Row],[Hygiene Coverage%]]</f>
        <v>0</v>
      </c>
      <c r="DS344" s="929">
        <f>WWWW[[#This Row],['# people reached by regular dedicated hygiene promotion_5]]/WWWW[[#This Row],[Total PoP ]]</f>
        <v>1</v>
      </c>
      <c r="DT34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4" s="930">
        <f>WWWW[[#This Row],['#_Constructed/Existing hand washing stations]]-WWWW[[#This Row],['#_Non-Functional_hand_washing_stations]]</f>
        <v>2</v>
      </c>
      <c r="DW344" s="927">
        <f>IF(WWWW[[#This Row],['# Functional hand washing stations during reporting period]]*20&gt;WWWW[[#This Row],[Total HH]],WWWW[[#This Row],[Total HH]],WWWW[[#This Row],['# Functional hand washing stations during reporting period]]*20)</f>
        <v>40</v>
      </c>
      <c r="DX344" s="927">
        <f>IF(WWWW[[#This Row],[Is sufficient soap available for TLS? (Yes/No)]]="yes",WWWW[[#This Row],['#_Constructed/Existing hand washing stations at TLS/CFS/THF]],0)</f>
        <v>0</v>
      </c>
      <c r="DY344" s="429">
        <f>IF(WWWW[[#This Row],['# Functional hand washing stations during reporting period]]*100&gt;WWWW[[#This Row],[Total PoP ]],WWWW[[#This Row],[Total PoP ]],WWWW[[#This Row],['# Functional hand washing stations during reporting period]]*100)</f>
        <v>200</v>
      </c>
      <c r="DZ344" s="429" t="str">
        <f>IF(OR(WWWW[[#This Row],['#_students at TLS_CFS]]="",WWWW[[#This Row],['#_students at TLS_CFS]]=0),"No","Yes")</f>
        <v>Yes</v>
      </c>
      <c r="EA344" s="634">
        <f>IF(WWWW[[#This Row],['#_of_affected_people_surveyed_who_report_feeling_informed_about_the_different_WASH_services_available_to_them]]="","",WWWW[[#This Row],['#_of_affected_people_surveyed_who_report_feeling_informed_about_the_different_WASH_services_available_to_them]]/WWWW[[#This Row],[Total PoP ]])</f>
        <v>0.06</v>
      </c>
      <c r="EB34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4" s="923" t="str">
        <f>VLOOKUP(WWWW[[#This Row],[Site Name]],SiteDB6[[Site Name]:[CCCM Management]],6,FALSE)</f>
        <v>Yes</v>
      </c>
      <c r="EF344" s="923" t="str">
        <f>VLOOKUP(WWWW[[#This Row],[Site Name]],SiteDB6[[Site Name]:[CCCM Focal Agency]],7,FALSE)</f>
        <v>KBC-MYT</v>
      </c>
      <c r="EG344" s="923" t="str">
        <f>VLOOKUP(WWWW[[#This Row],[Site Name]],SiteDB6[[Site Name]:[Location Type 1]],9,FALSE)</f>
        <v>Camp</v>
      </c>
      <c r="EH344" s="923" t="str">
        <f>VLOOKUP(WWWW[[#This Row],[Site Name]],SiteDB6[[Site Name]:[Type of Accommodation]],10,FALSE)</f>
        <v>Camp</v>
      </c>
      <c r="EI344" s="923" t="str">
        <f>VLOOKUP(WWWW[[#This Row],[Site Name]],SiteDB6[[Site Name]:[Ethnic or GCA/NGCA]],11,FALSE)</f>
        <v>GCA</v>
      </c>
      <c r="EJ344" s="923">
        <f>VLOOKUP(WWWW[[#This Row],[Site Name]],SiteDB6[[Site Name]:[Lat]],12,FALSE)</f>
        <v>25.647649999999999</v>
      </c>
      <c r="EK344" s="923">
        <f>VLOOKUP(WWWW[[#This Row],[Site Name]],SiteDB6[[Site Name]:[Long]],13,FALSE)</f>
        <v>96.346469999999997</v>
      </c>
      <c r="EL344" s="923" t="str">
        <f>VLOOKUP(WWWW[[#This Row],[Site Name]],SiteDB6[[Site Name]:[Pcode]],3,FALSE)</f>
        <v>MMR001CMP169</v>
      </c>
      <c r="EM344" s="928" t="str">
        <f t="shared" si="5"/>
        <v>Covered</v>
      </c>
      <c r="EN344" s="928"/>
      <c r="EO344" s="923">
        <f>VLOOKUP(WWWW[[#This Row],[Site Name]],SiteDB6[[Site Name]:[Pop
(Kachin/Shan-CCCM as of July 2021)]],16,FALSE)</f>
        <v>41</v>
      </c>
      <c r="EP344" s="923">
        <f>VLOOKUP(WWWW[[#This Row],[Site Name]],SiteDB6[[Site Name]:[Pop
(Kachin/Shan-CCCM as of July 2021)]],17,FALSE)</f>
        <v>249</v>
      </c>
    </row>
    <row r="345" spans="1:146">
      <c r="A345" s="921" t="s">
        <v>2786</v>
      </c>
      <c r="B345" s="921" t="s">
        <v>242</v>
      </c>
      <c r="C345" s="922" t="s">
        <v>242</v>
      </c>
      <c r="D345" s="922" t="s">
        <v>299</v>
      </c>
      <c r="E345" s="922" t="s">
        <v>37</v>
      </c>
      <c r="F345" s="922" t="s">
        <v>148</v>
      </c>
      <c r="G345" s="594" t="str">
        <f>VLOOKUP(WWWW[[#This Row],[Site Name]],SiteDB6[[Site Name]:[Location Type]],8,FALSE)</f>
        <v>Camp</v>
      </c>
      <c r="H345" s="922" t="s">
        <v>251</v>
      </c>
      <c r="I345" s="924">
        <v>5</v>
      </c>
      <c r="J345" s="924">
        <v>24</v>
      </c>
      <c r="K345" s="925">
        <v>44562</v>
      </c>
      <c r="L345" s="926">
        <v>44926</v>
      </c>
      <c r="M345" s="924"/>
      <c r="N345" s="924"/>
      <c r="O345" s="924"/>
      <c r="P345" s="924"/>
      <c r="Q345" s="927" t="s">
        <v>41</v>
      </c>
      <c r="R345" s="924">
        <v>2</v>
      </c>
      <c r="S345" s="924">
        <v>2</v>
      </c>
      <c r="T345" s="449">
        <v>0</v>
      </c>
      <c r="U345" s="924"/>
      <c r="V345" s="924"/>
      <c r="W345" s="924"/>
      <c r="X345" s="924"/>
      <c r="Y345" s="924"/>
      <c r="Z345" s="924"/>
      <c r="AA345" s="924">
        <v>4</v>
      </c>
      <c r="AB345" s="924"/>
      <c r="AC345" s="924"/>
      <c r="AD345" s="924"/>
      <c r="AE345" s="924"/>
      <c r="AF345" s="924"/>
      <c r="AG345" s="924">
        <v>1</v>
      </c>
      <c r="AH345" s="924"/>
      <c r="AI345" s="924"/>
      <c r="AJ345" s="924"/>
      <c r="AK345" s="924"/>
      <c r="AL345" s="924"/>
      <c r="AM345" s="924"/>
      <c r="AN345" s="924"/>
      <c r="AO345" s="449"/>
      <c r="AP345" s="928"/>
      <c r="AQ345" s="924">
        <v>2</v>
      </c>
      <c r="AR345" s="924"/>
      <c r="AS345" s="929"/>
      <c r="AT345" s="924"/>
      <c r="AU345" s="924"/>
      <c r="AV345" s="924"/>
      <c r="AW345" s="924"/>
      <c r="AX345" s="924"/>
      <c r="AY345" s="923" t="s">
        <v>41</v>
      </c>
      <c r="AZ345" s="928" t="s">
        <v>137</v>
      </c>
      <c r="BA345" s="924"/>
      <c r="BB345" s="924"/>
      <c r="BC345" s="924"/>
      <c r="BD345" s="449"/>
      <c r="BE345" s="449"/>
      <c r="BF345" s="923" t="s">
        <v>3087</v>
      </c>
      <c r="BG345" s="924">
        <v>2</v>
      </c>
      <c r="BH345" s="924">
        <v>1</v>
      </c>
      <c r="BI345" s="924"/>
      <c r="BJ345" s="924">
        <v>1</v>
      </c>
      <c r="BK345" s="924"/>
      <c r="BL345" s="924"/>
      <c r="BM345" s="924">
        <v>1</v>
      </c>
      <c r="BN345" s="924">
        <v>5</v>
      </c>
      <c r="BO345" s="924"/>
      <c r="BP345" s="923"/>
      <c r="BQ345" s="930"/>
      <c r="BR345" s="929"/>
      <c r="BS345" s="923" t="s">
        <v>3085</v>
      </c>
      <c r="BT345" s="424">
        <v>0.8</v>
      </c>
      <c r="BU345" s="424">
        <v>0.5</v>
      </c>
      <c r="BV345" s="426">
        <v>5</v>
      </c>
      <c r="BW345" s="424">
        <v>0.7</v>
      </c>
      <c r="BX345" s="449"/>
      <c r="BY345" s="449"/>
      <c r="BZ345" s="449"/>
      <c r="CA345" s="449"/>
      <c r="CB345" s="449"/>
      <c r="CC345" s="807"/>
      <c r="CD345" s="449"/>
      <c r="CE345" s="931" t="str">
        <f>IFERROR(WWWW[[#This Row],['#_Water sources passed]]/WWWW[[#This Row],['#_Water sources tested for fecal coliform ]],"no test")</f>
        <v>no test</v>
      </c>
      <c r="CF345" s="929" t="str">
        <f>IFERROR(WWWW[[#This Row],['#_Household passed]]/WWWW[[#This Row],['#_Household water samples tested for fecal coliform]],"no test")</f>
        <v>no test</v>
      </c>
      <c r="CG345" s="930" t="str">
        <f>IF(AND(WWWW[[#This Row],[% of water sources passed]]="no test",WWWW[[#This Row],[% Household passed]]="no test"),"No Test","Tested")</f>
        <v>No Test</v>
      </c>
      <c r="CH345" s="930">
        <f>WWWW[[#This Row],['#_Constructed/existing protected hand dug well]]-WWWW[[#This Row],['#_Non-functional protected hand dug well]]</f>
        <v>0</v>
      </c>
      <c r="CI345" s="930">
        <f>(WWWW[[#This Row],['#_Constructed/Existing tube wells/boreholes/handpumps_WASH_agency]]+WWWW[[#This Row],['#_Non-Cluster partner water tube-wells/boreholes/handpumps]])-WWWW[[#This Row],['#_Non-functional tube wells/boreholes/handpumps]]</f>
        <v>0</v>
      </c>
      <c r="CJ345" s="930">
        <f>WWWW[[#This Row],['#_Constructed/Existingwater storage tank with gravity fed reticulation system]]-WWWW[[#This Row],['#_Non-functional storage tank gravity fed reticulation system]]</f>
        <v>4</v>
      </c>
      <c r="CK345" s="930">
        <f>(WWWW[[#This Row],['#_Water_Liters_supplied_by_Water boating or water trucking]]/90)/15</f>
        <v>0</v>
      </c>
      <c r="CL345" s="930">
        <f>WWWW[[#This Row],['#_Water_Liters_from_Constructed/Existing water distribution system from river or natural spring]]/90/15</f>
        <v>0</v>
      </c>
      <c r="CM345" s="425">
        <f>IF(WWWW[[#This Row],['#_of water points in TLS/CFS]]*500&gt;WWWW[[#This Row],[Total PoP ]],WWWW[[#This Row],[Total PoP ]],WWWW[[#This Row],['#_of water points in TLS/CFS]]*500)</f>
        <v>0</v>
      </c>
      <c r="CN345" s="425">
        <f>IF(WWWW[[#This Row],['#_of water points in THF]]*500&gt;WWWW[[#This Row],[Total PoP ]],WWWW[[#This Row],[Total PoP ]],WWWW[[#This Row],['#_of water points in THF]]*500)</f>
        <v>0</v>
      </c>
      <c r="CO34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45" s="929">
        <f>IF(WWWW[[#This Row],[Location Type 1]]="Village",WWWW[[#This Row],[Access to safe drinking water for Village]],WWWW[[#This Row],[Access to safe drinking water for Camp]])</f>
        <v>1</v>
      </c>
      <c r="CR345" s="927">
        <f>WWWW[[#This Row],[%Equitable and continuous access to sufficient quantity of safe drinking water]]*WWWW[[#This Row],[Total PoP ]]</f>
        <v>24</v>
      </c>
      <c r="CS345" s="929">
        <f>IF((WWWW[[#This Row],['#_Constructed/Existing protected/fenced ponds]]*250)/WWWW[[#This Row],[Total PoP ]]&gt;1,1,(WWWW[[#This Row],['#_Constructed/Existing protected/fenced ponds]]*250)/WWWW[[#This Row],[Total PoP ]])</f>
        <v>0</v>
      </c>
      <c r="CT345" s="927">
        <f>WWWW[[#This Row],[% Access to unimproved water points]]*WWWW[[#This Row],[Total PoP ]]</f>
        <v>0</v>
      </c>
      <c r="CU34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345" s="927">
        <f>WWWW[[#This Row],[HRP1]]/500</f>
        <v>4.8000000000000001E-2</v>
      </c>
      <c r="CX345" s="932">
        <f>1-WWWW[[#This Row],[% Equitable and continuous access to sufficient quantity of domestic water]]</f>
        <v>0</v>
      </c>
      <c r="CY345" s="927">
        <f>WWWW[[#This Row],[%equitable and continuous access to sufficient quantity of safe drinking and domestic water''s GAP]]*WWWW[[#This Row],[Total PoP ]]</f>
        <v>0</v>
      </c>
      <c r="CZ345" s="930">
        <f>IF(WWWW[[#This Row],[Total required water points]]-WWWW[[#This Row],['#Water points coverage]]&lt;0,0,WWWW[[#This Row],[Total required water points]]-WWWW[[#This Row],['#Water points coverage]])</f>
        <v>0.95199999999999996</v>
      </c>
      <c r="DA345" s="930">
        <f>ROUND(IF(WWWW[[#This Row],[Total PoP ]]&lt;500,1,WWWW[[#This Row],[Total PoP ]]/500),0)</f>
        <v>1</v>
      </c>
      <c r="DB345" s="930">
        <f>(WWWW[[#This Row],['#_Constructed latrines_by_WASHAgencies]]+WWWW[[#This Row],['#_Non Cluster partner latrines]])-WWWW[[#This Row],['#_Non-functional latrines]]</f>
        <v>2</v>
      </c>
      <c r="DC345" s="634">
        <f>WWWW[[#This Row],[HRP2]]/WWWW[[#This Row],[Total PoP ]]</f>
        <v>1</v>
      </c>
      <c r="DD34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34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5" s="425">
        <f>IF(WWWW[[#This Row],['# of functional latrines in THF supported by WASH partners during the reporting period2]]="",0,WWWW[[#This Row],['# of functional latrines in THF supported by WASH partners during the reporting period2]]*50)</f>
        <v>0</v>
      </c>
      <c r="DH345" s="930">
        <f>ROUND(IF(WWWW[[#This Row],[Location Type 1]]="camp",WWWW[[#This Row],[Total PoP ]]/20,IF(WWWW[[#This Row],[Location Type 1]]="Temporary Location",WWWW[[#This Row],[Total PoP ]]/50,(WWWW[[#This Row],[Total PoP ]]/6))),0)</f>
        <v>1</v>
      </c>
      <c r="DI345" s="930">
        <f>IF(WWWW[[#This Row],[Total required Latrines]]-(WWWW[[#This Row],['#_Constructed latrines_by_WASHAgencies]]+WWWW[[#This Row],['#_Non Cluster partner latrines]])&lt;0,0,WWWW[[#This Row],[Total required Latrines]]-(WWWW[[#This Row],['#_Constructed latrines_by_WASHAgencies]]+WWWW[[#This Row],['#_Non Cluster partner latrines]]))</f>
        <v>0</v>
      </c>
      <c r="DJ345" s="932">
        <f>1-WWWW[[#This Row],[% people access to functioning Latrine]]</f>
        <v>0</v>
      </c>
      <c r="DK345" s="931">
        <f>IF(OR(WWWW[[#This Row],['#_Non-functional latrines]]="",WWWW[[#This Row],['#_Non-functional latrines]]=0),0,WWWW[[#This Row],['#_Non-functional latrines]]/(WWWW[[#This Row],['#_Constructed latrines_by_WASHAgencies]]+WWWW[[#This Row],['#_Non Cluster partner latrines]]))</f>
        <v>0</v>
      </c>
      <c r="DL345" s="927">
        <f>IF(500*(WWWW[[#This Row],['#_male hygiene promoters]]+WWWW[[#This Row],['#_female hygiene promoters]])&gt;WWWW[[#This Row],[Total PoP ]],WWWW[[#This Row],[Total PoP ]],500*(WWWW[[#This Row],['#_male hygiene promoters]]+WWWW[[#This Row],['#_female hygiene promoters]]))</f>
        <v>24</v>
      </c>
      <c r="DM34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34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5" s="930">
        <f>IF(WWWW[[#This Row],['# People with access to soap]]&gt;WWWW[[#This Row],['# People with access to Sanity Pads]],WWWW[[#This Row],['# People with access to soap]],WWWW[[#This Row],['# People with access to Sanity Pads]])</f>
        <v>24</v>
      </c>
      <c r="DP345" s="930">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345" s="932">
        <f>IF(WWWW[[#This Row],[HRP3]]/WWWW[[#This Row],[Total PoP ]]&gt;1,1,WWWW[[#This Row],[HRP3]]/WWWW[[#This Row],[Total PoP ]])</f>
        <v>1</v>
      </c>
      <c r="DR345" s="931">
        <f>1-WWWW[[#This Row],[Hygiene Coverage%]]</f>
        <v>0</v>
      </c>
      <c r="DS345" s="929">
        <f>WWWW[[#This Row],['# people reached by regular dedicated hygiene promotion_5]]/WWWW[[#This Row],[Total PoP ]]</f>
        <v>1</v>
      </c>
      <c r="DT34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5" s="930">
        <f>WWWW[[#This Row],['#_Constructed/Existing hand washing stations]]-WWWW[[#This Row],['#_Non-Functional_hand_washing_stations]]</f>
        <v>1</v>
      </c>
      <c r="DW345" s="927">
        <f>IF(WWWW[[#This Row],['# Functional hand washing stations during reporting period]]*20&gt;WWWW[[#This Row],[Total HH]],WWWW[[#This Row],[Total HH]],WWWW[[#This Row],['# Functional hand washing stations during reporting period]]*20)</f>
        <v>5</v>
      </c>
      <c r="DX345" s="927">
        <f>IF(WWWW[[#This Row],[Is sufficient soap available for TLS? (Yes/No)]]="yes",WWWW[[#This Row],['#_Constructed/Existing hand washing stations at TLS/CFS/THF]],0)</f>
        <v>0</v>
      </c>
      <c r="DY345" s="429">
        <f>IF(WWWW[[#This Row],['# Functional hand washing stations during reporting period]]*100&gt;WWWW[[#This Row],[Total PoP ]],WWWW[[#This Row],[Total PoP ]],WWWW[[#This Row],['# Functional hand washing stations during reporting period]]*100)</f>
        <v>24</v>
      </c>
      <c r="DZ345" s="429" t="str">
        <f>IF(OR(WWWW[[#This Row],['#_students at TLS_CFS]]="",WWWW[[#This Row],['#_students at TLS_CFS]]=0),"No","Yes")</f>
        <v>No</v>
      </c>
      <c r="EA345" s="634">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34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5" s="923" t="str">
        <f>VLOOKUP(WWWW[[#This Row],[Site Name]],SiteDB6[[Site Name]:[CCCM Management]],6,FALSE)</f>
        <v>Yes</v>
      </c>
      <c r="EF345" s="923" t="str">
        <f>VLOOKUP(WWWW[[#This Row],[Site Name]],SiteDB6[[Site Name]:[CCCM Focal Agency]],7,FALSE)</f>
        <v>Shalom</v>
      </c>
      <c r="EG345" s="923" t="str">
        <f>VLOOKUP(WWWW[[#This Row],[Site Name]],SiteDB6[[Site Name]:[Location Type 1]],9,FALSE)</f>
        <v>Camp</v>
      </c>
      <c r="EH345" s="923" t="str">
        <f>VLOOKUP(WWWW[[#This Row],[Site Name]],SiteDB6[[Site Name]:[Type of Accommodation]],10,FALSE)</f>
        <v>Camp like setting</v>
      </c>
      <c r="EI345" s="923" t="str">
        <f>VLOOKUP(WWWW[[#This Row],[Site Name]],SiteDB6[[Site Name]:[Ethnic or GCA/NGCA]],11,FALSE)</f>
        <v>GCA</v>
      </c>
      <c r="EJ345" s="923">
        <f>VLOOKUP(WWWW[[#This Row],[Site Name]],SiteDB6[[Site Name]:[Lat]],12,FALSE)</f>
        <v>25.582065</v>
      </c>
      <c r="EK345" s="923">
        <f>VLOOKUP(WWWW[[#This Row],[Site Name]],SiteDB6[[Site Name]:[Long]],13,FALSE)</f>
        <v>96.283377000000002</v>
      </c>
      <c r="EL345" s="923" t="str">
        <f>VLOOKUP(WWWW[[#This Row],[Site Name]],SiteDB6[[Site Name]:[Pcode]],3,FALSE)</f>
        <v>MMR001CMP109</v>
      </c>
      <c r="EM345" s="928" t="str">
        <f t="shared" si="5"/>
        <v>Covered</v>
      </c>
      <c r="EN345" s="928"/>
      <c r="EO345" s="923">
        <f>VLOOKUP(WWWW[[#This Row],[Site Name]],SiteDB6[[Site Name]:[Pop
(Kachin/Shan-CCCM as of July 2021)]],16,FALSE)</f>
        <v>5</v>
      </c>
      <c r="EP345" s="923">
        <f>VLOOKUP(WWWW[[#This Row],[Site Name]],SiteDB6[[Site Name]:[Pop
(Kachin/Shan-CCCM as of July 2021)]],17,FALSE)</f>
        <v>24</v>
      </c>
    </row>
    <row r="346" spans="1:146">
      <c r="A346" s="921" t="s">
        <v>2786</v>
      </c>
      <c r="B346" s="921" t="s">
        <v>242</v>
      </c>
      <c r="C346" s="922" t="s">
        <v>242</v>
      </c>
      <c r="D346" s="922" t="s">
        <v>299</v>
      </c>
      <c r="E346" s="922" t="s">
        <v>37</v>
      </c>
      <c r="F346" s="922" t="s">
        <v>148</v>
      </c>
      <c r="G346" s="594" t="str">
        <f>VLOOKUP(WWWW[[#This Row],[Site Name]],SiteDB6[[Site Name]:[Location Type]],8,FALSE)</f>
        <v>Camp</v>
      </c>
      <c r="H346" s="922" t="s">
        <v>252</v>
      </c>
      <c r="I346" s="924">
        <v>91</v>
      </c>
      <c r="J346" s="924">
        <v>443</v>
      </c>
      <c r="K346" s="925">
        <v>44562</v>
      </c>
      <c r="L346" s="926">
        <v>44926</v>
      </c>
      <c r="M346" s="924">
        <v>240</v>
      </c>
      <c r="N346" s="924">
        <v>1</v>
      </c>
      <c r="O346" s="924"/>
      <c r="P346" s="924"/>
      <c r="Q346" s="927" t="s">
        <v>41</v>
      </c>
      <c r="R346" s="924">
        <v>4</v>
      </c>
      <c r="S346" s="924">
        <v>5</v>
      </c>
      <c r="T346" s="449"/>
      <c r="U346" s="924"/>
      <c r="V346" s="924"/>
      <c r="W346" s="924">
        <v>1</v>
      </c>
      <c r="X346" s="924"/>
      <c r="Y346" s="924"/>
      <c r="Z346" s="924"/>
      <c r="AA346" s="924"/>
      <c r="AB346" s="924"/>
      <c r="AC346" s="924"/>
      <c r="AD346" s="924"/>
      <c r="AE346" s="924">
        <v>2</v>
      </c>
      <c r="AF346" s="924"/>
      <c r="AG346" s="924">
        <v>2</v>
      </c>
      <c r="AH346" s="924"/>
      <c r="AI346" s="924"/>
      <c r="AJ346" s="924"/>
      <c r="AK346" s="924"/>
      <c r="AL346" s="924"/>
      <c r="AM346" s="924">
        <v>1</v>
      </c>
      <c r="AN346" s="924">
        <v>1</v>
      </c>
      <c r="AO346" s="449"/>
      <c r="AP346" s="928" t="s">
        <v>3078</v>
      </c>
      <c r="AQ346" s="924">
        <v>23</v>
      </c>
      <c r="AR346" s="924">
        <v>23</v>
      </c>
      <c r="AS346" s="929"/>
      <c r="AT346" s="924"/>
      <c r="AU346" s="924">
        <v>19</v>
      </c>
      <c r="AV346" s="924"/>
      <c r="AW346" s="924"/>
      <c r="AX346" s="924"/>
      <c r="AY346" s="923" t="s">
        <v>41</v>
      </c>
      <c r="AZ346" s="928" t="s">
        <v>137</v>
      </c>
      <c r="BA346" s="924"/>
      <c r="BB346" s="924">
        <v>1</v>
      </c>
      <c r="BC346" s="924"/>
      <c r="BD346" s="449"/>
      <c r="BE346" s="449">
        <v>8</v>
      </c>
      <c r="BF346" s="923"/>
      <c r="BG346" s="924">
        <v>8</v>
      </c>
      <c r="BH346" s="924">
        <v>4</v>
      </c>
      <c r="BI346" s="924"/>
      <c r="BJ346" s="924">
        <v>3</v>
      </c>
      <c r="BK346" s="924"/>
      <c r="BL346" s="924"/>
      <c r="BM346" s="924">
        <v>1</v>
      </c>
      <c r="BN346" s="924">
        <v>91</v>
      </c>
      <c r="BO346" s="924">
        <v>148</v>
      </c>
      <c r="BP346" s="923" t="s">
        <v>41</v>
      </c>
      <c r="BQ346" s="930">
        <v>4</v>
      </c>
      <c r="BR346" s="929">
        <v>0.3</v>
      </c>
      <c r="BS346" s="923" t="s">
        <v>3088</v>
      </c>
      <c r="BT346" s="424">
        <v>0.7</v>
      </c>
      <c r="BU346" s="424">
        <v>0.5</v>
      </c>
      <c r="BV346" s="426"/>
      <c r="BW346" s="424">
        <v>0.2</v>
      </c>
      <c r="BX346" s="449"/>
      <c r="BY346" s="449"/>
      <c r="BZ346" s="449"/>
      <c r="CA346" s="449"/>
      <c r="CB346" s="449"/>
      <c r="CC346" s="807"/>
      <c r="CD346" s="449"/>
      <c r="CE346" s="931" t="str">
        <f>IFERROR(WWWW[[#This Row],['#_Water sources passed]]/WWWW[[#This Row],['#_Water sources tested for fecal coliform ]],"no test")</f>
        <v>no test</v>
      </c>
      <c r="CF346" s="929" t="str">
        <f>IFERROR(WWWW[[#This Row],['#_Household passed]]/WWWW[[#This Row],['#_Household water samples tested for fecal coliform]],"no test")</f>
        <v>no test</v>
      </c>
      <c r="CG346" s="930" t="str">
        <f>IF(AND(WWWW[[#This Row],[% of water sources passed]]="no test",WWWW[[#This Row],[% Household passed]]="no test"),"No Test","Tested")</f>
        <v>No Test</v>
      </c>
      <c r="CH346" s="930">
        <f>WWWW[[#This Row],['#_Constructed/existing protected hand dug well]]-WWWW[[#This Row],['#_Non-functional protected hand dug well]]</f>
        <v>0</v>
      </c>
      <c r="CI346" s="930">
        <f>(WWWW[[#This Row],['#_Constructed/Existing tube wells/boreholes/handpumps_WASH_agency]]+WWWW[[#This Row],['#_Non-Cluster partner water tube-wells/boreholes/handpumps]])-WWWW[[#This Row],['#_Non-functional tube wells/boreholes/handpumps]]</f>
        <v>1</v>
      </c>
      <c r="CJ346" s="930">
        <f>WWWW[[#This Row],['#_Constructed/Existingwater storage tank with gravity fed reticulation system]]-WWWW[[#This Row],['#_Non-functional storage tank gravity fed reticulation system]]</f>
        <v>0</v>
      </c>
      <c r="CK346" s="930">
        <f>(WWWW[[#This Row],['#_Water_Liters_supplied_by_Water boating or water trucking]]/90)/15</f>
        <v>0</v>
      </c>
      <c r="CL346" s="930">
        <f>WWWW[[#This Row],['#_Water_Liters_from_Constructed/Existing water distribution system from river or natural spring]]/90/15</f>
        <v>0</v>
      </c>
      <c r="CM346" s="425">
        <f>IF(WWWW[[#This Row],['#_of water points in TLS/CFS]]*500&gt;WWWW[[#This Row],[Total PoP ]],WWWW[[#This Row],[Total PoP ]],WWWW[[#This Row],['#_of water points in TLS/CFS]]*500)</f>
        <v>443</v>
      </c>
      <c r="CN346" s="425">
        <f>IF(WWWW[[#This Row],['#_of water points in THF]]*500&gt;WWWW[[#This Row],[Total PoP ]],WWWW[[#This Row],[Total PoP ]],WWWW[[#This Row],['#_of water points in THF]]*500)</f>
        <v>0</v>
      </c>
      <c r="CO34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4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0.56433408577878108</v>
      </c>
      <c r="CQ346" s="929">
        <f>IF(WWWW[[#This Row],[Location Type 1]]="Village",WWWW[[#This Row],[Access to safe drinking water for Village]],WWWW[[#This Row],[Access to safe drinking water for Camp]])</f>
        <v>1</v>
      </c>
      <c r="CR346" s="927">
        <f>WWWW[[#This Row],[%Equitable and continuous access to sufficient quantity of safe drinking water]]*WWWW[[#This Row],[Total PoP ]]</f>
        <v>443</v>
      </c>
      <c r="CS346" s="929">
        <f>IF((WWWW[[#This Row],['#_Constructed/Existing protected/fenced ponds]]*250)/WWWW[[#This Row],[Total PoP ]]&gt;1,1,(WWWW[[#This Row],['#_Constructed/Existing protected/fenced ponds]]*250)/WWWW[[#This Row],[Total PoP ]])</f>
        <v>1</v>
      </c>
      <c r="CT346" s="927">
        <f>WWWW[[#This Row],[% Access to unimproved water points]]*WWWW[[#This Row],[Total PoP ]]</f>
        <v>443</v>
      </c>
      <c r="CU34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443</v>
      </c>
      <c r="CW346" s="927">
        <f>WWWW[[#This Row],[HRP1]]/500</f>
        <v>0.88600000000000001</v>
      </c>
      <c r="CX346" s="932">
        <f>1-WWWW[[#This Row],[% Equitable and continuous access to sufficient quantity of domestic water]]</f>
        <v>0</v>
      </c>
      <c r="CY346" s="927">
        <f>WWWW[[#This Row],[%equitable and continuous access to sufficient quantity of safe drinking and domestic water''s GAP]]*WWWW[[#This Row],[Total PoP ]]</f>
        <v>0</v>
      </c>
      <c r="CZ346" s="930">
        <f>IF(WWWW[[#This Row],[Total required water points]]-WWWW[[#This Row],['#Water points coverage]]&lt;0,0,WWWW[[#This Row],[Total required water points]]-WWWW[[#This Row],['#Water points coverage]])</f>
        <v>0.11399999999999999</v>
      </c>
      <c r="DA346" s="930">
        <f>ROUND(IF(WWWW[[#This Row],[Total PoP ]]&lt;500,1,WWWW[[#This Row],[Total PoP ]]/500),0)</f>
        <v>1</v>
      </c>
      <c r="DB346" s="930">
        <f>(WWWW[[#This Row],['#_Constructed latrines_by_WASHAgencies]]+WWWW[[#This Row],['#_Non Cluster partner latrines]])-WWWW[[#This Row],['#_Non-functional latrines]]</f>
        <v>46</v>
      </c>
      <c r="DC346" s="634">
        <f>WWWW[[#This Row],[HRP2]]/WWWW[[#This Row],[Total PoP ]]</f>
        <v>1</v>
      </c>
      <c r="DD34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443</v>
      </c>
      <c r="DE34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6" s="425">
        <f>IF(WWWW[[#This Row],['# of functional latrines in THF supported by WASH partners during the reporting period2]]="",0,WWWW[[#This Row],['# of functional latrines in THF supported by WASH partners during the reporting period2]]*50)</f>
        <v>0</v>
      </c>
      <c r="DH346" s="930">
        <f>ROUND(IF(WWWW[[#This Row],[Location Type 1]]="camp",WWWW[[#This Row],[Total PoP ]]/20,IF(WWWW[[#This Row],[Location Type 1]]="Temporary Location",WWWW[[#This Row],[Total PoP ]]/50,(WWWW[[#This Row],[Total PoP ]]/6))),0)</f>
        <v>22</v>
      </c>
      <c r="DI346" s="930">
        <f>IF(WWWW[[#This Row],[Total required Latrines]]-(WWWW[[#This Row],['#_Constructed latrines_by_WASHAgencies]]+WWWW[[#This Row],['#_Non Cluster partner latrines]])&lt;0,0,WWWW[[#This Row],[Total required Latrines]]-(WWWW[[#This Row],['#_Constructed latrines_by_WASHAgencies]]+WWWW[[#This Row],['#_Non Cluster partner latrines]]))</f>
        <v>0</v>
      </c>
      <c r="DJ346" s="932">
        <f>1-WWWW[[#This Row],[% people access to functioning Latrine]]</f>
        <v>0</v>
      </c>
      <c r="DK346" s="931">
        <f>IF(OR(WWWW[[#This Row],['#_Non-functional latrines]]="",WWWW[[#This Row],['#_Non-functional latrines]]=0),0,WWWW[[#This Row],['#_Non-functional latrines]]/(WWWW[[#This Row],['#_Constructed latrines_by_WASHAgencies]]+WWWW[[#This Row],['#_Non Cluster partner latrines]]))</f>
        <v>0</v>
      </c>
      <c r="DL346" s="927">
        <f>IF(500*(WWWW[[#This Row],['#_male hygiene promoters]]+WWWW[[#This Row],['#_female hygiene promoters]])&gt;WWWW[[#This Row],[Total PoP ]],WWWW[[#This Row],[Total PoP ]],500*(WWWW[[#This Row],['#_male hygiene promoters]]+WWWW[[#This Row],['#_female hygiene promoters]]))</f>
        <v>443</v>
      </c>
      <c r="DM34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443</v>
      </c>
      <c r="DN34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148</v>
      </c>
      <c r="DO346" s="930">
        <f>IF(WWWW[[#This Row],['# People with access to soap]]&gt;WWWW[[#This Row],['# People with access to Sanity Pads]],WWWW[[#This Row],['# People with access to soap]],WWWW[[#This Row],['# People with access to Sanity Pads]])</f>
        <v>443</v>
      </c>
      <c r="DP346" s="930">
        <f>IF(WWWW[[#This Row],['# people reached by regular dedicated hygiene promotion_5]]&gt;WWWW[[#This Row],['# People received regular supply of hygiene items_6]],WWWW[[#This Row],['# people reached by regular dedicated hygiene promotion_5]],WWWW[[#This Row],['# People received regular supply of hygiene items_6]])</f>
        <v>443</v>
      </c>
      <c r="DQ346" s="932">
        <f>IF(WWWW[[#This Row],[HRP3]]/WWWW[[#This Row],[Total PoP ]]&gt;1,1,WWWW[[#This Row],[HRP3]]/WWWW[[#This Row],[Total PoP ]])</f>
        <v>1</v>
      </c>
      <c r="DR346" s="931">
        <f>1-WWWW[[#This Row],[Hygiene Coverage%]]</f>
        <v>0</v>
      </c>
      <c r="DS346" s="929">
        <f>WWWW[[#This Row],['# people reached by regular dedicated hygiene promotion_5]]/WWWW[[#This Row],[Total PoP ]]</f>
        <v>1</v>
      </c>
      <c r="DT34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46" s="930">
        <f>WWWW[[#This Row],['#_Constructed/Existing hand washing stations]]-WWWW[[#This Row],['#_Non-Functional_hand_washing_stations]]</f>
        <v>4</v>
      </c>
      <c r="DW346" s="927">
        <f>IF(WWWW[[#This Row],['# Functional hand washing stations during reporting period]]*20&gt;WWWW[[#This Row],[Total HH]],WWWW[[#This Row],[Total HH]],WWWW[[#This Row],['# Functional hand washing stations during reporting period]]*20)</f>
        <v>80</v>
      </c>
      <c r="DX346" s="927">
        <f>IF(WWWW[[#This Row],[Is sufficient soap available for TLS? (Yes/No)]]="yes",WWWW[[#This Row],['#_Constructed/Existing hand washing stations at TLS/CFS/THF]],0)</f>
        <v>1</v>
      </c>
      <c r="DY346" s="429">
        <f>IF(WWWW[[#This Row],['# Functional hand washing stations during reporting period]]*100&gt;WWWW[[#This Row],[Total PoP ]],WWWW[[#This Row],[Total PoP ]],WWWW[[#This Row],['# Functional hand washing stations during reporting period]]*100)</f>
        <v>400</v>
      </c>
      <c r="DZ346" s="429" t="str">
        <f>IF(OR(WWWW[[#This Row],['#_students at TLS_CFS]]="",WWWW[[#This Row],['#_students at TLS_CFS]]=0),"No","Yes")</f>
        <v>Yes</v>
      </c>
      <c r="EA34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443</v>
      </c>
      <c r="ED34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6" s="923" t="str">
        <f>VLOOKUP(WWWW[[#This Row],[Site Name]],SiteDB6[[Site Name]:[CCCM Management]],6,FALSE)</f>
        <v>Yes</v>
      </c>
      <c r="EF346" s="923" t="str">
        <f>VLOOKUP(WWWW[[#This Row],[Site Name]],SiteDB6[[Site Name]:[CCCM Focal Agency]],7,FALSE)</f>
        <v>Shalom</v>
      </c>
      <c r="EG346" s="923" t="str">
        <f>VLOOKUP(WWWW[[#This Row],[Site Name]],SiteDB6[[Site Name]:[Location Type 1]],9,FALSE)</f>
        <v>Camp</v>
      </c>
      <c r="EH346" s="923" t="str">
        <f>VLOOKUP(WWWW[[#This Row],[Site Name]],SiteDB6[[Site Name]:[Type of Accommodation]],10,FALSE)</f>
        <v>Camp</v>
      </c>
      <c r="EI346" s="923" t="str">
        <f>VLOOKUP(WWWW[[#This Row],[Site Name]],SiteDB6[[Site Name]:[Ethnic or GCA/NGCA]],11,FALSE)</f>
        <v>GCA</v>
      </c>
      <c r="EJ346" s="923">
        <f>VLOOKUP(WWWW[[#This Row],[Site Name]],SiteDB6[[Site Name]:[Lat]],12,FALSE)</f>
        <v>25.637309999999999</v>
      </c>
      <c r="EK346" s="923">
        <f>VLOOKUP(WWWW[[#This Row],[Site Name]],SiteDB6[[Site Name]:[Long]],13,FALSE)</f>
        <v>96.35257</v>
      </c>
      <c r="EL346" s="923" t="str">
        <f>VLOOKUP(WWWW[[#This Row],[Site Name]],SiteDB6[[Site Name]:[Pcode]],3,FALSE)</f>
        <v>MMR001CMP174</v>
      </c>
      <c r="EM346" s="928" t="str">
        <f t="shared" si="5"/>
        <v>Covered</v>
      </c>
      <c r="EN346" s="928"/>
      <c r="EO346" s="923">
        <f>VLOOKUP(WWWW[[#This Row],[Site Name]],SiteDB6[[Site Name]:[Pop
(Kachin/Shan-CCCM as of July 2021)]],16,FALSE)</f>
        <v>91</v>
      </c>
      <c r="EP346" s="923">
        <f>VLOOKUP(WWWW[[#This Row],[Site Name]],SiteDB6[[Site Name]:[Pop
(Kachin/Shan-CCCM as of July 2021)]],17,FALSE)</f>
        <v>442</v>
      </c>
    </row>
    <row r="347" spans="1:146">
      <c r="A347" s="921" t="s">
        <v>2786</v>
      </c>
      <c r="B347" s="921" t="s">
        <v>242</v>
      </c>
      <c r="C347" s="922" t="s">
        <v>242</v>
      </c>
      <c r="D347" s="922" t="s">
        <v>299</v>
      </c>
      <c r="E347" s="922" t="s">
        <v>37</v>
      </c>
      <c r="F347" s="922" t="s">
        <v>148</v>
      </c>
      <c r="G347" s="594" t="str">
        <f>VLOOKUP(WWWW[[#This Row],[Site Name]],SiteDB6[[Site Name]:[Location Type]],8,FALSE)</f>
        <v>Camp</v>
      </c>
      <c r="H347" s="922" t="s">
        <v>254</v>
      </c>
      <c r="I347" s="924">
        <v>100</v>
      </c>
      <c r="J347" s="924">
        <v>504</v>
      </c>
      <c r="K347" s="925">
        <v>44562</v>
      </c>
      <c r="L347" s="926">
        <v>44926</v>
      </c>
      <c r="M347" s="924">
        <v>50</v>
      </c>
      <c r="N347" s="924"/>
      <c r="O347" s="924"/>
      <c r="P347" s="924"/>
      <c r="Q347" s="927" t="s">
        <v>41</v>
      </c>
      <c r="R347" s="924">
        <v>7</v>
      </c>
      <c r="S347" s="924">
        <v>2</v>
      </c>
      <c r="T347" s="449">
        <v>0</v>
      </c>
      <c r="U347" s="924"/>
      <c r="V347" s="924"/>
      <c r="W347" s="924"/>
      <c r="X347" s="924"/>
      <c r="Y347" s="924"/>
      <c r="Z347" s="924"/>
      <c r="AA347" s="924">
        <v>1</v>
      </c>
      <c r="AB347" s="924"/>
      <c r="AC347" s="924">
        <v>1</v>
      </c>
      <c r="AD347" s="924"/>
      <c r="AE347" s="924">
        <v>1</v>
      </c>
      <c r="AF347" s="924"/>
      <c r="AG347" s="924">
        <v>1</v>
      </c>
      <c r="AH347" s="924"/>
      <c r="AI347" s="924"/>
      <c r="AJ347" s="924"/>
      <c r="AK347" s="924"/>
      <c r="AL347" s="924"/>
      <c r="AM347" s="924">
        <v>1</v>
      </c>
      <c r="AN347" s="924">
        <v>4</v>
      </c>
      <c r="AO347" s="449"/>
      <c r="AP347" s="928" t="s">
        <v>3079</v>
      </c>
      <c r="AQ347" s="924">
        <v>30</v>
      </c>
      <c r="AR347" s="924"/>
      <c r="AS347" s="929"/>
      <c r="AT347" s="924">
        <v>14</v>
      </c>
      <c r="AU347" s="924">
        <v>6</v>
      </c>
      <c r="AV347" s="924"/>
      <c r="AW347" s="924"/>
      <c r="AX347" s="924"/>
      <c r="AY347" s="923" t="s">
        <v>41</v>
      </c>
      <c r="AZ347" s="928" t="s">
        <v>137</v>
      </c>
      <c r="BA347" s="924">
        <v>2</v>
      </c>
      <c r="BB347" s="924"/>
      <c r="BC347" s="924"/>
      <c r="BD347" s="449"/>
      <c r="BE347" s="449">
        <v>3</v>
      </c>
      <c r="BF347" s="923" t="s">
        <v>3089</v>
      </c>
      <c r="BG347" s="924">
        <v>4</v>
      </c>
      <c r="BH347" s="924"/>
      <c r="BI347" s="924"/>
      <c r="BJ347" s="924">
        <v>7</v>
      </c>
      <c r="BK347" s="924">
        <v>3</v>
      </c>
      <c r="BL347" s="924">
        <v>1</v>
      </c>
      <c r="BM347" s="924"/>
      <c r="BN347" s="924">
        <v>100</v>
      </c>
      <c r="BO347" s="924"/>
      <c r="BP347" s="923" t="s">
        <v>136</v>
      </c>
      <c r="BQ347" s="930">
        <v>3</v>
      </c>
      <c r="BR347" s="929">
        <v>0.3</v>
      </c>
      <c r="BS347" s="923" t="s">
        <v>3086</v>
      </c>
      <c r="BT347" s="424">
        <v>0.5</v>
      </c>
      <c r="BU347" s="424">
        <v>0.8</v>
      </c>
      <c r="BV347" s="426">
        <v>10</v>
      </c>
      <c r="BW347" s="424">
        <v>0.5</v>
      </c>
      <c r="BX347" s="449"/>
      <c r="BY347" s="449"/>
      <c r="BZ347" s="449"/>
      <c r="CA347" s="449"/>
      <c r="CB347" s="449"/>
      <c r="CC347" s="807"/>
      <c r="CD347" s="449"/>
      <c r="CE347" s="931" t="str">
        <f>IFERROR(WWWW[[#This Row],['#_Water sources passed]]/WWWW[[#This Row],['#_Water sources tested for fecal coliform ]],"no test")</f>
        <v>no test</v>
      </c>
      <c r="CF347" s="929" t="str">
        <f>IFERROR(WWWW[[#This Row],['#_Household passed]]/WWWW[[#This Row],['#_Household water samples tested for fecal coliform]],"no test")</f>
        <v>no test</v>
      </c>
      <c r="CG347" s="930" t="str">
        <f>IF(AND(WWWW[[#This Row],[% of water sources passed]]="no test",WWWW[[#This Row],[% Household passed]]="no test"),"No Test","Tested")</f>
        <v>No Test</v>
      </c>
      <c r="CH347" s="930">
        <f>WWWW[[#This Row],['#_Constructed/existing protected hand dug well]]-WWWW[[#This Row],['#_Non-functional protected hand dug well]]</f>
        <v>0</v>
      </c>
      <c r="CI347" s="930">
        <f>(WWWW[[#This Row],['#_Constructed/Existing tube wells/boreholes/handpumps_WASH_agency]]+WWWW[[#This Row],['#_Non-Cluster partner water tube-wells/boreholes/handpumps]])-WWWW[[#This Row],['#_Non-functional tube wells/boreholes/handpumps]]</f>
        <v>0</v>
      </c>
      <c r="CJ347" s="930">
        <f>WWWW[[#This Row],['#_Constructed/Existingwater storage tank with gravity fed reticulation system]]-WWWW[[#This Row],['#_Non-functional storage tank gravity fed reticulation system]]</f>
        <v>1</v>
      </c>
      <c r="CK347" s="930">
        <f>(WWWW[[#This Row],['#_Water_Liters_supplied_by_Water boating or water trucking]]/90)/15</f>
        <v>0</v>
      </c>
      <c r="CL347" s="930">
        <f>WWWW[[#This Row],['#_Water_Liters_from_Constructed/Existing water distribution system from river or natural spring]]/90/15</f>
        <v>0</v>
      </c>
      <c r="CM347" s="425">
        <f>IF(WWWW[[#This Row],['#_of water points in TLS/CFS]]*500&gt;WWWW[[#This Row],[Total PoP ]],WWWW[[#This Row],[Total PoP ]],WWWW[[#This Row],['#_of water points in TLS/CFS]]*500)</f>
        <v>504</v>
      </c>
      <c r="CN347" s="425">
        <f>IF(WWWW[[#This Row],['#_of water points in THF]]*500&gt;WWWW[[#This Row],[Total PoP ]],WWWW[[#This Row],[Total PoP ]],WWWW[[#This Row],['#_of water points in THF]]*500)</f>
        <v>0</v>
      </c>
      <c r="CO34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0.1322751322751323</v>
      </c>
      <c r="CP34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0.1322751322751323</v>
      </c>
      <c r="CQ347" s="929">
        <f>IF(WWWW[[#This Row],[Location Type 1]]="Village",WWWW[[#This Row],[Access to safe drinking water for Village]],WWWW[[#This Row],[Access to safe drinking water for Camp]])</f>
        <v>0.1322751322751323</v>
      </c>
      <c r="CR347" s="927">
        <f>WWWW[[#This Row],[%Equitable and continuous access to sufficient quantity of safe drinking water]]*WWWW[[#This Row],[Total PoP ]]</f>
        <v>66.666666666666671</v>
      </c>
      <c r="CS347" s="929">
        <f>IF((WWWW[[#This Row],['#_Constructed/Existing protected/fenced ponds]]*250)/WWWW[[#This Row],[Total PoP ]]&gt;1,1,(WWWW[[#This Row],['#_Constructed/Existing protected/fenced ponds]]*250)/WWWW[[#This Row],[Total PoP ]])</f>
        <v>0.49603174603174605</v>
      </c>
      <c r="CT347" s="927">
        <f>WWWW[[#This Row],[% Access to unimproved water points]]*WWWW[[#This Row],[Total PoP ]]</f>
        <v>250</v>
      </c>
      <c r="CU34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0.62830687830687837</v>
      </c>
      <c r="CV34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316.66666666666669</v>
      </c>
      <c r="CW347" s="927">
        <f>WWWW[[#This Row],[HRP1]]/500</f>
        <v>0.63333333333333341</v>
      </c>
      <c r="CX347" s="932">
        <f>1-WWWW[[#This Row],[% Equitable and continuous access to sufficient quantity of domestic water]]</f>
        <v>0.37169312169312163</v>
      </c>
      <c r="CY347" s="927">
        <f>WWWW[[#This Row],[%equitable and continuous access to sufficient quantity of safe drinking and domestic water''s GAP]]*WWWW[[#This Row],[Total PoP ]]</f>
        <v>187.33333333333331</v>
      </c>
      <c r="CZ347" s="930">
        <f>IF(WWWW[[#This Row],[Total required water points]]-WWWW[[#This Row],['#Water points coverage]]&lt;0,0,WWWW[[#This Row],[Total required water points]]-WWWW[[#This Row],['#Water points coverage]])</f>
        <v>0.36666666666666659</v>
      </c>
      <c r="DA347" s="930">
        <f>ROUND(IF(WWWW[[#This Row],[Total PoP ]]&lt;500,1,WWWW[[#This Row],[Total PoP ]]/500),0)</f>
        <v>1</v>
      </c>
      <c r="DB347" s="930">
        <f>(WWWW[[#This Row],['#_Constructed latrines_by_WASHAgencies]]+WWWW[[#This Row],['#_Non Cluster partner latrines]])-WWWW[[#This Row],['#_Non-functional latrines]]</f>
        <v>16</v>
      </c>
      <c r="DC347" s="634">
        <f>WWWW[[#This Row],[HRP2]]/WWWW[[#This Row],[Total PoP ]]</f>
        <v>0.72023809523809523</v>
      </c>
      <c r="DD34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363</v>
      </c>
      <c r="DE34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4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7" s="425">
        <f>IF(WWWW[[#This Row],['# of functional latrines in THF supported by WASH partners during the reporting period2]]="",0,WWWW[[#This Row],['# of functional latrines in THF supported by WASH partners during the reporting period2]]*50)</f>
        <v>0</v>
      </c>
      <c r="DH347" s="930">
        <f>ROUND(IF(WWWW[[#This Row],[Location Type 1]]="camp",WWWW[[#This Row],[Total PoP ]]/20,IF(WWWW[[#This Row],[Location Type 1]]="Temporary Location",WWWW[[#This Row],[Total PoP ]]/50,(WWWW[[#This Row],[Total PoP ]]/6))),0)</f>
        <v>25</v>
      </c>
      <c r="DI347" s="930">
        <f>IF(WWWW[[#This Row],[Total required Latrines]]-(WWWW[[#This Row],['#_Constructed latrines_by_WASHAgencies]]+WWWW[[#This Row],['#_Non Cluster partner latrines]])&lt;0,0,WWWW[[#This Row],[Total required Latrines]]-(WWWW[[#This Row],['#_Constructed latrines_by_WASHAgencies]]+WWWW[[#This Row],['#_Non Cluster partner latrines]]))</f>
        <v>0</v>
      </c>
      <c r="DJ347" s="932">
        <f>1-WWWW[[#This Row],[% people access to functioning Latrine]]</f>
        <v>0.27976190476190477</v>
      </c>
      <c r="DK347" s="931">
        <f>IF(OR(WWWW[[#This Row],['#_Non-functional latrines]]="",WWWW[[#This Row],['#_Non-functional latrines]]=0),0,WWWW[[#This Row],['#_Non-functional latrines]]/(WWWW[[#This Row],['#_Constructed latrines_by_WASHAgencies]]+WWWW[[#This Row],['#_Non Cluster partner latrines]]))</f>
        <v>0.46666666666666667</v>
      </c>
      <c r="DL347" s="927">
        <f>IF(500*(WWWW[[#This Row],['#_male hygiene promoters]]+WWWW[[#This Row],['#_female hygiene promoters]])&gt;WWWW[[#This Row],[Total PoP ]],WWWW[[#This Row],[Total PoP ]],500*(WWWW[[#This Row],['#_male hygiene promoters]]+WWWW[[#This Row],['#_female hygiene promoters]]))</f>
        <v>500</v>
      </c>
      <c r="DM34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504</v>
      </c>
      <c r="DN34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7" s="930">
        <f>IF(WWWW[[#This Row],['# People with access to soap]]&gt;WWWW[[#This Row],['# People with access to Sanity Pads]],WWWW[[#This Row],['# People with access to soap]],WWWW[[#This Row],['# People with access to Sanity Pads]])</f>
        <v>504</v>
      </c>
      <c r="DP347" s="930">
        <f>IF(WWWW[[#This Row],['# people reached by regular dedicated hygiene promotion_5]]&gt;WWWW[[#This Row],['# People received regular supply of hygiene items_6]],WWWW[[#This Row],['# people reached by regular dedicated hygiene promotion_5]],WWWW[[#This Row],['# People received regular supply of hygiene items_6]])</f>
        <v>504</v>
      </c>
      <c r="DQ347" s="932">
        <f>IF(WWWW[[#This Row],[HRP3]]/WWWW[[#This Row],[Total PoP ]]&gt;1,1,WWWW[[#This Row],[HRP3]]/WWWW[[#This Row],[Total PoP ]])</f>
        <v>1</v>
      </c>
      <c r="DR347" s="931">
        <f>1-WWWW[[#This Row],[Hygiene Coverage%]]</f>
        <v>0</v>
      </c>
      <c r="DS347" s="929">
        <f>WWWW[[#This Row],['# people reached by regular dedicated hygiene promotion_5]]/WWWW[[#This Row],[Total PoP ]]</f>
        <v>0.99206349206349209</v>
      </c>
      <c r="DT34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7" s="930">
        <f>WWWW[[#This Row],['#_Constructed/Existing hand washing stations]]-WWWW[[#This Row],['#_Non-Functional_hand_washing_stations]]</f>
        <v>4</v>
      </c>
      <c r="DW347" s="927">
        <f>IF(WWWW[[#This Row],['# Functional hand washing stations during reporting period]]*20&gt;WWWW[[#This Row],[Total HH]],WWWW[[#This Row],[Total HH]],WWWW[[#This Row],['# Functional hand washing stations during reporting period]]*20)</f>
        <v>80</v>
      </c>
      <c r="DX347" s="927">
        <f>IF(WWWW[[#This Row],[Is sufficient soap available for TLS? (Yes/No)]]="yes",WWWW[[#This Row],['#_Constructed/Existing hand washing stations at TLS/CFS/THF]],0)</f>
        <v>0</v>
      </c>
      <c r="DY347" s="429">
        <f>IF(WWWW[[#This Row],['# Functional hand washing stations during reporting period]]*100&gt;WWWW[[#This Row],[Total PoP ]],WWWW[[#This Row],[Total PoP ]],WWWW[[#This Row],['# Functional hand washing stations during reporting period]]*100)</f>
        <v>400</v>
      </c>
      <c r="DZ347" s="429" t="str">
        <f>IF(OR(WWWW[[#This Row],['#_students at TLS_CFS]]="",WWWW[[#This Row],['#_students at TLS_CFS]]=0),"No","Yes")</f>
        <v>Yes</v>
      </c>
      <c r="EA347" s="634">
        <f>IF(WWWW[[#This Row],['#_of_affected_people_surveyed_who_report_feeling_informed_about_the_different_WASH_services_available_to_them]]="","",WWWW[[#This Row],['#_of_affected_people_surveyed_who_report_feeling_informed_about_the_different_WASH_services_available_to_them]]/WWWW[[#This Row],[Total PoP ]])</f>
        <v>1.984126984126984E-2</v>
      </c>
      <c r="EB34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504</v>
      </c>
      <c r="ED34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7" s="923" t="str">
        <f>VLOOKUP(WWWW[[#This Row],[Site Name]],SiteDB6[[Site Name]:[CCCM Management]],6,FALSE)</f>
        <v>Yes</v>
      </c>
      <c r="EF347" s="923" t="str">
        <f>VLOOKUP(WWWW[[#This Row],[Site Name]],SiteDB6[[Site Name]:[CCCM Focal Agency]],7,FALSE)</f>
        <v>KBC-MYT</v>
      </c>
      <c r="EG347" s="923" t="str">
        <f>VLOOKUP(WWWW[[#This Row],[Site Name]],SiteDB6[[Site Name]:[Location Type 1]],9,FALSE)</f>
        <v>Camp</v>
      </c>
      <c r="EH347" s="923" t="str">
        <f>VLOOKUP(WWWW[[#This Row],[Site Name]],SiteDB6[[Site Name]:[Type of Accommodation]],10,FALSE)</f>
        <v>Camp</v>
      </c>
      <c r="EI347" s="923" t="str">
        <f>VLOOKUP(WWWW[[#This Row],[Site Name]],SiteDB6[[Site Name]:[Ethnic or GCA/NGCA]],11,FALSE)</f>
        <v>GCA</v>
      </c>
      <c r="EJ347" s="923">
        <f>VLOOKUP(WWWW[[#This Row],[Site Name]],SiteDB6[[Site Name]:[Lat]],12,FALSE)</f>
        <v>25.611160000000002</v>
      </c>
      <c r="EK347" s="923">
        <f>VLOOKUP(WWWW[[#This Row],[Site Name]],SiteDB6[[Site Name]:[Long]],13,FALSE)</f>
        <v>96.312790000000007</v>
      </c>
      <c r="EL347" s="923" t="str">
        <f>VLOOKUP(WWWW[[#This Row],[Site Name]],SiteDB6[[Site Name]:[Pcode]],3,FALSE)</f>
        <v>MMR001CMP229</v>
      </c>
      <c r="EM347" s="928" t="str">
        <f t="shared" si="5"/>
        <v>Covered</v>
      </c>
      <c r="EN347" s="928"/>
      <c r="EO347" s="923">
        <f>VLOOKUP(WWWW[[#This Row],[Site Name]],SiteDB6[[Site Name]:[Pop
(Kachin/Shan-CCCM as of July 2021)]],16,FALSE)</f>
        <v>97</v>
      </c>
      <c r="EP347" s="923">
        <f>VLOOKUP(WWWW[[#This Row],[Site Name]],SiteDB6[[Site Name]:[Pop
(Kachin/Shan-CCCM as of July 2021)]],17,FALSE)</f>
        <v>484</v>
      </c>
    </row>
    <row r="348" spans="1:146">
      <c r="A348" s="921" t="s">
        <v>2786</v>
      </c>
      <c r="B348" s="921" t="s">
        <v>242</v>
      </c>
      <c r="C348" s="922" t="s">
        <v>242</v>
      </c>
      <c r="D348" s="922" t="s">
        <v>299</v>
      </c>
      <c r="E348" s="922" t="s">
        <v>37</v>
      </c>
      <c r="F348" s="922" t="s">
        <v>148</v>
      </c>
      <c r="G348" s="594" t="str">
        <f>VLOOKUP(WWWW[[#This Row],[Site Name]],SiteDB6[[Site Name]:[Location Type]],8,FALSE)</f>
        <v>Camp</v>
      </c>
      <c r="H348" s="922" t="s">
        <v>243</v>
      </c>
      <c r="I348" s="924">
        <v>124</v>
      </c>
      <c r="J348" s="924">
        <v>633</v>
      </c>
      <c r="K348" s="925">
        <v>44562</v>
      </c>
      <c r="L348" s="926">
        <v>44926</v>
      </c>
      <c r="M348" s="924">
        <v>152</v>
      </c>
      <c r="N348" s="924">
        <v>1</v>
      </c>
      <c r="O348" s="924"/>
      <c r="P348" s="924"/>
      <c r="Q348" s="927" t="s">
        <v>41</v>
      </c>
      <c r="R348" s="924">
        <v>4</v>
      </c>
      <c r="S348" s="924">
        <v>6</v>
      </c>
      <c r="T348" s="449">
        <v>1</v>
      </c>
      <c r="U348" s="924"/>
      <c r="V348" s="924"/>
      <c r="W348" s="924"/>
      <c r="X348" s="924"/>
      <c r="Y348" s="924"/>
      <c r="Z348" s="924"/>
      <c r="AA348" s="924">
        <v>1</v>
      </c>
      <c r="AB348" s="924"/>
      <c r="AC348" s="924">
        <v>1</v>
      </c>
      <c r="AD348" s="924"/>
      <c r="AE348" s="924">
        <v>1</v>
      </c>
      <c r="AF348" s="924"/>
      <c r="AG348" s="924">
        <v>1</v>
      </c>
      <c r="AH348" s="924"/>
      <c r="AI348" s="924"/>
      <c r="AJ348" s="924"/>
      <c r="AK348" s="924"/>
      <c r="AL348" s="924"/>
      <c r="AM348" s="924">
        <v>2</v>
      </c>
      <c r="AN348" s="924"/>
      <c r="AO348" s="449"/>
      <c r="AP348" s="928"/>
      <c r="AQ348" s="924">
        <v>29</v>
      </c>
      <c r="AR348" s="924"/>
      <c r="AS348" s="929"/>
      <c r="AT348" s="924"/>
      <c r="AU348" s="924">
        <v>10</v>
      </c>
      <c r="AV348" s="924">
        <v>7</v>
      </c>
      <c r="AW348" s="924"/>
      <c r="AX348" s="924">
        <v>0</v>
      </c>
      <c r="AY348" s="923" t="s">
        <v>41</v>
      </c>
      <c r="AZ348" s="928" t="s">
        <v>137</v>
      </c>
      <c r="BA348" s="924">
        <v>1</v>
      </c>
      <c r="BB348" s="924">
        <v>0</v>
      </c>
      <c r="BC348" s="924"/>
      <c r="BD348" s="449"/>
      <c r="BE348" s="449">
        <v>7</v>
      </c>
      <c r="BF348" s="923" t="s">
        <v>3090</v>
      </c>
      <c r="BG348" s="924">
        <v>7</v>
      </c>
      <c r="BH348" s="924"/>
      <c r="BI348" s="924"/>
      <c r="BJ348" s="924">
        <v>4</v>
      </c>
      <c r="BK348" s="924"/>
      <c r="BL348" s="924"/>
      <c r="BM348" s="924">
        <v>1</v>
      </c>
      <c r="BN348" s="924">
        <v>124</v>
      </c>
      <c r="BO348" s="924"/>
      <c r="BP348" s="923"/>
      <c r="BQ348" s="930"/>
      <c r="BR348" s="929"/>
      <c r="BS348" s="923" t="s">
        <v>3091</v>
      </c>
      <c r="BT348" s="424">
        <v>0.5</v>
      </c>
      <c r="BU348" s="424">
        <v>0.9</v>
      </c>
      <c r="BV348" s="426">
        <v>40</v>
      </c>
      <c r="BW348" s="424">
        <v>0.3</v>
      </c>
      <c r="BX348" s="449"/>
      <c r="BY348" s="449"/>
      <c r="BZ348" s="449"/>
      <c r="CA348" s="449"/>
      <c r="CB348" s="449"/>
      <c r="CC348" s="807"/>
      <c r="CD348" s="449"/>
      <c r="CE348" s="931" t="str">
        <f>IFERROR(WWWW[[#This Row],['#_Water sources passed]]/WWWW[[#This Row],['#_Water sources tested for fecal coliform ]],"no test")</f>
        <v>no test</v>
      </c>
      <c r="CF348" s="929" t="str">
        <f>IFERROR(WWWW[[#This Row],['#_Household passed]]/WWWW[[#This Row],['#_Household water samples tested for fecal coliform]],"no test")</f>
        <v>no test</v>
      </c>
      <c r="CG348" s="930" t="str">
        <f>IF(AND(WWWW[[#This Row],[% of water sources passed]]="no test",WWWW[[#This Row],[% Household passed]]="no test"),"No Test","Tested")</f>
        <v>No Test</v>
      </c>
      <c r="CH348" s="930">
        <f>WWWW[[#This Row],['#_Constructed/existing protected hand dug well]]-WWWW[[#This Row],['#_Non-functional protected hand dug well]]</f>
        <v>1</v>
      </c>
      <c r="CI348" s="930">
        <f>(WWWW[[#This Row],['#_Constructed/Existing tube wells/boreholes/handpumps_WASH_agency]]+WWWW[[#This Row],['#_Non-Cluster partner water tube-wells/boreholes/handpumps]])-WWWW[[#This Row],['#_Non-functional tube wells/boreholes/handpumps]]</f>
        <v>0</v>
      </c>
      <c r="CJ348" s="930">
        <f>WWWW[[#This Row],['#_Constructed/Existingwater storage tank with gravity fed reticulation system]]-WWWW[[#This Row],['#_Non-functional storage tank gravity fed reticulation system]]</f>
        <v>1</v>
      </c>
      <c r="CK348" s="930">
        <f>(WWWW[[#This Row],['#_Water_Liters_supplied_by_Water boating or water trucking]]/90)/15</f>
        <v>0</v>
      </c>
      <c r="CL348" s="930">
        <f>WWWW[[#This Row],['#_Water_Liters_from_Constructed/Existing water distribution system from river or natural spring]]/90/15</f>
        <v>0</v>
      </c>
      <c r="CM348" s="425">
        <f>IF(WWWW[[#This Row],['#_of water points in TLS/CFS]]*500&gt;WWWW[[#This Row],[Total PoP ]],WWWW[[#This Row],[Total PoP ]],WWWW[[#This Row],['#_of water points in TLS/CFS]]*500)</f>
        <v>0</v>
      </c>
      <c r="CN348" s="425">
        <f>IF(WWWW[[#This Row],['#_of water points in THF]]*500&gt;WWWW[[#This Row],[Total PoP ]],WWWW[[#This Row],[Total PoP ]],WWWW[[#This Row],['#_of water points in THF]]*500)</f>
        <v>0</v>
      </c>
      <c r="CO34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0.73723012111637709</v>
      </c>
      <c r="CP34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0.50026329647182732</v>
      </c>
      <c r="CQ348" s="929">
        <f>IF(WWWW[[#This Row],[Location Type 1]]="Village",WWWW[[#This Row],[Access to safe drinking water for Village]],WWWW[[#This Row],[Access to safe drinking water for Camp]])</f>
        <v>0.73723012111637709</v>
      </c>
      <c r="CR348" s="927">
        <f>WWWW[[#This Row],[%Equitable and continuous access to sufficient quantity of safe drinking water]]*WWWW[[#This Row],[Total PoP ]]</f>
        <v>466.66666666666669</v>
      </c>
      <c r="CS348" s="929">
        <f>IF((WWWW[[#This Row],['#_Constructed/Existing protected/fenced ponds]]*250)/WWWW[[#This Row],[Total PoP ]]&gt;1,1,(WWWW[[#This Row],['#_Constructed/Existing protected/fenced ponds]]*250)/WWWW[[#This Row],[Total PoP ]])</f>
        <v>0.39494470774091628</v>
      </c>
      <c r="CT348" s="927">
        <f>WWWW[[#This Row],[% Access to unimproved water points]]*WWWW[[#This Row],[Total PoP ]]</f>
        <v>250</v>
      </c>
      <c r="CU34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4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633</v>
      </c>
      <c r="CW348" s="927">
        <f>WWWW[[#This Row],[HRP1]]/500</f>
        <v>1.266</v>
      </c>
      <c r="CX348" s="932">
        <f>1-WWWW[[#This Row],[% Equitable and continuous access to sufficient quantity of domestic water]]</f>
        <v>0</v>
      </c>
      <c r="CY348" s="927">
        <f>WWWW[[#This Row],[%equitable and continuous access to sufficient quantity of safe drinking and domestic water''s GAP]]*WWWW[[#This Row],[Total PoP ]]</f>
        <v>0</v>
      </c>
      <c r="CZ348" s="930">
        <f>IF(WWWW[[#This Row],[Total required water points]]-WWWW[[#This Row],['#Water points coverage]]&lt;0,0,WWWW[[#This Row],[Total required water points]]-WWWW[[#This Row],['#Water points coverage]])</f>
        <v>0</v>
      </c>
      <c r="DA348" s="930">
        <f>ROUND(IF(WWWW[[#This Row],[Total PoP ]]&lt;500,1,WWWW[[#This Row],[Total PoP ]]/500),0)</f>
        <v>1</v>
      </c>
      <c r="DB348" s="930">
        <f>(WWWW[[#This Row],['#_Constructed latrines_by_WASHAgencies]]+WWWW[[#This Row],['#_Non Cluster partner latrines]])-WWWW[[#This Row],['#_Non-functional latrines]]</f>
        <v>29</v>
      </c>
      <c r="DC348" s="634">
        <f>WWWW[[#This Row],[HRP2]]/WWWW[[#This Row],[Total PoP ]]</f>
        <v>0.95892575039494465</v>
      </c>
      <c r="DD34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607</v>
      </c>
      <c r="DE34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34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8" s="425">
        <f>IF(WWWW[[#This Row],['# of functional latrines in THF supported by WASH partners during the reporting period2]]="",0,WWWW[[#This Row],['# of functional latrines in THF supported by WASH partners during the reporting period2]]*50)</f>
        <v>0</v>
      </c>
      <c r="DH348" s="930">
        <f>ROUND(IF(WWWW[[#This Row],[Location Type 1]]="camp",WWWW[[#This Row],[Total PoP ]]/20,IF(WWWW[[#This Row],[Location Type 1]]="Temporary Location",WWWW[[#This Row],[Total PoP ]]/50,(WWWW[[#This Row],[Total PoP ]]/6))),0)</f>
        <v>32</v>
      </c>
      <c r="DI348" s="930">
        <f>IF(WWWW[[#This Row],[Total required Latrines]]-(WWWW[[#This Row],['#_Constructed latrines_by_WASHAgencies]]+WWWW[[#This Row],['#_Non Cluster partner latrines]])&lt;0,0,WWWW[[#This Row],[Total required Latrines]]-(WWWW[[#This Row],['#_Constructed latrines_by_WASHAgencies]]+WWWW[[#This Row],['#_Non Cluster partner latrines]]))</f>
        <v>3</v>
      </c>
      <c r="DJ348" s="932">
        <f>1-WWWW[[#This Row],[% people access to functioning Latrine]]</f>
        <v>4.1074249605055346E-2</v>
      </c>
      <c r="DK348" s="931">
        <f>IF(OR(WWWW[[#This Row],['#_Non-functional latrines]]="",WWWW[[#This Row],['#_Non-functional latrines]]=0),0,WWWW[[#This Row],['#_Non-functional latrines]]/(WWWW[[#This Row],['#_Constructed latrines_by_WASHAgencies]]+WWWW[[#This Row],['#_Non Cluster partner latrines]]))</f>
        <v>0</v>
      </c>
      <c r="DL348" s="927">
        <f>IF(500*(WWWW[[#This Row],['#_male hygiene promoters]]+WWWW[[#This Row],['#_female hygiene promoters]])&gt;WWWW[[#This Row],[Total PoP ]],WWWW[[#This Row],[Total PoP ]],500*(WWWW[[#This Row],['#_male hygiene promoters]]+WWWW[[#This Row],['#_female hygiene promoters]]))</f>
        <v>500</v>
      </c>
      <c r="DM34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633</v>
      </c>
      <c r="DN34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8" s="930">
        <f>IF(WWWW[[#This Row],['# People with access to soap]]&gt;WWWW[[#This Row],['# People with access to Sanity Pads]],WWWW[[#This Row],['# People with access to soap]],WWWW[[#This Row],['# People with access to Sanity Pads]])</f>
        <v>633</v>
      </c>
      <c r="DP348" s="930">
        <f>IF(WWWW[[#This Row],['# people reached by regular dedicated hygiene promotion_5]]&gt;WWWW[[#This Row],['# People received regular supply of hygiene items_6]],WWWW[[#This Row],['# people reached by regular dedicated hygiene promotion_5]],WWWW[[#This Row],['# People received regular supply of hygiene items_6]])</f>
        <v>633</v>
      </c>
      <c r="DQ348" s="932">
        <f>IF(WWWW[[#This Row],[HRP3]]/WWWW[[#This Row],[Total PoP ]]&gt;1,1,WWWW[[#This Row],[HRP3]]/WWWW[[#This Row],[Total PoP ]])</f>
        <v>1</v>
      </c>
      <c r="DR348" s="931">
        <f>1-WWWW[[#This Row],[Hygiene Coverage%]]</f>
        <v>0</v>
      </c>
      <c r="DS348" s="929">
        <f>WWWW[[#This Row],['# people reached by regular dedicated hygiene promotion_5]]/WWWW[[#This Row],[Total PoP ]]</f>
        <v>0.78988941548183256</v>
      </c>
      <c r="DT34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8" s="930">
        <f>WWWW[[#This Row],['#_Constructed/Existing hand washing stations]]-WWWW[[#This Row],['#_Non-Functional_hand_washing_stations]]</f>
        <v>7</v>
      </c>
      <c r="DW348" s="927">
        <f>IF(WWWW[[#This Row],['# Functional hand washing stations during reporting period]]*20&gt;WWWW[[#This Row],[Total HH]],WWWW[[#This Row],[Total HH]],WWWW[[#This Row],['# Functional hand washing stations during reporting period]]*20)</f>
        <v>124</v>
      </c>
      <c r="DX348" s="927">
        <f>IF(WWWW[[#This Row],[Is sufficient soap available for TLS? (Yes/No)]]="yes",WWWW[[#This Row],['#_Constructed/Existing hand washing stations at TLS/CFS/THF]],0)</f>
        <v>0</v>
      </c>
      <c r="DY348" s="429">
        <f>IF(WWWW[[#This Row],['# Functional hand washing stations during reporting period]]*100&gt;WWWW[[#This Row],[Total PoP ]],WWWW[[#This Row],[Total PoP ]],WWWW[[#This Row],['# Functional hand washing stations during reporting period]]*100)</f>
        <v>633</v>
      </c>
      <c r="DZ348" s="429" t="str">
        <f>IF(OR(WWWW[[#This Row],['#_students at TLS_CFS]]="",WWWW[[#This Row],['#_students at TLS_CFS]]=0),"No","Yes")</f>
        <v>Yes</v>
      </c>
      <c r="EA348" s="634">
        <f>IF(WWWW[[#This Row],['#_of_affected_people_surveyed_who_report_feeling_informed_about_the_different_WASH_services_available_to_them]]="","",WWWW[[#This Row],['#_of_affected_people_surveyed_who_report_feeling_informed_about_the_different_WASH_services_available_to_them]]/WWWW[[#This Row],[Total PoP ]])</f>
        <v>6.3191153238546599E-2</v>
      </c>
      <c r="EB34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8" s="923" t="str">
        <f>VLOOKUP(WWWW[[#This Row],[Site Name]],SiteDB6[[Site Name]:[CCCM Management]],6,FALSE)</f>
        <v>Yes</v>
      </c>
      <c r="EF348" s="923" t="str">
        <f>VLOOKUP(WWWW[[#This Row],[Site Name]],SiteDB6[[Site Name]:[CCCM Focal Agency]],7,FALSE)</f>
        <v>KBC-MYT</v>
      </c>
      <c r="EG348" s="923" t="str">
        <f>VLOOKUP(WWWW[[#This Row],[Site Name]],SiteDB6[[Site Name]:[Location Type 1]],9,FALSE)</f>
        <v>Camp</v>
      </c>
      <c r="EH348" s="923" t="str">
        <f>VLOOKUP(WWWW[[#This Row],[Site Name]],SiteDB6[[Site Name]:[Type of Accommodation]],10,FALSE)</f>
        <v>camp</v>
      </c>
      <c r="EI348" s="923" t="str">
        <f>VLOOKUP(WWWW[[#This Row],[Site Name]],SiteDB6[[Site Name]:[Ethnic or GCA/NGCA]],11,FALSE)</f>
        <v>GCA</v>
      </c>
      <c r="EJ348" s="923">
        <f>VLOOKUP(WWWW[[#This Row],[Site Name]],SiteDB6[[Site Name]:[Lat]],12,FALSE)</f>
        <v>25.664000000000001</v>
      </c>
      <c r="EK348" s="923">
        <f>VLOOKUP(WWWW[[#This Row],[Site Name]],SiteDB6[[Site Name]:[Long]],13,FALSE)</f>
        <v>96.34</v>
      </c>
      <c r="EL348" s="923" t="str">
        <f>VLOOKUP(WWWW[[#This Row],[Site Name]],SiteDB6[[Site Name]:[Pcode]],3,FALSE)</f>
        <v>MMR001CMP250</v>
      </c>
      <c r="EM348" s="928" t="str">
        <f t="shared" si="5"/>
        <v>Covered</v>
      </c>
      <c r="EN348" s="928"/>
      <c r="EO348" s="923">
        <f>VLOOKUP(WWWW[[#This Row],[Site Name]],SiteDB6[[Site Name]:[Pop
(Kachin/Shan-CCCM as of July 2021)]],16,FALSE)</f>
        <v>124</v>
      </c>
      <c r="EP348" s="923">
        <f>VLOOKUP(WWWW[[#This Row],[Site Name]],SiteDB6[[Site Name]:[Pop
(Kachin/Shan-CCCM as of July 2021)]],17,FALSE)</f>
        <v>634</v>
      </c>
    </row>
    <row r="349" spans="1:146">
      <c r="A349" s="921" t="s">
        <v>2786</v>
      </c>
      <c r="B349" s="921" t="s">
        <v>242</v>
      </c>
      <c r="C349" s="922" t="s">
        <v>242</v>
      </c>
      <c r="D349" s="922" t="s">
        <v>299</v>
      </c>
      <c r="E349" s="922" t="s">
        <v>37</v>
      </c>
      <c r="F349" s="922" t="s">
        <v>148</v>
      </c>
      <c r="G349" s="594" t="str">
        <f>VLOOKUP(WWWW[[#This Row],[Site Name]],SiteDB6[[Site Name]:[Location Type]],8,FALSE)</f>
        <v>Camp</v>
      </c>
      <c r="H349" s="922" t="s">
        <v>255</v>
      </c>
      <c r="I349" s="924">
        <v>19</v>
      </c>
      <c r="J349" s="924">
        <v>103</v>
      </c>
      <c r="K349" s="925">
        <v>44562</v>
      </c>
      <c r="L349" s="926">
        <v>44926</v>
      </c>
      <c r="M349" s="924">
        <v>49</v>
      </c>
      <c r="N349" s="924">
        <v>1</v>
      </c>
      <c r="O349" s="924"/>
      <c r="P349" s="924"/>
      <c r="Q349" s="927" t="s">
        <v>41</v>
      </c>
      <c r="R349" s="924">
        <v>4</v>
      </c>
      <c r="S349" s="924">
        <v>3</v>
      </c>
      <c r="T349" s="449"/>
      <c r="U349" s="924"/>
      <c r="V349" s="924"/>
      <c r="W349" s="924"/>
      <c r="X349" s="924"/>
      <c r="Y349" s="924"/>
      <c r="Z349" s="924"/>
      <c r="AA349" s="924"/>
      <c r="AB349" s="924"/>
      <c r="AC349" s="924"/>
      <c r="AD349" s="924"/>
      <c r="AE349" s="924"/>
      <c r="AF349" s="924"/>
      <c r="AG349" s="924"/>
      <c r="AH349" s="924"/>
      <c r="AI349" s="924"/>
      <c r="AJ349" s="924"/>
      <c r="AK349" s="924"/>
      <c r="AL349" s="924"/>
      <c r="AM349" s="924"/>
      <c r="AN349" s="924"/>
      <c r="AO349" s="449"/>
      <c r="AP349" s="928" t="s">
        <v>3080</v>
      </c>
      <c r="AQ349" s="924">
        <v>8</v>
      </c>
      <c r="AR349" s="924"/>
      <c r="AS349" s="929"/>
      <c r="AT349" s="924"/>
      <c r="AU349" s="924"/>
      <c r="AV349" s="924">
        <v>1</v>
      </c>
      <c r="AW349" s="924"/>
      <c r="AX349" s="924"/>
      <c r="AY349" s="923" t="s">
        <v>41</v>
      </c>
      <c r="AZ349" s="928" t="s">
        <v>137</v>
      </c>
      <c r="BA349" s="924"/>
      <c r="BB349" s="924"/>
      <c r="BC349" s="924"/>
      <c r="BD349" s="449"/>
      <c r="BE349" s="449"/>
      <c r="BF349" s="923"/>
      <c r="BG349" s="924">
        <v>2</v>
      </c>
      <c r="BH349" s="924"/>
      <c r="BI349" s="924"/>
      <c r="BJ349" s="924">
        <v>4</v>
      </c>
      <c r="BK349" s="924"/>
      <c r="BL349" s="924"/>
      <c r="BM349" s="924"/>
      <c r="BN349" s="924">
        <v>19</v>
      </c>
      <c r="BO349" s="924"/>
      <c r="BP349" s="923"/>
      <c r="BQ349" s="930">
        <v>5</v>
      </c>
      <c r="BR349" s="929">
        <v>0.99</v>
      </c>
      <c r="BS349" s="923" t="s">
        <v>3086</v>
      </c>
      <c r="BT349" s="424">
        <v>1</v>
      </c>
      <c r="BU349" s="424">
        <v>0.99</v>
      </c>
      <c r="BV349" s="426"/>
      <c r="BW349" s="424">
        <v>0.8</v>
      </c>
      <c r="BX349" s="449"/>
      <c r="BY349" s="449"/>
      <c r="BZ349" s="449"/>
      <c r="CA349" s="449"/>
      <c r="CB349" s="449"/>
      <c r="CC349" s="807"/>
      <c r="CD349" s="449"/>
      <c r="CE349" s="931" t="str">
        <f>IFERROR(WWWW[[#This Row],['#_Water sources passed]]/WWWW[[#This Row],['#_Water sources tested for fecal coliform ]],"no test")</f>
        <v>no test</v>
      </c>
      <c r="CF349" s="929" t="str">
        <f>IFERROR(WWWW[[#This Row],['#_Household passed]]/WWWW[[#This Row],['#_Household water samples tested for fecal coliform]],"no test")</f>
        <v>no test</v>
      </c>
      <c r="CG349" s="930" t="str">
        <f>IF(AND(WWWW[[#This Row],[% of water sources passed]]="no test",WWWW[[#This Row],[% Household passed]]="no test"),"No Test","Tested")</f>
        <v>No Test</v>
      </c>
      <c r="CH349" s="930">
        <f>WWWW[[#This Row],['#_Constructed/existing protected hand dug well]]-WWWW[[#This Row],['#_Non-functional protected hand dug well]]</f>
        <v>0</v>
      </c>
      <c r="CI349" s="930">
        <f>(WWWW[[#This Row],['#_Constructed/Existing tube wells/boreholes/handpumps_WASH_agency]]+WWWW[[#This Row],['#_Non-Cluster partner water tube-wells/boreholes/handpumps]])-WWWW[[#This Row],['#_Non-functional tube wells/boreholes/handpumps]]</f>
        <v>0</v>
      </c>
      <c r="CJ349" s="930">
        <f>WWWW[[#This Row],['#_Constructed/Existingwater storage tank with gravity fed reticulation system]]-WWWW[[#This Row],['#_Non-functional storage tank gravity fed reticulation system]]</f>
        <v>0</v>
      </c>
      <c r="CK349" s="930">
        <f>(WWWW[[#This Row],['#_Water_Liters_supplied_by_Water boating or water trucking]]/90)/15</f>
        <v>0</v>
      </c>
      <c r="CL349" s="930">
        <f>WWWW[[#This Row],['#_Water_Liters_from_Constructed/Existing water distribution system from river or natural spring]]/90/15</f>
        <v>0</v>
      </c>
      <c r="CM349" s="425">
        <f>IF(WWWW[[#This Row],['#_of water points in TLS/CFS]]*500&gt;WWWW[[#This Row],[Total PoP ]],WWWW[[#This Row],[Total PoP ]],WWWW[[#This Row],['#_of water points in TLS/CFS]]*500)</f>
        <v>0</v>
      </c>
      <c r="CN349" s="425">
        <f>IF(WWWW[[#This Row],['#_of water points in THF]]*500&gt;WWWW[[#This Row],[Total PoP ]],WWWW[[#This Row],[Total PoP ]],WWWW[[#This Row],['#_of water points in THF]]*500)</f>
        <v>0</v>
      </c>
      <c r="CO34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4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49" s="929">
        <f>IF(WWWW[[#This Row],[Location Type 1]]="Village",WWWW[[#This Row],[Access to safe drinking water for Village]],WWWW[[#This Row],[Access to safe drinking water for Camp]])</f>
        <v>0</v>
      </c>
      <c r="CR349" s="927">
        <f>WWWW[[#This Row],[%Equitable and continuous access to sufficient quantity of safe drinking water]]*WWWW[[#This Row],[Total PoP ]]</f>
        <v>0</v>
      </c>
      <c r="CS349" s="929">
        <f>IF((WWWW[[#This Row],['#_Constructed/Existing protected/fenced ponds]]*250)/WWWW[[#This Row],[Total PoP ]]&gt;1,1,(WWWW[[#This Row],['#_Constructed/Existing protected/fenced ponds]]*250)/WWWW[[#This Row],[Total PoP ]])</f>
        <v>0</v>
      </c>
      <c r="CT349" s="927">
        <f>WWWW[[#This Row],[% Access to unimproved water points]]*WWWW[[#This Row],[Total PoP ]]</f>
        <v>0</v>
      </c>
      <c r="CU34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V34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49" s="927">
        <f>WWWW[[#This Row],[HRP1]]/500</f>
        <v>0</v>
      </c>
      <c r="CX349" s="932">
        <f>1-WWWW[[#This Row],[% Equitable and continuous access to sufficient quantity of domestic water]]</f>
        <v>1</v>
      </c>
      <c r="CY349" s="927">
        <f>WWWW[[#This Row],[%equitable and continuous access to sufficient quantity of safe drinking and domestic water''s GAP]]*WWWW[[#This Row],[Total PoP ]]</f>
        <v>103</v>
      </c>
      <c r="CZ349" s="930">
        <f>IF(WWWW[[#This Row],[Total required water points]]-WWWW[[#This Row],['#Water points coverage]]&lt;0,0,WWWW[[#This Row],[Total required water points]]-WWWW[[#This Row],['#Water points coverage]])</f>
        <v>1</v>
      </c>
      <c r="DA349" s="930">
        <f>ROUND(IF(WWWW[[#This Row],[Total PoP ]]&lt;500,1,WWWW[[#This Row],[Total PoP ]]/500),0)</f>
        <v>1</v>
      </c>
      <c r="DB349" s="930">
        <f>(WWWW[[#This Row],['#_Constructed latrines_by_WASHAgencies]]+WWWW[[#This Row],['#_Non Cluster partner latrines]])-WWWW[[#This Row],['#_Non-functional latrines]]</f>
        <v>8</v>
      </c>
      <c r="DC349" s="634">
        <f>WWWW[[#This Row],[HRP2]]/WWWW[[#This Row],[Total PoP ]]</f>
        <v>1</v>
      </c>
      <c r="DD34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103</v>
      </c>
      <c r="DE34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F34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49" s="425">
        <f>IF(WWWW[[#This Row],['# of functional latrines in THF supported by WASH partners during the reporting period2]]="",0,WWWW[[#This Row],['# of functional latrines in THF supported by WASH partners during the reporting period2]]*50)</f>
        <v>0</v>
      </c>
      <c r="DH349" s="930">
        <f>ROUND(IF(WWWW[[#This Row],[Location Type 1]]="camp",WWWW[[#This Row],[Total PoP ]]/20,IF(WWWW[[#This Row],[Location Type 1]]="Temporary Location",WWWW[[#This Row],[Total PoP ]]/50,(WWWW[[#This Row],[Total PoP ]]/6))),0)</f>
        <v>5</v>
      </c>
      <c r="DI349" s="930">
        <f>IF(WWWW[[#This Row],[Total required Latrines]]-(WWWW[[#This Row],['#_Constructed latrines_by_WASHAgencies]]+WWWW[[#This Row],['#_Non Cluster partner latrines]])&lt;0,0,WWWW[[#This Row],[Total required Latrines]]-(WWWW[[#This Row],['#_Constructed latrines_by_WASHAgencies]]+WWWW[[#This Row],['#_Non Cluster partner latrines]]))</f>
        <v>0</v>
      </c>
      <c r="DJ349" s="932">
        <f>1-WWWW[[#This Row],[% people access to functioning Latrine]]</f>
        <v>0</v>
      </c>
      <c r="DK349" s="931">
        <f>IF(OR(WWWW[[#This Row],['#_Non-functional latrines]]="",WWWW[[#This Row],['#_Non-functional latrines]]=0),0,WWWW[[#This Row],['#_Non-functional latrines]]/(WWWW[[#This Row],['#_Constructed latrines_by_WASHAgencies]]+WWWW[[#This Row],['#_Non Cluster partner latrines]]))</f>
        <v>0</v>
      </c>
      <c r="DL349" s="927">
        <f>IF(500*(WWWW[[#This Row],['#_male hygiene promoters]]+WWWW[[#This Row],['#_female hygiene promoters]])&gt;WWWW[[#This Row],[Total PoP ]],WWWW[[#This Row],[Total PoP ]],500*(WWWW[[#This Row],['#_male hygiene promoters]]+WWWW[[#This Row],['#_female hygiene promoters]]))</f>
        <v>0</v>
      </c>
      <c r="DM34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103</v>
      </c>
      <c r="DN34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49" s="930">
        <f>IF(WWWW[[#This Row],['# People with access to soap]]&gt;WWWW[[#This Row],['# People with access to Sanity Pads]],WWWW[[#This Row],['# People with access to soap]],WWWW[[#This Row],['# People with access to Sanity Pads]])</f>
        <v>103</v>
      </c>
      <c r="DP349" s="930">
        <f>IF(WWWW[[#This Row],['# people reached by regular dedicated hygiene promotion_5]]&gt;WWWW[[#This Row],['# People received regular supply of hygiene items_6]],WWWW[[#This Row],['# people reached by regular dedicated hygiene promotion_5]],WWWW[[#This Row],['# People received regular supply of hygiene items_6]])</f>
        <v>103</v>
      </c>
      <c r="DQ349" s="932">
        <f>IF(WWWW[[#This Row],[HRP3]]/WWWW[[#This Row],[Total PoP ]]&gt;1,1,WWWW[[#This Row],[HRP3]]/WWWW[[#This Row],[Total PoP ]])</f>
        <v>1</v>
      </c>
      <c r="DR349" s="931">
        <f>1-WWWW[[#This Row],[Hygiene Coverage%]]</f>
        <v>0</v>
      </c>
      <c r="DS349" s="929">
        <f>WWWW[[#This Row],['# people reached by regular dedicated hygiene promotion_5]]/WWWW[[#This Row],[Total PoP ]]</f>
        <v>0</v>
      </c>
      <c r="DT34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4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49" s="930">
        <f>WWWW[[#This Row],['#_Constructed/Existing hand washing stations]]-WWWW[[#This Row],['#_Non-Functional_hand_washing_stations]]</f>
        <v>2</v>
      </c>
      <c r="DW349" s="927">
        <f>IF(WWWW[[#This Row],['# Functional hand washing stations during reporting period]]*20&gt;WWWW[[#This Row],[Total HH]],WWWW[[#This Row],[Total HH]],WWWW[[#This Row],['# Functional hand washing stations during reporting period]]*20)</f>
        <v>19</v>
      </c>
      <c r="DX349" s="927">
        <f>IF(WWWW[[#This Row],[Is sufficient soap available for TLS? (Yes/No)]]="yes",WWWW[[#This Row],['#_Constructed/Existing hand washing stations at TLS/CFS/THF]],0)</f>
        <v>0</v>
      </c>
      <c r="DY349" s="429">
        <f>IF(WWWW[[#This Row],['# Functional hand washing stations during reporting period]]*100&gt;WWWW[[#This Row],[Total PoP ]],WWWW[[#This Row],[Total PoP ]],WWWW[[#This Row],['# Functional hand washing stations during reporting period]]*100)</f>
        <v>103</v>
      </c>
      <c r="DZ349" s="429" t="str">
        <f>IF(OR(WWWW[[#This Row],['#_students at TLS_CFS]]="",WWWW[[#This Row],['#_students at TLS_CFS]]=0),"No","Yes")</f>
        <v>Yes</v>
      </c>
      <c r="EA34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4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4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4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49" s="923" t="str">
        <f>VLOOKUP(WWWW[[#This Row],[Site Name]],SiteDB6[[Site Name]:[CCCM Management]],6,FALSE)</f>
        <v>Yes</v>
      </c>
      <c r="EF349" s="923" t="str">
        <f>VLOOKUP(WWWW[[#This Row],[Site Name]],SiteDB6[[Site Name]:[CCCM Focal Agency]],7,FALSE)</f>
        <v>Shalom</v>
      </c>
      <c r="EG349" s="923" t="str">
        <f>VLOOKUP(WWWW[[#This Row],[Site Name]],SiteDB6[[Site Name]:[Location Type 1]],9,FALSE)</f>
        <v>Camp</v>
      </c>
      <c r="EH349" s="923" t="str">
        <f>VLOOKUP(WWWW[[#This Row],[Site Name]],SiteDB6[[Site Name]:[Type of Accommodation]],10,FALSE)</f>
        <v>Camp</v>
      </c>
      <c r="EI349" s="923" t="str">
        <f>VLOOKUP(WWWW[[#This Row],[Site Name]],SiteDB6[[Site Name]:[Ethnic or GCA/NGCA]],11,FALSE)</f>
        <v>GCA</v>
      </c>
      <c r="EJ349" s="923">
        <f>VLOOKUP(WWWW[[#This Row],[Site Name]],SiteDB6[[Site Name]:[Lat]],12,FALSE)</f>
        <v>25.566510000000001</v>
      </c>
      <c r="EK349" s="923">
        <f>VLOOKUP(WWWW[[#This Row],[Site Name]],SiteDB6[[Site Name]:[Long]],13,FALSE)</f>
        <v>96.269199999999998</v>
      </c>
      <c r="EL349" s="923" t="str">
        <f>VLOOKUP(WWWW[[#This Row],[Site Name]],SiteDB6[[Site Name]:[Pcode]],3,FALSE)</f>
        <v>MMR001CMP181</v>
      </c>
      <c r="EM349" s="928" t="str">
        <f t="shared" si="5"/>
        <v>Covered</v>
      </c>
      <c r="EN349" s="928"/>
      <c r="EO349" s="923">
        <f>VLOOKUP(WWWW[[#This Row],[Site Name]],SiteDB6[[Site Name]:[Pop
(Kachin/Shan-CCCM as of July 2021)]],16,FALSE)</f>
        <v>19</v>
      </c>
      <c r="EP349" s="923">
        <f>VLOOKUP(WWWW[[#This Row],[Site Name]],SiteDB6[[Site Name]:[Pop
(Kachin/Shan-CCCM as of July 2021)]],17,FALSE)</f>
        <v>100</v>
      </c>
    </row>
    <row r="350" spans="1:146">
      <c r="A350" s="921" t="s">
        <v>2786</v>
      </c>
      <c r="B350" s="921" t="s">
        <v>242</v>
      </c>
      <c r="C350" s="922" t="s">
        <v>242</v>
      </c>
      <c r="D350" s="922" t="s">
        <v>299</v>
      </c>
      <c r="E350" s="922" t="s">
        <v>37</v>
      </c>
      <c r="F350" s="922" t="s">
        <v>148</v>
      </c>
      <c r="G350" s="594" t="str">
        <f>VLOOKUP(WWWW[[#This Row],[Site Name]],SiteDB6[[Site Name]:[Location Type]],8,FALSE)</f>
        <v>Camp</v>
      </c>
      <c r="H350" s="922" t="s">
        <v>256</v>
      </c>
      <c r="I350" s="924">
        <v>10</v>
      </c>
      <c r="J350" s="924">
        <v>54</v>
      </c>
      <c r="K350" s="925">
        <v>44562</v>
      </c>
      <c r="L350" s="926">
        <v>44926</v>
      </c>
      <c r="M350" s="924"/>
      <c r="N350" s="924">
        <v>1</v>
      </c>
      <c r="O350" s="924"/>
      <c r="P350" s="924"/>
      <c r="Q350" s="927" t="s">
        <v>41</v>
      </c>
      <c r="R350" s="924">
        <v>3</v>
      </c>
      <c r="S350" s="924">
        <v>4</v>
      </c>
      <c r="T350" s="449">
        <v>1</v>
      </c>
      <c r="U350" s="924"/>
      <c r="V350" s="924"/>
      <c r="W350" s="924">
        <v>1</v>
      </c>
      <c r="X350" s="924"/>
      <c r="Y350" s="924"/>
      <c r="Z350" s="924"/>
      <c r="AA350" s="924"/>
      <c r="AB350" s="924"/>
      <c r="AC350" s="924"/>
      <c r="AD350" s="924"/>
      <c r="AE350" s="924">
        <v>1</v>
      </c>
      <c r="AF350" s="924">
        <v>1000</v>
      </c>
      <c r="AG350" s="924">
        <v>1</v>
      </c>
      <c r="AH350" s="924"/>
      <c r="AI350" s="924"/>
      <c r="AJ350" s="924"/>
      <c r="AK350" s="924"/>
      <c r="AL350" s="924"/>
      <c r="AM350" s="924"/>
      <c r="AN350" s="924"/>
      <c r="AO350" s="449"/>
      <c r="AP350" s="928" t="s">
        <v>3081</v>
      </c>
      <c r="AQ350" s="924">
        <v>2</v>
      </c>
      <c r="AR350" s="924">
        <v>2</v>
      </c>
      <c r="AS350" s="929"/>
      <c r="AT350" s="924"/>
      <c r="AU350" s="924"/>
      <c r="AV350" s="924"/>
      <c r="AW350" s="924"/>
      <c r="AX350" s="924"/>
      <c r="AY350" s="923" t="s">
        <v>41</v>
      </c>
      <c r="AZ350" s="928" t="s">
        <v>137</v>
      </c>
      <c r="BA350" s="924"/>
      <c r="BB350" s="924"/>
      <c r="BC350" s="924"/>
      <c r="BD350" s="449"/>
      <c r="BE350" s="449"/>
      <c r="BF350" s="923"/>
      <c r="BG350" s="924">
        <v>3</v>
      </c>
      <c r="BH350" s="924"/>
      <c r="BI350" s="924"/>
      <c r="BJ350" s="924">
        <v>2</v>
      </c>
      <c r="BK350" s="924">
        <v>2</v>
      </c>
      <c r="BL350" s="924"/>
      <c r="BM350" s="924">
        <v>1</v>
      </c>
      <c r="BN350" s="924">
        <v>10</v>
      </c>
      <c r="BO350" s="924">
        <v>14</v>
      </c>
      <c r="BP350" s="923"/>
      <c r="BQ350" s="930"/>
      <c r="BR350" s="929">
        <v>0.2</v>
      </c>
      <c r="BS350" s="923" t="s">
        <v>3088</v>
      </c>
      <c r="BT350" s="424">
        <v>0.99</v>
      </c>
      <c r="BU350" s="424">
        <v>0.99</v>
      </c>
      <c r="BV350" s="426"/>
      <c r="BW350" s="424">
        <v>0.3</v>
      </c>
      <c r="BX350" s="449"/>
      <c r="BY350" s="449"/>
      <c r="BZ350" s="449"/>
      <c r="CA350" s="449"/>
      <c r="CB350" s="449"/>
      <c r="CC350" s="807"/>
      <c r="CD350" s="449"/>
      <c r="CE350" s="931" t="str">
        <f>IFERROR(WWWW[[#This Row],['#_Water sources passed]]/WWWW[[#This Row],['#_Water sources tested for fecal coliform ]],"no test")</f>
        <v>no test</v>
      </c>
      <c r="CF350" s="929" t="str">
        <f>IFERROR(WWWW[[#This Row],['#_Household passed]]/WWWW[[#This Row],['#_Household water samples tested for fecal coliform]],"no test")</f>
        <v>no test</v>
      </c>
      <c r="CG350" s="930" t="str">
        <f>IF(AND(WWWW[[#This Row],[% of water sources passed]]="no test",WWWW[[#This Row],[% Household passed]]="no test"),"No Test","Tested")</f>
        <v>No Test</v>
      </c>
      <c r="CH350" s="930">
        <f>WWWW[[#This Row],['#_Constructed/existing protected hand dug well]]-WWWW[[#This Row],['#_Non-functional protected hand dug well]]</f>
        <v>1</v>
      </c>
      <c r="CI350" s="930">
        <f>(WWWW[[#This Row],['#_Constructed/Existing tube wells/boreholes/handpumps_WASH_agency]]+WWWW[[#This Row],['#_Non-Cluster partner water tube-wells/boreholes/handpumps]])-WWWW[[#This Row],['#_Non-functional tube wells/boreholes/handpumps]]</f>
        <v>1</v>
      </c>
      <c r="CJ350" s="930">
        <f>WWWW[[#This Row],['#_Constructed/Existingwater storage tank with gravity fed reticulation system]]-WWWW[[#This Row],['#_Non-functional storage tank gravity fed reticulation system]]</f>
        <v>0</v>
      </c>
      <c r="CK350" s="930">
        <f>(WWWW[[#This Row],['#_Water_Liters_supplied_by_Water boating or water trucking]]/90)/15</f>
        <v>0</v>
      </c>
      <c r="CL350" s="930">
        <f>WWWW[[#This Row],['#_Water_Liters_from_Constructed/Existing water distribution system from river or natural spring]]/90/15</f>
        <v>0.7407407407407407</v>
      </c>
      <c r="CM350" s="425">
        <f>IF(WWWW[[#This Row],['#_of water points in TLS/CFS]]*500&gt;WWWW[[#This Row],[Total PoP ]],WWWW[[#This Row],[Total PoP ]],WWWW[[#This Row],['#_of water points in TLS/CFS]]*500)</f>
        <v>0</v>
      </c>
      <c r="CN350" s="425">
        <f>IF(WWWW[[#This Row],['#_of water points in THF]]*500&gt;WWWW[[#This Row],[Total PoP ]],WWWW[[#This Row],[Total PoP ]],WWWW[[#This Row],['#_of water points in THF]]*500)</f>
        <v>0</v>
      </c>
      <c r="CO35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0" s="929">
        <f>IF(WWWW[[#This Row],[Location Type 1]]="Village",WWWW[[#This Row],[Access to safe drinking water for Village]],WWWW[[#This Row],[Access to safe drinking water for Camp]])</f>
        <v>1</v>
      </c>
      <c r="CR350" s="927">
        <f>WWWW[[#This Row],[%Equitable and continuous access to sufficient quantity of safe drinking water]]*WWWW[[#This Row],[Total PoP ]]</f>
        <v>54</v>
      </c>
      <c r="CS350" s="929">
        <f>IF((WWWW[[#This Row],['#_Constructed/Existing protected/fenced ponds]]*250)/WWWW[[#This Row],[Total PoP ]]&gt;1,1,(WWWW[[#This Row],['#_Constructed/Existing protected/fenced ponds]]*250)/WWWW[[#This Row],[Total PoP ]])</f>
        <v>1</v>
      </c>
      <c r="CT350" s="927">
        <f>WWWW[[#This Row],[% Access to unimproved water points]]*WWWW[[#This Row],[Total PoP ]]</f>
        <v>54</v>
      </c>
      <c r="CU35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v>
      </c>
      <c r="CW350" s="927">
        <f>WWWW[[#This Row],[HRP1]]/500</f>
        <v>0.108</v>
      </c>
      <c r="CX350" s="932">
        <f>1-WWWW[[#This Row],[% Equitable and continuous access to sufficient quantity of domestic water]]</f>
        <v>0</v>
      </c>
      <c r="CY350" s="927">
        <f>WWWW[[#This Row],[%equitable and continuous access to sufficient quantity of safe drinking and domestic water''s GAP]]*WWWW[[#This Row],[Total PoP ]]</f>
        <v>0</v>
      </c>
      <c r="CZ350" s="930">
        <f>IF(WWWW[[#This Row],[Total required water points]]-WWWW[[#This Row],['#Water points coverage]]&lt;0,0,WWWW[[#This Row],[Total required water points]]-WWWW[[#This Row],['#Water points coverage]])</f>
        <v>0.89200000000000002</v>
      </c>
      <c r="DA350" s="930">
        <f>ROUND(IF(WWWW[[#This Row],[Total PoP ]]&lt;500,1,WWWW[[#This Row],[Total PoP ]]/500),0)</f>
        <v>1</v>
      </c>
      <c r="DB350" s="930">
        <f>(WWWW[[#This Row],['#_Constructed latrines_by_WASHAgencies]]+WWWW[[#This Row],['#_Non Cluster partner latrines]])-WWWW[[#This Row],['#_Non-functional latrines]]</f>
        <v>4</v>
      </c>
      <c r="DC350" s="634">
        <f>WWWW[[#This Row],[HRP2]]/WWWW[[#This Row],[Total PoP ]]</f>
        <v>1</v>
      </c>
      <c r="DD35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54</v>
      </c>
      <c r="DE35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0" s="425">
        <f>IF(WWWW[[#This Row],['# of functional latrines in THF supported by WASH partners during the reporting period2]]="",0,WWWW[[#This Row],['# of functional latrines in THF supported by WASH partners during the reporting period2]]*50)</f>
        <v>0</v>
      </c>
      <c r="DH350" s="930">
        <f>ROUND(IF(WWWW[[#This Row],[Location Type 1]]="camp",WWWW[[#This Row],[Total PoP ]]/20,IF(WWWW[[#This Row],[Location Type 1]]="Temporary Location",WWWW[[#This Row],[Total PoP ]]/50,(WWWW[[#This Row],[Total PoP ]]/6))),0)</f>
        <v>3</v>
      </c>
      <c r="DI350" s="930">
        <f>IF(WWWW[[#This Row],[Total required Latrines]]-(WWWW[[#This Row],['#_Constructed latrines_by_WASHAgencies]]+WWWW[[#This Row],['#_Non Cluster partner latrines]])&lt;0,0,WWWW[[#This Row],[Total required Latrines]]-(WWWW[[#This Row],['#_Constructed latrines_by_WASHAgencies]]+WWWW[[#This Row],['#_Non Cluster partner latrines]]))</f>
        <v>0</v>
      </c>
      <c r="DJ350" s="932">
        <f>1-WWWW[[#This Row],[% people access to functioning Latrine]]</f>
        <v>0</v>
      </c>
      <c r="DK350" s="931">
        <f>IF(OR(WWWW[[#This Row],['#_Non-functional latrines]]="",WWWW[[#This Row],['#_Non-functional latrines]]=0),0,WWWW[[#This Row],['#_Non-functional latrines]]/(WWWW[[#This Row],['#_Constructed latrines_by_WASHAgencies]]+WWWW[[#This Row],['#_Non Cluster partner latrines]]))</f>
        <v>0</v>
      </c>
      <c r="DL350" s="927">
        <f>IF(500*(WWWW[[#This Row],['#_male hygiene promoters]]+WWWW[[#This Row],['#_female hygiene promoters]])&gt;WWWW[[#This Row],[Total PoP ]],WWWW[[#This Row],[Total PoP ]],500*(WWWW[[#This Row],['#_male hygiene promoters]]+WWWW[[#This Row],['#_female hygiene promoters]]))</f>
        <v>54</v>
      </c>
      <c r="DM35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v>
      </c>
      <c r="DN35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O350" s="930">
        <f>IF(WWWW[[#This Row],['# People with access to soap]]&gt;WWWW[[#This Row],['# People with access to Sanity Pads]],WWWW[[#This Row],['# People with access to soap]],WWWW[[#This Row],['# People with access to Sanity Pads]])</f>
        <v>54</v>
      </c>
      <c r="DP350" s="930">
        <f>IF(WWWW[[#This Row],['# people reached by regular dedicated hygiene promotion_5]]&gt;WWWW[[#This Row],['# People received regular supply of hygiene items_6]],WWWW[[#This Row],['# people reached by regular dedicated hygiene promotion_5]],WWWW[[#This Row],['# People received regular supply of hygiene items_6]])</f>
        <v>54</v>
      </c>
      <c r="DQ350" s="932">
        <f>IF(WWWW[[#This Row],[HRP3]]/WWWW[[#This Row],[Total PoP ]]&gt;1,1,WWWW[[#This Row],[HRP3]]/WWWW[[#This Row],[Total PoP ]])</f>
        <v>1</v>
      </c>
      <c r="DR350" s="931">
        <f>1-WWWW[[#This Row],[Hygiene Coverage%]]</f>
        <v>0</v>
      </c>
      <c r="DS350" s="929">
        <f>WWWW[[#This Row],['# people reached by regular dedicated hygiene promotion_5]]/WWWW[[#This Row],[Total PoP ]]</f>
        <v>1</v>
      </c>
      <c r="DT35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50" s="930">
        <f>WWWW[[#This Row],['#_Constructed/Existing hand washing stations]]-WWWW[[#This Row],['#_Non-Functional_hand_washing_stations]]</f>
        <v>3</v>
      </c>
      <c r="DW350" s="927">
        <f>IF(WWWW[[#This Row],['# Functional hand washing stations during reporting period]]*20&gt;WWWW[[#This Row],[Total HH]],WWWW[[#This Row],[Total HH]],WWWW[[#This Row],['# Functional hand washing stations during reporting period]]*20)</f>
        <v>10</v>
      </c>
      <c r="DX350" s="927">
        <f>IF(WWWW[[#This Row],[Is sufficient soap available for TLS? (Yes/No)]]="yes",WWWW[[#This Row],['#_Constructed/Existing hand washing stations at TLS/CFS/THF]],0)</f>
        <v>0</v>
      </c>
      <c r="DY350" s="429">
        <f>IF(WWWW[[#This Row],['# Functional hand washing stations during reporting period]]*100&gt;WWWW[[#This Row],[Total PoP ]],WWWW[[#This Row],[Total PoP ]],WWWW[[#This Row],['# Functional hand washing stations during reporting period]]*100)</f>
        <v>54</v>
      </c>
      <c r="DZ350" s="429" t="str">
        <f>IF(OR(WWWW[[#This Row],['#_students at TLS_CFS]]="",WWWW[[#This Row],['#_students at TLS_CFS]]=0),"No","Yes")</f>
        <v>No</v>
      </c>
      <c r="EA35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0" s="923" t="str">
        <f>VLOOKUP(WWWW[[#This Row],[Site Name]],SiteDB6[[Site Name]:[CCCM Management]],6,FALSE)</f>
        <v>Yes</v>
      </c>
      <c r="EF350" s="923" t="str">
        <f>VLOOKUP(WWWW[[#This Row],[Site Name]],SiteDB6[[Site Name]:[CCCM Focal Agency]],7,FALSE)</f>
        <v>Shalom</v>
      </c>
      <c r="EG350" s="923" t="str">
        <f>VLOOKUP(WWWW[[#This Row],[Site Name]],SiteDB6[[Site Name]:[Location Type 1]],9,FALSE)</f>
        <v>Camp</v>
      </c>
      <c r="EH350" s="923" t="str">
        <f>VLOOKUP(WWWW[[#This Row],[Site Name]],SiteDB6[[Site Name]:[Type of Accommodation]],10,FALSE)</f>
        <v>Camp</v>
      </c>
      <c r="EI350" s="923" t="str">
        <f>VLOOKUP(WWWW[[#This Row],[Site Name]],SiteDB6[[Site Name]:[Ethnic or GCA/NGCA]],11,FALSE)</f>
        <v>GCA</v>
      </c>
      <c r="EJ350" s="923">
        <f>VLOOKUP(WWWW[[#This Row],[Site Name]],SiteDB6[[Site Name]:[Lat]],12,FALSE)</f>
        <v>25.61842</v>
      </c>
      <c r="EK350" s="923">
        <f>VLOOKUP(WWWW[[#This Row],[Site Name]],SiteDB6[[Site Name]:[Long]],13,FALSE)</f>
        <v>96.316400000000002</v>
      </c>
      <c r="EL350" s="923" t="str">
        <f>VLOOKUP(WWWW[[#This Row],[Site Name]],SiteDB6[[Site Name]:[Pcode]],3,FALSE)</f>
        <v>MMR001CMP167</v>
      </c>
      <c r="EM350" s="928" t="str">
        <f t="shared" si="5"/>
        <v>Covered</v>
      </c>
      <c r="EN350" s="928"/>
      <c r="EO350" s="923">
        <f>VLOOKUP(WWWW[[#This Row],[Site Name]],SiteDB6[[Site Name]:[Pop
(Kachin/Shan-CCCM as of July 2021)]],16,FALSE)</f>
        <v>10</v>
      </c>
      <c r="EP350" s="923">
        <f>VLOOKUP(WWWW[[#This Row],[Site Name]],SiteDB6[[Site Name]:[Pop
(Kachin/Shan-CCCM as of July 2021)]],17,FALSE)</f>
        <v>54</v>
      </c>
    </row>
    <row r="351" spans="1:146">
      <c r="A351" s="921" t="s">
        <v>2786</v>
      </c>
      <c r="B351" s="921" t="s">
        <v>242</v>
      </c>
      <c r="C351" s="922" t="s">
        <v>242</v>
      </c>
      <c r="D351" s="922" t="s">
        <v>299</v>
      </c>
      <c r="E351" s="922" t="s">
        <v>37</v>
      </c>
      <c r="F351" s="922" t="s">
        <v>148</v>
      </c>
      <c r="G351" s="594" t="str">
        <f>VLOOKUP(WWWW[[#This Row],[Site Name]],SiteDB6[[Site Name]:[Location Type]],8,FALSE)</f>
        <v>Camp</v>
      </c>
      <c r="H351" s="922" t="s">
        <v>258</v>
      </c>
      <c r="I351" s="924">
        <v>7</v>
      </c>
      <c r="J351" s="924">
        <v>24</v>
      </c>
      <c r="K351" s="925">
        <v>44562</v>
      </c>
      <c r="L351" s="926">
        <v>44926</v>
      </c>
      <c r="M351" s="924"/>
      <c r="N351" s="924">
        <v>1</v>
      </c>
      <c r="O351" s="924"/>
      <c r="P351" s="924"/>
      <c r="Q351" s="927" t="s">
        <v>41</v>
      </c>
      <c r="R351" s="924">
        <v>2</v>
      </c>
      <c r="S351" s="924">
        <v>2</v>
      </c>
      <c r="T351" s="449">
        <v>1</v>
      </c>
      <c r="U351" s="924"/>
      <c r="V351" s="924"/>
      <c r="W351" s="924"/>
      <c r="X351" s="924"/>
      <c r="Y351" s="924"/>
      <c r="Z351" s="924"/>
      <c r="AA351" s="924">
        <v>1</v>
      </c>
      <c r="AB351" s="924"/>
      <c r="AC351" s="924"/>
      <c r="AD351" s="924"/>
      <c r="AE351" s="924">
        <v>2</v>
      </c>
      <c r="AF351" s="924">
        <v>1000</v>
      </c>
      <c r="AG351" s="924"/>
      <c r="AH351" s="924"/>
      <c r="AI351" s="924"/>
      <c r="AJ351" s="924"/>
      <c r="AK351" s="924"/>
      <c r="AL351" s="924"/>
      <c r="AM351" s="924"/>
      <c r="AN351" s="924"/>
      <c r="AO351" s="449"/>
      <c r="AP351" s="928"/>
      <c r="AQ351" s="924">
        <v>3</v>
      </c>
      <c r="AR351" s="924"/>
      <c r="AS351" s="929"/>
      <c r="AT351" s="924"/>
      <c r="AU351" s="924"/>
      <c r="AV351" s="924"/>
      <c r="AW351" s="924"/>
      <c r="AX351" s="924"/>
      <c r="AY351" s="923" t="s">
        <v>41</v>
      </c>
      <c r="AZ351" s="928" t="s">
        <v>136</v>
      </c>
      <c r="BA351" s="924"/>
      <c r="BB351" s="924"/>
      <c r="BC351" s="924"/>
      <c r="BD351" s="449"/>
      <c r="BE351" s="449"/>
      <c r="BF351" s="923"/>
      <c r="BG351" s="924">
        <v>2</v>
      </c>
      <c r="BH351" s="924"/>
      <c r="BI351" s="924"/>
      <c r="BJ351" s="924">
        <v>2</v>
      </c>
      <c r="BK351" s="924"/>
      <c r="BL351" s="924">
        <v>1</v>
      </c>
      <c r="BM351" s="924"/>
      <c r="BN351" s="924">
        <v>7</v>
      </c>
      <c r="BO351" s="924"/>
      <c r="BP351" s="923"/>
      <c r="BQ351" s="930"/>
      <c r="BR351" s="929"/>
      <c r="BS351" s="923" t="s">
        <v>3092</v>
      </c>
      <c r="BT351" s="424">
        <v>0.5</v>
      </c>
      <c r="BU351" s="424">
        <v>0.5</v>
      </c>
      <c r="BV351" s="426">
        <v>5</v>
      </c>
      <c r="BW351" s="424">
        <v>0.6</v>
      </c>
      <c r="BX351" s="449"/>
      <c r="BY351" s="449"/>
      <c r="BZ351" s="449"/>
      <c r="CA351" s="449"/>
      <c r="CB351" s="449"/>
      <c r="CC351" s="807"/>
      <c r="CD351" s="449"/>
      <c r="CE351" s="931" t="str">
        <f>IFERROR(WWWW[[#This Row],['#_Water sources passed]]/WWWW[[#This Row],['#_Water sources tested for fecal coliform ]],"no test")</f>
        <v>no test</v>
      </c>
      <c r="CF351" s="929" t="str">
        <f>IFERROR(WWWW[[#This Row],['#_Household passed]]/WWWW[[#This Row],['#_Household water samples tested for fecal coliform]],"no test")</f>
        <v>no test</v>
      </c>
      <c r="CG351" s="930" t="str">
        <f>IF(AND(WWWW[[#This Row],[% of water sources passed]]="no test",WWWW[[#This Row],[% Household passed]]="no test"),"No Test","Tested")</f>
        <v>No Test</v>
      </c>
      <c r="CH351" s="930">
        <f>WWWW[[#This Row],['#_Constructed/existing protected hand dug well]]-WWWW[[#This Row],['#_Non-functional protected hand dug well]]</f>
        <v>1</v>
      </c>
      <c r="CI351" s="930">
        <f>(WWWW[[#This Row],['#_Constructed/Existing tube wells/boreholes/handpumps_WASH_agency]]+WWWW[[#This Row],['#_Non-Cluster partner water tube-wells/boreholes/handpumps]])-WWWW[[#This Row],['#_Non-functional tube wells/boreholes/handpumps]]</f>
        <v>0</v>
      </c>
      <c r="CJ351" s="930">
        <f>WWWW[[#This Row],['#_Constructed/Existingwater storage tank with gravity fed reticulation system]]-WWWW[[#This Row],['#_Non-functional storage tank gravity fed reticulation system]]</f>
        <v>1</v>
      </c>
      <c r="CK351" s="930">
        <f>(WWWW[[#This Row],['#_Water_Liters_supplied_by_Water boating or water trucking]]/90)/15</f>
        <v>0</v>
      </c>
      <c r="CL351" s="930">
        <f>WWWW[[#This Row],['#_Water_Liters_from_Constructed/Existing water distribution system from river or natural spring]]/90/15</f>
        <v>0.7407407407407407</v>
      </c>
      <c r="CM351" s="425">
        <f>IF(WWWW[[#This Row],['#_of water points in TLS/CFS]]*500&gt;WWWW[[#This Row],[Total PoP ]],WWWW[[#This Row],[Total PoP ]],WWWW[[#This Row],['#_of water points in TLS/CFS]]*500)</f>
        <v>0</v>
      </c>
      <c r="CN351" s="425">
        <f>IF(WWWW[[#This Row],['#_of water points in THF]]*500&gt;WWWW[[#This Row],[Total PoP ]],WWWW[[#This Row],[Total PoP ]],WWWW[[#This Row],['#_of water points in THF]]*500)</f>
        <v>0</v>
      </c>
      <c r="CO35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1" s="929">
        <f>IF(WWWW[[#This Row],[Location Type 1]]="Village",WWWW[[#This Row],[Access to safe drinking water for Village]],WWWW[[#This Row],[Access to safe drinking water for Camp]])</f>
        <v>1</v>
      </c>
      <c r="CR351" s="927">
        <f>WWWW[[#This Row],[%Equitable and continuous access to sufficient quantity of safe drinking water]]*WWWW[[#This Row],[Total PoP ]]</f>
        <v>24</v>
      </c>
      <c r="CS351" s="929">
        <f>IF((WWWW[[#This Row],['#_Constructed/Existing protected/fenced ponds]]*250)/WWWW[[#This Row],[Total PoP ]]&gt;1,1,(WWWW[[#This Row],['#_Constructed/Existing protected/fenced ponds]]*250)/WWWW[[#This Row],[Total PoP ]])</f>
        <v>1</v>
      </c>
      <c r="CT351" s="927">
        <f>WWWW[[#This Row],[% Access to unimproved water points]]*WWWW[[#This Row],[Total PoP ]]</f>
        <v>24</v>
      </c>
      <c r="CU35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W351" s="927">
        <f>WWWW[[#This Row],[HRP1]]/500</f>
        <v>4.8000000000000001E-2</v>
      </c>
      <c r="CX351" s="932">
        <f>1-WWWW[[#This Row],[% Equitable and continuous access to sufficient quantity of domestic water]]</f>
        <v>0</v>
      </c>
      <c r="CY351" s="927">
        <f>WWWW[[#This Row],[%equitable and continuous access to sufficient quantity of safe drinking and domestic water''s GAP]]*WWWW[[#This Row],[Total PoP ]]</f>
        <v>0</v>
      </c>
      <c r="CZ351" s="930">
        <f>IF(WWWW[[#This Row],[Total required water points]]-WWWW[[#This Row],['#Water points coverage]]&lt;0,0,WWWW[[#This Row],[Total required water points]]-WWWW[[#This Row],['#Water points coverage]])</f>
        <v>0.95199999999999996</v>
      </c>
      <c r="DA351" s="930">
        <f>ROUND(IF(WWWW[[#This Row],[Total PoP ]]&lt;500,1,WWWW[[#This Row],[Total PoP ]]/500),0)</f>
        <v>1</v>
      </c>
      <c r="DB351" s="930">
        <f>(WWWW[[#This Row],['#_Constructed latrines_by_WASHAgencies]]+WWWW[[#This Row],['#_Non Cluster partner latrines]])-WWWW[[#This Row],['#_Non-functional latrines]]</f>
        <v>3</v>
      </c>
      <c r="DC351" s="634">
        <f>WWWW[[#This Row],[HRP2]]/WWWW[[#This Row],[Total PoP ]]</f>
        <v>1</v>
      </c>
      <c r="DD35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24</v>
      </c>
      <c r="DE35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1" s="425">
        <f>IF(WWWW[[#This Row],['# of functional latrines in THF supported by WASH partners during the reporting period2]]="",0,WWWW[[#This Row],['# of functional latrines in THF supported by WASH partners during the reporting period2]]*50)</f>
        <v>0</v>
      </c>
      <c r="DH351" s="930">
        <f>ROUND(IF(WWWW[[#This Row],[Location Type 1]]="camp",WWWW[[#This Row],[Total PoP ]]/20,IF(WWWW[[#This Row],[Location Type 1]]="Temporary Location",WWWW[[#This Row],[Total PoP ]]/50,(WWWW[[#This Row],[Total PoP ]]/6))),0)</f>
        <v>1</v>
      </c>
      <c r="DI351" s="930">
        <f>IF(WWWW[[#This Row],[Total required Latrines]]-(WWWW[[#This Row],['#_Constructed latrines_by_WASHAgencies]]+WWWW[[#This Row],['#_Non Cluster partner latrines]])&lt;0,0,WWWW[[#This Row],[Total required Latrines]]-(WWWW[[#This Row],['#_Constructed latrines_by_WASHAgencies]]+WWWW[[#This Row],['#_Non Cluster partner latrines]]))</f>
        <v>0</v>
      </c>
      <c r="DJ351" s="932">
        <f>1-WWWW[[#This Row],[% people access to functioning Latrine]]</f>
        <v>0</v>
      </c>
      <c r="DK351" s="931">
        <f>IF(OR(WWWW[[#This Row],['#_Non-functional latrines]]="",WWWW[[#This Row],['#_Non-functional latrines]]=0),0,WWWW[[#This Row],['#_Non-functional latrines]]/(WWWW[[#This Row],['#_Constructed latrines_by_WASHAgencies]]+WWWW[[#This Row],['#_Non Cluster partner latrines]]))</f>
        <v>0</v>
      </c>
      <c r="DL351" s="927">
        <f>IF(500*(WWWW[[#This Row],['#_male hygiene promoters]]+WWWW[[#This Row],['#_female hygiene promoters]])&gt;WWWW[[#This Row],[Total PoP ]],WWWW[[#This Row],[Total PoP ]],500*(WWWW[[#This Row],['#_male hygiene promoters]]+WWWW[[#This Row],['#_female hygiene promoters]]))</f>
        <v>24</v>
      </c>
      <c r="DM35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N35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1" s="930">
        <f>IF(WWWW[[#This Row],['# People with access to soap]]&gt;WWWW[[#This Row],['# People with access to Sanity Pads]],WWWW[[#This Row],['# People with access to soap]],WWWW[[#This Row],['# People with access to Sanity Pads]])</f>
        <v>24</v>
      </c>
      <c r="DP351" s="930">
        <f>IF(WWWW[[#This Row],['# people reached by regular dedicated hygiene promotion_5]]&gt;WWWW[[#This Row],['# People received regular supply of hygiene items_6]],WWWW[[#This Row],['# people reached by regular dedicated hygiene promotion_5]],WWWW[[#This Row],['# People received regular supply of hygiene items_6]])</f>
        <v>24</v>
      </c>
      <c r="DQ351" s="932">
        <f>IF(WWWW[[#This Row],[HRP3]]/WWWW[[#This Row],[Total PoP ]]&gt;1,1,WWWW[[#This Row],[HRP3]]/WWWW[[#This Row],[Total PoP ]])</f>
        <v>1</v>
      </c>
      <c r="DR351" s="931">
        <f>1-WWWW[[#This Row],[Hygiene Coverage%]]</f>
        <v>0</v>
      </c>
      <c r="DS351" s="929">
        <f>WWWW[[#This Row],['# people reached by regular dedicated hygiene promotion_5]]/WWWW[[#This Row],[Total PoP ]]</f>
        <v>1</v>
      </c>
      <c r="DT35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1" s="930">
        <f>WWWW[[#This Row],['#_Constructed/Existing hand washing stations]]-WWWW[[#This Row],['#_Non-Functional_hand_washing_stations]]</f>
        <v>2</v>
      </c>
      <c r="DW351" s="927">
        <f>IF(WWWW[[#This Row],['# Functional hand washing stations during reporting period]]*20&gt;WWWW[[#This Row],[Total HH]],WWWW[[#This Row],[Total HH]],WWWW[[#This Row],['# Functional hand washing stations during reporting period]]*20)</f>
        <v>7</v>
      </c>
      <c r="DX351" s="927">
        <f>IF(WWWW[[#This Row],[Is sufficient soap available for TLS? (Yes/No)]]="yes",WWWW[[#This Row],['#_Constructed/Existing hand washing stations at TLS/CFS/THF]],0)</f>
        <v>0</v>
      </c>
      <c r="DY351" s="429">
        <f>IF(WWWW[[#This Row],['# Functional hand washing stations during reporting period]]*100&gt;WWWW[[#This Row],[Total PoP ]],WWWW[[#This Row],[Total PoP ]],WWWW[[#This Row],['# Functional hand washing stations during reporting period]]*100)</f>
        <v>24</v>
      </c>
      <c r="DZ351" s="429" t="str">
        <f>IF(OR(WWWW[[#This Row],['#_students at TLS_CFS]]="",WWWW[[#This Row],['#_students at TLS_CFS]]=0),"No","Yes")</f>
        <v>No</v>
      </c>
      <c r="EA351" s="634">
        <f>IF(WWWW[[#This Row],['#_of_affected_people_surveyed_who_report_feeling_informed_about_the_different_WASH_services_available_to_them]]="","",WWWW[[#This Row],['#_of_affected_people_surveyed_who_report_feeling_informed_about_the_different_WASH_services_available_to_them]]/WWWW[[#This Row],[Total PoP ]])</f>
        <v>0.20833333333333334</v>
      </c>
      <c r="EB35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1" s="923" t="str">
        <f>VLOOKUP(WWWW[[#This Row],[Site Name]],SiteDB6[[Site Name]:[CCCM Management]],6,FALSE)</f>
        <v>Yes</v>
      </c>
      <c r="EF351" s="923" t="str">
        <f>VLOOKUP(WWWW[[#This Row],[Site Name]],SiteDB6[[Site Name]:[CCCM Focal Agency]],7,FALSE)</f>
        <v>Shalom</v>
      </c>
      <c r="EG351" s="923" t="str">
        <f>VLOOKUP(WWWW[[#This Row],[Site Name]],SiteDB6[[Site Name]:[Location Type 1]],9,FALSE)</f>
        <v>Camp</v>
      </c>
      <c r="EH351" s="923" t="str">
        <f>VLOOKUP(WWWW[[#This Row],[Site Name]],SiteDB6[[Site Name]:[Type of Accommodation]],10,FALSE)</f>
        <v>Camp like setting</v>
      </c>
      <c r="EI351" s="923" t="str">
        <f>VLOOKUP(WWWW[[#This Row],[Site Name]],SiteDB6[[Site Name]:[Ethnic or GCA/NGCA]],11,FALSE)</f>
        <v>GCA</v>
      </c>
      <c r="EJ351" s="923">
        <f>VLOOKUP(WWWW[[#This Row],[Site Name]],SiteDB6[[Site Name]:[Lat]],12,FALSE)</f>
        <v>25.617998</v>
      </c>
      <c r="EK351" s="923">
        <f>VLOOKUP(WWWW[[#This Row],[Site Name]],SiteDB6[[Site Name]:[Long]],13,FALSE)</f>
        <v>96.339590000000001</v>
      </c>
      <c r="EL351" s="923" t="str">
        <f>VLOOKUP(WWWW[[#This Row],[Site Name]],SiteDB6[[Site Name]:[Pcode]],3,FALSE)</f>
        <v>MMR001CMP192</v>
      </c>
      <c r="EM351" s="928" t="str">
        <f t="shared" si="5"/>
        <v>Covered</v>
      </c>
      <c r="EN351" s="928"/>
      <c r="EO351" s="923">
        <f>VLOOKUP(WWWW[[#This Row],[Site Name]],SiteDB6[[Site Name]:[Pop
(Kachin/Shan-CCCM as of July 2021)]],16,FALSE)</f>
        <v>7</v>
      </c>
      <c r="EP351" s="923">
        <f>VLOOKUP(WWWW[[#This Row],[Site Name]],SiteDB6[[Site Name]:[Pop
(Kachin/Shan-CCCM as of July 2021)]],17,FALSE)</f>
        <v>24</v>
      </c>
    </row>
    <row r="352" spans="1:146">
      <c r="A352" s="921" t="s">
        <v>2786</v>
      </c>
      <c r="B352" s="921" t="s">
        <v>242</v>
      </c>
      <c r="C352" s="922" t="s">
        <v>242</v>
      </c>
      <c r="D352" s="922" t="s">
        <v>299</v>
      </c>
      <c r="E352" s="922" t="s">
        <v>37</v>
      </c>
      <c r="F352" s="922" t="s">
        <v>148</v>
      </c>
      <c r="G352" s="594" t="str">
        <f>VLOOKUP(WWWW[[#This Row],[Site Name]],SiteDB6[[Site Name]:[Location Type]],8,FALSE)</f>
        <v>Camp</v>
      </c>
      <c r="H352" s="922" t="s">
        <v>259</v>
      </c>
      <c r="I352" s="924">
        <v>16</v>
      </c>
      <c r="J352" s="924">
        <v>70</v>
      </c>
      <c r="K352" s="925">
        <v>44562</v>
      </c>
      <c r="L352" s="926">
        <v>44926</v>
      </c>
      <c r="M352" s="924"/>
      <c r="N352" s="924"/>
      <c r="O352" s="924"/>
      <c r="P352" s="924"/>
      <c r="Q352" s="927" t="s">
        <v>41</v>
      </c>
      <c r="R352" s="924">
        <v>4</v>
      </c>
      <c r="S352" s="924">
        <v>3</v>
      </c>
      <c r="T352" s="449">
        <v>1</v>
      </c>
      <c r="U352" s="924"/>
      <c r="V352" s="924"/>
      <c r="W352" s="924">
        <v>1</v>
      </c>
      <c r="X352" s="924"/>
      <c r="Y352" s="924"/>
      <c r="Z352" s="924"/>
      <c r="AA352" s="924">
        <v>1</v>
      </c>
      <c r="AB352" s="924"/>
      <c r="AC352" s="924">
        <v>1</v>
      </c>
      <c r="AD352" s="924"/>
      <c r="AE352" s="924">
        <v>2</v>
      </c>
      <c r="AF352" s="924"/>
      <c r="AG352" s="924">
        <v>1</v>
      </c>
      <c r="AH352" s="924"/>
      <c r="AI352" s="924"/>
      <c r="AJ352" s="924"/>
      <c r="AK352" s="924"/>
      <c r="AL352" s="924"/>
      <c r="AM352" s="924"/>
      <c r="AN352" s="924"/>
      <c r="AO352" s="449"/>
      <c r="AP352" s="928"/>
      <c r="AQ352" s="924">
        <v>2</v>
      </c>
      <c r="AR352" s="924"/>
      <c r="AS352" s="929"/>
      <c r="AT352" s="924"/>
      <c r="AU352" s="924"/>
      <c r="AV352" s="924"/>
      <c r="AW352" s="924"/>
      <c r="AX352" s="924"/>
      <c r="AY352" s="923" t="s">
        <v>41</v>
      </c>
      <c r="AZ352" s="928" t="s">
        <v>137</v>
      </c>
      <c r="BA352" s="924"/>
      <c r="BB352" s="924"/>
      <c r="BC352" s="924"/>
      <c r="BD352" s="449"/>
      <c r="BE352" s="449"/>
      <c r="BF352" s="923"/>
      <c r="BG352" s="924">
        <v>3</v>
      </c>
      <c r="BH352" s="924"/>
      <c r="BI352" s="924"/>
      <c r="BJ352" s="924">
        <v>2</v>
      </c>
      <c r="BK352" s="924"/>
      <c r="BL352" s="924">
        <v>1</v>
      </c>
      <c r="BM352" s="924"/>
      <c r="BN352" s="924">
        <v>16</v>
      </c>
      <c r="BO352" s="924">
        <v>17</v>
      </c>
      <c r="BP352" s="923"/>
      <c r="BQ352" s="930"/>
      <c r="BR352" s="929"/>
      <c r="BS352" s="923"/>
      <c r="BT352" s="424">
        <v>1</v>
      </c>
      <c r="BU352" s="424">
        <v>1</v>
      </c>
      <c r="BV352" s="426"/>
      <c r="BW352" s="424">
        <v>1</v>
      </c>
      <c r="BX352" s="449"/>
      <c r="BY352" s="449"/>
      <c r="BZ352" s="449"/>
      <c r="CA352" s="449"/>
      <c r="CB352" s="449"/>
      <c r="CC352" s="807"/>
      <c r="CD352" s="449"/>
      <c r="CE352" s="931" t="str">
        <f>IFERROR(WWWW[[#This Row],['#_Water sources passed]]/WWWW[[#This Row],['#_Water sources tested for fecal coliform ]],"no test")</f>
        <v>no test</v>
      </c>
      <c r="CF352" s="929" t="str">
        <f>IFERROR(WWWW[[#This Row],['#_Household passed]]/WWWW[[#This Row],['#_Household water samples tested for fecal coliform]],"no test")</f>
        <v>no test</v>
      </c>
      <c r="CG352" s="930" t="str">
        <f>IF(AND(WWWW[[#This Row],[% of water sources passed]]="no test",WWWW[[#This Row],[% Household passed]]="no test"),"No Test","Tested")</f>
        <v>No Test</v>
      </c>
      <c r="CH352" s="930">
        <f>WWWW[[#This Row],['#_Constructed/existing protected hand dug well]]-WWWW[[#This Row],['#_Non-functional protected hand dug well]]</f>
        <v>1</v>
      </c>
      <c r="CI352" s="930">
        <f>(WWWW[[#This Row],['#_Constructed/Existing tube wells/boreholes/handpumps_WASH_agency]]+WWWW[[#This Row],['#_Non-Cluster partner water tube-wells/boreholes/handpumps]])-WWWW[[#This Row],['#_Non-functional tube wells/boreholes/handpumps]]</f>
        <v>1</v>
      </c>
      <c r="CJ352" s="930">
        <f>WWWW[[#This Row],['#_Constructed/Existingwater storage tank with gravity fed reticulation system]]-WWWW[[#This Row],['#_Non-functional storage tank gravity fed reticulation system]]</f>
        <v>1</v>
      </c>
      <c r="CK352" s="930">
        <f>(WWWW[[#This Row],['#_Water_Liters_supplied_by_Water boating or water trucking]]/90)/15</f>
        <v>0</v>
      </c>
      <c r="CL352" s="930">
        <f>WWWW[[#This Row],['#_Water_Liters_from_Constructed/Existing water distribution system from river or natural spring]]/90/15</f>
        <v>0</v>
      </c>
      <c r="CM352" s="425">
        <f>IF(WWWW[[#This Row],['#_of water points in TLS/CFS]]*500&gt;WWWW[[#This Row],[Total PoP ]],WWWW[[#This Row],[Total PoP ]],WWWW[[#This Row],['#_of water points in TLS/CFS]]*500)</f>
        <v>0</v>
      </c>
      <c r="CN352" s="425">
        <f>IF(WWWW[[#This Row],['#_of water points in THF]]*500&gt;WWWW[[#This Row],[Total PoP ]],WWWW[[#This Row],[Total PoP ]],WWWW[[#This Row],['#_of water points in THF]]*500)</f>
        <v>0</v>
      </c>
      <c r="CO35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2" s="929">
        <f>IF(WWWW[[#This Row],[Location Type 1]]="Village",WWWW[[#This Row],[Access to safe drinking water for Village]],WWWW[[#This Row],[Access to safe drinking water for Camp]])</f>
        <v>1</v>
      </c>
      <c r="CR352" s="927">
        <f>WWWW[[#This Row],[%Equitable and continuous access to sufficient quantity of safe drinking water]]*WWWW[[#This Row],[Total PoP ]]</f>
        <v>70</v>
      </c>
      <c r="CS352" s="929">
        <f>IF((WWWW[[#This Row],['#_Constructed/Existing protected/fenced ponds]]*250)/WWWW[[#This Row],[Total PoP ]]&gt;1,1,(WWWW[[#This Row],['#_Constructed/Existing protected/fenced ponds]]*250)/WWWW[[#This Row],[Total PoP ]])</f>
        <v>1</v>
      </c>
      <c r="CT352" s="927">
        <f>WWWW[[#This Row],[% Access to unimproved water points]]*WWWW[[#This Row],[Total PoP ]]</f>
        <v>70</v>
      </c>
      <c r="CU35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W352" s="927">
        <f>WWWW[[#This Row],[HRP1]]/500</f>
        <v>0.14000000000000001</v>
      </c>
      <c r="CX352" s="932">
        <f>1-WWWW[[#This Row],[% Equitable and continuous access to sufficient quantity of domestic water]]</f>
        <v>0</v>
      </c>
      <c r="CY352" s="927">
        <f>WWWW[[#This Row],[%equitable and continuous access to sufficient quantity of safe drinking and domestic water''s GAP]]*WWWW[[#This Row],[Total PoP ]]</f>
        <v>0</v>
      </c>
      <c r="CZ352" s="930">
        <f>IF(WWWW[[#This Row],[Total required water points]]-WWWW[[#This Row],['#Water points coverage]]&lt;0,0,WWWW[[#This Row],[Total required water points]]-WWWW[[#This Row],['#Water points coverage]])</f>
        <v>0.86</v>
      </c>
      <c r="DA352" s="930">
        <f>ROUND(IF(WWWW[[#This Row],[Total PoP ]]&lt;500,1,WWWW[[#This Row],[Total PoP ]]/500),0)</f>
        <v>1</v>
      </c>
      <c r="DB352" s="930">
        <f>(WWWW[[#This Row],['#_Constructed latrines_by_WASHAgencies]]+WWWW[[#This Row],['#_Non Cluster partner latrines]])-WWWW[[#This Row],['#_Non-functional latrines]]</f>
        <v>2</v>
      </c>
      <c r="DC352" s="634">
        <f>WWWW[[#This Row],[HRP2]]/WWWW[[#This Row],[Total PoP ]]</f>
        <v>0.5714285714285714</v>
      </c>
      <c r="DD35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35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2" s="425">
        <f>IF(WWWW[[#This Row],['# of functional latrines in THF supported by WASH partners during the reporting period2]]="",0,WWWW[[#This Row],['# of functional latrines in THF supported by WASH partners during the reporting period2]]*50)</f>
        <v>0</v>
      </c>
      <c r="DH352" s="930">
        <f>ROUND(IF(WWWW[[#This Row],[Location Type 1]]="camp",WWWW[[#This Row],[Total PoP ]]/20,IF(WWWW[[#This Row],[Location Type 1]]="Temporary Location",WWWW[[#This Row],[Total PoP ]]/50,(WWWW[[#This Row],[Total PoP ]]/6))),0)</f>
        <v>4</v>
      </c>
      <c r="DI352" s="930">
        <f>IF(WWWW[[#This Row],[Total required Latrines]]-(WWWW[[#This Row],['#_Constructed latrines_by_WASHAgencies]]+WWWW[[#This Row],['#_Non Cluster partner latrines]])&lt;0,0,WWWW[[#This Row],[Total required Latrines]]-(WWWW[[#This Row],['#_Constructed latrines_by_WASHAgencies]]+WWWW[[#This Row],['#_Non Cluster partner latrines]]))</f>
        <v>2</v>
      </c>
      <c r="DJ352" s="932">
        <f>1-WWWW[[#This Row],[% people access to functioning Latrine]]</f>
        <v>0.4285714285714286</v>
      </c>
      <c r="DK352" s="931">
        <f>IF(OR(WWWW[[#This Row],['#_Non-functional latrines]]="",WWWW[[#This Row],['#_Non-functional latrines]]=0),0,WWWW[[#This Row],['#_Non-functional latrines]]/(WWWW[[#This Row],['#_Constructed latrines_by_WASHAgencies]]+WWWW[[#This Row],['#_Non Cluster partner latrines]]))</f>
        <v>0</v>
      </c>
      <c r="DL352" s="927">
        <f>IF(500*(WWWW[[#This Row],['#_male hygiene promoters]]+WWWW[[#This Row],['#_female hygiene promoters]])&gt;WWWW[[#This Row],[Total PoP ]],WWWW[[#This Row],[Total PoP ]],500*(WWWW[[#This Row],['#_male hygiene promoters]]+WWWW[[#This Row],['#_female hygiene promoters]]))</f>
        <v>70</v>
      </c>
      <c r="DM35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N35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v>
      </c>
      <c r="DO352" s="930">
        <f>IF(WWWW[[#This Row],['# People with access to soap]]&gt;WWWW[[#This Row],['# People with access to Sanity Pads]],WWWW[[#This Row],['# People with access to soap]],WWWW[[#This Row],['# People with access to Sanity Pads]])</f>
        <v>70</v>
      </c>
      <c r="DP352" s="930">
        <f>IF(WWWW[[#This Row],['# people reached by regular dedicated hygiene promotion_5]]&gt;WWWW[[#This Row],['# People received regular supply of hygiene items_6]],WWWW[[#This Row],['# people reached by regular dedicated hygiene promotion_5]],WWWW[[#This Row],['# People received regular supply of hygiene items_6]])</f>
        <v>70</v>
      </c>
      <c r="DQ352" s="932">
        <f>IF(WWWW[[#This Row],[HRP3]]/WWWW[[#This Row],[Total PoP ]]&gt;1,1,WWWW[[#This Row],[HRP3]]/WWWW[[#This Row],[Total PoP ]])</f>
        <v>1</v>
      </c>
      <c r="DR352" s="931">
        <f>1-WWWW[[#This Row],[Hygiene Coverage%]]</f>
        <v>0</v>
      </c>
      <c r="DS352" s="929">
        <f>WWWW[[#This Row],['# people reached by regular dedicated hygiene promotion_5]]/WWWW[[#This Row],[Total PoP ]]</f>
        <v>1</v>
      </c>
      <c r="DT35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52" s="930">
        <f>WWWW[[#This Row],['#_Constructed/Existing hand washing stations]]-WWWW[[#This Row],['#_Non-Functional_hand_washing_stations]]</f>
        <v>3</v>
      </c>
      <c r="DW352" s="927">
        <f>IF(WWWW[[#This Row],['# Functional hand washing stations during reporting period]]*20&gt;WWWW[[#This Row],[Total HH]],WWWW[[#This Row],[Total HH]],WWWW[[#This Row],['# Functional hand washing stations during reporting period]]*20)</f>
        <v>16</v>
      </c>
      <c r="DX352" s="927">
        <f>IF(WWWW[[#This Row],[Is sufficient soap available for TLS? (Yes/No)]]="yes",WWWW[[#This Row],['#_Constructed/Existing hand washing stations at TLS/CFS/THF]],0)</f>
        <v>0</v>
      </c>
      <c r="DY352" s="429">
        <f>IF(WWWW[[#This Row],['# Functional hand washing stations during reporting period]]*100&gt;WWWW[[#This Row],[Total PoP ]],WWWW[[#This Row],[Total PoP ]],WWWW[[#This Row],['# Functional hand washing stations during reporting period]]*100)</f>
        <v>70</v>
      </c>
      <c r="DZ352" s="429" t="str">
        <f>IF(OR(WWWW[[#This Row],['#_students at TLS_CFS]]="",WWWW[[#This Row],['#_students at TLS_CFS]]=0),"No","Yes")</f>
        <v>No</v>
      </c>
      <c r="EA35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2" s="923" t="str">
        <f>VLOOKUP(WWWW[[#This Row],[Site Name]],SiteDB6[[Site Name]:[CCCM Management]],6,FALSE)</f>
        <v>Yes</v>
      </c>
      <c r="EF352" s="923" t="str">
        <f>VLOOKUP(WWWW[[#This Row],[Site Name]],SiteDB6[[Site Name]:[CCCM Focal Agency]],7,FALSE)</f>
        <v>Shalom</v>
      </c>
      <c r="EG352" s="923" t="str">
        <f>VLOOKUP(WWWW[[#This Row],[Site Name]],SiteDB6[[Site Name]:[Location Type 1]],9,FALSE)</f>
        <v>Camp</v>
      </c>
      <c r="EH352" s="923" t="str">
        <f>VLOOKUP(WWWW[[#This Row],[Site Name]],SiteDB6[[Site Name]:[Type of Accommodation]],10,FALSE)</f>
        <v>Camp like setting</v>
      </c>
      <c r="EI352" s="923" t="str">
        <f>VLOOKUP(WWWW[[#This Row],[Site Name]],SiteDB6[[Site Name]:[Ethnic or GCA/NGCA]],11,FALSE)</f>
        <v>GCA</v>
      </c>
      <c r="EJ352" s="923">
        <f>VLOOKUP(WWWW[[#This Row],[Site Name]],SiteDB6[[Site Name]:[Lat]],12,FALSE)</f>
        <v>25.56551</v>
      </c>
      <c r="EK352" s="923">
        <f>VLOOKUP(WWWW[[#This Row],[Site Name]],SiteDB6[[Site Name]:[Long]],13,FALSE)</f>
        <v>96.279200000000003</v>
      </c>
      <c r="EL352" s="923" t="str">
        <f>VLOOKUP(WWWW[[#This Row],[Site Name]],SiteDB6[[Site Name]:[Pcode]],3,FALSE)</f>
        <v>MMR001CMP182</v>
      </c>
      <c r="EM352" s="928" t="str">
        <f t="shared" si="5"/>
        <v>Covered</v>
      </c>
      <c r="EN352" s="928"/>
      <c r="EO352" s="923">
        <f>VLOOKUP(WWWW[[#This Row],[Site Name]],SiteDB6[[Site Name]:[Pop
(Kachin/Shan-CCCM as of July 2021)]],16,FALSE)</f>
        <v>16</v>
      </c>
      <c r="EP352" s="923">
        <f>VLOOKUP(WWWW[[#This Row],[Site Name]],SiteDB6[[Site Name]:[Pop
(Kachin/Shan-CCCM as of July 2021)]],17,FALSE)</f>
        <v>70</v>
      </c>
    </row>
    <row r="353" spans="1:146">
      <c r="A353" s="921" t="s">
        <v>2786</v>
      </c>
      <c r="B353" s="921" t="s">
        <v>242</v>
      </c>
      <c r="C353" s="922" t="s">
        <v>242</v>
      </c>
      <c r="D353" s="922" t="s">
        <v>299</v>
      </c>
      <c r="E353" s="922" t="s">
        <v>37</v>
      </c>
      <c r="F353" s="922" t="s">
        <v>148</v>
      </c>
      <c r="G353" s="594" t="str">
        <f>VLOOKUP(WWWW[[#This Row],[Site Name]],SiteDB6[[Site Name]:[Location Type]],8,FALSE)</f>
        <v>Camp</v>
      </c>
      <c r="H353" s="922" t="s">
        <v>261</v>
      </c>
      <c r="I353" s="924">
        <v>25</v>
      </c>
      <c r="J353" s="924">
        <v>133</v>
      </c>
      <c r="K353" s="925">
        <v>44562</v>
      </c>
      <c r="L353" s="926">
        <v>44926</v>
      </c>
      <c r="M353" s="924"/>
      <c r="N353" s="924"/>
      <c r="O353" s="924"/>
      <c r="P353" s="924"/>
      <c r="Q353" s="927" t="s">
        <v>41</v>
      </c>
      <c r="R353" s="924">
        <v>2</v>
      </c>
      <c r="S353" s="924">
        <v>2</v>
      </c>
      <c r="T353" s="449">
        <v>1</v>
      </c>
      <c r="U353" s="924"/>
      <c r="V353" s="924"/>
      <c r="W353" s="924"/>
      <c r="X353" s="924">
        <v>1</v>
      </c>
      <c r="Y353" s="924"/>
      <c r="Z353" s="924"/>
      <c r="AA353" s="924">
        <v>1</v>
      </c>
      <c r="AB353" s="924"/>
      <c r="AC353" s="924"/>
      <c r="AD353" s="924"/>
      <c r="AE353" s="924">
        <v>3</v>
      </c>
      <c r="AF353" s="924"/>
      <c r="AG353" s="924"/>
      <c r="AH353" s="924"/>
      <c r="AI353" s="924"/>
      <c r="AJ353" s="924"/>
      <c r="AK353" s="924"/>
      <c r="AL353" s="924"/>
      <c r="AM353" s="924"/>
      <c r="AN353" s="924"/>
      <c r="AO353" s="449"/>
      <c r="AP353" s="928"/>
      <c r="AQ353" s="924">
        <v>8</v>
      </c>
      <c r="AR353" s="924">
        <v>4</v>
      </c>
      <c r="AS353" s="929" t="s">
        <v>2706</v>
      </c>
      <c r="AT353" s="924"/>
      <c r="AU353" s="924">
        <v>3</v>
      </c>
      <c r="AV353" s="924"/>
      <c r="AW353" s="924"/>
      <c r="AX353" s="924"/>
      <c r="AY353" s="923" t="s">
        <v>41</v>
      </c>
      <c r="AZ353" s="928" t="s">
        <v>137</v>
      </c>
      <c r="BA353" s="924"/>
      <c r="BB353" s="924">
        <v>2</v>
      </c>
      <c r="BC353" s="924"/>
      <c r="BD353" s="449"/>
      <c r="BE353" s="449">
        <v>1</v>
      </c>
      <c r="BF353" s="923"/>
      <c r="BG353" s="924">
        <v>5</v>
      </c>
      <c r="BH353" s="924"/>
      <c r="BI353" s="924"/>
      <c r="BJ353" s="924">
        <v>2</v>
      </c>
      <c r="BK353" s="924"/>
      <c r="BL353" s="924">
        <v>1</v>
      </c>
      <c r="BM353" s="924">
        <v>25</v>
      </c>
      <c r="BN353" s="924">
        <v>47</v>
      </c>
      <c r="BO353" s="924"/>
      <c r="BP353" s="923"/>
      <c r="BQ353" s="930"/>
      <c r="BR353" s="929"/>
      <c r="BS353" s="923" t="s">
        <v>3092</v>
      </c>
      <c r="BT353" s="424">
        <v>0.7</v>
      </c>
      <c r="BU353" s="424"/>
      <c r="BV353" s="426">
        <v>7</v>
      </c>
      <c r="BW353" s="424">
        <v>0.8</v>
      </c>
      <c r="BX353" s="449"/>
      <c r="BY353" s="449"/>
      <c r="BZ353" s="449"/>
      <c r="CA353" s="449"/>
      <c r="CB353" s="449"/>
      <c r="CC353" s="807"/>
      <c r="CD353" s="449"/>
      <c r="CE353" s="931" t="str">
        <f>IFERROR(WWWW[[#This Row],['#_Water sources passed]]/WWWW[[#This Row],['#_Water sources tested for fecal coliform ]],"no test")</f>
        <v>no test</v>
      </c>
      <c r="CF353" s="929" t="str">
        <f>IFERROR(WWWW[[#This Row],['#_Household passed]]/WWWW[[#This Row],['#_Household water samples tested for fecal coliform]],"no test")</f>
        <v>no test</v>
      </c>
      <c r="CG353" s="930" t="str">
        <f>IF(AND(WWWW[[#This Row],[% of water sources passed]]="no test",WWWW[[#This Row],[% Household passed]]="no test"),"No Test","Tested")</f>
        <v>No Test</v>
      </c>
      <c r="CH353" s="930">
        <f>WWWW[[#This Row],['#_Constructed/existing protected hand dug well]]-WWWW[[#This Row],['#_Non-functional protected hand dug well]]</f>
        <v>1</v>
      </c>
      <c r="CI353" s="930">
        <f>(WWWW[[#This Row],['#_Constructed/Existing tube wells/boreholes/handpumps_WASH_agency]]+WWWW[[#This Row],['#_Non-Cluster partner water tube-wells/boreholes/handpumps]])-WWWW[[#This Row],['#_Non-functional tube wells/boreholes/handpumps]]</f>
        <v>1</v>
      </c>
      <c r="CJ353" s="930">
        <f>WWWW[[#This Row],['#_Constructed/Existingwater storage tank with gravity fed reticulation system]]-WWWW[[#This Row],['#_Non-functional storage tank gravity fed reticulation system]]</f>
        <v>1</v>
      </c>
      <c r="CK353" s="930">
        <f>(WWWW[[#This Row],['#_Water_Liters_supplied_by_Water boating or water trucking]]/90)/15</f>
        <v>0</v>
      </c>
      <c r="CL353" s="930">
        <f>WWWW[[#This Row],['#_Water_Liters_from_Constructed/Existing water distribution system from river or natural spring]]/90/15</f>
        <v>0</v>
      </c>
      <c r="CM353" s="425">
        <f>IF(WWWW[[#This Row],['#_of water points in TLS/CFS]]*500&gt;WWWW[[#This Row],[Total PoP ]],WWWW[[#This Row],[Total PoP ]],WWWW[[#This Row],['#_of water points in TLS/CFS]]*500)</f>
        <v>0</v>
      </c>
      <c r="CN353" s="425">
        <f>IF(WWWW[[#This Row],['#_of water points in THF]]*500&gt;WWWW[[#This Row],[Total PoP ]],WWWW[[#This Row],[Total PoP ]],WWWW[[#This Row],['#_of water points in THF]]*500)</f>
        <v>0</v>
      </c>
      <c r="CO35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3" s="929">
        <f>IF(WWWW[[#This Row],[Location Type 1]]="Village",WWWW[[#This Row],[Access to safe drinking water for Village]],WWWW[[#This Row],[Access to safe drinking water for Camp]])</f>
        <v>1</v>
      </c>
      <c r="CR353" s="927">
        <f>WWWW[[#This Row],[%Equitable and continuous access to sufficient quantity of safe drinking water]]*WWWW[[#This Row],[Total PoP ]]</f>
        <v>133</v>
      </c>
      <c r="CS353" s="929">
        <f>IF((WWWW[[#This Row],['#_Constructed/Existing protected/fenced ponds]]*250)/WWWW[[#This Row],[Total PoP ]]&gt;1,1,(WWWW[[#This Row],['#_Constructed/Existing protected/fenced ponds]]*250)/WWWW[[#This Row],[Total PoP ]])</f>
        <v>1</v>
      </c>
      <c r="CT353" s="927">
        <f>WWWW[[#This Row],[% Access to unimproved water points]]*WWWW[[#This Row],[Total PoP ]]</f>
        <v>133</v>
      </c>
      <c r="CU35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W353" s="927">
        <f>WWWW[[#This Row],[HRP1]]/500</f>
        <v>0.26600000000000001</v>
      </c>
      <c r="CX353" s="932">
        <f>1-WWWW[[#This Row],[% Equitable and continuous access to sufficient quantity of domestic water]]</f>
        <v>0</v>
      </c>
      <c r="CY353" s="927">
        <f>WWWW[[#This Row],[%equitable and continuous access to sufficient quantity of safe drinking and domestic water''s GAP]]*WWWW[[#This Row],[Total PoP ]]</f>
        <v>0</v>
      </c>
      <c r="CZ353" s="930">
        <f>IF(WWWW[[#This Row],[Total required water points]]-WWWW[[#This Row],['#Water points coverage]]&lt;0,0,WWWW[[#This Row],[Total required water points]]-WWWW[[#This Row],['#Water points coverage]])</f>
        <v>0.73399999999999999</v>
      </c>
      <c r="DA353" s="930">
        <f>ROUND(IF(WWWW[[#This Row],[Total PoP ]]&lt;500,1,WWWW[[#This Row],[Total PoP ]]/500),0)</f>
        <v>1</v>
      </c>
      <c r="DB353" s="930">
        <f>(WWWW[[#This Row],['#_Constructed latrines_by_WASHAgencies]]+WWWW[[#This Row],['#_Non Cluster partner latrines]])-WWWW[[#This Row],['#_Non-functional latrines]]</f>
        <v>12</v>
      </c>
      <c r="DC353" s="634">
        <f>WWWW[[#This Row],[HRP2]]/WWWW[[#This Row],[Total PoP ]]</f>
        <v>1</v>
      </c>
      <c r="DD35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133</v>
      </c>
      <c r="DE35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3" s="425">
        <f>IF(WWWW[[#This Row],['# of functional latrines in THF supported by WASH partners during the reporting period2]]="",0,WWWW[[#This Row],['# of functional latrines in THF supported by WASH partners during the reporting period2]]*50)</f>
        <v>0</v>
      </c>
      <c r="DH353" s="930">
        <f>ROUND(IF(WWWW[[#This Row],[Location Type 1]]="camp",WWWW[[#This Row],[Total PoP ]]/20,IF(WWWW[[#This Row],[Location Type 1]]="Temporary Location",WWWW[[#This Row],[Total PoP ]]/50,(WWWW[[#This Row],[Total PoP ]]/6))),0)</f>
        <v>7</v>
      </c>
      <c r="DI353" s="930">
        <f>IF(WWWW[[#This Row],[Total required Latrines]]-(WWWW[[#This Row],['#_Constructed latrines_by_WASHAgencies]]+WWWW[[#This Row],['#_Non Cluster partner latrines]])&lt;0,0,WWWW[[#This Row],[Total required Latrines]]-(WWWW[[#This Row],['#_Constructed latrines_by_WASHAgencies]]+WWWW[[#This Row],['#_Non Cluster partner latrines]]))</f>
        <v>0</v>
      </c>
      <c r="DJ353" s="932">
        <f>1-WWWW[[#This Row],[% people access to functioning Latrine]]</f>
        <v>0</v>
      </c>
      <c r="DK353" s="931">
        <f>IF(OR(WWWW[[#This Row],['#_Non-functional latrines]]="",WWWW[[#This Row],['#_Non-functional latrines]]=0),0,WWWW[[#This Row],['#_Non-functional latrines]]/(WWWW[[#This Row],['#_Constructed latrines_by_WASHAgencies]]+WWWW[[#This Row],['#_Non Cluster partner latrines]]))</f>
        <v>0</v>
      </c>
      <c r="DL353" s="927">
        <f>IF(500*(WWWW[[#This Row],['#_male hygiene promoters]]+WWWW[[#This Row],['#_female hygiene promoters]])&gt;WWWW[[#This Row],[Total PoP ]],WWWW[[#This Row],[Total PoP ]],500*(WWWW[[#This Row],['#_male hygiene promoters]]+WWWW[[#This Row],['#_female hygiene promoters]]))</f>
        <v>133</v>
      </c>
      <c r="DM35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133</v>
      </c>
      <c r="DN35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3" s="930">
        <f>IF(WWWW[[#This Row],['# People with access to soap]]&gt;WWWW[[#This Row],['# People with access to Sanity Pads]],WWWW[[#This Row],['# People with access to soap]],WWWW[[#This Row],['# People with access to Sanity Pads]])</f>
        <v>133</v>
      </c>
      <c r="DP353" s="930">
        <f>IF(WWWW[[#This Row],['# people reached by regular dedicated hygiene promotion_5]]&gt;WWWW[[#This Row],['# People received regular supply of hygiene items_6]],WWWW[[#This Row],['# people reached by regular dedicated hygiene promotion_5]],WWWW[[#This Row],['# People received regular supply of hygiene items_6]])</f>
        <v>133</v>
      </c>
      <c r="DQ353" s="932">
        <f>IF(WWWW[[#This Row],[HRP3]]/WWWW[[#This Row],[Total PoP ]]&gt;1,1,WWWW[[#This Row],[HRP3]]/WWWW[[#This Row],[Total PoP ]])</f>
        <v>1</v>
      </c>
      <c r="DR353" s="931">
        <f>1-WWWW[[#This Row],[Hygiene Coverage%]]</f>
        <v>0</v>
      </c>
      <c r="DS353" s="929">
        <f>WWWW[[#This Row],['# people reached by regular dedicated hygiene promotion_5]]/WWWW[[#This Row],[Total PoP ]]</f>
        <v>1</v>
      </c>
      <c r="DT35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3" s="930">
        <f>WWWW[[#This Row],['#_Constructed/Existing hand washing stations]]-WWWW[[#This Row],['#_Non-Functional_hand_washing_stations]]</f>
        <v>5</v>
      </c>
      <c r="DW353" s="927">
        <f>IF(WWWW[[#This Row],['# Functional hand washing stations during reporting period]]*20&gt;WWWW[[#This Row],[Total HH]],WWWW[[#This Row],[Total HH]],WWWW[[#This Row],['# Functional hand washing stations during reporting period]]*20)</f>
        <v>25</v>
      </c>
      <c r="DX353" s="927">
        <f>IF(WWWW[[#This Row],[Is sufficient soap available for TLS? (Yes/No)]]="yes",WWWW[[#This Row],['#_Constructed/Existing hand washing stations at TLS/CFS/THF]],0)</f>
        <v>0</v>
      </c>
      <c r="DY353" s="429">
        <f>IF(WWWW[[#This Row],['# Functional hand washing stations during reporting period]]*100&gt;WWWW[[#This Row],[Total PoP ]],WWWW[[#This Row],[Total PoP ]],WWWW[[#This Row],['# Functional hand washing stations during reporting period]]*100)</f>
        <v>133</v>
      </c>
      <c r="DZ353" s="429" t="str">
        <f>IF(OR(WWWW[[#This Row],['#_students at TLS_CFS]]="",WWWW[[#This Row],['#_students at TLS_CFS]]=0),"No","Yes")</f>
        <v>No</v>
      </c>
      <c r="EA353" s="634">
        <f>IF(WWWW[[#This Row],['#_of_affected_people_surveyed_who_report_feeling_informed_about_the_different_WASH_services_available_to_them]]="","",WWWW[[#This Row],['#_of_affected_people_surveyed_who_report_feeling_informed_about_the_different_WASH_services_available_to_them]]/WWWW[[#This Row],[Total PoP ]])</f>
        <v>5.2631578947368418E-2</v>
      </c>
      <c r="EB35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3" s="923" t="str">
        <f>VLOOKUP(WWWW[[#This Row],[Site Name]],SiteDB6[[Site Name]:[CCCM Management]],6,FALSE)</f>
        <v>Yes</v>
      </c>
      <c r="EF353" s="923" t="str">
        <f>VLOOKUP(WWWW[[#This Row],[Site Name]],SiteDB6[[Site Name]:[CCCM Focal Agency]],7,FALSE)</f>
        <v>KBC-MYT</v>
      </c>
      <c r="EG353" s="923" t="str">
        <f>VLOOKUP(WWWW[[#This Row],[Site Name]],SiteDB6[[Site Name]:[Location Type 1]],9,FALSE)</f>
        <v>Camp</v>
      </c>
      <c r="EH353" s="923" t="str">
        <f>VLOOKUP(WWWW[[#This Row],[Site Name]],SiteDB6[[Site Name]:[Type of Accommodation]],10,FALSE)</f>
        <v>Camp</v>
      </c>
      <c r="EI353" s="923" t="str">
        <f>VLOOKUP(WWWW[[#This Row],[Site Name]],SiteDB6[[Site Name]:[Ethnic or GCA/NGCA]],11,FALSE)</f>
        <v>GCA</v>
      </c>
      <c r="EJ353" s="923">
        <f>VLOOKUP(WWWW[[#This Row],[Site Name]],SiteDB6[[Site Name]:[Lat]],12,FALSE)</f>
        <v>25.577559999999998</v>
      </c>
      <c r="EK353" s="923">
        <f>VLOOKUP(WWWW[[#This Row],[Site Name]],SiteDB6[[Site Name]:[Long]],13,FALSE)</f>
        <v>96.286680000000004</v>
      </c>
      <c r="EL353" s="923" t="str">
        <f>VLOOKUP(WWWW[[#This Row],[Site Name]],SiteDB6[[Site Name]:[Pcode]],3,FALSE)</f>
        <v>MMR001CMP184</v>
      </c>
      <c r="EM353" s="928" t="str">
        <f t="shared" si="5"/>
        <v>Covered</v>
      </c>
      <c r="EN353" s="928"/>
      <c r="EO353" s="923">
        <f>VLOOKUP(WWWW[[#This Row],[Site Name]],SiteDB6[[Site Name]:[Pop
(Kachin/Shan-CCCM as of July 2021)]],16,FALSE)</f>
        <v>25</v>
      </c>
      <c r="EP353" s="923">
        <f>VLOOKUP(WWWW[[#This Row],[Site Name]],SiteDB6[[Site Name]:[Pop
(Kachin/Shan-CCCM as of July 2021)]],17,FALSE)</f>
        <v>133</v>
      </c>
    </row>
    <row r="354" spans="1:146">
      <c r="A354" s="921" t="s">
        <v>2786</v>
      </c>
      <c r="B354" s="921" t="s">
        <v>242</v>
      </c>
      <c r="C354" s="922" t="s">
        <v>242</v>
      </c>
      <c r="D354" s="922" t="s">
        <v>299</v>
      </c>
      <c r="E354" s="922" t="s">
        <v>37</v>
      </c>
      <c r="F354" s="922" t="s">
        <v>148</v>
      </c>
      <c r="G354" s="594" t="str">
        <f>VLOOKUP(WWWW[[#This Row],[Site Name]],SiteDB6[[Site Name]:[Location Type]],8,FALSE)</f>
        <v>Camp</v>
      </c>
      <c r="H354" s="922" t="s">
        <v>262</v>
      </c>
      <c r="I354" s="924">
        <v>16</v>
      </c>
      <c r="J354" s="924">
        <v>66</v>
      </c>
      <c r="K354" s="925">
        <v>44562</v>
      </c>
      <c r="L354" s="926">
        <v>44926</v>
      </c>
      <c r="M354" s="924">
        <v>30</v>
      </c>
      <c r="N354" s="924">
        <v>1</v>
      </c>
      <c r="O354" s="924"/>
      <c r="P354" s="924"/>
      <c r="Q354" s="927" t="s">
        <v>41</v>
      </c>
      <c r="R354" s="924">
        <v>2</v>
      </c>
      <c r="S354" s="924">
        <v>4</v>
      </c>
      <c r="T354" s="449"/>
      <c r="U354" s="924"/>
      <c r="V354" s="924"/>
      <c r="W354" s="924"/>
      <c r="X354" s="924"/>
      <c r="Y354" s="924"/>
      <c r="Z354" s="924"/>
      <c r="AA354" s="924">
        <v>1</v>
      </c>
      <c r="AB354" s="924"/>
      <c r="AC354" s="924"/>
      <c r="AD354" s="924"/>
      <c r="AE354" s="924"/>
      <c r="AF354" s="924"/>
      <c r="AG354" s="924"/>
      <c r="AH354" s="924"/>
      <c r="AI354" s="924"/>
      <c r="AJ354" s="924"/>
      <c r="AK354" s="924"/>
      <c r="AL354" s="924"/>
      <c r="AM354" s="924">
        <v>2</v>
      </c>
      <c r="AN354" s="924"/>
      <c r="AO354" s="449"/>
      <c r="AP354" s="928" t="s">
        <v>3082</v>
      </c>
      <c r="AQ354" s="924">
        <v>5</v>
      </c>
      <c r="AR354" s="924"/>
      <c r="AS354" s="929"/>
      <c r="AT354" s="924"/>
      <c r="AU354" s="924"/>
      <c r="AV354" s="924"/>
      <c r="AW354" s="924"/>
      <c r="AX354" s="924"/>
      <c r="AY354" s="923" t="s">
        <v>41</v>
      </c>
      <c r="AZ354" s="928" t="s">
        <v>137</v>
      </c>
      <c r="BA354" s="924"/>
      <c r="BB354" s="924"/>
      <c r="BC354" s="924">
        <v>5</v>
      </c>
      <c r="BD354" s="449"/>
      <c r="BE354" s="449"/>
      <c r="BF354" s="923"/>
      <c r="BG354" s="924">
        <v>2</v>
      </c>
      <c r="BH354" s="924">
        <v>1</v>
      </c>
      <c r="BI354" s="924"/>
      <c r="BJ354" s="924">
        <v>2</v>
      </c>
      <c r="BK354" s="924"/>
      <c r="BL354" s="924">
        <v>1</v>
      </c>
      <c r="BM354" s="924">
        <v>1</v>
      </c>
      <c r="BN354" s="924">
        <v>16</v>
      </c>
      <c r="BO354" s="924"/>
      <c r="BP354" s="923"/>
      <c r="BQ354" s="930">
        <v>1</v>
      </c>
      <c r="BR354" s="929"/>
      <c r="BS354" s="923"/>
      <c r="BT354" s="424">
        <v>0.75</v>
      </c>
      <c r="BU354" s="424"/>
      <c r="BV354" s="426"/>
      <c r="BW354" s="424"/>
      <c r="BX354" s="449"/>
      <c r="BY354" s="449"/>
      <c r="BZ354" s="449"/>
      <c r="CA354" s="449"/>
      <c r="CB354" s="449"/>
      <c r="CC354" s="807"/>
      <c r="CD354" s="449"/>
      <c r="CE354" s="931" t="str">
        <f>IFERROR(WWWW[[#This Row],['#_Water sources passed]]/WWWW[[#This Row],['#_Water sources tested for fecal coliform ]],"no test")</f>
        <v>no test</v>
      </c>
      <c r="CF354" s="929" t="str">
        <f>IFERROR(WWWW[[#This Row],['#_Household passed]]/WWWW[[#This Row],['#_Household water samples tested for fecal coliform]],"no test")</f>
        <v>no test</v>
      </c>
      <c r="CG354" s="930" t="str">
        <f>IF(AND(WWWW[[#This Row],[% of water sources passed]]="no test",WWWW[[#This Row],[% Household passed]]="no test"),"No Test","Tested")</f>
        <v>No Test</v>
      </c>
      <c r="CH354" s="930">
        <f>WWWW[[#This Row],['#_Constructed/existing protected hand dug well]]-WWWW[[#This Row],['#_Non-functional protected hand dug well]]</f>
        <v>0</v>
      </c>
      <c r="CI354" s="930">
        <f>(WWWW[[#This Row],['#_Constructed/Existing tube wells/boreholes/handpumps_WASH_agency]]+WWWW[[#This Row],['#_Non-Cluster partner water tube-wells/boreholes/handpumps]])-WWWW[[#This Row],['#_Non-functional tube wells/boreholes/handpumps]]</f>
        <v>0</v>
      </c>
      <c r="CJ354" s="930">
        <f>WWWW[[#This Row],['#_Constructed/Existingwater storage tank with gravity fed reticulation system]]-WWWW[[#This Row],['#_Non-functional storage tank gravity fed reticulation system]]</f>
        <v>1</v>
      </c>
      <c r="CK354" s="930">
        <f>(WWWW[[#This Row],['#_Water_Liters_supplied_by_Water boating or water trucking]]/90)/15</f>
        <v>0</v>
      </c>
      <c r="CL354" s="930">
        <f>WWWW[[#This Row],['#_Water_Liters_from_Constructed/Existing water distribution system from river or natural spring]]/90/15</f>
        <v>0</v>
      </c>
      <c r="CM354" s="425">
        <f>IF(WWWW[[#This Row],['#_of water points in TLS/CFS]]*500&gt;WWWW[[#This Row],[Total PoP ]],WWWW[[#This Row],[Total PoP ]],WWWW[[#This Row],['#_of water points in TLS/CFS]]*500)</f>
        <v>0</v>
      </c>
      <c r="CN354" s="425">
        <f>IF(WWWW[[#This Row],['#_of water points in THF]]*500&gt;WWWW[[#This Row],[Total PoP ]],WWWW[[#This Row],[Total PoP ]],WWWW[[#This Row],['#_of water points in THF]]*500)</f>
        <v>0</v>
      </c>
      <c r="CO35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4" s="929">
        <f>IF(WWWW[[#This Row],[Location Type 1]]="Village",WWWW[[#This Row],[Access to safe drinking water for Village]],WWWW[[#This Row],[Access to safe drinking water for Camp]])</f>
        <v>1</v>
      </c>
      <c r="CR354" s="927">
        <f>WWWW[[#This Row],[%Equitable and continuous access to sufficient quantity of safe drinking water]]*WWWW[[#This Row],[Total PoP ]]</f>
        <v>66</v>
      </c>
      <c r="CS354" s="929">
        <f>IF((WWWW[[#This Row],['#_Constructed/Existing protected/fenced ponds]]*250)/WWWW[[#This Row],[Total PoP ]]&gt;1,1,(WWWW[[#This Row],['#_Constructed/Existing protected/fenced ponds]]*250)/WWWW[[#This Row],[Total PoP ]])</f>
        <v>0</v>
      </c>
      <c r="CT354" s="927">
        <f>WWWW[[#This Row],[% Access to unimproved water points]]*WWWW[[#This Row],[Total PoP ]]</f>
        <v>0</v>
      </c>
      <c r="CU35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W354" s="927">
        <f>WWWW[[#This Row],[HRP1]]/500</f>
        <v>0.13200000000000001</v>
      </c>
      <c r="CX354" s="932">
        <f>1-WWWW[[#This Row],[% Equitable and continuous access to sufficient quantity of domestic water]]</f>
        <v>0</v>
      </c>
      <c r="CY354" s="927">
        <f>WWWW[[#This Row],[%equitable and continuous access to sufficient quantity of safe drinking and domestic water''s GAP]]*WWWW[[#This Row],[Total PoP ]]</f>
        <v>0</v>
      </c>
      <c r="CZ354" s="930">
        <f>IF(WWWW[[#This Row],[Total required water points]]-WWWW[[#This Row],['#Water points coverage]]&lt;0,0,WWWW[[#This Row],[Total required water points]]-WWWW[[#This Row],['#Water points coverage]])</f>
        <v>0.86799999999999999</v>
      </c>
      <c r="DA354" s="930">
        <f>ROUND(IF(WWWW[[#This Row],[Total PoP ]]&lt;500,1,WWWW[[#This Row],[Total PoP ]]/500),0)</f>
        <v>1</v>
      </c>
      <c r="DB354" s="930">
        <f>(WWWW[[#This Row],['#_Constructed latrines_by_WASHAgencies]]+WWWW[[#This Row],['#_Non Cluster partner latrines]])-WWWW[[#This Row],['#_Non-functional latrines]]</f>
        <v>5</v>
      </c>
      <c r="DC354" s="634">
        <f>WWWW[[#This Row],[HRP2]]/WWWW[[#This Row],[Total PoP ]]</f>
        <v>1</v>
      </c>
      <c r="DD35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66</v>
      </c>
      <c r="DE35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30</v>
      </c>
      <c r="DG354" s="425">
        <f>IF(WWWW[[#This Row],['# of functional latrines in THF supported by WASH partners during the reporting period2]]="",0,WWWW[[#This Row],['# of functional latrines in THF supported by WASH partners during the reporting period2]]*50)</f>
        <v>0</v>
      </c>
      <c r="DH354" s="930">
        <f>ROUND(IF(WWWW[[#This Row],[Location Type 1]]="camp",WWWW[[#This Row],[Total PoP ]]/20,IF(WWWW[[#This Row],[Location Type 1]]="Temporary Location",WWWW[[#This Row],[Total PoP ]]/50,(WWWW[[#This Row],[Total PoP ]]/6))),0)</f>
        <v>3</v>
      </c>
      <c r="DI354" s="930">
        <f>IF(WWWW[[#This Row],[Total required Latrines]]-(WWWW[[#This Row],['#_Constructed latrines_by_WASHAgencies]]+WWWW[[#This Row],['#_Non Cluster partner latrines]])&lt;0,0,WWWW[[#This Row],[Total required Latrines]]-(WWWW[[#This Row],['#_Constructed latrines_by_WASHAgencies]]+WWWW[[#This Row],['#_Non Cluster partner latrines]]))</f>
        <v>0</v>
      </c>
      <c r="DJ354" s="932">
        <f>1-WWWW[[#This Row],[% people access to functioning Latrine]]</f>
        <v>0</v>
      </c>
      <c r="DK354" s="931">
        <f>IF(OR(WWWW[[#This Row],['#_Non-functional latrines]]="",WWWW[[#This Row],['#_Non-functional latrines]]=0),0,WWWW[[#This Row],['#_Non-functional latrines]]/(WWWW[[#This Row],['#_Constructed latrines_by_WASHAgencies]]+WWWW[[#This Row],['#_Non Cluster partner latrines]]))</f>
        <v>0</v>
      </c>
      <c r="DL354" s="927">
        <f>IF(500*(WWWW[[#This Row],['#_male hygiene promoters]]+WWWW[[#This Row],['#_female hygiene promoters]])&gt;WWWW[[#This Row],[Total PoP ]],WWWW[[#This Row],[Total PoP ]],500*(WWWW[[#This Row],['#_male hygiene promoters]]+WWWW[[#This Row],['#_female hygiene promoters]]))</f>
        <v>66</v>
      </c>
      <c r="DM35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66</v>
      </c>
      <c r="DN35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4" s="930">
        <f>IF(WWWW[[#This Row],['# People with access to soap]]&gt;WWWW[[#This Row],['# People with access to Sanity Pads]],WWWW[[#This Row],['# People with access to soap]],WWWW[[#This Row],['# People with access to Sanity Pads]])</f>
        <v>66</v>
      </c>
      <c r="DP354" s="930">
        <f>IF(WWWW[[#This Row],['# people reached by regular dedicated hygiene promotion_5]]&gt;WWWW[[#This Row],['# People received regular supply of hygiene items_6]],WWWW[[#This Row],['# people reached by regular dedicated hygiene promotion_5]],WWWW[[#This Row],['# People received regular supply of hygiene items_6]])</f>
        <v>66</v>
      </c>
      <c r="DQ354" s="932">
        <f>IF(WWWW[[#This Row],[HRP3]]/WWWW[[#This Row],[Total PoP ]]&gt;1,1,WWWW[[#This Row],[HRP3]]/WWWW[[#This Row],[Total PoP ]])</f>
        <v>1</v>
      </c>
      <c r="DR354" s="931">
        <f>1-WWWW[[#This Row],[Hygiene Coverage%]]</f>
        <v>0</v>
      </c>
      <c r="DS354" s="929">
        <f>WWWW[[#This Row],['# people reached by regular dedicated hygiene promotion_5]]/WWWW[[#This Row],[Total PoP ]]</f>
        <v>1</v>
      </c>
      <c r="DT35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4" s="930">
        <f>WWWW[[#This Row],['#_Constructed/Existing hand washing stations]]-WWWW[[#This Row],['#_Non-Functional_hand_washing_stations]]</f>
        <v>1</v>
      </c>
      <c r="DW354" s="927">
        <f>IF(WWWW[[#This Row],['# Functional hand washing stations during reporting period]]*20&gt;WWWW[[#This Row],[Total HH]],WWWW[[#This Row],[Total HH]],WWWW[[#This Row],['# Functional hand washing stations during reporting period]]*20)</f>
        <v>16</v>
      </c>
      <c r="DX354" s="927">
        <f>IF(WWWW[[#This Row],[Is sufficient soap available for TLS? (Yes/No)]]="yes",WWWW[[#This Row],['#_Constructed/Existing hand washing stations at TLS/CFS/THF]],0)</f>
        <v>0</v>
      </c>
      <c r="DY354" s="429">
        <f>IF(WWWW[[#This Row],['# Functional hand washing stations during reporting period]]*100&gt;WWWW[[#This Row],[Total PoP ]],WWWW[[#This Row],[Total PoP ]],WWWW[[#This Row],['# Functional hand washing stations during reporting period]]*100)</f>
        <v>66</v>
      </c>
      <c r="DZ354" s="429" t="str">
        <f>IF(OR(WWWW[[#This Row],['#_students at TLS_CFS]]="",WWWW[[#This Row],['#_students at TLS_CFS]]=0),"No","Yes")</f>
        <v>Yes</v>
      </c>
      <c r="EA35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v>
      </c>
      <c r="ED35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4" s="923" t="str">
        <f>VLOOKUP(WWWW[[#This Row],[Site Name]],SiteDB6[[Site Name]:[CCCM Management]],6,FALSE)</f>
        <v>Yes</v>
      </c>
      <c r="EF354" s="923" t="str">
        <f>VLOOKUP(WWWW[[#This Row],[Site Name]],SiteDB6[[Site Name]:[CCCM Focal Agency]],7,FALSE)</f>
        <v>KBC-MYT</v>
      </c>
      <c r="EG354" s="923" t="str">
        <f>VLOOKUP(WWWW[[#This Row],[Site Name]],SiteDB6[[Site Name]:[Location Type 1]],9,FALSE)</f>
        <v>Camp</v>
      </c>
      <c r="EH354" s="923" t="str">
        <f>VLOOKUP(WWWW[[#This Row],[Site Name]],SiteDB6[[Site Name]:[Type of Accommodation]],10,FALSE)</f>
        <v>Camp</v>
      </c>
      <c r="EI354" s="923" t="str">
        <f>VLOOKUP(WWWW[[#This Row],[Site Name]],SiteDB6[[Site Name]:[Ethnic or GCA/NGCA]],11,FALSE)</f>
        <v>GCA</v>
      </c>
      <c r="EJ354" s="923">
        <f>VLOOKUP(WWWW[[#This Row],[Site Name]],SiteDB6[[Site Name]:[Lat]],12,FALSE)</f>
        <v>25.599250000000001</v>
      </c>
      <c r="EK354" s="923">
        <f>VLOOKUP(WWWW[[#This Row],[Site Name]],SiteDB6[[Site Name]:[Long]],13,FALSE)</f>
        <v>96.306910999999999</v>
      </c>
      <c r="EL354" s="923" t="str">
        <f>VLOOKUP(WWWW[[#This Row],[Site Name]],SiteDB6[[Site Name]:[Pcode]],3,FALSE)</f>
        <v>MMR001CMP105</v>
      </c>
      <c r="EM354" s="928" t="str">
        <f t="shared" si="5"/>
        <v>Covered</v>
      </c>
      <c r="EN354" s="928"/>
      <c r="EO354" s="923">
        <f>VLOOKUP(WWWW[[#This Row],[Site Name]],SiteDB6[[Site Name]:[Pop
(Kachin/Shan-CCCM as of July 2021)]],16,FALSE)</f>
        <v>16</v>
      </c>
      <c r="EP354" s="923">
        <f>VLOOKUP(WWWW[[#This Row],[Site Name]],SiteDB6[[Site Name]:[Pop
(Kachin/Shan-CCCM as of July 2021)]],17,FALSE)</f>
        <v>64</v>
      </c>
    </row>
    <row r="355" spans="1:146">
      <c r="A355" s="921" t="s">
        <v>2786</v>
      </c>
      <c r="B355" s="921" t="s">
        <v>242</v>
      </c>
      <c r="C355" s="922" t="s">
        <v>242</v>
      </c>
      <c r="D355" s="922" t="s">
        <v>299</v>
      </c>
      <c r="E355" s="922" t="s">
        <v>37</v>
      </c>
      <c r="F355" s="922" t="s">
        <v>159</v>
      </c>
      <c r="G355" s="594" t="str">
        <f>VLOOKUP(WWWW[[#This Row],[Site Name]],SiteDB6[[Site Name]:[Location Type]],8,FALSE)</f>
        <v>Camp</v>
      </c>
      <c r="H355" s="922" t="s">
        <v>263</v>
      </c>
      <c r="I355" s="924">
        <v>19</v>
      </c>
      <c r="J355" s="924">
        <v>84</v>
      </c>
      <c r="K355" s="925">
        <v>44562</v>
      </c>
      <c r="L355" s="926">
        <v>44926</v>
      </c>
      <c r="M355" s="924"/>
      <c r="N355" s="924">
        <v>1</v>
      </c>
      <c r="O355" s="924"/>
      <c r="P355" s="924"/>
      <c r="Q355" s="927" t="s">
        <v>41</v>
      </c>
      <c r="R355" s="924">
        <v>2</v>
      </c>
      <c r="S355" s="924">
        <v>3</v>
      </c>
      <c r="T355" s="449">
        <v>1</v>
      </c>
      <c r="U355" s="924"/>
      <c r="V355" s="924"/>
      <c r="W355" s="924"/>
      <c r="X355" s="924">
        <v>1</v>
      </c>
      <c r="Y355" s="924"/>
      <c r="Z355" s="924"/>
      <c r="AA355" s="924"/>
      <c r="AB355" s="924"/>
      <c r="AC355" s="924"/>
      <c r="AD355" s="924"/>
      <c r="AE355" s="924"/>
      <c r="AF355" s="924"/>
      <c r="AG355" s="924"/>
      <c r="AH355" s="924"/>
      <c r="AI355" s="924"/>
      <c r="AJ355" s="924"/>
      <c r="AK355" s="924"/>
      <c r="AL355" s="924"/>
      <c r="AM355" s="924"/>
      <c r="AN355" s="924"/>
      <c r="AO355" s="449"/>
      <c r="AP355" s="928"/>
      <c r="AQ355" s="924">
        <v>5</v>
      </c>
      <c r="AR355" s="924"/>
      <c r="AS355" s="929"/>
      <c r="AT355" s="924"/>
      <c r="AU355" s="924"/>
      <c r="AV355" s="924">
        <v>3</v>
      </c>
      <c r="AW355" s="924"/>
      <c r="AX355" s="924"/>
      <c r="AY355" s="923" t="s">
        <v>41</v>
      </c>
      <c r="AZ355" s="928" t="s">
        <v>137</v>
      </c>
      <c r="BA355" s="924"/>
      <c r="BB355" s="924"/>
      <c r="BC355" s="924"/>
      <c r="BD355" s="449"/>
      <c r="BE355" s="449"/>
      <c r="BF355" s="923"/>
      <c r="BG355" s="924">
        <v>4</v>
      </c>
      <c r="BH355" s="924"/>
      <c r="BI355" s="924"/>
      <c r="BJ355" s="924">
        <v>3</v>
      </c>
      <c r="BK355" s="924"/>
      <c r="BL355" s="924"/>
      <c r="BM355" s="924"/>
      <c r="BN355" s="924">
        <v>19</v>
      </c>
      <c r="BO355" s="924"/>
      <c r="BP355" s="923" t="s">
        <v>136</v>
      </c>
      <c r="BQ355" s="930"/>
      <c r="BR355" s="929">
        <v>0.5</v>
      </c>
      <c r="BS355" s="923"/>
      <c r="BT355" s="424">
        <v>0.5</v>
      </c>
      <c r="BU355" s="424">
        <v>0.8</v>
      </c>
      <c r="BV355" s="426">
        <v>20</v>
      </c>
      <c r="BW355" s="424">
        <v>0.8</v>
      </c>
      <c r="BX355" s="449"/>
      <c r="BY355" s="449"/>
      <c r="BZ355" s="449"/>
      <c r="CA355" s="449"/>
      <c r="CB355" s="449"/>
      <c r="CC355" s="807"/>
      <c r="CD355" s="449"/>
      <c r="CE355" s="931" t="str">
        <f>IFERROR(WWWW[[#This Row],['#_Water sources passed]]/WWWW[[#This Row],['#_Water sources tested for fecal coliform ]],"no test")</f>
        <v>no test</v>
      </c>
      <c r="CF355" s="929" t="str">
        <f>IFERROR(WWWW[[#This Row],['#_Household passed]]/WWWW[[#This Row],['#_Household water samples tested for fecal coliform]],"no test")</f>
        <v>no test</v>
      </c>
      <c r="CG355" s="930" t="str">
        <f>IF(AND(WWWW[[#This Row],[% of water sources passed]]="no test",WWWW[[#This Row],[% Household passed]]="no test"),"No Test","Tested")</f>
        <v>No Test</v>
      </c>
      <c r="CH355" s="930">
        <f>WWWW[[#This Row],['#_Constructed/existing protected hand dug well]]-WWWW[[#This Row],['#_Non-functional protected hand dug well]]</f>
        <v>1</v>
      </c>
      <c r="CI355" s="930">
        <f>(WWWW[[#This Row],['#_Constructed/Existing tube wells/boreholes/handpumps_WASH_agency]]+WWWW[[#This Row],['#_Non-Cluster partner water tube-wells/boreholes/handpumps]])-WWWW[[#This Row],['#_Non-functional tube wells/boreholes/handpumps]]</f>
        <v>1</v>
      </c>
      <c r="CJ355" s="930">
        <f>WWWW[[#This Row],['#_Constructed/Existingwater storage tank with gravity fed reticulation system]]-WWWW[[#This Row],['#_Non-functional storage tank gravity fed reticulation system]]</f>
        <v>0</v>
      </c>
      <c r="CK355" s="930">
        <f>(WWWW[[#This Row],['#_Water_Liters_supplied_by_Water boating or water trucking]]/90)/15</f>
        <v>0</v>
      </c>
      <c r="CL355" s="930">
        <f>WWWW[[#This Row],['#_Water_Liters_from_Constructed/Existing water distribution system from river or natural spring]]/90/15</f>
        <v>0</v>
      </c>
      <c r="CM355" s="425">
        <f>IF(WWWW[[#This Row],['#_of water points in TLS/CFS]]*500&gt;WWWW[[#This Row],[Total PoP ]],WWWW[[#This Row],[Total PoP ]],WWWW[[#This Row],['#_of water points in TLS/CFS]]*500)</f>
        <v>0</v>
      </c>
      <c r="CN355" s="425">
        <f>IF(WWWW[[#This Row],['#_of water points in THF]]*500&gt;WWWW[[#This Row],[Total PoP ]],WWWW[[#This Row],[Total PoP ]],WWWW[[#This Row],['#_of water points in THF]]*500)</f>
        <v>0</v>
      </c>
      <c r="CO35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5" s="929">
        <f>IF(WWWW[[#This Row],[Location Type 1]]="Village",WWWW[[#This Row],[Access to safe drinking water for Village]],WWWW[[#This Row],[Access to safe drinking water for Camp]])</f>
        <v>1</v>
      </c>
      <c r="CR355" s="927">
        <f>WWWW[[#This Row],[%Equitable and continuous access to sufficient quantity of safe drinking water]]*WWWW[[#This Row],[Total PoP ]]</f>
        <v>84</v>
      </c>
      <c r="CS355" s="929">
        <f>IF((WWWW[[#This Row],['#_Constructed/Existing protected/fenced ponds]]*250)/WWWW[[#This Row],[Total PoP ]]&gt;1,1,(WWWW[[#This Row],['#_Constructed/Existing protected/fenced ponds]]*250)/WWWW[[#This Row],[Total PoP ]])</f>
        <v>0</v>
      </c>
      <c r="CT355" s="927">
        <f>WWWW[[#This Row],[% Access to unimproved water points]]*WWWW[[#This Row],[Total PoP ]]</f>
        <v>0</v>
      </c>
      <c r="CU35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84</v>
      </c>
      <c r="CW355" s="927">
        <f>WWWW[[#This Row],[HRP1]]/500</f>
        <v>0.16800000000000001</v>
      </c>
      <c r="CX355" s="932">
        <f>1-WWWW[[#This Row],[% Equitable and continuous access to sufficient quantity of domestic water]]</f>
        <v>0</v>
      </c>
      <c r="CY355" s="927">
        <f>WWWW[[#This Row],[%equitable and continuous access to sufficient quantity of safe drinking and domestic water''s GAP]]*WWWW[[#This Row],[Total PoP ]]</f>
        <v>0</v>
      </c>
      <c r="CZ355" s="930">
        <f>IF(WWWW[[#This Row],[Total required water points]]-WWWW[[#This Row],['#Water points coverage]]&lt;0,0,WWWW[[#This Row],[Total required water points]]-WWWW[[#This Row],['#Water points coverage]])</f>
        <v>0.83199999999999996</v>
      </c>
      <c r="DA355" s="930">
        <f>ROUND(IF(WWWW[[#This Row],[Total PoP ]]&lt;500,1,WWWW[[#This Row],[Total PoP ]]/500),0)</f>
        <v>1</v>
      </c>
      <c r="DB355" s="930">
        <f>(WWWW[[#This Row],['#_Constructed latrines_by_WASHAgencies]]+WWWW[[#This Row],['#_Non Cluster partner latrines]])-WWWW[[#This Row],['#_Non-functional latrines]]</f>
        <v>5</v>
      </c>
      <c r="DC355" s="634">
        <f>WWWW[[#This Row],[HRP2]]/WWWW[[#This Row],[Total PoP ]]</f>
        <v>1</v>
      </c>
      <c r="DD35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84</v>
      </c>
      <c r="DE35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35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5" s="425">
        <f>IF(WWWW[[#This Row],['# of functional latrines in THF supported by WASH partners during the reporting period2]]="",0,WWWW[[#This Row],['# of functional latrines in THF supported by WASH partners during the reporting period2]]*50)</f>
        <v>0</v>
      </c>
      <c r="DH355" s="930">
        <f>ROUND(IF(WWWW[[#This Row],[Location Type 1]]="camp",WWWW[[#This Row],[Total PoP ]]/20,IF(WWWW[[#This Row],[Location Type 1]]="Temporary Location",WWWW[[#This Row],[Total PoP ]]/50,(WWWW[[#This Row],[Total PoP ]]/6))),0)</f>
        <v>4</v>
      </c>
      <c r="DI355" s="930">
        <f>IF(WWWW[[#This Row],[Total required Latrines]]-(WWWW[[#This Row],['#_Constructed latrines_by_WASHAgencies]]+WWWW[[#This Row],['#_Non Cluster partner latrines]])&lt;0,0,WWWW[[#This Row],[Total required Latrines]]-(WWWW[[#This Row],['#_Constructed latrines_by_WASHAgencies]]+WWWW[[#This Row],['#_Non Cluster partner latrines]]))</f>
        <v>0</v>
      </c>
      <c r="DJ355" s="932">
        <f>1-WWWW[[#This Row],[% people access to functioning Latrine]]</f>
        <v>0</v>
      </c>
      <c r="DK355" s="931">
        <f>IF(OR(WWWW[[#This Row],['#_Non-functional latrines]]="",WWWW[[#This Row],['#_Non-functional latrines]]=0),0,WWWW[[#This Row],['#_Non-functional latrines]]/(WWWW[[#This Row],['#_Constructed latrines_by_WASHAgencies]]+WWWW[[#This Row],['#_Non Cluster partner latrines]]))</f>
        <v>0</v>
      </c>
      <c r="DL355" s="927">
        <f>IF(500*(WWWW[[#This Row],['#_male hygiene promoters]]+WWWW[[#This Row],['#_female hygiene promoters]])&gt;WWWW[[#This Row],[Total PoP ]],WWWW[[#This Row],[Total PoP ]],500*(WWWW[[#This Row],['#_male hygiene promoters]]+WWWW[[#This Row],['#_female hygiene promoters]]))</f>
        <v>0</v>
      </c>
      <c r="DM35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84</v>
      </c>
      <c r="DN35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5" s="930">
        <f>IF(WWWW[[#This Row],['# People with access to soap]]&gt;WWWW[[#This Row],['# People with access to Sanity Pads]],WWWW[[#This Row],['# People with access to soap]],WWWW[[#This Row],['# People with access to Sanity Pads]])</f>
        <v>84</v>
      </c>
      <c r="DP355" s="930">
        <f>IF(WWWW[[#This Row],['# people reached by regular dedicated hygiene promotion_5]]&gt;WWWW[[#This Row],['# People received regular supply of hygiene items_6]],WWWW[[#This Row],['# people reached by regular dedicated hygiene promotion_5]],WWWW[[#This Row],['# People received regular supply of hygiene items_6]])</f>
        <v>84</v>
      </c>
      <c r="DQ355" s="932">
        <f>IF(WWWW[[#This Row],[HRP3]]/WWWW[[#This Row],[Total PoP ]]&gt;1,1,WWWW[[#This Row],[HRP3]]/WWWW[[#This Row],[Total PoP ]])</f>
        <v>1</v>
      </c>
      <c r="DR355" s="931">
        <f>1-WWWW[[#This Row],[Hygiene Coverage%]]</f>
        <v>0</v>
      </c>
      <c r="DS355" s="929">
        <f>WWWW[[#This Row],['# people reached by regular dedicated hygiene promotion_5]]/WWWW[[#This Row],[Total PoP ]]</f>
        <v>0</v>
      </c>
      <c r="DT35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5" s="930">
        <f>WWWW[[#This Row],['#_Constructed/Existing hand washing stations]]-WWWW[[#This Row],['#_Non-Functional_hand_washing_stations]]</f>
        <v>4</v>
      </c>
      <c r="DW355" s="927">
        <f>IF(WWWW[[#This Row],['# Functional hand washing stations during reporting period]]*20&gt;WWWW[[#This Row],[Total HH]],WWWW[[#This Row],[Total HH]],WWWW[[#This Row],['# Functional hand washing stations during reporting period]]*20)</f>
        <v>19</v>
      </c>
      <c r="DX355" s="927">
        <f>IF(WWWW[[#This Row],[Is sufficient soap available for TLS? (Yes/No)]]="yes",WWWW[[#This Row],['#_Constructed/Existing hand washing stations at TLS/CFS/THF]],0)</f>
        <v>0</v>
      </c>
      <c r="DY355" s="429">
        <f>IF(WWWW[[#This Row],['# Functional hand washing stations during reporting period]]*100&gt;WWWW[[#This Row],[Total PoP ]],WWWW[[#This Row],[Total PoP ]],WWWW[[#This Row],['# Functional hand washing stations during reporting period]]*100)</f>
        <v>84</v>
      </c>
      <c r="DZ355" s="429" t="str">
        <f>IF(OR(WWWW[[#This Row],['#_students at TLS_CFS]]="",WWWW[[#This Row],['#_students at TLS_CFS]]=0),"No","Yes")</f>
        <v>No</v>
      </c>
      <c r="EA355" s="634">
        <f>IF(WWWW[[#This Row],['#_of_affected_people_surveyed_who_report_feeling_informed_about_the_different_WASH_services_available_to_them]]="","",WWWW[[#This Row],['#_of_affected_people_surveyed_who_report_feeling_informed_about_the_different_WASH_services_available_to_them]]/WWWW[[#This Row],[Total PoP ]])</f>
        <v>0.23809523809523808</v>
      </c>
      <c r="EB35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5" s="923" t="str">
        <f>VLOOKUP(WWWW[[#This Row],[Site Name]],SiteDB6[[Site Name]:[CCCM Management]],6,FALSE)</f>
        <v>Yes</v>
      </c>
      <c r="EF355" s="923" t="str">
        <f>VLOOKUP(WWWW[[#This Row],[Site Name]],SiteDB6[[Site Name]:[CCCM Focal Agency]],7,FALSE)</f>
        <v>Shalom</v>
      </c>
      <c r="EG355" s="923" t="str">
        <f>VLOOKUP(WWWW[[#This Row],[Site Name]],SiteDB6[[Site Name]:[Location Type 1]],9,FALSE)</f>
        <v>Camp</v>
      </c>
      <c r="EH355" s="923" t="str">
        <f>VLOOKUP(WWWW[[#This Row],[Site Name]],SiteDB6[[Site Name]:[Type of Accommodation]],10,FALSE)</f>
        <v>Camp</v>
      </c>
      <c r="EI355" s="923" t="str">
        <f>VLOOKUP(WWWW[[#This Row],[Site Name]],SiteDB6[[Site Name]:[Ethnic or GCA/NGCA]],11,FALSE)</f>
        <v>GCA</v>
      </c>
      <c r="EJ355" s="923">
        <f>VLOOKUP(WWWW[[#This Row],[Site Name]],SiteDB6[[Site Name]:[Lat]],12,FALSE)</f>
        <v>25.374343974359</v>
      </c>
      <c r="EK355" s="923">
        <f>VLOOKUP(WWWW[[#This Row],[Site Name]],SiteDB6[[Site Name]:[Long]],13,FALSE)</f>
        <v>97.2843958974359</v>
      </c>
      <c r="EL355" s="923" t="str">
        <f>VLOOKUP(WWWW[[#This Row],[Site Name]],SiteDB6[[Site Name]:[Pcode]],3,FALSE)</f>
        <v>MMR001CMP020</v>
      </c>
      <c r="EM355" s="928" t="str">
        <f t="shared" si="5"/>
        <v>Covered</v>
      </c>
      <c r="EN355" s="928"/>
      <c r="EO355" s="923">
        <f>VLOOKUP(WWWW[[#This Row],[Site Name]],SiteDB6[[Site Name]:[Pop
(Kachin/Shan-CCCM as of July 2021)]],16,FALSE)</f>
        <v>22</v>
      </c>
      <c r="EP355" s="923">
        <f>VLOOKUP(WWWW[[#This Row],[Site Name]],SiteDB6[[Site Name]:[Pop
(Kachin/Shan-CCCM as of July 2021)]],17,FALSE)</f>
        <v>90</v>
      </c>
    </row>
    <row r="356" spans="1:146">
      <c r="A356" s="921" t="s">
        <v>2786</v>
      </c>
      <c r="B356" s="921" t="s">
        <v>242</v>
      </c>
      <c r="C356" s="922" t="s">
        <v>242</v>
      </c>
      <c r="D356" s="922" t="s">
        <v>299</v>
      </c>
      <c r="E356" s="922" t="s">
        <v>37</v>
      </c>
      <c r="F356" s="922" t="s">
        <v>159</v>
      </c>
      <c r="G356" s="594" t="str">
        <f>VLOOKUP(WWWW[[#This Row],[Site Name]],SiteDB6[[Site Name]:[Location Type]],8,FALSE)</f>
        <v>Camp</v>
      </c>
      <c r="H356" s="922" t="s">
        <v>264</v>
      </c>
      <c r="I356" s="924">
        <v>29</v>
      </c>
      <c r="J356" s="924">
        <v>174</v>
      </c>
      <c r="K356" s="925">
        <v>44562</v>
      </c>
      <c r="L356" s="926">
        <v>44926</v>
      </c>
      <c r="M356" s="924"/>
      <c r="N356" s="924">
        <v>1</v>
      </c>
      <c r="O356" s="924">
        <v>1</v>
      </c>
      <c r="P356" s="924"/>
      <c r="Q356" s="927" t="s">
        <v>41</v>
      </c>
      <c r="R356" s="924">
        <v>3</v>
      </c>
      <c r="S356" s="924">
        <v>5</v>
      </c>
      <c r="T356" s="449">
        <v>2</v>
      </c>
      <c r="U356" s="924"/>
      <c r="V356" s="924"/>
      <c r="W356" s="924">
        <v>1</v>
      </c>
      <c r="X356" s="924">
        <v>1</v>
      </c>
      <c r="Y356" s="924"/>
      <c r="Z356" s="924"/>
      <c r="AA356" s="924"/>
      <c r="AB356" s="924"/>
      <c r="AC356" s="924"/>
      <c r="AD356" s="924"/>
      <c r="AE356" s="924">
        <v>2</v>
      </c>
      <c r="AF356" s="924"/>
      <c r="AG356" s="924"/>
      <c r="AH356" s="924"/>
      <c r="AI356" s="924"/>
      <c r="AJ356" s="924"/>
      <c r="AK356" s="924"/>
      <c r="AL356" s="924"/>
      <c r="AM356" s="924"/>
      <c r="AN356" s="924"/>
      <c r="AO356" s="449"/>
      <c r="AP356" s="928"/>
      <c r="AQ356" s="924">
        <v>6</v>
      </c>
      <c r="AR356" s="924"/>
      <c r="AS356" s="929"/>
      <c r="AT356" s="924"/>
      <c r="AU356" s="924"/>
      <c r="AV356" s="924">
        <v>6</v>
      </c>
      <c r="AW356" s="924"/>
      <c r="AX356" s="924"/>
      <c r="AY356" s="923" t="s">
        <v>136</v>
      </c>
      <c r="AZ356" s="928" t="s">
        <v>137</v>
      </c>
      <c r="BA356" s="924"/>
      <c r="BB356" s="924"/>
      <c r="BC356" s="924"/>
      <c r="BD356" s="449"/>
      <c r="BE356" s="449"/>
      <c r="BF356" s="923"/>
      <c r="BG356" s="924">
        <v>4</v>
      </c>
      <c r="BH356" s="924"/>
      <c r="BI356" s="924"/>
      <c r="BJ356" s="924">
        <v>2</v>
      </c>
      <c r="BK356" s="924"/>
      <c r="BL356" s="924"/>
      <c r="BM356" s="924">
        <v>2</v>
      </c>
      <c r="BN356" s="924">
        <v>29</v>
      </c>
      <c r="BO356" s="924"/>
      <c r="BP356" s="923" t="s">
        <v>41</v>
      </c>
      <c r="BQ356" s="930">
        <v>4</v>
      </c>
      <c r="BR356" s="929">
        <v>0.4</v>
      </c>
      <c r="BS356" s="923"/>
      <c r="BT356" s="424">
        <v>1</v>
      </c>
      <c r="BU356" s="424">
        <v>1</v>
      </c>
      <c r="BV356" s="426">
        <v>40</v>
      </c>
      <c r="BW356" s="424">
        <v>0.7</v>
      </c>
      <c r="BX356" s="449"/>
      <c r="BY356" s="449"/>
      <c r="BZ356" s="449"/>
      <c r="CA356" s="449"/>
      <c r="CB356" s="449"/>
      <c r="CC356" s="807"/>
      <c r="CD356" s="449"/>
      <c r="CE356" s="931" t="str">
        <f>IFERROR(WWWW[[#This Row],['#_Water sources passed]]/WWWW[[#This Row],['#_Water sources tested for fecal coliform ]],"no test")</f>
        <v>no test</v>
      </c>
      <c r="CF356" s="929" t="str">
        <f>IFERROR(WWWW[[#This Row],['#_Household passed]]/WWWW[[#This Row],['#_Household water samples tested for fecal coliform]],"no test")</f>
        <v>no test</v>
      </c>
      <c r="CG356" s="930" t="str">
        <f>IF(AND(WWWW[[#This Row],[% of water sources passed]]="no test",WWWW[[#This Row],[% Household passed]]="no test"),"No Test","Tested")</f>
        <v>No Test</v>
      </c>
      <c r="CH356" s="930">
        <f>WWWW[[#This Row],['#_Constructed/existing protected hand dug well]]-WWWW[[#This Row],['#_Non-functional protected hand dug well]]</f>
        <v>2</v>
      </c>
      <c r="CI356" s="930">
        <f>(WWWW[[#This Row],['#_Constructed/Existing tube wells/boreholes/handpumps_WASH_agency]]+WWWW[[#This Row],['#_Non-Cluster partner water tube-wells/boreholes/handpumps]])-WWWW[[#This Row],['#_Non-functional tube wells/boreholes/handpumps]]</f>
        <v>2</v>
      </c>
      <c r="CJ356" s="930">
        <f>WWWW[[#This Row],['#_Constructed/Existingwater storage tank with gravity fed reticulation system]]-WWWW[[#This Row],['#_Non-functional storage tank gravity fed reticulation system]]</f>
        <v>0</v>
      </c>
      <c r="CK356" s="930">
        <f>(WWWW[[#This Row],['#_Water_Liters_supplied_by_Water boating or water trucking]]/90)/15</f>
        <v>0</v>
      </c>
      <c r="CL356" s="930">
        <f>WWWW[[#This Row],['#_Water_Liters_from_Constructed/Existing water distribution system from river or natural spring]]/90/15</f>
        <v>0</v>
      </c>
      <c r="CM356" s="425">
        <f>IF(WWWW[[#This Row],['#_of water points in TLS/CFS]]*500&gt;WWWW[[#This Row],[Total PoP ]],WWWW[[#This Row],[Total PoP ]],WWWW[[#This Row],['#_of water points in TLS/CFS]]*500)</f>
        <v>0</v>
      </c>
      <c r="CN356" s="425">
        <f>IF(WWWW[[#This Row],['#_of water points in THF]]*500&gt;WWWW[[#This Row],[Total PoP ]],WWWW[[#This Row],[Total PoP ]],WWWW[[#This Row],['#_of water points in THF]]*500)</f>
        <v>0</v>
      </c>
      <c r="CO35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6" s="929">
        <f>IF(WWWW[[#This Row],[Location Type 1]]="Village",WWWW[[#This Row],[Access to safe drinking water for Village]],WWWW[[#This Row],[Access to safe drinking water for Camp]])</f>
        <v>1</v>
      </c>
      <c r="CR356" s="927">
        <f>WWWW[[#This Row],[%Equitable and continuous access to sufficient quantity of safe drinking water]]*WWWW[[#This Row],[Total PoP ]]</f>
        <v>174</v>
      </c>
      <c r="CS356" s="929">
        <f>IF((WWWW[[#This Row],['#_Constructed/Existing protected/fenced ponds]]*250)/WWWW[[#This Row],[Total PoP ]]&gt;1,1,(WWWW[[#This Row],['#_Constructed/Existing protected/fenced ponds]]*250)/WWWW[[#This Row],[Total PoP ]])</f>
        <v>1</v>
      </c>
      <c r="CT356" s="927">
        <f>WWWW[[#This Row],[% Access to unimproved water points]]*WWWW[[#This Row],[Total PoP ]]</f>
        <v>174</v>
      </c>
      <c r="CU35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W356" s="927">
        <f>WWWW[[#This Row],[HRP1]]/500</f>
        <v>0.34799999999999998</v>
      </c>
      <c r="CX356" s="932">
        <f>1-WWWW[[#This Row],[% Equitable and continuous access to sufficient quantity of domestic water]]</f>
        <v>0</v>
      </c>
      <c r="CY356" s="927">
        <f>WWWW[[#This Row],[%equitable and continuous access to sufficient quantity of safe drinking and domestic water''s GAP]]*WWWW[[#This Row],[Total PoP ]]</f>
        <v>0</v>
      </c>
      <c r="CZ356" s="930">
        <f>IF(WWWW[[#This Row],[Total required water points]]-WWWW[[#This Row],['#Water points coverage]]&lt;0,0,WWWW[[#This Row],[Total required water points]]-WWWW[[#This Row],['#Water points coverage]])</f>
        <v>0.65200000000000002</v>
      </c>
      <c r="DA356" s="930">
        <f>ROUND(IF(WWWW[[#This Row],[Total PoP ]]&lt;500,1,WWWW[[#This Row],[Total PoP ]]/500),0)</f>
        <v>1</v>
      </c>
      <c r="DB356" s="930">
        <f>(WWWW[[#This Row],['#_Constructed latrines_by_WASHAgencies]]+WWWW[[#This Row],['#_Non Cluster partner latrines]])-WWWW[[#This Row],['#_Non-functional latrines]]</f>
        <v>6</v>
      </c>
      <c r="DC356" s="634">
        <f>WWWW[[#This Row],[HRP2]]/WWWW[[#This Row],[Total PoP ]]</f>
        <v>0.68965517241379315</v>
      </c>
      <c r="DD35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5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5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6" s="425">
        <f>IF(WWWW[[#This Row],['# of functional latrines in THF supported by WASH partners during the reporting period2]]="",0,WWWW[[#This Row],['# of functional latrines in THF supported by WASH partners during the reporting period2]]*50)</f>
        <v>0</v>
      </c>
      <c r="DH356" s="930">
        <f>ROUND(IF(WWWW[[#This Row],[Location Type 1]]="camp",WWWW[[#This Row],[Total PoP ]]/20,IF(WWWW[[#This Row],[Location Type 1]]="Temporary Location",WWWW[[#This Row],[Total PoP ]]/50,(WWWW[[#This Row],[Total PoP ]]/6))),0)</f>
        <v>9</v>
      </c>
      <c r="DI356" s="930">
        <f>IF(WWWW[[#This Row],[Total required Latrines]]-(WWWW[[#This Row],['#_Constructed latrines_by_WASHAgencies]]+WWWW[[#This Row],['#_Non Cluster partner latrines]])&lt;0,0,WWWW[[#This Row],[Total required Latrines]]-(WWWW[[#This Row],['#_Constructed latrines_by_WASHAgencies]]+WWWW[[#This Row],['#_Non Cluster partner latrines]]))</f>
        <v>3</v>
      </c>
      <c r="DJ356" s="932">
        <f>1-WWWW[[#This Row],[% people access to functioning Latrine]]</f>
        <v>0.31034482758620685</v>
      </c>
      <c r="DK356" s="931">
        <f>IF(OR(WWWW[[#This Row],['#_Non-functional latrines]]="",WWWW[[#This Row],['#_Non-functional latrines]]=0),0,WWWW[[#This Row],['#_Non-functional latrines]]/(WWWW[[#This Row],['#_Constructed latrines_by_WASHAgencies]]+WWWW[[#This Row],['#_Non Cluster partner latrines]]))</f>
        <v>0</v>
      </c>
      <c r="DL356" s="927">
        <f>IF(500*(WWWW[[#This Row],['#_male hygiene promoters]]+WWWW[[#This Row],['#_female hygiene promoters]])&gt;WWWW[[#This Row],[Total PoP ]],WWWW[[#This Row],[Total PoP ]],500*(WWWW[[#This Row],['#_male hygiene promoters]]+WWWW[[#This Row],['#_female hygiene promoters]]))</f>
        <v>174</v>
      </c>
      <c r="DM35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174</v>
      </c>
      <c r="DN35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6" s="930">
        <f>IF(WWWW[[#This Row],['# People with access to soap]]&gt;WWWW[[#This Row],['# People with access to Sanity Pads]],WWWW[[#This Row],['# People with access to soap]],WWWW[[#This Row],['# People with access to Sanity Pads]])</f>
        <v>174</v>
      </c>
      <c r="DP356" s="930">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Q356" s="932">
        <f>IF(WWWW[[#This Row],[HRP3]]/WWWW[[#This Row],[Total PoP ]]&gt;1,1,WWWW[[#This Row],[HRP3]]/WWWW[[#This Row],[Total PoP ]])</f>
        <v>1</v>
      </c>
      <c r="DR356" s="931">
        <f>1-WWWW[[#This Row],[Hygiene Coverage%]]</f>
        <v>0</v>
      </c>
      <c r="DS356" s="929">
        <f>WWWW[[#This Row],['# people reached by regular dedicated hygiene promotion_5]]/WWWW[[#This Row],[Total PoP ]]</f>
        <v>1</v>
      </c>
      <c r="DT35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6" s="930">
        <f>WWWW[[#This Row],['#_Constructed/Existing hand washing stations]]-WWWW[[#This Row],['#_Non-Functional_hand_washing_stations]]</f>
        <v>4</v>
      </c>
      <c r="DW356" s="927">
        <f>IF(WWWW[[#This Row],['# Functional hand washing stations during reporting period]]*20&gt;WWWW[[#This Row],[Total HH]],WWWW[[#This Row],[Total HH]],WWWW[[#This Row],['# Functional hand washing stations during reporting period]]*20)</f>
        <v>29</v>
      </c>
      <c r="DX356" s="927">
        <f>IF(WWWW[[#This Row],[Is sufficient soap available for TLS? (Yes/No)]]="yes",WWWW[[#This Row],['#_Constructed/Existing hand washing stations at TLS/CFS/THF]],0)</f>
        <v>0</v>
      </c>
      <c r="DY356" s="429">
        <f>IF(WWWW[[#This Row],['# Functional hand washing stations during reporting period]]*100&gt;WWWW[[#This Row],[Total PoP ]],WWWW[[#This Row],[Total PoP ]],WWWW[[#This Row],['# Functional hand washing stations during reporting period]]*100)</f>
        <v>174</v>
      </c>
      <c r="DZ356" s="429" t="str">
        <f>IF(OR(WWWW[[#This Row],['#_students at TLS_CFS]]="",WWWW[[#This Row],['#_students at TLS_CFS]]=0),"No","Yes")</f>
        <v>No</v>
      </c>
      <c r="EA356" s="634">
        <f>IF(WWWW[[#This Row],['#_of_affected_people_surveyed_who_report_feeling_informed_about_the_different_WASH_services_available_to_them]]="","",WWWW[[#This Row],['#_of_affected_people_surveyed_who_report_feeling_informed_about_the_different_WASH_services_available_to_them]]/WWWW[[#This Row],[Total PoP ]])</f>
        <v>0.22988505747126436</v>
      </c>
      <c r="EB35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5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6" s="923" t="str">
        <f>VLOOKUP(WWWW[[#This Row],[Site Name]],SiteDB6[[Site Name]:[CCCM Management]],6,FALSE)</f>
        <v>Yes</v>
      </c>
      <c r="EF356" s="923" t="str">
        <f>VLOOKUP(WWWW[[#This Row],[Site Name]],SiteDB6[[Site Name]:[CCCM Focal Agency]],7,FALSE)</f>
        <v>Shalom</v>
      </c>
      <c r="EG356" s="923" t="str">
        <f>VLOOKUP(WWWW[[#This Row],[Site Name]],SiteDB6[[Site Name]:[Location Type 1]],9,FALSE)</f>
        <v>Camp</v>
      </c>
      <c r="EH356" s="923" t="str">
        <f>VLOOKUP(WWWW[[#This Row],[Site Name]],SiteDB6[[Site Name]:[Type of Accommodation]],10,FALSE)</f>
        <v>Camp</v>
      </c>
      <c r="EI356" s="923" t="str">
        <f>VLOOKUP(WWWW[[#This Row],[Site Name]],SiteDB6[[Site Name]:[Ethnic or GCA/NGCA]],11,FALSE)</f>
        <v>GCA</v>
      </c>
      <c r="EJ356" s="923">
        <f>VLOOKUP(WWWW[[#This Row],[Site Name]],SiteDB6[[Site Name]:[Lat]],12,FALSE)</f>
        <v>25.371049444444399</v>
      </c>
      <c r="EK356" s="923">
        <f>VLOOKUP(WWWW[[#This Row],[Site Name]],SiteDB6[[Site Name]:[Long]],13,FALSE)</f>
        <v>97.290952037037002</v>
      </c>
      <c r="EL356" s="923" t="str">
        <f>VLOOKUP(WWWW[[#This Row],[Site Name]],SiteDB6[[Site Name]:[Pcode]],3,FALSE)</f>
        <v>MMR001CMP021</v>
      </c>
      <c r="EM356" s="928" t="str">
        <f t="shared" si="5"/>
        <v>Covered</v>
      </c>
      <c r="EN356" s="928"/>
      <c r="EO356" s="923">
        <f>VLOOKUP(WWWW[[#This Row],[Site Name]],SiteDB6[[Site Name]:[Pop
(Kachin/Shan-CCCM as of July 2021)]],16,FALSE)</f>
        <v>30</v>
      </c>
      <c r="EP356" s="923">
        <f>VLOOKUP(WWWW[[#This Row],[Site Name]],SiteDB6[[Site Name]:[Pop
(Kachin/Shan-CCCM as of July 2021)]],17,FALSE)</f>
        <v>177</v>
      </c>
    </row>
    <row r="357" spans="1:146">
      <c r="A357" s="921" t="s">
        <v>2786</v>
      </c>
      <c r="B357" s="921" t="s">
        <v>242</v>
      </c>
      <c r="C357" s="922" t="s">
        <v>242</v>
      </c>
      <c r="D357" s="922" t="s">
        <v>299</v>
      </c>
      <c r="E357" s="922" t="s">
        <v>37</v>
      </c>
      <c r="F357" s="922" t="s">
        <v>159</v>
      </c>
      <c r="G357" s="594" t="str">
        <f>VLOOKUP(WWWW[[#This Row],[Site Name]],SiteDB6[[Site Name]:[Location Type]],8,FALSE)</f>
        <v>Camp</v>
      </c>
      <c r="H357" s="753" t="s">
        <v>3042</v>
      </c>
      <c r="I357" s="924">
        <v>16</v>
      </c>
      <c r="J357" s="924">
        <v>85</v>
      </c>
      <c r="K357" s="925">
        <v>44197</v>
      </c>
      <c r="L357" s="926">
        <v>44651</v>
      </c>
      <c r="M357" s="924">
        <v>20</v>
      </c>
      <c r="N357" s="924">
        <v>1</v>
      </c>
      <c r="O357" s="924">
        <v>1</v>
      </c>
      <c r="P357" s="924"/>
      <c r="Q357" s="927" t="s">
        <v>41</v>
      </c>
      <c r="R357" s="924">
        <v>2</v>
      </c>
      <c r="S357" s="924">
        <v>2</v>
      </c>
      <c r="T357" s="449">
        <v>3</v>
      </c>
      <c r="U357" s="924">
        <v>1</v>
      </c>
      <c r="V357" s="924"/>
      <c r="W357" s="924">
        <v>3</v>
      </c>
      <c r="X357" s="924">
        <v>3</v>
      </c>
      <c r="Y357" s="924">
        <v>2</v>
      </c>
      <c r="Z357" s="924">
        <v>2</v>
      </c>
      <c r="AA357" s="924"/>
      <c r="AB357" s="924"/>
      <c r="AC357" s="924"/>
      <c r="AD357" s="924"/>
      <c r="AE357" s="924">
        <v>2</v>
      </c>
      <c r="AF357" s="924"/>
      <c r="AG357" s="924"/>
      <c r="AH357" s="924"/>
      <c r="AI357" s="924"/>
      <c r="AJ357" s="924"/>
      <c r="AK357" s="924"/>
      <c r="AL357" s="924"/>
      <c r="AM357" s="924">
        <v>2</v>
      </c>
      <c r="AN357" s="924">
        <v>2</v>
      </c>
      <c r="AO357" s="449"/>
      <c r="AP357" s="928"/>
      <c r="AQ357" s="924">
        <v>7</v>
      </c>
      <c r="AR357" s="924">
        <v>5</v>
      </c>
      <c r="AS357" s="929" t="s">
        <v>2136</v>
      </c>
      <c r="AT357" s="924"/>
      <c r="AU357" s="924"/>
      <c r="AV357" s="924"/>
      <c r="AW357" s="924"/>
      <c r="AX357" s="924">
        <v>7</v>
      </c>
      <c r="AY357" s="923" t="s">
        <v>41</v>
      </c>
      <c r="AZ357" s="928" t="s">
        <v>137</v>
      </c>
      <c r="BA357" s="924"/>
      <c r="BB357" s="924"/>
      <c r="BC357" s="924">
        <v>2</v>
      </c>
      <c r="BD357" s="449"/>
      <c r="BE357" s="449"/>
      <c r="BF357" s="923"/>
      <c r="BG357" s="924">
        <v>3</v>
      </c>
      <c r="BH357" s="924"/>
      <c r="BI357" s="924"/>
      <c r="BJ357" s="924">
        <v>2</v>
      </c>
      <c r="BK357" s="924"/>
      <c r="BL357" s="924"/>
      <c r="BM357" s="924">
        <v>1</v>
      </c>
      <c r="BN357" s="924">
        <v>16</v>
      </c>
      <c r="BO357" s="924"/>
      <c r="BP357" s="923" t="s">
        <v>41</v>
      </c>
      <c r="BQ357" s="930">
        <v>2</v>
      </c>
      <c r="BR357" s="929">
        <v>0.7</v>
      </c>
      <c r="BS357" s="923"/>
      <c r="BT357" s="424">
        <v>1</v>
      </c>
      <c r="BU357" s="424">
        <v>1</v>
      </c>
      <c r="BV357" s="426"/>
      <c r="BW357" s="424"/>
      <c r="BX357" s="449"/>
      <c r="BY357" s="449"/>
      <c r="BZ357" s="449"/>
      <c r="CA357" s="449"/>
      <c r="CB357" s="449"/>
      <c r="CC357" s="807"/>
      <c r="CD357" s="449"/>
      <c r="CE357" s="931" t="str">
        <f>IFERROR(WWWW[[#This Row],['#_Water sources passed]]/WWWW[[#This Row],['#_Water sources tested for fecal coliform ]],"no test")</f>
        <v>no test</v>
      </c>
      <c r="CF357" s="929" t="str">
        <f>IFERROR(WWWW[[#This Row],['#_Household passed]]/WWWW[[#This Row],['#_Household water samples tested for fecal coliform]],"no test")</f>
        <v>no test</v>
      </c>
      <c r="CG357" s="930" t="str">
        <f>IF(AND(WWWW[[#This Row],[% of water sources passed]]="no test",WWWW[[#This Row],[% Household passed]]="no test"),"No Test","Tested")</f>
        <v>No Test</v>
      </c>
      <c r="CH357" s="930">
        <f>WWWW[[#This Row],['#_Constructed/existing protected hand dug well]]-WWWW[[#This Row],['#_Non-functional protected hand dug well]]</f>
        <v>2</v>
      </c>
      <c r="CI357" s="930">
        <f>(WWWW[[#This Row],['#_Constructed/Existing tube wells/boreholes/handpumps_WASH_agency]]+WWWW[[#This Row],['#_Non-Cluster partner water tube-wells/boreholes/handpumps]])-WWWW[[#This Row],['#_Non-functional tube wells/boreholes/handpumps]]</f>
        <v>4</v>
      </c>
      <c r="CJ357" s="930">
        <f>WWWW[[#This Row],['#_Constructed/Existingwater storage tank with gravity fed reticulation system]]-WWWW[[#This Row],['#_Non-functional storage tank gravity fed reticulation system]]</f>
        <v>0</v>
      </c>
      <c r="CK357" s="930">
        <f>(WWWW[[#This Row],['#_Water_Liters_supplied_by_Water boating or water trucking]]/90)/15</f>
        <v>0</v>
      </c>
      <c r="CL357" s="930">
        <f>WWWW[[#This Row],['#_Water_Liters_from_Constructed/Existing water distribution system from river or natural spring]]/90/15</f>
        <v>0</v>
      </c>
      <c r="CM357" s="425">
        <f>IF(WWWW[[#This Row],['#_of water points in TLS/CFS]]*500&gt;WWWW[[#This Row],[Total PoP ]],WWWW[[#This Row],[Total PoP ]],WWWW[[#This Row],['#_of water points in TLS/CFS]]*500)</f>
        <v>85</v>
      </c>
      <c r="CN357" s="425">
        <f>IF(WWWW[[#This Row],['#_of water points in THF]]*500&gt;WWWW[[#This Row],[Total PoP ]],WWWW[[#This Row],[Total PoP ]],WWWW[[#This Row],['#_of water points in THF]]*500)</f>
        <v>0</v>
      </c>
      <c r="CO35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7" s="929">
        <f>IF(WWWW[[#This Row],[Location Type 1]]="Village",WWWW[[#This Row],[Access to safe drinking water for Village]],WWWW[[#This Row],[Access to safe drinking water for Camp]])</f>
        <v>1</v>
      </c>
      <c r="CR357" s="927">
        <f>WWWW[[#This Row],[%Equitable and continuous access to sufficient quantity of safe drinking water]]*WWWW[[#This Row],[Total PoP ]]</f>
        <v>85</v>
      </c>
      <c r="CS357" s="929">
        <f>IF((WWWW[[#This Row],['#_Constructed/Existing protected/fenced ponds]]*250)/WWWW[[#This Row],[Total PoP ]]&gt;1,1,(WWWW[[#This Row],['#_Constructed/Existing protected/fenced ponds]]*250)/WWWW[[#This Row],[Total PoP ]])</f>
        <v>1</v>
      </c>
      <c r="CT357" s="927">
        <f>WWWW[[#This Row],[% Access to unimproved water points]]*WWWW[[#This Row],[Total PoP ]]</f>
        <v>85</v>
      </c>
      <c r="CU35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357" s="927">
        <f>WWWW[[#This Row],[HRP1]]/500</f>
        <v>0.17</v>
      </c>
      <c r="CX357" s="932">
        <f>1-WWWW[[#This Row],[% Equitable and continuous access to sufficient quantity of domestic water]]</f>
        <v>0</v>
      </c>
      <c r="CY357" s="927">
        <f>WWWW[[#This Row],[%equitable and continuous access to sufficient quantity of safe drinking and domestic water''s GAP]]*WWWW[[#This Row],[Total PoP ]]</f>
        <v>0</v>
      </c>
      <c r="CZ357" s="930">
        <f>IF(WWWW[[#This Row],[Total required water points]]-WWWW[[#This Row],['#Water points coverage]]&lt;0,0,WWWW[[#This Row],[Total required water points]]-WWWW[[#This Row],['#Water points coverage]])</f>
        <v>0.83</v>
      </c>
      <c r="DA357" s="930">
        <f>ROUND(IF(WWWW[[#This Row],[Total PoP ]]&lt;500,1,WWWW[[#This Row],[Total PoP ]]/500),0)</f>
        <v>1</v>
      </c>
      <c r="DB357" s="930">
        <f>(WWWW[[#This Row],['#_Constructed latrines_by_WASHAgencies]]+WWWW[[#This Row],['#_Non Cluster partner latrines]])-WWWW[[#This Row],['#_Non-functional latrines]]</f>
        <v>12</v>
      </c>
      <c r="DC357" s="634">
        <f>WWWW[[#This Row],[HRP2]]/WWWW[[#This Row],[Total PoP ]]</f>
        <v>1</v>
      </c>
      <c r="DD35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85</v>
      </c>
      <c r="DE35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20</v>
      </c>
      <c r="DG357" s="425">
        <f>IF(WWWW[[#This Row],['# of functional latrines in THF supported by WASH partners during the reporting period2]]="",0,WWWW[[#This Row],['# of functional latrines in THF supported by WASH partners during the reporting period2]]*50)</f>
        <v>0</v>
      </c>
      <c r="DH357" s="930">
        <f>ROUND(IF(WWWW[[#This Row],[Location Type 1]]="camp",WWWW[[#This Row],[Total PoP ]]/20,IF(WWWW[[#This Row],[Location Type 1]]="Temporary Location",WWWW[[#This Row],[Total PoP ]]/50,(WWWW[[#This Row],[Total PoP ]]/6))),0)</f>
        <v>4</v>
      </c>
      <c r="DI357" s="930">
        <f>IF(WWWW[[#This Row],[Total required Latrines]]-(WWWW[[#This Row],['#_Constructed latrines_by_WASHAgencies]]+WWWW[[#This Row],['#_Non Cluster partner latrines]])&lt;0,0,WWWW[[#This Row],[Total required Latrines]]-(WWWW[[#This Row],['#_Constructed latrines_by_WASHAgencies]]+WWWW[[#This Row],['#_Non Cluster partner latrines]]))</f>
        <v>0</v>
      </c>
      <c r="DJ357" s="932">
        <f>1-WWWW[[#This Row],[% people access to functioning Latrine]]</f>
        <v>0</v>
      </c>
      <c r="DK357" s="931">
        <f>IF(OR(WWWW[[#This Row],['#_Non-functional latrines]]="",WWWW[[#This Row],['#_Non-functional latrines]]=0),0,WWWW[[#This Row],['#_Non-functional latrines]]/(WWWW[[#This Row],['#_Constructed latrines_by_WASHAgencies]]+WWWW[[#This Row],['#_Non Cluster partner latrines]]))</f>
        <v>0</v>
      </c>
      <c r="DL357" s="927">
        <f>IF(500*(WWWW[[#This Row],['#_male hygiene promoters]]+WWWW[[#This Row],['#_female hygiene promoters]])&gt;WWWW[[#This Row],[Total PoP ]],WWWW[[#This Row],[Total PoP ]],500*(WWWW[[#This Row],['#_male hygiene promoters]]+WWWW[[#This Row],['#_female hygiene promoters]]))</f>
        <v>85</v>
      </c>
      <c r="DM35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35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7" s="930">
        <f>IF(WWWW[[#This Row],['# People with access to soap]]&gt;WWWW[[#This Row],['# People with access to Sanity Pads]],WWWW[[#This Row],['# People with access to soap]],WWWW[[#This Row],['# People with access to Sanity Pads]])</f>
        <v>85</v>
      </c>
      <c r="DP357" s="930">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357" s="932">
        <f>IF(WWWW[[#This Row],[HRP3]]/WWWW[[#This Row],[Total PoP ]]&gt;1,1,WWWW[[#This Row],[HRP3]]/WWWW[[#This Row],[Total PoP ]])</f>
        <v>1</v>
      </c>
      <c r="DR357" s="931">
        <f>1-WWWW[[#This Row],[Hygiene Coverage%]]</f>
        <v>0</v>
      </c>
      <c r="DS357" s="929">
        <f>WWWW[[#This Row],['# people reached by regular dedicated hygiene promotion_5]]/WWWW[[#This Row],[Total PoP ]]</f>
        <v>1</v>
      </c>
      <c r="DT35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5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7" s="930">
        <f>WWWW[[#This Row],['#_Constructed/Existing hand washing stations]]-WWWW[[#This Row],['#_Non-Functional_hand_washing_stations]]</f>
        <v>3</v>
      </c>
      <c r="DW357" s="927">
        <f>IF(WWWW[[#This Row],['# Functional hand washing stations during reporting period]]*20&gt;WWWW[[#This Row],[Total HH]],WWWW[[#This Row],[Total HH]],WWWW[[#This Row],['# Functional hand washing stations during reporting period]]*20)</f>
        <v>16</v>
      </c>
      <c r="DX357" s="927">
        <f>IF(WWWW[[#This Row],[Is sufficient soap available for TLS? (Yes/No)]]="yes",WWWW[[#This Row],['#_Constructed/Existing hand washing stations at TLS/CFS/THF]],0)</f>
        <v>2</v>
      </c>
      <c r="DY357" s="429">
        <f>IF(WWWW[[#This Row],['# Functional hand washing stations during reporting period]]*100&gt;WWWW[[#This Row],[Total PoP ]],WWWW[[#This Row],[Total PoP ]],WWWW[[#This Row],['# Functional hand washing stations during reporting period]]*100)</f>
        <v>85</v>
      </c>
      <c r="DZ357" s="429" t="str">
        <f>IF(OR(WWWW[[#This Row],['#_students at TLS_CFS]]="",WWWW[[#This Row],['#_students at TLS_CFS]]=0),"No","Yes")</f>
        <v>Yes</v>
      </c>
      <c r="EA357"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85</v>
      </c>
      <c r="ED35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7" s="923" t="str">
        <f>VLOOKUP(WWWW[[#This Row],[Site Name]],SiteDB6[[Site Name]:[CCCM Management]],6,FALSE)</f>
        <v>Yes</v>
      </c>
      <c r="EF357" s="923" t="str">
        <f>VLOOKUP(WWWW[[#This Row],[Site Name]],SiteDB6[[Site Name]:[CCCM Focal Agency]],7,FALSE)</f>
        <v>Shalom</v>
      </c>
      <c r="EG357" s="923" t="str">
        <f>VLOOKUP(WWWW[[#This Row],[Site Name]],SiteDB6[[Site Name]:[Location Type 1]],9,FALSE)</f>
        <v>Camp</v>
      </c>
      <c r="EH357" s="923" t="str">
        <f>VLOOKUP(WWWW[[#This Row],[Site Name]],SiteDB6[[Site Name]:[Type of Accommodation]],10,FALSE)</f>
        <v>Camp</v>
      </c>
      <c r="EI357" s="923" t="str">
        <f>VLOOKUP(WWWW[[#This Row],[Site Name]],SiteDB6[[Site Name]:[Ethnic or GCA/NGCA]],11,FALSE)</f>
        <v>GCA</v>
      </c>
      <c r="EJ357" s="923">
        <f>VLOOKUP(WWWW[[#This Row],[Site Name]],SiteDB6[[Site Name]:[Lat]],12,FALSE)</f>
        <v>25.417733999999999</v>
      </c>
      <c r="EK357" s="923">
        <f>VLOOKUP(WWWW[[#This Row],[Site Name]],SiteDB6[[Site Name]:[Long]],13,FALSE)</f>
        <v>97.389778000000007</v>
      </c>
      <c r="EL357" s="923" t="str">
        <f>VLOOKUP(WWWW[[#This Row],[Site Name]],SiteDB6[[Site Name]:[Pcode]],3,FALSE)</f>
        <v>MMR001CMP004</v>
      </c>
      <c r="EM357" s="928" t="str">
        <f t="shared" si="5"/>
        <v>Covered</v>
      </c>
      <c r="EN357" s="928"/>
      <c r="EO357" s="923">
        <f>VLOOKUP(WWWW[[#This Row],[Site Name]],SiteDB6[[Site Name]:[Pop
(Kachin/Shan-CCCM as of July 2021)]],16,FALSE)</f>
        <v>16</v>
      </c>
      <c r="EP357" s="923">
        <f>VLOOKUP(WWWW[[#This Row],[Site Name]],SiteDB6[[Site Name]:[Pop
(Kachin/Shan-CCCM as of July 2021)]],17,FALSE)</f>
        <v>83</v>
      </c>
    </row>
    <row r="358" spans="1:146">
      <c r="A358" s="921" t="s">
        <v>2786</v>
      </c>
      <c r="B358" s="921" t="s">
        <v>242</v>
      </c>
      <c r="C358" s="922" t="s">
        <v>242</v>
      </c>
      <c r="D358" s="922" t="s">
        <v>299</v>
      </c>
      <c r="E358" s="922" t="s">
        <v>37</v>
      </c>
      <c r="F358" s="922" t="s">
        <v>159</v>
      </c>
      <c r="G358" s="594" t="str">
        <f>VLOOKUP(WWWW[[#This Row],[Site Name]],SiteDB6[[Site Name]:[Location Type]],8,FALSE)</f>
        <v>Camp</v>
      </c>
      <c r="H358" s="922" t="s">
        <v>265</v>
      </c>
      <c r="I358" s="924">
        <v>26</v>
      </c>
      <c r="J358" s="924">
        <v>120</v>
      </c>
      <c r="K358" s="925">
        <v>44197</v>
      </c>
      <c r="L358" s="926">
        <v>44651</v>
      </c>
      <c r="M358" s="924"/>
      <c r="N358" s="924">
        <v>1</v>
      </c>
      <c r="O358" s="924"/>
      <c r="P358" s="924"/>
      <c r="Q358" s="927" t="s">
        <v>41</v>
      </c>
      <c r="R358" s="924">
        <v>1</v>
      </c>
      <c r="S358" s="924">
        <v>4</v>
      </c>
      <c r="T358" s="449">
        <v>1</v>
      </c>
      <c r="U358" s="924"/>
      <c r="V358" s="924"/>
      <c r="W358" s="924"/>
      <c r="X358" s="924"/>
      <c r="Y358" s="924"/>
      <c r="Z358" s="924"/>
      <c r="AA358" s="924"/>
      <c r="AB358" s="924"/>
      <c r="AC358" s="924"/>
      <c r="AD358" s="924"/>
      <c r="AE358" s="924"/>
      <c r="AF358" s="924"/>
      <c r="AG358" s="924"/>
      <c r="AH358" s="924"/>
      <c r="AI358" s="924"/>
      <c r="AJ358" s="924"/>
      <c r="AK358" s="924"/>
      <c r="AL358" s="924"/>
      <c r="AM358" s="924">
        <v>4</v>
      </c>
      <c r="AN358" s="924">
        <v>1</v>
      </c>
      <c r="AO358" s="449"/>
      <c r="AP358" s="928"/>
      <c r="AQ358" s="924">
        <v>2</v>
      </c>
      <c r="AR358" s="924">
        <v>5</v>
      </c>
      <c r="AS358" s="929"/>
      <c r="AT358" s="924"/>
      <c r="AU358" s="924"/>
      <c r="AV358" s="924"/>
      <c r="AW358" s="924"/>
      <c r="AX358" s="924"/>
      <c r="AY358" s="923" t="s">
        <v>41</v>
      </c>
      <c r="AZ358" s="928" t="s">
        <v>137</v>
      </c>
      <c r="BA358" s="924"/>
      <c r="BB358" s="924"/>
      <c r="BC358" s="924"/>
      <c r="BD358" s="449"/>
      <c r="BE358" s="449"/>
      <c r="BF358" s="923"/>
      <c r="BG358" s="924">
        <v>6</v>
      </c>
      <c r="BH358" s="924"/>
      <c r="BI358" s="924"/>
      <c r="BJ358" s="924">
        <v>5</v>
      </c>
      <c r="BK358" s="924"/>
      <c r="BL358" s="924"/>
      <c r="BM358" s="924"/>
      <c r="BN358" s="924"/>
      <c r="BO358" s="924"/>
      <c r="BP358" s="923"/>
      <c r="BQ358" s="930"/>
      <c r="BR358" s="929"/>
      <c r="BS358" s="923"/>
      <c r="BT358" s="424">
        <v>1</v>
      </c>
      <c r="BU358" s="424"/>
      <c r="BV358" s="426"/>
      <c r="BW358" s="424"/>
      <c r="BX358" s="449"/>
      <c r="BY358" s="449"/>
      <c r="BZ358" s="449"/>
      <c r="CA358" s="449"/>
      <c r="CB358" s="449"/>
      <c r="CC358" s="807"/>
      <c r="CD358" s="449"/>
      <c r="CE358" s="931" t="str">
        <f>IFERROR(WWWW[[#This Row],['#_Water sources passed]]/WWWW[[#This Row],['#_Water sources tested for fecal coliform ]],"no test")</f>
        <v>no test</v>
      </c>
      <c r="CF358" s="929" t="str">
        <f>IFERROR(WWWW[[#This Row],['#_Household passed]]/WWWW[[#This Row],['#_Household water samples tested for fecal coliform]],"no test")</f>
        <v>no test</v>
      </c>
      <c r="CG358" s="930" t="str">
        <f>IF(AND(WWWW[[#This Row],[% of water sources passed]]="no test",WWWW[[#This Row],[% Household passed]]="no test"),"No Test","Tested")</f>
        <v>No Test</v>
      </c>
      <c r="CH358" s="930">
        <f>WWWW[[#This Row],['#_Constructed/existing protected hand dug well]]-WWWW[[#This Row],['#_Non-functional protected hand dug well]]</f>
        <v>1</v>
      </c>
      <c r="CI358" s="930">
        <f>(WWWW[[#This Row],['#_Constructed/Existing tube wells/boreholes/handpumps_WASH_agency]]+WWWW[[#This Row],['#_Non-Cluster partner water tube-wells/boreholes/handpumps]])-WWWW[[#This Row],['#_Non-functional tube wells/boreholes/handpumps]]</f>
        <v>0</v>
      </c>
      <c r="CJ358" s="930">
        <f>WWWW[[#This Row],['#_Constructed/Existingwater storage tank with gravity fed reticulation system]]-WWWW[[#This Row],['#_Non-functional storage tank gravity fed reticulation system]]</f>
        <v>0</v>
      </c>
      <c r="CK358" s="930">
        <f>(WWWW[[#This Row],['#_Water_Liters_supplied_by_Water boating or water trucking]]/90)/15</f>
        <v>0</v>
      </c>
      <c r="CL358" s="930">
        <f>WWWW[[#This Row],['#_Water_Liters_from_Constructed/Existing water distribution system from river or natural spring]]/90/15</f>
        <v>0</v>
      </c>
      <c r="CM358" s="425">
        <f>IF(WWWW[[#This Row],['#_of water points in TLS/CFS]]*500&gt;WWWW[[#This Row],[Total PoP ]],WWWW[[#This Row],[Total PoP ]],WWWW[[#This Row],['#_of water points in TLS/CFS]]*500)</f>
        <v>120</v>
      </c>
      <c r="CN358" s="425">
        <f>IF(WWWW[[#This Row],['#_of water points in THF]]*500&gt;WWWW[[#This Row],[Total PoP ]],WWWW[[#This Row],[Total PoP ]],WWWW[[#This Row],['#_of water points in THF]]*500)</f>
        <v>0</v>
      </c>
      <c r="CO35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8" s="929">
        <f>IF(WWWW[[#This Row],[Location Type 1]]="Village",WWWW[[#This Row],[Access to safe drinking water for Village]],WWWW[[#This Row],[Access to safe drinking water for Camp]])</f>
        <v>1</v>
      </c>
      <c r="CR358" s="927">
        <f>WWWW[[#This Row],[%Equitable and continuous access to sufficient quantity of safe drinking water]]*WWWW[[#This Row],[Total PoP ]]</f>
        <v>120</v>
      </c>
      <c r="CS358" s="929">
        <f>IF((WWWW[[#This Row],['#_Constructed/Existing protected/fenced ponds]]*250)/WWWW[[#This Row],[Total PoP ]]&gt;1,1,(WWWW[[#This Row],['#_Constructed/Existing protected/fenced ponds]]*250)/WWWW[[#This Row],[Total PoP ]])</f>
        <v>0</v>
      </c>
      <c r="CT358" s="927">
        <f>WWWW[[#This Row],[% Access to unimproved water points]]*WWWW[[#This Row],[Total PoP ]]</f>
        <v>0</v>
      </c>
      <c r="CU35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W358" s="927">
        <f>WWWW[[#This Row],[HRP1]]/500</f>
        <v>0.24</v>
      </c>
      <c r="CX358" s="932">
        <f>1-WWWW[[#This Row],[% Equitable and continuous access to sufficient quantity of domestic water]]</f>
        <v>0</v>
      </c>
      <c r="CY358" s="927">
        <f>WWWW[[#This Row],[%equitable and continuous access to sufficient quantity of safe drinking and domestic water''s GAP]]*WWWW[[#This Row],[Total PoP ]]</f>
        <v>0</v>
      </c>
      <c r="CZ358" s="930">
        <f>IF(WWWW[[#This Row],[Total required water points]]-WWWW[[#This Row],['#Water points coverage]]&lt;0,0,WWWW[[#This Row],[Total required water points]]-WWWW[[#This Row],['#Water points coverage]])</f>
        <v>0.76</v>
      </c>
      <c r="DA358" s="930">
        <f>ROUND(IF(WWWW[[#This Row],[Total PoP ]]&lt;500,1,WWWW[[#This Row],[Total PoP ]]/500),0)</f>
        <v>1</v>
      </c>
      <c r="DB358" s="930">
        <f>(WWWW[[#This Row],['#_Constructed latrines_by_WASHAgencies]]+WWWW[[#This Row],['#_Non Cluster partner latrines]])-WWWW[[#This Row],['#_Non-functional latrines]]</f>
        <v>7</v>
      </c>
      <c r="DC358" s="634">
        <f>WWWW[[#This Row],[HRP2]]/WWWW[[#This Row],[Total PoP ]]</f>
        <v>1</v>
      </c>
      <c r="DD35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5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5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8" s="425">
        <f>IF(WWWW[[#This Row],['# of functional latrines in THF supported by WASH partners during the reporting period2]]="",0,WWWW[[#This Row],['# of functional latrines in THF supported by WASH partners during the reporting period2]]*50)</f>
        <v>0</v>
      </c>
      <c r="DH358" s="930">
        <f>ROUND(IF(WWWW[[#This Row],[Location Type 1]]="camp",WWWW[[#This Row],[Total PoP ]]/20,IF(WWWW[[#This Row],[Location Type 1]]="Temporary Location",WWWW[[#This Row],[Total PoP ]]/50,(WWWW[[#This Row],[Total PoP ]]/6))),0)</f>
        <v>6</v>
      </c>
      <c r="DI358" s="930">
        <f>IF(WWWW[[#This Row],[Total required Latrines]]-(WWWW[[#This Row],['#_Constructed latrines_by_WASHAgencies]]+WWWW[[#This Row],['#_Non Cluster partner latrines]])&lt;0,0,WWWW[[#This Row],[Total required Latrines]]-(WWWW[[#This Row],['#_Constructed latrines_by_WASHAgencies]]+WWWW[[#This Row],['#_Non Cluster partner latrines]]))</f>
        <v>0</v>
      </c>
      <c r="DJ358" s="932">
        <f>1-WWWW[[#This Row],[% people access to functioning Latrine]]</f>
        <v>0</v>
      </c>
      <c r="DK358" s="931">
        <f>IF(OR(WWWW[[#This Row],['#_Non-functional latrines]]="",WWWW[[#This Row],['#_Non-functional latrines]]=0),0,WWWW[[#This Row],['#_Non-functional latrines]]/(WWWW[[#This Row],['#_Constructed latrines_by_WASHAgencies]]+WWWW[[#This Row],['#_Non Cluster partner latrines]]))</f>
        <v>0</v>
      </c>
      <c r="DL358" s="927">
        <f>IF(500*(WWWW[[#This Row],['#_male hygiene promoters]]+WWWW[[#This Row],['#_female hygiene promoters]])&gt;WWWW[[#This Row],[Total PoP ]],WWWW[[#This Row],[Total PoP ]],500*(WWWW[[#This Row],['#_male hygiene promoters]]+WWWW[[#This Row],['#_female hygiene promoters]]))</f>
        <v>0</v>
      </c>
      <c r="DM35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8" s="930">
        <f>IF(WWWW[[#This Row],['# People with access to soap]]&gt;WWWW[[#This Row],['# People with access to Sanity Pads]],WWWW[[#This Row],['# People with access to soap]],WWWW[[#This Row],['# People with access to Sanity Pads]])</f>
        <v>0</v>
      </c>
      <c r="DP35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8" s="932">
        <f>IF(WWWW[[#This Row],[HRP3]]/WWWW[[#This Row],[Total PoP ]]&gt;1,1,WWWW[[#This Row],[HRP3]]/WWWW[[#This Row],[Total PoP ]])</f>
        <v>0</v>
      </c>
      <c r="DR358" s="931">
        <f>1-WWWW[[#This Row],[Hygiene Coverage%]]</f>
        <v>1</v>
      </c>
      <c r="DS358" s="929">
        <f>WWWW[[#This Row],['# people reached by regular dedicated hygiene promotion_5]]/WWWW[[#This Row],[Total PoP ]]</f>
        <v>0</v>
      </c>
      <c r="DT35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8" s="930">
        <f>WWWW[[#This Row],['#_Constructed/Existing hand washing stations]]-WWWW[[#This Row],['#_Non-Functional_hand_washing_stations]]</f>
        <v>6</v>
      </c>
      <c r="DW358" s="927">
        <f>IF(WWWW[[#This Row],['# Functional hand washing stations during reporting period]]*20&gt;WWWW[[#This Row],[Total HH]],WWWW[[#This Row],[Total HH]],WWWW[[#This Row],['# Functional hand washing stations during reporting period]]*20)</f>
        <v>26</v>
      </c>
      <c r="DX358" s="927">
        <f>IF(WWWW[[#This Row],[Is sufficient soap available for TLS? (Yes/No)]]="yes",WWWW[[#This Row],['#_Constructed/Existing hand washing stations at TLS/CFS/THF]],0)</f>
        <v>0</v>
      </c>
      <c r="DY358" s="429">
        <f>IF(WWWW[[#This Row],['# Functional hand washing stations during reporting period]]*100&gt;WWWW[[#This Row],[Total PoP ]],WWWW[[#This Row],[Total PoP ]],WWWW[[#This Row],['# Functional hand washing stations during reporting period]]*100)</f>
        <v>120</v>
      </c>
      <c r="DZ358" s="429" t="str">
        <f>IF(OR(WWWW[[#This Row],['#_students at TLS_CFS]]="",WWWW[[#This Row],['#_students at TLS_CFS]]=0),"No","Yes")</f>
        <v>No</v>
      </c>
      <c r="EA35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120</v>
      </c>
      <c r="ED35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8" s="923" t="str">
        <f>VLOOKUP(WWWW[[#This Row],[Site Name]],SiteDB6[[Site Name]:[CCCM Management]],6,FALSE)</f>
        <v>Yes</v>
      </c>
      <c r="EF358" s="923" t="str">
        <f>VLOOKUP(WWWW[[#This Row],[Site Name]],SiteDB6[[Site Name]:[CCCM Focal Agency]],7,FALSE)</f>
        <v>Shalom</v>
      </c>
      <c r="EG358" s="923" t="str">
        <f>VLOOKUP(WWWW[[#This Row],[Site Name]],SiteDB6[[Site Name]:[Location Type 1]],9,FALSE)</f>
        <v>Camp</v>
      </c>
      <c r="EH358" s="923" t="str">
        <f>VLOOKUP(WWWW[[#This Row],[Site Name]],SiteDB6[[Site Name]:[Type of Accommodation]],10,FALSE)</f>
        <v>Camp</v>
      </c>
      <c r="EI358" s="923" t="str">
        <f>VLOOKUP(WWWW[[#This Row],[Site Name]],SiteDB6[[Site Name]:[Ethnic or GCA/NGCA]],11,FALSE)</f>
        <v>GCA</v>
      </c>
      <c r="EJ358" s="923">
        <f>VLOOKUP(WWWW[[#This Row],[Site Name]],SiteDB6[[Site Name]:[Lat]],12,FALSE)</f>
        <v>25.423817</v>
      </c>
      <c r="EK358" s="923">
        <f>VLOOKUP(WWWW[[#This Row],[Site Name]],SiteDB6[[Site Name]:[Long]],13,FALSE)</f>
        <v>97.418004999999994</v>
      </c>
      <c r="EL358" s="923" t="str">
        <f>VLOOKUP(WWWW[[#This Row],[Site Name]],SiteDB6[[Site Name]:[Pcode]],3,FALSE)</f>
        <v>MMR001CMP007</v>
      </c>
      <c r="EM358" s="928" t="str">
        <f t="shared" si="5"/>
        <v>Covered</v>
      </c>
      <c r="EN358" s="928"/>
      <c r="EO358" s="923">
        <f>VLOOKUP(WWWW[[#This Row],[Site Name]],SiteDB6[[Site Name]:[Pop
(Kachin/Shan-CCCM as of July 2021)]],16,FALSE)</f>
        <v>26</v>
      </c>
      <c r="EP358" s="923">
        <f>VLOOKUP(WWWW[[#This Row],[Site Name]],SiteDB6[[Site Name]:[Pop
(Kachin/Shan-CCCM as of July 2021)]],17,FALSE)</f>
        <v>119</v>
      </c>
    </row>
    <row r="359" spans="1:146">
      <c r="A359" s="921" t="s">
        <v>2786</v>
      </c>
      <c r="B359" s="921" t="s">
        <v>242</v>
      </c>
      <c r="C359" s="922" t="s">
        <v>242</v>
      </c>
      <c r="D359" s="922" t="s">
        <v>299</v>
      </c>
      <c r="E359" s="922" t="s">
        <v>37</v>
      </c>
      <c r="F359" s="922" t="s">
        <v>159</v>
      </c>
      <c r="G359" s="594" t="str">
        <f>VLOOKUP(WWWW[[#This Row],[Site Name]],SiteDB6[[Site Name]:[Location Type]],8,FALSE)</f>
        <v>Camp</v>
      </c>
      <c r="H359" s="922" t="s">
        <v>266</v>
      </c>
      <c r="I359" s="924">
        <v>56</v>
      </c>
      <c r="J359" s="924">
        <v>262</v>
      </c>
      <c r="K359" s="925">
        <v>44562</v>
      </c>
      <c r="L359" s="926">
        <v>44926</v>
      </c>
      <c r="M359" s="924"/>
      <c r="N359" s="924">
        <v>1</v>
      </c>
      <c r="O359" s="924">
        <v>1</v>
      </c>
      <c r="P359" s="924"/>
      <c r="Q359" s="927" t="s">
        <v>41</v>
      </c>
      <c r="R359" s="924">
        <v>2</v>
      </c>
      <c r="S359" s="924">
        <v>5</v>
      </c>
      <c r="T359" s="449">
        <v>1</v>
      </c>
      <c r="U359" s="924"/>
      <c r="V359" s="924">
        <v>1</v>
      </c>
      <c r="W359" s="924">
        <v>4</v>
      </c>
      <c r="X359" s="924"/>
      <c r="Y359" s="924"/>
      <c r="Z359" s="924"/>
      <c r="AA359" s="924"/>
      <c r="AB359" s="924"/>
      <c r="AC359" s="924"/>
      <c r="AD359" s="924"/>
      <c r="AE359" s="924">
        <v>5</v>
      </c>
      <c r="AF359" s="924"/>
      <c r="AG359" s="924"/>
      <c r="AH359" s="924"/>
      <c r="AI359" s="924"/>
      <c r="AJ359" s="924"/>
      <c r="AK359" s="924"/>
      <c r="AL359" s="924"/>
      <c r="AM359" s="924">
        <v>2</v>
      </c>
      <c r="AN359" s="924">
        <v>2</v>
      </c>
      <c r="AO359" s="449"/>
      <c r="AP359" s="928"/>
      <c r="AQ359" s="924">
        <v>18</v>
      </c>
      <c r="AR359" s="924"/>
      <c r="AS359" s="929"/>
      <c r="AT359" s="924"/>
      <c r="AU359" s="924"/>
      <c r="AV359" s="924">
        <v>6</v>
      </c>
      <c r="AW359" s="924"/>
      <c r="AX359" s="924"/>
      <c r="AY359" s="923" t="s">
        <v>41</v>
      </c>
      <c r="AZ359" s="928" t="s">
        <v>137</v>
      </c>
      <c r="BA359" s="924"/>
      <c r="BB359" s="924">
        <v>1</v>
      </c>
      <c r="BC359" s="924"/>
      <c r="BD359" s="449"/>
      <c r="BE359" s="449"/>
      <c r="BF359" s="923"/>
      <c r="BG359" s="924">
        <v>4</v>
      </c>
      <c r="BH359" s="924">
        <v>1</v>
      </c>
      <c r="BI359" s="924"/>
      <c r="BJ359" s="924">
        <v>4</v>
      </c>
      <c r="BK359" s="924"/>
      <c r="BL359" s="924"/>
      <c r="BM359" s="924"/>
      <c r="BN359" s="924"/>
      <c r="BO359" s="924"/>
      <c r="BP359" s="923"/>
      <c r="BQ359" s="930"/>
      <c r="BR359" s="929"/>
      <c r="BS359" s="923"/>
      <c r="BT359" s="424">
        <v>0.8</v>
      </c>
      <c r="BU359" s="424">
        <v>0.8</v>
      </c>
      <c r="BV359" s="426"/>
      <c r="BW359" s="424"/>
      <c r="BX359" s="449"/>
      <c r="BY359" s="449"/>
      <c r="BZ359" s="449"/>
      <c r="CA359" s="449"/>
      <c r="CB359" s="449"/>
      <c r="CC359" s="807"/>
      <c r="CD359" s="449"/>
      <c r="CE359" s="931" t="str">
        <f>IFERROR(WWWW[[#This Row],['#_Water sources passed]]/WWWW[[#This Row],['#_Water sources tested for fecal coliform ]],"no test")</f>
        <v>no test</v>
      </c>
      <c r="CF359" s="929" t="str">
        <f>IFERROR(WWWW[[#This Row],['#_Household passed]]/WWWW[[#This Row],['#_Household water samples tested for fecal coliform]],"no test")</f>
        <v>no test</v>
      </c>
      <c r="CG359" s="930" t="str">
        <f>IF(AND(WWWW[[#This Row],[% of water sources passed]]="no test",WWWW[[#This Row],[% Household passed]]="no test"),"No Test","Tested")</f>
        <v>No Test</v>
      </c>
      <c r="CH359" s="930">
        <f>WWWW[[#This Row],['#_Constructed/existing protected hand dug well]]-WWWW[[#This Row],['#_Non-functional protected hand dug well]]</f>
        <v>1</v>
      </c>
      <c r="CI359" s="930">
        <f>(WWWW[[#This Row],['#_Constructed/Existing tube wells/boreholes/handpumps_WASH_agency]]+WWWW[[#This Row],['#_Non-Cluster partner water tube-wells/boreholes/handpumps]])-WWWW[[#This Row],['#_Non-functional tube wells/boreholes/handpumps]]</f>
        <v>4</v>
      </c>
      <c r="CJ359" s="930">
        <f>WWWW[[#This Row],['#_Constructed/Existingwater storage tank with gravity fed reticulation system]]-WWWW[[#This Row],['#_Non-functional storage tank gravity fed reticulation system]]</f>
        <v>0</v>
      </c>
      <c r="CK359" s="930">
        <f>(WWWW[[#This Row],['#_Water_Liters_supplied_by_Water boating or water trucking]]/90)/15</f>
        <v>0</v>
      </c>
      <c r="CL359" s="930">
        <f>WWWW[[#This Row],['#_Water_Liters_from_Constructed/Existing water distribution system from river or natural spring]]/90/15</f>
        <v>0</v>
      </c>
      <c r="CM359" s="425">
        <f>IF(WWWW[[#This Row],['#_of water points in TLS/CFS]]*500&gt;WWWW[[#This Row],[Total PoP ]],WWWW[[#This Row],[Total PoP ]],WWWW[[#This Row],['#_of water points in TLS/CFS]]*500)</f>
        <v>262</v>
      </c>
      <c r="CN359" s="425">
        <f>IF(WWWW[[#This Row],['#_of water points in THF]]*500&gt;WWWW[[#This Row],[Total PoP ]],WWWW[[#This Row],[Total PoP ]],WWWW[[#This Row],['#_of water points in THF]]*500)</f>
        <v>0</v>
      </c>
      <c r="CO35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5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59" s="929">
        <f>IF(WWWW[[#This Row],[Location Type 1]]="Village",WWWW[[#This Row],[Access to safe drinking water for Village]],WWWW[[#This Row],[Access to safe drinking water for Camp]])</f>
        <v>1</v>
      </c>
      <c r="CR359" s="927">
        <f>WWWW[[#This Row],[%Equitable and continuous access to sufficient quantity of safe drinking water]]*WWWW[[#This Row],[Total PoP ]]</f>
        <v>262</v>
      </c>
      <c r="CS359" s="929">
        <f>IF((WWWW[[#This Row],['#_Constructed/Existing protected/fenced ponds]]*250)/WWWW[[#This Row],[Total PoP ]]&gt;1,1,(WWWW[[#This Row],['#_Constructed/Existing protected/fenced ponds]]*250)/WWWW[[#This Row],[Total PoP ]])</f>
        <v>1</v>
      </c>
      <c r="CT359" s="927">
        <f>WWWW[[#This Row],[% Access to unimproved water points]]*WWWW[[#This Row],[Total PoP ]]</f>
        <v>262</v>
      </c>
      <c r="CU35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5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v>
      </c>
      <c r="CW359" s="927">
        <f>WWWW[[#This Row],[HRP1]]/500</f>
        <v>0.52400000000000002</v>
      </c>
      <c r="CX359" s="932">
        <f>1-WWWW[[#This Row],[% Equitable and continuous access to sufficient quantity of domestic water]]</f>
        <v>0</v>
      </c>
      <c r="CY359" s="927">
        <f>WWWW[[#This Row],[%equitable and continuous access to sufficient quantity of safe drinking and domestic water''s GAP]]*WWWW[[#This Row],[Total PoP ]]</f>
        <v>0</v>
      </c>
      <c r="CZ359" s="930">
        <f>IF(WWWW[[#This Row],[Total required water points]]-WWWW[[#This Row],['#Water points coverage]]&lt;0,0,WWWW[[#This Row],[Total required water points]]-WWWW[[#This Row],['#Water points coverage]])</f>
        <v>0.47599999999999998</v>
      </c>
      <c r="DA359" s="930">
        <f>ROUND(IF(WWWW[[#This Row],[Total PoP ]]&lt;500,1,WWWW[[#This Row],[Total PoP ]]/500),0)</f>
        <v>1</v>
      </c>
      <c r="DB359" s="930">
        <f>(WWWW[[#This Row],['#_Constructed latrines_by_WASHAgencies]]+WWWW[[#This Row],['#_Non Cluster partner latrines]])-WWWW[[#This Row],['#_Non-functional latrines]]</f>
        <v>18</v>
      </c>
      <c r="DC359" s="634">
        <f>WWWW[[#This Row],[HRP2]]/WWWW[[#This Row],[Total PoP ]]</f>
        <v>1</v>
      </c>
      <c r="DD35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262</v>
      </c>
      <c r="DE35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5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59" s="425">
        <f>IF(WWWW[[#This Row],['# of functional latrines in THF supported by WASH partners during the reporting period2]]="",0,WWWW[[#This Row],['# of functional latrines in THF supported by WASH partners during the reporting period2]]*50)</f>
        <v>0</v>
      </c>
      <c r="DH359" s="930">
        <f>ROUND(IF(WWWW[[#This Row],[Location Type 1]]="camp",WWWW[[#This Row],[Total PoP ]]/20,IF(WWWW[[#This Row],[Location Type 1]]="Temporary Location",WWWW[[#This Row],[Total PoP ]]/50,(WWWW[[#This Row],[Total PoP ]]/6))),0)</f>
        <v>13</v>
      </c>
      <c r="DI359" s="930">
        <f>IF(WWWW[[#This Row],[Total required Latrines]]-(WWWW[[#This Row],['#_Constructed latrines_by_WASHAgencies]]+WWWW[[#This Row],['#_Non Cluster partner latrines]])&lt;0,0,WWWW[[#This Row],[Total required Latrines]]-(WWWW[[#This Row],['#_Constructed latrines_by_WASHAgencies]]+WWWW[[#This Row],['#_Non Cluster partner latrines]]))</f>
        <v>0</v>
      </c>
      <c r="DJ359" s="932">
        <f>1-WWWW[[#This Row],[% people access to functioning Latrine]]</f>
        <v>0</v>
      </c>
      <c r="DK359" s="931">
        <f>IF(OR(WWWW[[#This Row],['#_Non-functional latrines]]="",WWWW[[#This Row],['#_Non-functional latrines]]=0),0,WWWW[[#This Row],['#_Non-functional latrines]]/(WWWW[[#This Row],['#_Constructed latrines_by_WASHAgencies]]+WWWW[[#This Row],['#_Non Cluster partner latrines]]))</f>
        <v>0</v>
      </c>
      <c r="DL359" s="927">
        <f>IF(500*(WWWW[[#This Row],['#_male hygiene promoters]]+WWWW[[#This Row],['#_female hygiene promoters]])&gt;WWWW[[#This Row],[Total PoP ]],WWWW[[#This Row],[Total PoP ]],500*(WWWW[[#This Row],['#_male hygiene promoters]]+WWWW[[#This Row],['#_female hygiene promoters]]))</f>
        <v>0</v>
      </c>
      <c r="DM35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5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59" s="930">
        <f>IF(WWWW[[#This Row],['# People with access to soap]]&gt;WWWW[[#This Row],['# People with access to Sanity Pads]],WWWW[[#This Row],['# People with access to soap]],WWWW[[#This Row],['# People with access to Sanity Pads]])</f>
        <v>0</v>
      </c>
      <c r="DP35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59" s="932">
        <f>IF(WWWW[[#This Row],[HRP3]]/WWWW[[#This Row],[Total PoP ]]&gt;1,1,WWWW[[#This Row],[HRP3]]/WWWW[[#This Row],[Total PoP ]])</f>
        <v>0</v>
      </c>
      <c r="DR359" s="931">
        <f>1-WWWW[[#This Row],[Hygiene Coverage%]]</f>
        <v>1</v>
      </c>
      <c r="DS359" s="929">
        <f>WWWW[[#This Row],['# people reached by regular dedicated hygiene promotion_5]]/WWWW[[#This Row],[Total PoP ]]</f>
        <v>0</v>
      </c>
      <c r="DT35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5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59" s="930">
        <f>WWWW[[#This Row],['#_Constructed/Existing hand washing stations]]-WWWW[[#This Row],['#_Non-Functional_hand_washing_stations]]</f>
        <v>3</v>
      </c>
      <c r="DW359" s="927">
        <f>IF(WWWW[[#This Row],['# Functional hand washing stations during reporting period]]*20&gt;WWWW[[#This Row],[Total HH]],WWWW[[#This Row],[Total HH]],WWWW[[#This Row],['# Functional hand washing stations during reporting period]]*20)</f>
        <v>56</v>
      </c>
      <c r="DX359" s="927">
        <f>IF(WWWW[[#This Row],[Is sufficient soap available for TLS? (Yes/No)]]="yes",WWWW[[#This Row],['#_Constructed/Existing hand washing stations at TLS/CFS/THF]],0)</f>
        <v>0</v>
      </c>
      <c r="DY359" s="429">
        <f>IF(WWWW[[#This Row],['# Functional hand washing stations during reporting period]]*100&gt;WWWW[[#This Row],[Total PoP ]],WWWW[[#This Row],[Total PoP ]],WWWW[[#This Row],['# Functional hand washing stations during reporting period]]*100)</f>
        <v>262</v>
      </c>
      <c r="DZ359" s="429" t="str">
        <f>IF(OR(WWWW[[#This Row],['#_students at TLS_CFS]]="",WWWW[[#This Row],['#_students at TLS_CFS]]=0),"No","Yes")</f>
        <v>No</v>
      </c>
      <c r="EA35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5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5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262</v>
      </c>
      <c r="ED35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59" s="923" t="str">
        <f>VLOOKUP(WWWW[[#This Row],[Site Name]],SiteDB6[[Site Name]:[CCCM Management]],6,FALSE)</f>
        <v>Yes</v>
      </c>
      <c r="EF359" s="923" t="str">
        <f>VLOOKUP(WWWW[[#This Row],[Site Name]],SiteDB6[[Site Name]:[CCCM Focal Agency]],7,FALSE)</f>
        <v>Shalom</v>
      </c>
      <c r="EG359" s="923" t="str">
        <f>VLOOKUP(WWWW[[#This Row],[Site Name]],SiteDB6[[Site Name]:[Location Type 1]],9,FALSE)</f>
        <v>Camp</v>
      </c>
      <c r="EH359" s="923" t="str">
        <f>VLOOKUP(WWWW[[#This Row],[Site Name]],SiteDB6[[Site Name]:[Type of Accommodation]],10,FALSE)</f>
        <v>Camp</v>
      </c>
      <c r="EI359" s="923" t="str">
        <f>VLOOKUP(WWWW[[#This Row],[Site Name]],SiteDB6[[Site Name]:[Ethnic or GCA/NGCA]],11,FALSE)</f>
        <v>GCA</v>
      </c>
      <c r="EJ359" s="923">
        <f>VLOOKUP(WWWW[[#This Row],[Site Name]],SiteDB6[[Site Name]:[Lat]],12,FALSE)</f>
        <v>25.423209</v>
      </c>
      <c r="EK359" s="923">
        <f>VLOOKUP(WWWW[[#This Row],[Site Name]],SiteDB6[[Site Name]:[Long]],13,FALSE)</f>
        <v>97.379987</v>
      </c>
      <c r="EL359" s="923" t="str">
        <f>VLOOKUP(WWWW[[#This Row],[Site Name]],SiteDB6[[Site Name]:[Pcode]],3,FALSE)</f>
        <v>MMR001CMP023</v>
      </c>
      <c r="EM359" s="928" t="str">
        <f t="shared" si="5"/>
        <v>Covered</v>
      </c>
      <c r="EN359" s="928"/>
      <c r="EO359" s="923">
        <f>VLOOKUP(WWWW[[#This Row],[Site Name]],SiteDB6[[Site Name]:[Pop
(Kachin/Shan-CCCM as of July 2021)]],16,FALSE)</f>
        <v>56</v>
      </c>
      <c r="EP359" s="923">
        <f>VLOOKUP(WWWW[[#This Row],[Site Name]],SiteDB6[[Site Name]:[Pop
(Kachin/Shan-CCCM as of July 2021)]],17,FALSE)</f>
        <v>266</v>
      </c>
    </row>
    <row r="360" spans="1:146">
      <c r="A360" s="921" t="s">
        <v>2786</v>
      </c>
      <c r="B360" s="921" t="s">
        <v>242</v>
      </c>
      <c r="C360" s="922" t="s">
        <v>242</v>
      </c>
      <c r="D360" s="922" t="s">
        <v>299</v>
      </c>
      <c r="E360" s="922" t="s">
        <v>37</v>
      </c>
      <c r="F360" s="922" t="s">
        <v>142</v>
      </c>
      <c r="G360" s="594" t="str">
        <f>VLOOKUP(WWWW[[#This Row],[Site Name]],SiteDB6[[Site Name]:[Location Type]],8,FALSE)</f>
        <v>Camp</v>
      </c>
      <c r="H360" s="922" t="s">
        <v>268</v>
      </c>
      <c r="I360" s="924">
        <v>59</v>
      </c>
      <c r="J360" s="924">
        <v>293</v>
      </c>
      <c r="K360" s="925">
        <v>44562</v>
      </c>
      <c r="L360" s="926">
        <v>44926</v>
      </c>
      <c r="M360" s="924"/>
      <c r="N360" s="924">
        <v>1</v>
      </c>
      <c r="O360" s="924">
        <v>1</v>
      </c>
      <c r="P360" s="924"/>
      <c r="Q360" s="927" t="s">
        <v>41</v>
      </c>
      <c r="R360" s="924">
        <v>1</v>
      </c>
      <c r="S360" s="924">
        <v>6</v>
      </c>
      <c r="T360" s="449">
        <v>1</v>
      </c>
      <c r="U360" s="924">
        <v>1</v>
      </c>
      <c r="V360" s="924"/>
      <c r="W360" s="924"/>
      <c r="X360" s="924"/>
      <c r="Y360" s="924"/>
      <c r="Z360" s="924"/>
      <c r="AA360" s="924"/>
      <c r="AB360" s="924"/>
      <c r="AC360" s="924"/>
      <c r="AD360" s="924"/>
      <c r="AE360" s="924">
        <v>1</v>
      </c>
      <c r="AF360" s="924"/>
      <c r="AG360" s="924">
        <v>2</v>
      </c>
      <c r="AH360" s="924"/>
      <c r="AI360" s="924"/>
      <c r="AJ360" s="924"/>
      <c r="AK360" s="924"/>
      <c r="AL360" s="924"/>
      <c r="AM360" s="924">
        <v>2</v>
      </c>
      <c r="AN360" s="924">
        <v>2</v>
      </c>
      <c r="AO360" s="449">
        <v>2</v>
      </c>
      <c r="AP360" s="928"/>
      <c r="AQ360" s="924">
        <v>6</v>
      </c>
      <c r="AR360" s="924">
        <v>2</v>
      </c>
      <c r="AS360" s="929" t="s">
        <v>3093</v>
      </c>
      <c r="AT360" s="924">
        <v>8</v>
      </c>
      <c r="AU360" s="924"/>
      <c r="AV360" s="924"/>
      <c r="AW360" s="924"/>
      <c r="AX360" s="924"/>
      <c r="AY360" s="923" t="s">
        <v>41</v>
      </c>
      <c r="AZ360" s="928" t="s">
        <v>137</v>
      </c>
      <c r="BA360" s="924"/>
      <c r="BB360" s="924"/>
      <c r="BC360" s="924"/>
      <c r="BD360" s="449">
        <v>4</v>
      </c>
      <c r="BE360" s="449"/>
      <c r="BF360" s="923"/>
      <c r="BG360" s="924">
        <v>2</v>
      </c>
      <c r="BH360" s="924"/>
      <c r="BI360" s="924"/>
      <c r="BJ360" s="924">
        <v>3</v>
      </c>
      <c r="BK360" s="924"/>
      <c r="BL360" s="924"/>
      <c r="BM360" s="924"/>
      <c r="BN360" s="924">
        <v>59</v>
      </c>
      <c r="BO360" s="924"/>
      <c r="BP360" s="923" t="s">
        <v>41</v>
      </c>
      <c r="BQ360" s="930"/>
      <c r="BR360" s="929">
        <v>0.5</v>
      </c>
      <c r="BS360" s="923"/>
      <c r="BT360" s="424">
        <v>1</v>
      </c>
      <c r="BU360" s="424">
        <v>0.9</v>
      </c>
      <c r="BV360" s="426"/>
      <c r="BW360" s="424">
        <v>1</v>
      </c>
      <c r="BX360" s="449"/>
      <c r="BY360" s="449"/>
      <c r="BZ360" s="449"/>
      <c r="CA360" s="449"/>
      <c r="CB360" s="449"/>
      <c r="CC360" s="807"/>
      <c r="CD360" s="449"/>
      <c r="CE360" s="931" t="str">
        <f>IFERROR(WWWW[[#This Row],['#_Water sources passed]]/WWWW[[#This Row],['#_Water sources tested for fecal coliform ]],"no test")</f>
        <v>no test</v>
      </c>
      <c r="CF360" s="929" t="str">
        <f>IFERROR(WWWW[[#This Row],['#_Household passed]]/WWWW[[#This Row],['#_Household water samples tested for fecal coliform]],"no test")</f>
        <v>no test</v>
      </c>
      <c r="CG360" s="930" t="str">
        <f>IF(AND(WWWW[[#This Row],[% of water sources passed]]="no test",WWWW[[#This Row],[% Household passed]]="no test"),"No Test","Tested")</f>
        <v>No Test</v>
      </c>
      <c r="CH360" s="930">
        <f>WWWW[[#This Row],['#_Constructed/existing protected hand dug well]]-WWWW[[#This Row],['#_Non-functional protected hand dug well]]</f>
        <v>0</v>
      </c>
      <c r="CI360" s="930">
        <f>(WWWW[[#This Row],['#_Constructed/Existing tube wells/boreholes/handpumps_WASH_agency]]+WWWW[[#This Row],['#_Non-Cluster partner water tube-wells/boreholes/handpumps]])-WWWW[[#This Row],['#_Non-functional tube wells/boreholes/handpumps]]</f>
        <v>0</v>
      </c>
      <c r="CJ360" s="930">
        <f>WWWW[[#This Row],['#_Constructed/Existingwater storage tank with gravity fed reticulation system]]-WWWW[[#This Row],['#_Non-functional storage tank gravity fed reticulation system]]</f>
        <v>0</v>
      </c>
      <c r="CK360" s="930">
        <f>(WWWW[[#This Row],['#_Water_Liters_supplied_by_Water boating or water trucking]]/90)/15</f>
        <v>0</v>
      </c>
      <c r="CL360" s="930">
        <f>WWWW[[#This Row],['#_Water_Liters_from_Constructed/Existing water distribution system from river or natural spring]]/90/15</f>
        <v>0</v>
      </c>
      <c r="CM360" s="425">
        <f>IF(WWWW[[#This Row],['#_of water points in TLS/CFS]]*500&gt;WWWW[[#This Row],[Total PoP ]],WWWW[[#This Row],[Total PoP ]],WWWW[[#This Row],['#_of water points in TLS/CFS]]*500)</f>
        <v>293</v>
      </c>
      <c r="CN360" s="425">
        <f>IF(WWWW[[#This Row],['#_of water points in THF]]*500&gt;WWWW[[#This Row],[Total PoP ]],WWWW[[#This Row],[Total PoP ]],WWWW[[#This Row],['#_of water points in THF]]*500)</f>
        <v>293</v>
      </c>
      <c r="CO36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6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60" s="929">
        <f>IF(WWWW[[#This Row],[Location Type 1]]="Village",WWWW[[#This Row],[Access to safe drinking water for Village]],WWWW[[#This Row],[Access to safe drinking water for Camp]])</f>
        <v>0</v>
      </c>
      <c r="CR360" s="927">
        <f>WWWW[[#This Row],[%Equitable and continuous access to sufficient quantity of safe drinking water]]*WWWW[[#This Row],[Total PoP ]]</f>
        <v>0</v>
      </c>
      <c r="CS360" s="929">
        <f>IF((WWWW[[#This Row],['#_Constructed/Existing protected/fenced ponds]]*250)/WWWW[[#This Row],[Total PoP ]]&gt;1,1,(WWWW[[#This Row],['#_Constructed/Existing protected/fenced ponds]]*250)/WWWW[[#This Row],[Total PoP ]])</f>
        <v>0.85324232081911267</v>
      </c>
      <c r="CT360" s="927">
        <f>WWWW[[#This Row],[% Access to unimproved water points]]*WWWW[[#This Row],[Total PoP ]]</f>
        <v>250</v>
      </c>
      <c r="CU36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0.85324232081911267</v>
      </c>
      <c r="CV36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360" s="927">
        <f>WWWW[[#This Row],[HRP1]]/500</f>
        <v>0.5</v>
      </c>
      <c r="CX360" s="932">
        <f>1-WWWW[[#This Row],[% Equitable and continuous access to sufficient quantity of domestic water]]</f>
        <v>0.14675767918088733</v>
      </c>
      <c r="CY360" s="927">
        <f>WWWW[[#This Row],[%equitable and continuous access to sufficient quantity of safe drinking and domestic water''s GAP]]*WWWW[[#This Row],[Total PoP ]]</f>
        <v>42.999999999999986</v>
      </c>
      <c r="CZ360" s="930">
        <f>IF(WWWW[[#This Row],[Total required water points]]-WWWW[[#This Row],['#Water points coverage]]&lt;0,0,WWWW[[#This Row],[Total required water points]]-WWWW[[#This Row],['#Water points coverage]])</f>
        <v>0.5</v>
      </c>
      <c r="DA360" s="930">
        <f>ROUND(IF(WWWW[[#This Row],[Total PoP ]]&lt;500,1,WWWW[[#This Row],[Total PoP ]]/500),0)</f>
        <v>1</v>
      </c>
      <c r="DB360" s="930">
        <f>(WWWW[[#This Row],['#_Constructed latrines_by_WASHAgencies]]+WWWW[[#This Row],['#_Non Cluster partner latrines]])-WWWW[[#This Row],['#_Non-functional latrines]]</f>
        <v>0</v>
      </c>
      <c r="DC360" s="634">
        <f>WWWW[[#This Row],[HRP2]]/WWWW[[#This Row],[Total PoP ]]</f>
        <v>0</v>
      </c>
      <c r="DD36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6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0" s="425">
        <f>IF(WWWW[[#This Row],['# of functional latrines in THF supported by WASH partners during the reporting period2]]="",0,WWWW[[#This Row],['# of functional latrines in THF supported by WASH partners during the reporting period2]]*50)</f>
        <v>200</v>
      </c>
      <c r="DH360" s="930">
        <f>ROUND(IF(WWWW[[#This Row],[Location Type 1]]="camp",WWWW[[#This Row],[Total PoP ]]/20,IF(WWWW[[#This Row],[Location Type 1]]="Temporary Location",WWWW[[#This Row],[Total PoP ]]/50,(WWWW[[#This Row],[Total PoP ]]/6))),0)</f>
        <v>15</v>
      </c>
      <c r="DI360" s="930">
        <f>IF(WWWW[[#This Row],[Total required Latrines]]-(WWWW[[#This Row],['#_Constructed latrines_by_WASHAgencies]]+WWWW[[#This Row],['#_Non Cluster partner latrines]])&lt;0,0,WWWW[[#This Row],[Total required Latrines]]-(WWWW[[#This Row],['#_Constructed latrines_by_WASHAgencies]]+WWWW[[#This Row],['#_Non Cluster partner latrines]]))</f>
        <v>7</v>
      </c>
      <c r="DJ360" s="932">
        <f>1-WWWW[[#This Row],[% people access to functioning Latrine]]</f>
        <v>1</v>
      </c>
      <c r="DK360" s="931">
        <f>IF(OR(WWWW[[#This Row],['#_Non-functional latrines]]="",WWWW[[#This Row],['#_Non-functional latrines]]=0),0,WWWW[[#This Row],['#_Non-functional latrines]]/(WWWW[[#This Row],['#_Constructed latrines_by_WASHAgencies]]+WWWW[[#This Row],['#_Non Cluster partner latrines]]))</f>
        <v>1</v>
      </c>
      <c r="DL360" s="927">
        <f>IF(500*(WWWW[[#This Row],['#_male hygiene promoters]]+WWWW[[#This Row],['#_female hygiene promoters]])&gt;WWWW[[#This Row],[Total PoP ]],WWWW[[#This Row],[Total PoP ]],500*(WWWW[[#This Row],['#_male hygiene promoters]]+WWWW[[#This Row],['#_female hygiene promoters]]))</f>
        <v>0</v>
      </c>
      <c r="DM36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293</v>
      </c>
      <c r="DN36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0" s="930">
        <f>IF(WWWW[[#This Row],['# People with access to soap]]&gt;WWWW[[#This Row],['# People with access to Sanity Pads]],WWWW[[#This Row],['# People with access to soap]],WWWW[[#This Row],['# People with access to Sanity Pads]])</f>
        <v>293</v>
      </c>
      <c r="DP360" s="930">
        <f>IF(WWWW[[#This Row],['# people reached by regular dedicated hygiene promotion_5]]&gt;WWWW[[#This Row],['# People received regular supply of hygiene items_6]],WWWW[[#This Row],['# people reached by regular dedicated hygiene promotion_5]],WWWW[[#This Row],['# People received regular supply of hygiene items_6]])</f>
        <v>293</v>
      </c>
      <c r="DQ360" s="932">
        <f>IF(WWWW[[#This Row],[HRP3]]/WWWW[[#This Row],[Total PoP ]]&gt;1,1,WWWW[[#This Row],[HRP3]]/WWWW[[#This Row],[Total PoP ]])</f>
        <v>1</v>
      </c>
      <c r="DR360" s="931">
        <f>1-WWWW[[#This Row],[Hygiene Coverage%]]</f>
        <v>0</v>
      </c>
      <c r="DS360" s="929">
        <f>WWWW[[#This Row],['# people reached by regular dedicated hygiene promotion_5]]/WWWW[[#This Row],[Total PoP ]]</f>
        <v>0</v>
      </c>
      <c r="DT36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0" s="930">
        <f>WWWW[[#This Row],['#_Constructed/Existing hand washing stations]]-WWWW[[#This Row],['#_Non-Functional_hand_washing_stations]]</f>
        <v>2</v>
      </c>
      <c r="DW360" s="927">
        <f>IF(WWWW[[#This Row],['# Functional hand washing stations during reporting period]]*20&gt;WWWW[[#This Row],[Total HH]],WWWW[[#This Row],[Total HH]],WWWW[[#This Row],['# Functional hand washing stations during reporting period]]*20)</f>
        <v>40</v>
      </c>
      <c r="DX360" s="927">
        <f>IF(WWWW[[#This Row],[Is sufficient soap available for TLS? (Yes/No)]]="yes",WWWW[[#This Row],['#_Constructed/Existing hand washing stations at TLS/CFS/THF]],0)</f>
        <v>2</v>
      </c>
      <c r="DY360" s="429">
        <f>IF(WWWW[[#This Row],['# Functional hand washing stations during reporting period]]*100&gt;WWWW[[#This Row],[Total PoP ]],WWWW[[#This Row],[Total PoP ]],WWWW[[#This Row],['# Functional hand washing stations during reporting period]]*100)</f>
        <v>200</v>
      </c>
      <c r="DZ360" s="429" t="str">
        <f>IF(OR(WWWW[[#This Row],['#_students at TLS_CFS]]="",WWWW[[#This Row],['#_students at TLS_CFS]]=0),"No","Yes")</f>
        <v>No</v>
      </c>
      <c r="EA36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293</v>
      </c>
      <c r="ED36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293</v>
      </c>
      <c r="EE360" s="923" t="str">
        <f>VLOOKUP(WWWW[[#This Row],[Site Name]],SiteDB6[[Site Name]:[CCCM Management]],6,FALSE)</f>
        <v>Yes</v>
      </c>
      <c r="EF360" s="923" t="str">
        <f>VLOOKUP(WWWW[[#This Row],[Site Name]],SiteDB6[[Site Name]:[CCCM Focal Agency]],7,FALSE)</f>
        <v>Shalom</v>
      </c>
      <c r="EG360" s="923" t="str">
        <f>VLOOKUP(WWWW[[#This Row],[Site Name]],SiteDB6[[Site Name]:[Location Type 1]],9,FALSE)</f>
        <v>Camp</v>
      </c>
      <c r="EH360" s="923" t="str">
        <f>VLOOKUP(WWWW[[#This Row],[Site Name]],SiteDB6[[Site Name]:[Type of Accommodation]],10,FALSE)</f>
        <v>Camp</v>
      </c>
      <c r="EI360" s="923" t="str">
        <f>VLOOKUP(WWWW[[#This Row],[Site Name]],SiteDB6[[Site Name]:[Ethnic or GCA/NGCA]],11,FALSE)</f>
        <v>GCA</v>
      </c>
      <c r="EJ360" s="923">
        <f>VLOOKUP(WWWW[[#This Row],[Site Name]],SiteDB6[[Site Name]:[Lat]],12,FALSE)</f>
        <v>25.321710740740698</v>
      </c>
      <c r="EK360" s="923">
        <f>VLOOKUP(WWWW[[#This Row],[Site Name]],SiteDB6[[Site Name]:[Long]],13,FALSE)</f>
        <v>97.404195925926004</v>
      </c>
      <c r="EL360" s="923" t="str">
        <f>VLOOKUP(WWWW[[#This Row],[Site Name]],SiteDB6[[Site Name]:[Pcode]],3,FALSE)</f>
        <v>MMR001CMP028</v>
      </c>
      <c r="EM360" s="928" t="str">
        <f t="shared" si="5"/>
        <v>Covered</v>
      </c>
      <c r="EN360" s="928"/>
      <c r="EO360" s="923">
        <f>VLOOKUP(WWWW[[#This Row],[Site Name]],SiteDB6[[Site Name]:[Pop
(Kachin/Shan-CCCM as of July 2021)]],16,FALSE)</f>
        <v>59</v>
      </c>
      <c r="EP360" s="923">
        <f>VLOOKUP(WWWW[[#This Row],[Site Name]],SiteDB6[[Site Name]:[Pop
(Kachin/Shan-CCCM as of July 2021)]],17,FALSE)</f>
        <v>291</v>
      </c>
    </row>
    <row r="361" spans="1:146">
      <c r="A361" s="921" t="s">
        <v>2786</v>
      </c>
      <c r="B361" s="921" t="s">
        <v>242</v>
      </c>
      <c r="C361" s="922" t="s">
        <v>242</v>
      </c>
      <c r="D361" s="922" t="s">
        <v>299</v>
      </c>
      <c r="E361" s="922" t="s">
        <v>37</v>
      </c>
      <c r="F361" s="922" t="s">
        <v>142</v>
      </c>
      <c r="G361" s="594" t="str">
        <f>VLOOKUP(WWWW[[#This Row],[Site Name]],SiteDB6[[Site Name]:[Location Type]],8,FALSE)</f>
        <v>Camp</v>
      </c>
      <c r="H361" s="922" t="s">
        <v>269</v>
      </c>
      <c r="I361" s="924">
        <v>353</v>
      </c>
      <c r="J361" s="924">
        <v>2166</v>
      </c>
      <c r="K361" s="925">
        <v>44562</v>
      </c>
      <c r="L361" s="926">
        <v>44926</v>
      </c>
      <c r="M361" s="924">
        <v>60</v>
      </c>
      <c r="N361" s="924">
        <v>1</v>
      </c>
      <c r="O361" s="924"/>
      <c r="P361" s="924"/>
      <c r="Q361" s="927" t="s">
        <v>41</v>
      </c>
      <c r="R361" s="924">
        <v>1</v>
      </c>
      <c r="S361" s="924">
        <v>6</v>
      </c>
      <c r="T361" s="449">
        <v>3</v>
      </c>
      <c r="U361" s="924"/>
      <c r="V361" s="924"/>
      <c r="W361" s="924">
        <v>2</v>
      </c>
      <c r="X361" s="924">
        <v>1</v>
      </c>
      <c r="Y361" s="924">
        <v>3</v>
      </c>
      <c r="Z361" s="924"/>
      <c r="AA361" s="924"/>
      <c r="AB361" s="924"/>
      <c r="AC361" s="924"/>
      <c r="AD361" s="924"/>
      <c r="AE361" s="924"/>
      <c r="AF361" s="924"/>
      <c r="AG361" s="924"/>
      <c r="AH361" s="924"/>
      <c r="AI361" s="924"/>
      <c r="AJ361" s="924"/>
      <c r="AK361" s="924"/>
      <c r="AL361" s="924"/>
      <c r="AM361" s="924">
        <v>2</v>
      </c>
      <c r="AN361" s="924"/>
      <c r="AO361" s="449"/>
      <c r="AP361" s="928"/>
      <c r="AQ361" s="924">
        <v>20</v>
      </c>
      <c r="AR361" s="924">
        <v>4</v>
      </c>
      <c r="AS361" s="929" t="s">
        <v>2707</v>
      </c>
      <c r="AT361" s="924"/>
      <c r="AU361" s="924"/>
      <c r="AV361" s="924"/>
      <c r="AW361" s="924"/>
      <c r="AX361" s="924"/>
      <c r="AY361" s="923" t="s">
        <v>41</v>
      </c>
      <c r="AZ361" s="928" t="s">
        <v>137</v>
      </c>
      <c r="BA361" s="924"/>
      <c r="BB361" s="924">
        <v>10</v>
      </c>
      <c r="BC361" s="924">
        <v>4</v>
      </c>
      <c r="BD361" s="449">
        <v>18</v>
      </c>
      <c r="BE361" s="449"/>
      <c r="BF361" s="923" t="s">
        <v>3094</v>
      </c>
      <c r="BG361" s="924">
        <v>14</v>
      </c>
      <c r="BH361" s="924">
        <v>1</v>
      </c>
      <c r="BI361" s="924"/>
      <c r="BJ361" s="924">
        <v>4</v>
      </c>
      <c r="BK361" s="924">
        <v>1</v>
      </c>
      <c r="BL361" s="924">
        <v>1</v>
      </c>
      <c r="BM361" s="924">
        <v>1</v>
      </c>
      <c r="BN361" s="924">
        <v>356</v>
      </c>
      <c r="BO361" s="924"/>
      <c r="BP361" s="923" t="s">
        <v>41</v>
      </c>
      <c r="BQ361" s="930"/>
      <c r="BR361" s="929">
        <v>0.6</v>
      </c>
      <c r="BS361" s="923"/>
      <c r="BT361" s="424">
        <v>0.9</v>
      </c>
      <c r="BU361" s="424">
        <v>1</v>
      </c>
      <c r="BV361" s="426"/>
      <c r="BW361" s="424">
        <v>1</v>
      </c>
      <c r="BX361" s="449"/>
      <c r="BY361" s="449"/>
      <c r="BZ361" s="449"/>
      <c r="CA361" s="449"/>
      <c r="CB361" s="449"/>
      <c r="CC361" s="807"/>
      <c r="CD361" s="449"/>
      <c r="CE361" s="931" t="str">
        <f>IFERROR(WWWW[[#This Row],['#_Water sources passed]]/WWWW[[#This Row],['#_Water sources tested for fecal coliform ]],"no test")</f>
        <v>no test</v>
      </c>
      <c r="CF361" s="929" t="str">
        <f>IFERROR(WWWW[[#This Row],['#_Household passed]]/WWWW[[#This Row],['#_Household water samples tested for fecal coliform]],"no test")</f>
        <v>no test</v>
      </c>
      <c r="CG361" s="930" t="str">
        <f>IF(AND(WWWW[[#This Row],[% of water sources passed]]="no test",WWWW[[#This Row],[% Household passed]]="no test"),"No Test","Tested")</f>
        <v>No Test</v>
      </c>
      <c r="CH361" s="930">
        <f>WWWW[[#This Row],['#_Constructed/existing protected hand dug well]]-WWWW[[#This Row],['#_Non-functional protected hand dug well]]</f>
        <v>3</v>
      </c>
      <c r="CI361" s="930">
        <f>(WWWW[[#This Row],['#_Constructed/Existing tube wells/boreholes/handpumps_WASH_agency]]+WWWW[[#This Row],['#_Non-Cluster partner water tube-wells/boreholes/handpumps]])-WWWW[[#This Row],['#_Non-functional tube wells/boreholes/handpumps]]</f>
        <v>0</v>
      </c>
      <c r="CJ361" s="930">
        <f>WWWW[[#This Row],['#_Constructed/Existingwater storage tank with gravity fed reticulation system]]-WWWW[[#This Row],['#_Non-functional storage tank gravity fed reticulation system]]</f>
        <v>0</v>
      </c>
      <c r="CK361" s="930">
        <f>(WWWW[[#This Row],['#_Water_Liters_supplied_by_Water boating or water trucking]]/90)/15</f>
        <v>0</v>
      </c>
      <c r="CL361" s="930">
        <f>WWWW[[#This Row],['#_Water_Liters_from_Constructed/Existing water distribution system from river or natural spring]]/90/15</f>
        <v>0</v>
      </c>
      <c r="CM361" s="425">
        <f>IF(WWWW[[#This Row],['#_of water points in TLS/CFS]]*500&gt;WWWW[[#This Row],[Total PoP ]],WWWW[[#This Row],[Total PoP ]],WWWW[[#This Row],['#_of water points in TLS/CFS]]*500)</f>
        <v>0</v>
      </c>
      <c r="CN361" s="425">
        <f>IF(WWWW[[#This Row],['#_of water points in THF]]*500&gt;WWWW[[#This Row],[Total PoP ]],WWWW[[#This Row],[Total PoP ]],WWWW[[#This Row],['#_of water points in THF]]*500)</f>
        <v>0</v>
      </c>
      <c r="CO36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0.554016620498615</v>
      </c>
      <c r="CP36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0.34626038781163437</v>
      </c>
      <c r="CQ361" s="929">
        <f>IF(WWWW[[#This Row],[Location Type 1]]="Village",WWWW[[#This Row],[Access to safe drinking water for Village]],WWWW[[#This Row],[Access to safe drinking water for Camp]])</f>
        <v>0.554016620498615</v>
      </c>
      <c r="CR361" s="927">
        <f>WWWW[[#This Row],[%Equitable and continuous access to sufficient quantity of safe drinking water]]*WWWW[[#This Row],[Total PoP ]]</f>
        <v>1200</v>
      </c>
      <c r="CS361" s="929">
        <f>IF((WWWW[[#This Row],['#_Constructed/Existing protected/fenced ponds]]*250)/WWWW[[#This Row],[Total PoP ]]&gt;1,1,(WWWW[[#This Row],['#_Constructed/Existing protected/fenced ponds]]*250)/WWWW[[#This Row],[Total PoP ]])</f>
        <v>0</v>
      </c>
      <c r="CT361" s="927">
        <f>WWWW[[#This Row],[% Access to unimproved water points]]*WWWW[[#This Row],[Total PoP ]]</f>
        <v>0</v>
      </c>
      <c r="CU36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0.554016620498615</v>
      </c>
      <c r="CV36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W361" s="927">
        <f>WWWW[[#This Row],[HRP1]]/500</f>
        <v>2.4</v>
      </c>
      <c r="CX361" s="932">
        <f>1-WWWW[[#This Row],[% Equitable and continuous access to sufficient quantity of domestic water]]</f>
        <v>0.445983379501385</v>
      </c>
      <c r="CY361" s="927">
        <f>WWWW[[#This Row],[%equitable and continuous access to sufficient quantity of safe drinking and domestic water''s GAP]]*WWWW[[#This Row],[Total PoP ]]</f>
        <v>965.99999999999989</v>
      </c>
      <c r="CZ361" s="930">
        <f>IF(WWWW[[#This Row],[Total required water points]]-WWWW[[#This Row],['#Water points coverage]]&lt;0,0,WWWW[[#This Row],[Total required water points]]-WWWW[[#This Row],['#Water points coverage]])</f>
        <v>1.6</v>
      </c>
      <c r="DA361" s="930">
        <f>ROUND(IF(WWWW[[#This Row],[Total PoP ]]&lt;500,1,WWWW[[#This Row],[Total PoP ]]/500),0)</f>
        <v>4</v>
      </c>
      <c r="DB361" s="930">
        <f>(WWWW[[#This Row],['#_Constructed latrines_by_WASHAgencies]]+WWWW[[#This Row],['#_Non Cluster partner latrines]])-WWWW[[#This Row],['#_Non-functional latrines]]</f>
        <v>24</v>
      </c>
      <c r="DC361" s="634">
        <f>WWWW[[#This Row],[HRP2]]/WWWW[[#This Row],[Total PoP ]]</f>
        <v>0.22160664819944598</v>
      </c>
      <c r="DD36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480</v>
      </c>
      <c r="DE36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60</v>
      </c>
      <c r="DG361" s="425">
        <f>IF(WWWW[[#This Row],['# of functional latrines in THF supported by WASH partners during the reporting period2]]="",0,WWWW[[#This Row],['# of functional latrines in THF supported by WASH partners during the reporting period2]]*50)</f>
        <v>900</v>
      </c>
      <c r="DH361" s="930">
        <f>ROUND(IF(WWWW[[#This Row],[Location Type 1]]="camp",WWWW[[#This Row],[Total PoP ]]/20,IF(WWWW[[#This Row],[Location Type 1]]="Temporary Location",WWWW[[#This Row],[Total PoP ]]/50,(WWWW[[#This Row],[Total PoP ]]/6))),0)</f>
        <v>108</v>
      </c>
      <c r="DI361" s="930">
        <f>IF(WWWW[[#This Row],[Total required Latrines]]-(WWWW[[#This Row],['#_Constructed latrines_by_WASHAgencies]]+WWWW[[#This Row],['#_Non Cluster partner latrines]])&lt;0,0,WWWW[[#This Row],[Total required Latrines]]-(WWWW[[#This Row],['#_Constructed latrines_by_WASHAgencies]]+WWWW[[#This Row],['#_Non Cluster partner latrines]]))</f>
        <v>84</v>
      </c>
      <c r="DJ361" s="932">
        <f>1-WWWW[[#This Row],[% people access to functioning Latrine]]</f>
        <v>0.77839335180055402</v>
      </c>
      <c r="DK361" s="931">
        <f>IF(OR(WWWW[[#This Row],['#_Non-functional latrines]]="",WWWW[[#This Row],['#_Non-functional latrines]]=0),0,WWWW[[#This Row],['#_Non-functional latrines]]/(WWWW[[#This Row],['#_Constructed latrines_by_WASHAgencies]]+WWWW[[#This Row],['#_Non Cluster partner latrines]]))</f>
        <v>0</v>
      </c>
      <c r="DL361" s="927">
        <f>IF(500*(WWWW[[#This Row],['#_male hygiene promoters]]+WWWW[[#This Row],['#_female hygiene promoters]])&gt;WWWW[[#This Row],[Total PoP ]],WWWW[[#This Row],[Total PoP ]],500*(WWWW[[#This Row],['#_male hygiene promoters]]+WWWW[[#This Row],['#_female hygiene promoters]]))</f>
        <v>1000</v>
      </c>
      <c r="DM36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1780</v>
      </c>
      <c r="DN36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1" s="930">
        <f>IF(WWWW[[#This Row],['# People with access to soap]]&gt;WWWW[[#This Row],['# People with access to Sanity Pads]],WWWW[[#This Row],['# People with access to soap]],WWWW[[#This Row],['# People with access to Sanity Pads]])</f>
        <v>1780</v>
      </c>
      <c r="DP361" s="930">
        <f>IF(WWWW[[#This Row],['# people reached by regular dedicated hygiene promotion_5]]&gt;WWWW[[#This Row],['# People received regular supply of hygiene items_6]],WWWW[[#This Row],['# people reached by regular dedicated hygiene promotion_5]],WWWW[[#This Row],['# People received regular supply of hygiene items_6]])</f>
        <v>1780</v>
      </c>
      <c r="DQ361" s="932">
        <f>IF(WWWW[[#This Row],[HRP3]]/WWWW[[#This Row],[Total PoP ]]&gt;1,1,WWWW[[#This Row],[HRP3]]/WWWW[[#This Row],[Total PoP ]])</f>
        <v>0.82179132040627889</v>
      </c>
      <c r="DR361" s="931">
        <f>1-WWWW[[#This Row],[Hygiene Coverage%]]</f>
        <v>0.17820867959372111</v>
      </c>
      <c r="DS361" s="929">
        <f>WWWW[[#This Row],['# people reached by regular dedicated hygiene promotion_5]]/WWWW[[#This Row],[Total PoP ]]</f>
        <v>0.46168051708217911</v>
      </c>
      <c r="DT36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1" s="930">
        <f>WWWW[[#This Row],['#_Constructed/Existing hand washing stations]]-WWWW[[#This Row],['#_Non-Functional_hand_washing_stations]]</f>
        <v>13</v>
      </c>
      <c r="DW361" s="927">
        <f>IF(WWWW[[#This Row],['# Functional hand washing stations during reporting period]]*20&gt;WWWW[[#This Row],[Total HH]],WWWW[[#This Row],[Total HH]],WWWW[[#This Row],['# Functional hand washing stations during reporting period]]*20)</f>
        <v>260</v>
      </c>
      <c r="DX361" s="927">
        <f>IF(WWWW[[#This Row],[Is sufficient soap available for TLS? (Yes/No)]]="yes",WWWW[[#This Row],['#_Constructed/Existing hand washing stations at TLS/CFS/THF]],0)</f>
        <v>2</v>
      </c>
      <c r="DY361" s="429">
        <f>IF(WWWW[[#This Row],['# Functional hand washing stations during reporting period]]*100&gt;WWWW[[#This Row],[Total PoP ]],WWWW[[#This Row],[Total PoP ]],WWWW[[#This Row],['# Functional hand washing stations during reporting period]]*100)</f>
        <v>1300</v>
      </c>
      <c r="DZ361" s="429" t="str">
        <f>IF(OR(WWWW[[#This Row],['#_students at TLS_CFS]]="",WWWW[[#This Row],['#_students at TLS_CFS]]=0),"No","Yes")</f>
        <v>Yes</v>
      </c>
      <c r="EA36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60</v>
      </c>
      <c r="ED36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900</v>
      </c>
      <c r="EE361" s="923" t="str">
        <f>VLOOKUP(WWWW[[#This Row],[Site Name]],SiteDB6[[Site Name]:[CCCM Management]],6,FALSE)</f>
        <v>Yes</v>
      </c>
      <c r="EF361" s="923" t="str">
        <f>VLOOKUP(WWWW[[#This Row],[Site Name]],SiteDB6[[Site Name]:[CCCM Focal Agency]],7,FALSE)</f>
        <v>Shalom</v>
      </c>
      <c r="EG361" s="923" t="str">
        <f>VLOOKUP(WWWW[[#This Row],[Site Name]],SiteDB6[[Site Name]:[Location Type 1]],9,FALSE)</f>
        <v>Camp</v>
      </c>
      <c r="EH361" s="923" t="str">
        <f>VLOOKUP(WWWW[[#This Row],[Site Name]],SiteDB6[[Site Name]:[Type of Accommodation]],10,FALSE)</f>
        <v>Camp</v>
      </c>
      <c r="EI361" s="923" t="str">
        <f>VLOOKUP(WWWW[[#This Row],[Site Name]],SiteDB6[[Site Name]:[Ethnic or GCA/NGCA]],11,FALSE)</f>
        <v>GCA</v>
      </c>
      <c r="EJ361" s="923">
        <f>VLOOKUP(WWWW[[#This Row],[Site Name]],SiteDB6[[Site Name]:[Lat]],12,FALSE)</f>
        <v>25.424529444444399</v>
      </c>
      <c r="EK361" s="923">
        <f>VLOOKUP(WWWW[[#This Row],[Site Name]],SiteDB6[[Site Name]:[Long]],13,FALSE)</f>
        <v>97.433419259259296</v>
      </c>
      <c r="EL361" s="923" t="str">
        <f>VLOOKUP(WWWW[[#This Row],[Site Name]],SiteDB6[[Site Name]:[Pcode]],3,FALSE)</f>
        <v>MMR001CMP031</v>
      </c>
      <c r="EM361" s="928" t="str">
        <f t="shared" si="5"/>
        <v>Covered</v>
      </c>
      <c r="EN361" s="928"/>
      <c r="EO361" s="923">
        <f>VLOOKUP(WWWW[[#This Row],[Site Name]],SiteDB6[[Site Name]:[Pop
(Kachin/Shan-CCCM as of July 2021)]],16,FALSE)</f>
        <v>353</v>
      </c>
      <c r="EP361" s="923">
        <f>VLOOKUP(WWWW[[#This Row],[Site Name]],SiteDB6[[Site Name]:[Pop
(Kachin/Shan-CCCM as of July 2021)]],17,FALSE)</f>
        <v>2166</v>
      </c>
    </row>
    <row r="362" spans="1:146">
      <c r="A362" s="921" t="s">
        <v>2786</v>
      </c>
      <c r="B362" s="921" t="s">
        <v>242</v>
      </c>
      <c r="C362" s="922" t="s">
        <v>242</v>
      </c>
      <c r="D362" s="922" t="s">
        <v>299</v>
      </c>
      <c r="E362" s="922" t="s">
        <v>37</v>
      </c>
      <c r="F362" s="922" t="s">
        <v>142</v>
      </c>
      <c r="G362" s="594" t="str">
        <f>VLOOKUP(WWWW[[#This Row],[Site Name]],SiteDB6[[Site Name]:[Location Type]],8,FALSE)</f>
        <v>Camp</v>
      </c>
      <c r="H362" s="922" t="s">
        <v>3025</v>
      </c>
      <c r="I362" s="924">
        <v>40</v>
      </c>
      <c r="J362" s="924">
        <v>221</v>
      </c>
      <c r="K362" s="925">
        <v>44562</v>
      </c>
      <c r="L362" s="926">
        <v>44926</v>
      </c>
      <c r="M362" s="924"/>
      <c r="N362" s="924">
        <v>1</v>
      </c>
      <c r="O362" s="924"/>
      <c r="P362" s="924"/>
      <c r="Q362" s="927" t="s">
        <v>41</v>
      </c>
      <c r="R362" s="924">
        <v>1</v>
      </c>
      <c r="S362" s="924">
        <v>4</v>
      </c>
      <c r="T362" s="449">
        <v>1</v>
      </c>
      <c r="U362" s="924"/>
      <c r="V362" s="924"/>
      <c r="W362" s="924"/>
      <c r="X362" s="924"/>
      <c r="Y362" s="924"/>
      <c r="Z362" s="924"/>
      <c r="AA362" s="924"/>
      <c r="AB362" s="924"/>
      <c r="AC362" s="924"/>
      <c r="AD362" s="924"/>
      <c r="AE362" s="924"/>
      <c r="AF362" s="924"/>
      <c r="AG362" s="924"/>
      <c r="AH362" s="924"/>
      <c r="AI362" s="924"/>
      <c r="AJ362" s="924"/>
      <c r="AK362" s="924"/>
      <c r="AL362" s="924"/>
      <c r="AM362" s="924"/>
      <c r="AN362" s="924"/>
      <c r="AO362" s="449"/>
      <c r="AP362" s="928" t="s">
        <v>2909</v>
      </c>
      <c r="AQ362" s="924">
        <v>8</v>
      </c>
      <c r="AR362" s="924"/>
      <c r="AS362" s="929"/>
      <c r="AT362" s="924"/>
      <c r="AU362" s="924"/>
      <c r="AV362" s="924"/>
      <c r="AW362" s="924"/>
      <c r="AX362" s="924"/>
      <c r="AY362" s="923" t="s">
        <v>41</v>
      </c>
      <c r="AZ362" s="928" t="s">
        <v>137</v>
      </c>
      <c r="BA362" s="924"/>
      <c r="BB362" s="924"/>
      <c r="BC362" s="924"/>
      <c r="BD362" s="449"/>
      <c r="BE362" s="449"/>
      <c r="BF362" s="923"/>
      <c r="BG362" s="924">
        <v>10</v>
      </c>
      <c r="BH362" s="924">
        <v>5</v>
      </c>
      <c r="BI362" s="924"/>
      <c r="BJ362" s="924">
        <v>4</v>
      </c>
      <c r="BK362" s="924"/>
      <c r="BL362" s="924"/>
      <c r="BM362" s="924"/>
      <c r="BN362" s="924">
        <v>40</v>
      </c>
      <c r="BO362" s="924"/>
      <c r="BP362" s="923" t="s">
        <v>41</v>
      </c>
      <c r="BQ362" s="930"/>
      <c r="BR362" s="929">
        <v>0.5</v>
      </c>
      <c r="BS362" s="923"/>
      <c r="BT362" s="424">
        <v>0.98</v>
      </c>
      <c r="BU362" s="424">
        <v>0.9</v>
      </c>
      <c r="BV362" s="426">
        <v>4</v>
      </c>
      <c r="BW362" s="424">
        <v>0.99</v>
      </c>
      <c r="BX362" s="449"/>
      <c r="BY362" s="449"/>
      <c r="BZ362" s="449"/>
      <c r="CA362" s="449"/>
      <c r="CB362" s="449"/>
      <c r="CC362" s="807"/>
      <c r="CD362" s="449"/>
      <c r="CE362" s="931" t="str">
        <f>IFERROR(WWWW[[#This Row],['#_Water sources passed]]/WWWW[[#This Row],['#_Water sources tested for fecal coliform ]],"no test")</f>
        <v>no test</v>
      </c>
      <c r="CF362" s="929" t="str">
        <f>IFERROR(WWWW[[#This Row],['#_Household passed]]/WWWW[[#This Row],['#_Household water samples tested for fecal coliform]],"no test")</f>
        <v>no test</v>
      </c>
      <c r="CG362" s="930" t="str">
        <f>IF(AND(WWWW[[#This Row],[% of water sources passed]]="no test",WWWW[[#This Row],[% Household passed]]="no test"),"No Test","Tested")</f>
        <v>No Test</v>
      </c>
      <c r="CH362" s="930">
        <f>WWWW[[#This Row],['#_Constructed/existing protected hand dug well]]-WWWW[[#This Row],['#_Non-functional protected hand dug well]]</f>
        <v>1</v>
      </c>
      <c r="CI362" s="930">
        <f>(WWWW[[#This Row],['#_Constructed/Existing tube wells/boreholes/handpumps_WASH_agency]]+WWWW[[#This Row],['#_Non-Cluster partner water tube-wells/boreholes/handpumps]])-WWWW[[#This Row],['#_Non-functional tube wells/boreholes/handpumps]]</f>
        <v>0</v>
      </c>
      <c r="CJ362" s="930">
        <f>WWWW[[#This Row],['#_Constructed/Existingwater storage tank with gravity fed reticulation system]]-WWWW[[#This Row],['#_Non-functional storage tank gravity fed reticulation system]]</f>
        <v>0</v>
      </c>
      <c r="CK362" s="930">
        <f>(WWWW[[#This Row],['#_Water_Liters_supplied_by_Water boating or water trucking]]/90)/15</f>
        <v>0</v>
      </c>
      <c r="CL362" s="930">
        <f>WWWW[[#This Row],['#_Water_Liters_from_Constructed/Existing water distribution system from river or natural spring]]/90/15</f>
        <v>0</v>
      </c>
      <c r="CM362" s="425">
        <f>IF(WWWW[[#This Row],['#_of water points in TLS/CFS]]*500&gt;WWWW[[#This Row],[Total PoP ]],WWWW[[#This Row],[Total PoP ]],WWWW[[#This Row],['#_of water points in TLS/CFS]]*500)</f>
        <v>0</v>
      </c>
      <c r="CN362" s="425">
        <f>IF(WWWW[[#This Row],['#_of water points in THF]]*500&gt;WWWW[[#This Row],[Total PoP ]],WWWW[[#This Row],[Total PoP ]],WWWW[[#This Row],['#_of water points in THF]]*500)</f>
        <v>0</v>
      </c>
      <c r="CO36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2" s="929">
        <f>IF(WWWW[[#This Row],[Location Type 1]]="Village",WWWW[[#This Row],[Access to safe drinking water for Village]],WWWW[[#This Row],[Access to safe drinking water for Camp]])</f>
        <v>1</v>
      </c>
      <c r="CR362" s="927">
        <f>WWWW[[#This Row],[%Equitable and continuous access to sufficient quantity of safe drinking water]]*WWWW[[#This Row],[Total PoP ]]</f>
        <v>221</v>
      </c>
      <c r="CS362" s="929">
        <f>IF((WWWW[[#This Row],['#_Constructed/Existing protected/fenced ponds]]*250)/WWWW[[#This Row],[Total PoP ]]&gt;1,1,(WWWW[[#This Row],['#_Constructed/Existing protected/fenced ponds]]*250)/WWWW[[#This Row],[Total PoP ]])</f>
        <v>0</v>
      </c>
      <c r="CT362" s="927">
        <f>WWWW[[#This Row],[% Access to unimproved water points]]*WWWW[[#This Row],[Total PoP ]]</f>
        <v>0</v>
      </c>
      <c r="CU36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W362" s="927">
        <f>WWWW[[#This Row],[HRP1]]/500</f>
        <v>0.442</v>
      </c>
      <c r="CX362" s="932">
        <f>1-WWWW[[#This Row],[% Equitable and continuous access to sufficient quantity of domestic water]]</f>
        <v>0</v>
      </c>
      <c r="CY362" s="927">
        <f>WWWW[[#This Row],[%equitable and continuous access to sufficient quantity of safe drinking and domestic water''s GAP]]*WWWW[[#This Row],[Total PoP ]]</f>
        <v>0</v>
      </c>
      <c r="CZ362" s="930">
        <f>IF(WWWW[[#This Row],[Total required water points]]-WWWW[[#This Row],['#Water points coverage]]&lt;0,0,WWWW[[#This Row],[Total required water points]]-WWWW[[#This Row],['#Water points coverage]])</f>
        <v>0.55800000000000005</v>
      </c>
      <c r="DA362" s="930">
        <f>ROUND(IF(WWWW[[#This Row],[Total PoP ]]&lt;500,1,WWWW[[#This Row],[Total PoP ]]/500),0)</f>
        <v>1</v>
      </c>
      <c r="DB362" s="930">
        <f>(WWWW[[#This Row],['#_Constructed latrines_by_WASHAgencies]]+WWWW[[#This Row],['#_Non Cluster partner latrines]])-WWWW[[#This Row],['#_Non-functional latrines]]</f>
        <v>8</v>
      </c>
      <c r="DC362" s="634">
        <f>WWWW[[#This Row],[HRP2]]/WWWW[[#This Row],[Total PoP ]]</f>
        <v>0.72398190045248867</v>
      </c>
      <c r="DD36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36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2" s="425">
        <f>IF(WWWW[[#This Row],['# of functional latrines in THF supported by WASH partners during the reporting period2]]="",0,WWWW[[#This Row],['# of functional latrines in THF supported by WASH partners during the reporting period2]]*50)</f>
        <v>0</v>
      </c>
      <c r="DH362" s="930">
        <f>ROUND(IF(WWWW[[#This Row],[Location Type 1]]="camp",WWWW[[#This Row],[Total PoP ]]/20,IF(WWWW[[#This Row],[Location Type 1]]="Temporary Location",WWWW[[#This Row],[Total PoP ]]/50,(WWWW[[#This Row],[Total PoP ]]/6))),0)</f>
        <v>11</v>
      </c>
      <c r="DI362" s="930">
        <f>IF(WWWW[[#This Row],[Total required Latrines]]-(WWWW[[#This Row],['#_Constructed latrines_by_WASHAgencies]]+WWWW[[#This Row],['#_Non Cluster partner latrines]])&lt;0,0,WWWW[[#This Row],[Total required Latrines]]-(WWWW[[#This Row],['#_Constructed latrines_by_WASHAgencies]]+WWWW[[#This Row],['#_Non Cluster partner latrines]]))</f>
        <v>3</v>
      </c>
      <c r="DJ362" s="932">
        <f>1-WWWW[[#This Row],[% people access to functioning Latrine]]</f>
        <v>0.27601809954751133</v>
      </c>
      <c r="DK362" s="931">
        <f>IF(OR(WWWW[[#This Row],['#_Non-functional latrines]]="",WWWW[[#This Row],['#_Non-functional latrines]]=0),0,WWWW[[#This Row],['#_Non-functional latrines]]/(WWWW[[#This Row],['#_Constructed latrines_by_WASHAgencies]]+WWWW[[#This Row],['#_Non Cluster partner latrines]]))</f>
        <v>0</v>
      </c>
      <c r="DL362" s="927">
        <f>IF(500*(WWWW[[#This Row],['#_male hygiene promoters]]+WWWW[[#This Row],['#_female hygiene promoters]])&gt;WWWW[[#This Row],[Total PoP ]],WWWW[[#This Row],[Total PoP ]],500*(WWWW[[#This Row],['#_male hygiene promoters]]+WWWW[[#This Row],['#_female hygiene promoters]]))</f>
        <v>0</v>
      </c>
      <c r="DM36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N36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2" s="930">
        <f>IF(WWWW[[#This Row],['# People with access to soap]]&gt;WWWW[[#This Row],['# People with access to Sanity Pads]],WWWW[[#This Row],['# People with access to soap]],WWWW[[#This Row],['# People with access to Sanity Pads]])</f>
        <v>221</v>
      </c>
      <c r="DP362" s="930">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Q362" s="932">
        <f>IF(WWWW[[#This Row],[HRP3]]/WWWW[[#This Row],[Total PoP ]]&gt;1,1,WWWW[[#This Row],[HRP3]]/WWWW[[#This Row],[Total PoP ]])</f>
        <v>1</v>
      </c>
      <c r="DR362" s="931">
        <f>1-WWWW[[#This Row],[Hygiene Coverage%]]</f>
        <v>0</v>
      </c>
      <c r="DS362" s="929">
        <f>WWWW[[#This Row],['# people reached by regular dedicated hygiene promotion_5]]/WWWW[[#This Row],[Total PoP ]]</f>
        <v>0</v>
      </c>
      <c r="DT36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2" s="930">
        <f>WWWW[[#This Row],['#_Constructed/Existing hand washing stations]]-WWWW[[#This Row],['#_Non-Functional_hand_washing_stations]]</f>
        <v>5</v>
      </c>
      <c r="DW362" s="927">
        <f>IF(WWWW[[#This Row],['# Functional hand washing stations during reporting period]]*20&gt;WWWW[[#This Row],[Total HH]],WWWW[[#This Row],[Total HH]],WWWW[[#This Row],['# Functional hand washing stations during reporting period]]*20)</f>
        <v>40</v>
      </c>
      <c r="DX362" s="927">
        <f>IF(WWWW[[#This Row],[Is sufficient soap available for TLS? (Yes/No)]]="yes",WWWW[[#This Row],['#_Constructed/Existing hand washing stations at TLS/CFS/THF]],0)</f>
        <v>0</v>
      </c>
      <c r="DY362" s="429">
        <f>IF(WWWW[[#This Row],['# Functional hand washing stations during reporting period]]*100&gt;WWWW[[#This Row],[Total PoP ]],WWWW[[#This Row],[Total PoP ]],WWWW[[#This Row],['# Functional hand washing stations during reporting period]]*100)</f>
        <v>221</v>
      </c>
      <c r="DZ362" s="429" t="str">
        <f>IF(OR(WWWW[[#This Row],['#_students at TLS_CFS]]="",WWWW[[#This Row],['#_students at TLS_CFS]]=0),"No","Yes")</f>
        <v>No</v>
      </c>
      <c r="EA362" s="634">
        <f>IF(WWWW[[#This Row],['#_of_affected_people_surveyed_who_report_feeling_informed_about_the_different_WASH_services_available_to_them]]="","",WWWW[[#This Row],['#_of_affected_people_surveyed_who_report_feeling_informed_about_the_different_WASH_services_available_to_them]]/WWWW[[#This Row],[Total PoP ]])</f>
        <v>1.8099547511312219E-2</v>
      </c>
      <c r="EB36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2" s="923" t="str">
        <f>VLOOKUP(WWWW[[#This Row],[Site Name]],SiteDB6[[Site Name]:[CCCM Management]],6,FALSE)</f>
        <v>Yes</v>
      </c>
      <c r="EF362" s="923" t="str">
        <f>VLOOKUP(WWWW[[#This Row],[Site Name]],SiteDB6[[Site Name]:[CCCM Focal Agency]],7,FALSE)</f>
        <v>Shalom</v>
      </c>
      <c r="EG362" s="923" t="str">
        <f>VLOOKUP(WWWW[[#This Row],[Site Name]],SiteDB6[[Site Name]:[Location Type 1]],9,FALSE)</f>
        <v>Camp</v>
      </c>
      <c r="EH362" s="923" t="str">
        <f>VLOOKUP(WWWW[[#This Row],[Site Name]],SiteDB6[[Site Name]:[Type of Accommodation]],10,FALSE)</f>
        <v>Camp</v>
      </c>
      <c r="EI362" s="923" t="str">
        <f>VLOOKUP(WWWW[[#This Row],[Site Name]],SiteDB6[[Site Name]:[Ethnic or GCA/NGCA]],11,FALSE)</f>
        <v>GCA</v>
      </c>
      <c r="EJ362" s="923">
        <f>VLOOKUP(WWWW[[#This Row],[Site Name]],SiteDB6[[Site Name]:[Lat]],12,FALSE)</f>
        <v>25.345918166666699</v>
      </c>
      <c r="EK362" s="923">
        <f>VLOOKUP(WWWW[[#This Row],[Site Name]],SiteDB6[[Site Name]:[Long]],13,FALSE)</f>
        <v>97.437472666666693</v>
      </c>
      <c r="EL362" s="923" t="str">
        <f>VLOOKUP(WWWW[[#This Row],[Site Name]],SiteDB6[[Site Name]:[Pcode]],3,FALSE)</f>
        <v>MMR001CMP030</v>
      </c>
      <c r="EM362" s="928" t="str">
        <f t="shared" si="5"/>
        <v>Covered</v>
      </c>
      <c r="EN362" s="928"/>
      <c r="EO362" s="923">
        <f>VLOOKUP(WWWW[[#This Row],[Site Name]],SiteDB6[[Site Name]:[Pop
(Kachin/Shan-CCCM as of July 2021)]],16,FALSE)</f>
        <v>40</v>
      </c>
      <c r="EP362" s="923">
        <f>VLOOKUP(WWWW[[#This Row],[Site Name]],SiteDB6[[Site Name]:[Pop
(Kachin/Shan-CCCM as of July 2021)]],17,FALSE)</f>
        <v>221</v>
      </c>
    </row>
    <row r="363" spans="1:146">
      <c r="A363" s="921" t="s">
        <v>2786</v>
      </c>
      <c r="B363" s="921" t="s">
        <v>242</v>
      </c>
      <c r="C363" s="922" t="s">
        <v>242</v>
      </c>
      <c r="D363" s="922" t="s">
        <v>299</v>
      </c>
      <c r="E363" s="922" t="s">
        <v>37</v>
      </c>
      <c r="F363" s="922" t="s">
        <v>142</v>
      </c>
      <c r="G363" s="594" t="str">
        <f>VLOOKUP(WWWW[[#This Row],[Site Name]],SiteDB6[[Site Name]:[Location Type]],8,FALSE)</f>
        <v>Camp</v>
      </c>
      <c r="H363" s="922" t="s">
        <v>270</v>
      </c>
      <c r="I363" s="924">
        <v>19</v>
      </c>
      <c r="J363" s="924">
        <v>85</v>
      </c>
      <c r="K363" s="925">
        <v>44562</v>
      </c>
      <c r="L363" s="926">
        <v>44926</v>
      </c>
      <c r="M363" s="924"/>
      <c r="N363" s="924">
        <v>1</v>
      </c>
      <c r="O363" s="924"/>
      <c r="P363" s="924"/>
      <c r="Q363" s="927" t="s">
        <v>41</v>
      </c>
      <c r="R363" s="924"/>
      <c r="S363" s="924">
        <v>5</v>
      </c>
      <c r="T363" s="449">
        <v>1</v>
      </c>
      <c r="U363" s="924"/>
      <c r="V363" s="924"/>
      <c r="W363" s="924">
        <v>1</v>
      </c>
      <c r="X363" s="924">
        <v>1</v>
      </c>
      <c r="Y363" s="924"/>
      <c r="Z363" s="924"/>
      <c r="AA363" s="924"/>
      <c r="AB363" s="924"/>
      <c r="AC363" s="924"/>
      <c r="AD363" s="924"/>
      <c r="AE363" s="924"/>
      <c r="AF363" s="924"/>
      <c r="AG363" s="924"/>
      <c r="AH363" s="924"/>
      <c r="AI363" s="924"/>
      <c r="AJ363" s="924"/>
      <c r="AK363" s="924"/>
      <c r="AL363" s="924"/>
      <c r="AM363" s="924">
        <v>2</v>
      </c>
      <c r="AN363" s="924"/>
      <c r="AO363" s="449"/>
      <c r="AP363" s="928" t="s">
        <v>3095</v>
      </c>
      <c r="AQ363" s="924">
        <v>4</v>
      </c>
      <c r="AR363" s="924"/>
      <c r="AS363" s="929"/>
      <c r="AT363" s="924"/>
      <c r="AU363" s="924"/>
      <c r="AV363" s="924"/>
      <c r="AW363" s="924"/>
      <c r="AX363" s="924"/>
      <c r="AY363" s="923" t="s">
        <v>41</v>
      </c>
      <c r="AZ363" s="928" t="s">
        <v>137</v>
      </c>
      <c r="BA363" s="924"/>
      <c r="BB363" s="924"/>
      <c r="BC363" s="924"/>
      <c r="BD363" s="449"/>
      <c r="BE363" s="449"/>
      <c r="BF363" s="923"/>
      <c r="BG363" s="924">
        <v>2</v>
      </c>
      <c r="BH363" s="924"/>
      <c r="BI363" s="924"/>
      <c r="BJ363" s="924">
        <v>2</v>
      </c>
      <c r="BK363" s="924"/>
      <c r="BL363" s="924"/>
      <c r="BM363" s="924"/>
      <c r="BN363" s="924">
        <v>19</v>
      </c>
      <c r="BO363" s="924"/>
      <c r="BP363" s="923" t="s">
        <v>41</v>
      </c>
      <c r="BQ363" s="930"/>
      <c r="BR363" s="929">
        <v>0.7</v>
      </c>
      <c r="BS363" s="923"/>
      <c r="BT363" s="424">
        <v>0.8</v>
      </c>
      <c r="BU363" s="424">
        <v>0.7</v>
      </c>
      <c r="BV363" s="426">
        <v>4</v>
      </c>
      <c r="BW363" s="424">
        <v>0.9</v>
      </c>
      <c r="BX363" s="449"/>
      <c r="BY363" s="449"/>
      <c r="BZ363" s="449"/>
      <c r="CA363" s="449"/>
      <c r="CB363" s="449"/>
      <c r="CC363" s="807"/>
      <c r="CD363" s="449"/>
      <c r="CE363" s="931" t="str">
        <f>IFERROR(WWWW[[#This Row],['#_Water sources passed]]/WWWW[[#This Row],['#_Water sources tested for fecal coliform ]],"no test")</f>
        <v>no test</v>
      </c>
      <c r="CF363" s="929" t="str">
        <f>IFERROR(WWWW[[#This Row],['#_Household passed]]/WWWW[[#This Row],['#_Household water samples tested for fecal coliform]],"no test")</f>
        <v>no test</v>
      </c>
      <c r="CG363" s="930" t="str">
        <f>IF(AND(WWWW[[#This Row],[% of water sources passed]]="no test",WWWW[[#This Row],[% Household passed]]="no test"),"No Test","Tested")</f>
        <v>No Test</v>
      </c>
      <c r="CH363" s="930">
        <f>WWWW[[#This Row],['#_Constructed/existing protected hand dug well]]-WWWW[[#This Row],['#_Non-functional protected hand dug well]]</f>
        <v>1</v>
      </c>
      <c r="CI363" s="930">
        <f>(WWWW[[#This Row],['#_Constructed/Existing tube wells/boreholes/handpumps_WASH_agency]]+WWWW[[#This Row],['#_Non-Cluster partner water tube-wells/boreholes/handpumps]])-WWWW[[#This Row],['#_Non-functional tube wells/boreholes/handpumps]]</f>
        <v>2</v>
      </c>
      <c r="CJ363" s="930">
        <f>WWWW[[#This Row],['#_Constructed/Existingwater storage tank with gravity fed reticulation system]]-WWWW[[#This Row],['#_Non-functional storage tank gravity fed reticulation system]]</f>
        <v>0</v>
      </c>
      <c r="CK363" s="930">
        <f>(WWWW[[#This Row],['#_Water_Liters_supplied_by_Water boating or water trucking]]/90)/15</f>
        <v>0</v>
      </c>
      <c r="CL363" s="930">
        <f>WWWW[[#This Row],['#_Water_Liters_from_Constructed/Existing water distribution system from river or natural spring]]/90/15</f>
        <v>0</v>
      </c>
      <c r="CM363" s="425">
        <f>IF(WWWW[[#This Row],['#_of water points in TLS/CFS]]*500&gt;WWWW[[#This Row],[Total PoP ]],WWWW[[#This Row],[Total PoP ]],WWWW[[#This Row],['#_of water points in TLS/CFS]]*500)</f>
        <v>0</v>
      </c>
      <c r="CN363" s="425">
        <f>IF(WWWW[[#This Row],['#_of water points in THF]]*500&gt;WWWW[[#This Row],[Total PoP ]],WWWW[[#This Row],[Total PoP ]],WWWW[[#This Row],['#_of water points in THF]]*500)</f>
        <v>0</v>
      </c>
      <c r="CO36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3" s="929">
        <f>IF(WWWW[[#This Row],[Location Type 1]]="Village",WWWW[[#This Row],[Access to safe drinking water for Village]],WWWW[[#This Row],[Access to safe drinking water for Camp]])</f>
        <v>1</v>
      </c>
      <c r="CR363" s="927">
        <f>WWWW[[#This Row],[%Equitable and continuous access to sufficient quantity of safe drinking water]]*WWWW[[#This Row],[Total PoP ]]</f>
        <v>85</v>
      </c>
      <c r="CS363" s="929">
        <f>IF((WWWW[[#This Row],['#_Constructed/Existing protected/fenced ponds]]*250)/WWWW[[#This Row],[Total PoP ]]&gt;1,1,(WWWW[[#This Row],['#_Constructed/Existing protected/fenced ponds]]*250)/WWWW[[#This Row],[Total PoP ]])</f>
        <v>0</v>
      </c>
      <c r="CT363" s="927">
        <f>WWWW[[#This Row],[% Access to unimproved water points]]*WWWW[[#This Row],[Total PoP ]]</f>
        <v>0</v>
      </c>
      <c r="CU36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v>
      </c>
      <c r="CW363" s="927">
        <f>WWWW[[#This Row],[HRP1]]/500</f>
        <v>0.17</v>
      </c>
      <c r="CX363" s="932">
        <f>1-WWWW[[#This Row],[% Equitable and continuous access to sufficient quantity of domestic water]]</f>
        <v>0</v>
      </c>
      <c r="CY363" s="927">
        <f>WWWW[[#This Row],[%equitable and continuous access to sufficient quantity of safe drinking and domestic water''s GAP]]*WWWW[[#This Row],[Total PoP ]]</f>
        <v>0</v>
      </c>
      <c r="CZ363" s="930">
        <f>IF(WWWW[[#This Row],[Total required water points]]-WWWW[[#This Row],['#Water points coverage]]&lt;0,0,WWWW[[#This Row],[Total required water points]]-WWWW[[#This Row],['#Water points coverage]])</f>
        <v>0.83</v>
      </c>
      <c r="DA363" s="930">
        <f>ROUND(IF(WWWW[[#This Row],[Total PoP ]]&lt;500,1,WWWW[[#This Row],[Total PoP ]]/500),0)</f>
        <v>1</v>
      </c>
      <c r="DB363" s="930">
        <f>(WWWW[[#This Row],['#_Constructed latrines_by_WASHAgencies]]+WWWW[[#This Row],['#_Non Cluster partner latrines]])-WWWW[[#This Row],['#_Non-functional latrines]]</f>
        <v>4</v>
      </c>
      <c r="DC363" s="634">
        <f>WWWW[[#This Row],[HRP2]]/WWWW[[#This Row],[Total PoP ]]</f>
        <v>0.94117647058823528</v>
      </c>
      <c r="DD36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80</v>
      </c>
      <c r="DE36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3" s="425">
        <f>IF(WWWW[[#This Row],['# of functional latrines in THF supported by WASH partners during the reporting period2]]="",0,WWWW[[#This Row],['# of functional latrines in THF supported by WASH partners during the reporting period2]]*50)</f>
        <v>0</v>
      </c>
      <c r="DH363" s="930">
        <f>ROUND(IF(WWWW[[#This Row],[Location Type 1]]="camp",WWWW[[#This Row],[Total PoP ]]/20,IF(WWWW[[#This Row],[Location Type 1]]="Temporary Location",WWWW[[#This Row],[Total PoP ]]/50,(WWWW[[#This Row],[Total PoP ]]/6))),0)</f>
        <v>4</v>
      </c>
      <c r="DI363" s="930">
        <f>IF(WWWW[[#This Row],[Total required Latrines]]-(WWWW[[#This Row],['#_Constructed latrines_by_WASHAgencies]]+WWWW[[#This Row],['#_Non Cluster partner latrines]])&lt;0,0,WWWW[[#This Row],[Total required Latrines]]-(WWWW[[#This Row],['#_Constructed latrines_by_WASHAgencies]]+WWWW[[#This Row],['#_Non Cluster partner latrines]]))</f>
        <v>0</v>
      </c>
      <c r="DJ363" s="932">
        <f>1-WWWW[[#This Row],[% people access to functioning Latrine]]</f>
        <v>5.8823529411764719E-2</v>
      </c>
      <c r="DK363" s="931">
        <f>IF(OR(WWWW[[#This Row],['#_Non-functional latrines]]="",WWWW[[#This Row],['#_Non-functional latrines]]=0),0,WWWW[[#This Row],['#_Non-functional latrines]]/(WWWW[[#This Row],['#_Constructed latrines_by_WASHAgencies]]+WWWW[[#This Row],['#_Non Cluster partner latrines]]))</f>
        <v>0</v>
      </c>
      <c r="DL363" s="927">
        <f>IF(500*(WWWW[[#This Row],['#_male hygiene promoters]]+WWWW[[#This Row],['#_female hygiene promoters]])&gt;WWWW[[#This Row],[Total PoP ]],WWWW[[#This Row],[Total PoP ]],500*(WWWW[[#This Row],['#_male hygiene promoters]]+WWWW[[#This Row],['#_female hygiene promoters]]))</f>
        <v>0</v>
      </c>
      <c r="DM36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85</v>
      </c>
      <c r="DN36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3" s="930">
        <f>IF(WWWW[[#This Row],['# People with access to soap]]&gt;WWWW[[#This Row],['# People with access to Sanity Pads]],WWWW[[#This Row],['# People with access to soap]],WWWW[[#This Row],['# People with access to Sanity Pads]])</f>
        <v>85</v>
      </c>
      <c r="DP363" s="930">
        <f>IF(WWWW[[#This Row],['# people reached by regular dedicated hygiene promotion_5]]&gt;WWWW[[#This Row],['# People received regular supply of hygiene items_6]],WWWW[[#This Row],['# people reached by regular dedicated hygiene promotion_5]],WWWW[[#This Row],['# People received regular supply of hygiene items_6]])</f>
        <v>85</v>
      </c>
      <c r="DQ363" s="932">
        <f>IF(WWWW[[#This Row],[HRP3]]/WWWW[[#This Row],[Total PoP ]]&gt;1,1,WWWW[[#This Row],[HRP3]]/WWWW[[#This Row],[Total PoP ]])</f>
        <v>1</v>
      </c>
      <c r="DR363" s="931">
        <f>1-WWWW[[#This Row],[Hygiene Coverage%]]</f>
        <v>0</v>
      </c>
      <c r="DS363" s="929">
        <f>WWWW[[#This Row],['# people reached by regular dedicated hygiene promotion_5]]/WWWW[[#This Row],[Total PoP ]]</f>
        <v>0</v>
      </c>
      <c r="DT36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3" s="930">
        <f>WWWW[[#This Row],['#_Constructed/Existing hand washing stations]]-WWWW[[#This Row],['#_Non-Functional_hand_washing_stations]]</f>
        <v>2</v>
      </c>
      <c r="DW363" s="927">
        <f>IF(WWWW[[#This Row],['# Functional hand washing stations during reporting period]]*20&gt;WWWW[[#This Row],[Total HH]],WWWW[[#This Row],[Total HH]],WWWW[[#This Row],['# Functional hand washing stations during reporting period]]*20)</f>
        <v>19</v>
      </c>
      <c r="DX363" s="927">
        <f>IF(WWWW[[#This Row],[Is sufficient soap available for TLS? (Yes/No)]]="yes",WWWW[[#This Row],['#_Constructed/Existing hand washing stations at TLS/CFS/THF]],0)</f>
        <v>2</v>
      </c>
      <c r="DY363" s="429">
        <f>IF(WWWW[[#This Row],['# Functional hand washing stations during reporting period]]*100&gt;WWWW[[#This Row],[Total PoP ]],WWWW[[#This Row],[Total PoP ]],WWWW[[#This Row],['# Functional hand washing stations during reporting period]]*100)</f>
        <v>85</v>
      </c>
      <c r="DZ363" s="429" t="str">
        <f>IF(OR(WWWW[[#This Row],['#_students at TLS_CFS]]="",WWWW[[#This Row],['#_students at TLS_CFS]]=0),"No","Yes")</f>
        <v>No</v>
      </c>
      <c r="EA363" s="634">
        <f>IF(WWWW[[#This Row],['#_of_affected_people_surveyed_who_report_feeling_informed_about_the_different_WASH_services_available_to_them]]="","",WWWW[[#This Row],['#_of_affected_people_surveyed_who_report_feeling_informed_about_the_different_WASH_services_available_to_them]]/WWWW[[#This Row],[Total PoP ]])</f>
        <v>4.7058823529411764E-2</v>
      </c>
      <c r="EB36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3" s="923" t="str">
        <f>VLOOKUP(WWWW[[#This Row],[Site Name]],SiteDB6[[Site Name]:[CCCM Management]],6,FALSE)</f>
        <v>Yes</v>
      </c>
      <c r="EF363" s="923" t="str">
        <f>VLOOKUP(WWWW[[#This Row],[Site Name]],SiteDB6[[Site Name]:[CCCM Focal Agency]],7,FALSE)</f>
        <v>Shalom</v>
      </c>
      <c r="EG363" s="923" t="str">
        <f>VLOOKUP(WWWW[[#This Row],[Site Name]],SiteDB6[[Site Name]:[Location Type 1]],9,FALSE)</f>
        <v>Camp</v>
      </c>
      <c r="EH363" s="923" t="str">
        <f>VLOOKUP(WWWW[[#This Row],[Site Name]],SiteDB6[[Site Name]:[Type of Accommodation]],10,FALSE)</f>
        <v>Camp</v>
      </c>
      <c r="EI363" s="923" t="str">
        <f>VLOOKUP(WWWW[[#This Row],[Site Name]],SiteDB6[[Site Name]:[Ethnic or GCA/NGCA]],11,FALSE)</f>
        <v>GCA</v>
      </c>
      <c r="EJ363" s="923">
        <f>VLOOKUP(WWWW[[#This Row],[Site Name]],SiteDB6[[Site Name]:[Lat]],12,FALSE)</f>
        <v>25.351965</v>
      </c>
      <c r="EK363" s="923">
        <f>VLOOKUP(WWWW[[#This Row],[Site Name]],SiteDB6[[Site Name]:[Long]],13,FALSE)</f>
        <v>97.345039</v>
      </c>
      <c r="EL363" s="923" t="str">
        <f>VLOOKUP(WWWW[[#This Row],[Site Name]],SiteDB6[[Site Name]:[Pcode]],3,FALSE)</f>
        <v>MMR001CMP033</v>
      </c>
      <c r="EM363" s="928" t="str">
        <f t="shared" si="5"/>
        <v>Covered</v>
      </c>
      <c r="EN363" s="928"/>
      <c r="EO363" s="923">
        <f>VLOOKUP(WWWW[[#This Row],[Site Name]],SiteDB6[[Site Name]:[Pop
(Kachin/Shan-CCCM as of July 2021)]],16,FALSE)</f>
        <v>19</v>
      </c>
      <c r="EP363" s="923">
        <f>VLOOKUP(WWWW[[#This Row],[Site Name]],SiteDB6[[Site Name]:[Pop
(Kachin/Shan-CCCM as of July 2021)]],17,FALSE)</f>
        <v>85</v>
      </c>
    </row>
    <row r="364" spans="1:146">
      <c r="A364" s="921" t="s">
        <v>2786</v>
      </c>
      <c r="B364" s="921" t="s">
        <v>242</v>
      </c>
      <c r="C364" s="922" t="s">
        <v>242</v>
      </c>
      <c r="D364" s="922" t="s">
        <v>299</v>
      </c>
      <c r="E364" s="922" t="s">
        <v>37</v>
      </c>
      <c r="F364" s="922" t="s">
        <v>142</v>
      </c>
      <c r="G364" s="594" t="str">
        <f>VLOOKUP(WWWW[[#This Row],[Site Name]],SiteDB6[[Site Name]:[Location Type]],8,FALSE)</f>
        <v>Camp</v>
      </c>
      <c r="H364" s="922" t="s">
        <v>271</v>
      </c>
      <c r="I364" s="924">
        <v>109</v>
      </c>
      <c r="J364" s="924">
        <v>463</v>
      </c>
      <c r="K364" s="925">
        <v>44562</v>
      </c>
      <c r="L364" s="926">
        <v>44926</v>
      </c>
      <c r="M364" s="924"/>
      <c r="N364" s="924">
        <v>2</v>
      </c>
      <c r="O364" s="924"/>
      <c r="P364" s="924"/>
      <c r="Q364" s="927" t="s">
        <v>41</v>
      </c>
      <c r="R364" s="924">
        <v>4</v>
      </c>
      <c r="S364" s="924">
        <v>9</v>
      </c>
      <c r="T364" s="449">
        <v>3</v>
      </c>
      <c r="U364" s="924">
        <v>1</v>
      </c>
      <c r="V364" s="924"/>
      <c r="W364" s="924">
        <v>2</v>
      </c>
      <c r="X364" s="924"/>
      <c r="Y364" s="924"/>
      <c r="Z364" s="924"/>
      <c r="AA364" s="924"/>
      <c r="AB364" s="924"/>
      <c r="AC364" s="924"/>
      <c r="AD364" s="924"/>
      <c r="AE364" s="924">
        <v>2</v>
      </c>
      <c r="AF364" s="924"/>
      <c r="AG364" s="924"/>
      <c r="AH364" s="924">
        <v>2</v>
      </c>
      <c r="AI364" s="924"/>
      <c r="AJ364" s="924"/>
      <c r="AK364" s="924"/>
      <c r="AL364" s="924"/>
      <c r="AM364" s="924">
        <v>3</v>
      </c>
      <c r="AN364" s="924"/>
      <c r="AO364" s="449"/>
      <c r="AP364" s="928" t="s">
        <v>2910</v>
      </c>
      <c r="AQ364" s="924">
        <v>15</v>
      </c>
      <c r="AR364" s="924"/>
      <c r="AS364" s="929"/>
      <c r="AT364" s="924"/>
      <c r="AU364" s="924"/>
      <c r="AV364" s="924"/>
      <c r="AW364" s="924"/>
      <c r="AX364" s="924"/>
      <c r="AY364" s="923" t="s">
        <v>41</v>
      </c>
      <c r="AZ364" s="928" t="s">
        <v>137</v>
      </c>
      <c r="BA364" s="924"/>
      <c r="BB364" s="924"/>
      <c r="BC364" s="924"/>
      <c r="BD364" s="449">
        <v>5</v>
      </c>
      <c r="BE364" s="449"/>
      <c r="BF364" s="923" t="s">
        <v>3096</v>
      </c>
      <c r="BG364" s="924">
        <v>9</v>
      </c>
      <c r="BH364" s="924">
        <v>4</v>
      </c>
      <c r="BI364" s="924"/>
      <c r="BJ364" s="924">
        <v>4</v>
      </c>
      <c r="BK364" s="924"/>
      <c r="BL364" s="924"/>
      <c r="BM364" s="924"/>
      <c r="BN364" s="924">
        <v>80</v>
      </c>
      <c r="BO364" s="924"/>
      <c r="BP364" s="923" t="s">
        <v>41</v>
      </c>
      <c r="BQ364" s="930"/>
      <c r="BR364" s="929">
        <v>0.56000000000000005</v>
      </c>
      <c r="BS364" s="923"/>
      <c r="BT364" s="424">
        <v>0.95</v>
      </c>
      <c r="BU364" s="424">
        <v>0.9</v>
      </c>
      <c r="BV364" s="426"/>
      <c r="BW364" s="424">
        <v>0.95</v>
      </c>
      <c r="BX364" s="449"/>
      <c r="BY364" s="449"/>
      <c r="BZ364" s="449"/>
      <c r="CA364" s="449"/>
      <c r="CB364" s="449"/>
      <c r="CC364" s="807"/>
      <c r="CD364" s="449"/>
      <c r="CE364" s="931" t="str">
        <f>IFERROR(WWWW[[#This Row],['#_Water sources passed]]/WWWW[[#This Row],['#_Water sources tested for fecal coliform ]],"no test")</f>
        <v>no test</v>
      </c>
      <c r="CF364" s="929" t="str">
        <f>IFERROR(WWWW[[#This Row],['#_Household passed]]/WWWW[[#This Row],['#_Household water samples tested for fecal coliform]],"no test")</f>
        <v>no test</v>
      </c>
      <c r="CG364" s="930" t="str">
        <f>IF(AND(WWWW[[#This Row],[% of water sources passed]]="no test",WWWW[[#This Row],[% Household passed]]="no test"),"No Test","Tested")</f>
        <v>No Test</v>
      </c>
      <c r="CH364" s="930">
        <f>WWWW[[#This Row],['#_Constructed/existing protected hand dug well]]-WWWW[[#This Row],['#_Non-functional protected hand dug well]]</f>
        <v>2</v>
      </c>
      <c r="CI364" s="930">
        <f>(WWWW[[#This Row],['#_Constructed/Existing tube wells/boreholes/handpumps_WASH_agency]]+WWWW[[#This Row],['#_Non-Cluster partner water tube-wells/boreholes/handpumps]])-WWWW[[#This Row],['#_Non-functional tube wells/boreholes/handpumps]]</f>
        <v>2</v>
      </c>
      <c r="CJ364" s="930">
        <f>WWWW[[#This Row],['#_Constructed/Existingwater storage tank with gravity fed reticulation system]]-WWWW[[#This Row],['#_Non-functional storage tank gravity fed reticulation system]]</f>
        <v>0</v>
      </c>
      <c r="CK364" s="930">
        <f>(WWWW[[#This Row],['#_Water_Liters_supplied_by_Water boating or water trucking]]/90)/15</f>
        <v>0</v>
      </c>
      <c r="CL364" s="930">
        <f>WWWW[[#This Row],['#_Water_Liters_from_Constructed/Existing water distribution system from river or natural spring]]/90/15</f>
        <v>0</v>
      </c>
      <c r="CM364" s="425">
        <f>IF(WWWW[[#This Row],['#_of water points in TLS/CFS]]*500&gt;WWWW[[#This Row],[Total PoP ]],WWWW[[#This Row],[Total PoP ]],WWWW[[#This Row],['#_of water points in TLS/CFS]]*500)</f>
        <v>0</v>
      </c>
      <c r="CN364" s="425">
        <f>IF(WWWW[[#This Row],['#_of water points in THF]]*500&gt;WWWW[[#This Row],[Total PoP ]],WWWW[[#This Row],[Total PoP ]],WWWW[[#This Row],['#_of water points in THF]]*500)</f>
        <v>0</v>
      </c>
      <c r="CO36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4" s="929">
        <f>IF(WWWW[[#This Row],[Location Type 1]]="Village",WWWW[[#This Row],[Access to safe drinking water for Village]],WWWW[[#This Row],[Access to safe drinking water for Camp]])</f>
        <v>1</v>
      </c>
      <c r="CR364" s="927">
        <f>WWWW[[#This Row],[%Equitable and continuous access to sufficient quantity of safe drinking water]]*WWWW[[#This Row],[Total PoP ]]</f>
        <v>463</v>
      </c>
      <c r="CS364" s="929">
        <f>IF((WWWW[[#This Row],['#_Constructed/Existing protected/fenced ponds]]*250)/WWWW[[#This Row],[Total PoP ]]&gt;1,1,(WWWW[[#This Row],['#_Constructed/Existing protected/fenced ponds]]*250)/WWWW[[#This Row],[Total PoP ]])</f>
        <v>1</v>
      </c>
      <c r="CT364" s="927">
        <f>WWWW[[#This Row],[% Access to unimproved water points]]*WWWW[[#This Row],[Total PoP ]]</f>
        <v>463</v>
      </c>
      <c r="CU36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463</v>
      </c>
      <c r="CW364" s="927">
        <f>WWWW[[#This Row],[HRP1]]/500</f>
        <v>0.92600000000000005</v>
      </c>
      <c r="CX364" s="932">
        <f>1-WWWW[[#This Row],[% Equitable and continuous access to sufficient quantity of domestic water]]</f>
        <v>0</v>
      </c>
      <c r="CY364" s="927">
        <f>WWWW[[#This Row],[%equitable and continuous access to sufficient quantity of safe drinking and domestic water''s GAP]]*WWWW[[#This Row],[Total PoP ]]</f>
        <v>0</v>
      </c>
      <c r="CZ364" s="930">
        <f>IF(WWWW[[#This Row],[Total required water points]]-WWWW[[#This Row],['#Water points coverage]]&lt;0,0,WWWW[[#This Row],[Total required water points]]-WWWW[[#This Row],['#Water points coverage]])</f>
        <v>7.3999999999999955E-2</v>
      </c>
      <c r="DA364" s="930">
        <f>ROUND(IF(WWWW[[#This Row],[Total PoP ]]&lt;500,1,WWWW[[#This Row],[Total PoP ]]/500),0)</f>
        <v>1</v>
      </c>
      <c r="DB364" s="930">
        <f>(WWWW[[#This Row],['#_Constructed latrines_by_WASHAgencies]]+WWWW[[#This Row],['#_Non Cluster partner latrines]])-WWWW[[#This Row],['#_Non-functional latrines]]</f>
        <v>15</v>
      </c>
      <c r="DC364" s="634">
        <f>WWWW[[#This Row],[HRP2]]/WWWW[[#This Row],[Total PoP ]]</f>
        <v>0.64794816414686829</v>
      </c>
      <c r="DD36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300</v>
      </c>
      <c r="DE36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4" s="425">
        <f>IF(WWWW[[#This Row],['# of functional latrines in THF supported by WASH partners during the reporting period2]]="",0,WWWW[[#This Row],['# of functional latrines in THF supported by WASH partners during the reporting period2]]*50)</f>
        <v>250</v>
      </c>
      <c r="DH364" s="930">
        <f>ROUND(IF(WWWW[[#This Row],[Location Type 1]]="camp",WWWW[[#This Row],[Total PoP ]]/20,IF(WWWW[[#This Row],[Location Type 1]]="Temporary Location",WWWW[[#This Row],[Total PoP ]]/50,(WWWW[[#This Row],[Total PoP ]]/6))),0)</f>
        <v>23</v>
      </c>
      <c r="DI364" s="930">
        <f>IF(WWWW[[#This Row],[Total required Latrines]]-(WWWW[[#This Row],['#_Constructed latrines_by_WASHAgencies]]+WWWW[[#This Row],['#_Non Cluster partner latrines]])&lt;0,0,WWWW[[#This Row],[Total required Latrines]]-(WWWW[[#This Row],['#_Constructed latrines_by_WASHAgencies]]+WWWW[[#This Row],['#_Non Cluster partner latrines]]))</f>
        <v>8</v>
      </c>
      <c r="DJ364" s="932">
        <f>1-WWWW[[#This Row],[% people access to functioning Latrine]]</f>
        <v>0.35205183585313171</v>
      </c>
      <c r="DK364" s="931">
        <f>IF(OR(WWWW[[#This Row],['#_Non-functional latrines]]="",WWWW[[#This Row],['#_Non-functional latrines]]=0),0,WWWW[[#This Row],['#_Non-functional latrines]]/(WWWW[[#This Row],['#_Constructed latrines_by_WASHAgencies]]+WWWW[[#This Row],['#_Non Cluster partner latrines]]))</f>
        <v>0</v>
      </c>
      <c r="DL364" s="927">
        <f>IF(500*(WWWW[[#This Row],['#_male hygiene promoters]]+WWWW[[#This Row],['#_female hygiene promoters]])&gt;WWWW[[#This Row],[Total PoP ]],WWWW[[#This Row],[Total PoP ]],500*(WWWW[[#This Row],['#_male hygiene promoters]]+WWWW[[#This Row],['#_female hygiene promoters]]))</f>
        <v>0</v>
      </c>
      <c r="DM36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400</v>
      </c>
      <c r="DN36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4" s="930">
        <f>IF(WWWW[[#This Row],['# People with access to soap]]&gt;WWWW[[#This Row],['# People with access to Sanity Pads]],WWWW[[#This Row],['# People with access to soap]],WWWW[[#This Row],['# People with access to Sanity Pads]])</f>
        <v>400</v>
      </c>
      <c r="DP364" s="930">
        <f>IF(WWWW[[#This Row],['# people reached by regular dedicated hygiene promotion_5]]&gt;WWWW[[#This Row],['# People received regular supply of hygiene items_6]],WWWW[[#This Row],['# people reached by regular dedicated hygiene promotion_5]],WWWW[[#This Row],['# People received regular supply of hygiene items_6]])</f>
        <v>400</v>
      </c>
      <c r="DQ364" s="932">
        <f>IF(WWWW[[#This Row],[HRP3]]/WWWW[[#This Row],[Total PoP ]]&gt;1,1,WWWW[[#This Row],[HRP3]]/WWWW[[#This Row],[Total PoP ]])</f>
        <v>0.86393088552915764</v>
      </c>
      <c r="DR364" s="931">
        <f>1-WWWW[[#This Row],[Hygiene Coverage%]]</f>
        <v>0.13606911447084236</v>
      </c>
      <c r="DS364" s="929">
        <f>WWWW[[#This Row],['# people reached by regular dedicated hygiene promotion_5]]/WWWW[[#This Row],[Total PoP ]]</f>
        <v>0</v>
      </c>
      <c r="DT36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4" s="930">
        <f>WWWW[[#This Row],['#_Constructed/Existing hand washing stations]]-WWWW[[#This Row],['#_Non-Functional_hand_washing_stations]]</f>
        <v>5</v>
      </c>
      <c r="DW364" s="927">
        <f>IF(WWWW[[#This Row],['# Functional hand washing stations during reporting period]]*20&gt;WWWW[[#This Row],[Total HH]],WWWW[[#This Row],[Total HH]],WWWW[[#This Row],['# Functional hand washing stations during reporting period]]*20)</f>
        <v>100</v>
      </c>
      <c r="DX364" s="927">
        <f>IF(WWWW[[#This Row],[Is sufficient soap available for TLS? (Yes/No)]]="yes",WWWW[[#This Row],['#_Constructed/Existing hand washing stations at TLS/CFS/THF]],0)</f>
        <v>3</v>
      </c>
      <c r="DY364" s="429">
        <f>IF(WWWW[[#This Row],['# Functional hand washing stations during reporting period]]*100&gt;WWWW[[#This Row],[Total PoP ]],WWWW[[#This Row],[Total PoP ]],WWWW[[#This Row],['# Functional hand washing stations during reporting period]]*100)</f>
        <v>463</v>
      </c>
      <c r="DZ364" s="429" t="str">
        <f>IF(OR(WWWW[[#This Row],['#_students at TLS_CFS]]="",WWWW[[#This Row],['#_students at TLS_CFS]]=0),"No","Yes")</f>
        <v>No</v>
      </c>
      <c r="EA36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E364" s="923" t="str">
        <f>VLOOKUP(WWWW[[#This Row],[Site Name]],SiteDB6[[Site Name]:[CCCM Management]],6,FALSE)</f>
        <v>Yes</v>
      </c>
      <c r="EF364" s="923" t="str">
        <f>VLOOKUP(WWWW[[#This Row],[Site Name]],SiteDB6[[Site Name]:[CCCM Focal Agency]],7,FALSE)</f>
        <v>Shalom</v>
      </c>
      <c r="EG364" s="923" t="str">
        <f>VLOOKUP(WWWW[[#This Row],[Site Name]],SiteDB6[[Site Name]:[Location Type 1]],9,FALSE)</f>
        <v>Camp</v>
      </c>
      <c r="EH364" s="923" t="str">
        <f>VLOOKUP(WWWW[[#This Row],[Site Name]],SiteDB6[[Site Name]:[Type of Accommodation]],10,FALSE)</f>
        <v>Camp</v>
      </c>
      <c r="EI364" s="923" t="str">
        <f>VLOOKUP(WWWW[[#This Row],[Site Name]],SiteDB6[[Site Name]:[Ethnic or GCA/NGCA]],11,FALSE)</f>
        <v>GCA</v>
      </c>
      <c r="EJ364" s="923">
        <f>VLOOKUP(WWWW[[#This Row],[Site Name]],SiteDB6[[Site Name]:[Lat]],12,FALSE)</f>
        <v>25.3540362037037</v>
      </c>
      <c r="EK364" s="923">
        <f>VLOOKUP(WWWW[[#This Row],[Site Name]],SiteDB6[[Site Name]:[Long]],13,FALSE)</f>
        <v>97.441166388888902</v>
      </c>
      <c r="EL364" s="923" t="str">
        <f>VLOOKUP(WWWW[[#This Row],[Site Name]],SiteDB6[[Site Name]:[Pcode]],3,FALSE)</f>
        <v>MMR001CMP032</v>
      </c>
      <c r="EM364" s="928" t="str">
        <f t="shared" si="5"/>
        <v>Covered</v>
      </c>
      <c r="EN364" s="928"/>
      <c r="EO364" s="923">
        <f>VLOOKUP(WWWW[[#This Row],[Site Name]],SiteDB6[[Site Name]:[Pop
(Kachin/Shan-CCCM as of July 2021)]],16,FALSE)</f>
        <v>111</v>
      </c>
      <c r="EP364" s="923">
        <f>VLOOKUP(WWWW[[#This Row],[Site Name]],SiteDB6[[Site Name]:[Pop
(Kachin/Shan-CCCM as of July 2021)]],17,FALSE)</f>
        <v>505</v>
      </c>
    </row>
    <row r="365" spans="1:146">
      <c r="A365" s="921" t="s">
        <v>2786</v>
      </c>
      <c r="B365" s="921" t="s">
        <v>242</v>
      </c>
      <c r="C365" s="922" t="s">
        <v>242</v>
      </c>
      <c r="D365" s="922" t="s">
        <v>299</v>
      </c>
      <c r="E365" s="922" t="s">
        <v>37</v>
      </c>
      <c r="F365" s="922" t="s">
        <v>142</v>
      </c>
      <c r="G365" s="594" t="str">
        <f>VLOOKUP(WWWW[[#This Row],[Site Name]],SiteDB6[[Site Name]:[Location Type]],8,FALSE)</f>
        <v>Camp</v>
      </c>
      <c r="H365" s="922" t="s">
        <v>274</v>
      </c>
      <c r="I365" s="924">
        <v>46</v>
      </c>
      <c r="J365" s="924">
        <v>192</v>
      </c>
      <c r="K365" s="925">
        <v>44562</v>
      </c>
      <c r="L365" s="926">
        <v>44926</v>
      </c>
      <c r="M365" s="924"/>
      <c r="N365" s="924">
        <v>1</v>
      </c>
      <c r="O365" s="924"/>
      <c r="P365" s="924"/>
      <c r="Q365" s="927" t="s">
        <v>41</v>
      </c>
      <c r="R365" s="924">
        <v>1</v>
      </c>
      <c r="S365" s="924">
        <v>4</v>
      </c>
      <c r="T365" s="449">
        <v>1</v>
      </c>
      <c r="U365" s="924"/>
      <c r="V365" s="924"/>
      <c r="W365" s="924"/>
      <c r="X365" s="924"/>
      <c r="Y365" s="924"/>
      <c r="Z365" s="924"/>
      <c r="AA365" s="924"/>
      <c r="AB365" s="924"/>
      <c r="AC365" s="924"/>
      <c r="AD365" s="924"/>
      <c r="AE365" s="924"/>
      <c r="AF365" s="924"/>
      <c r="AG365" s="924"/>
      <c r="AH365" s="924"/>
      <c r="AI365" s="924"/>
      <c r="AJ365" s="924"/>
      <c r="AK365" s="924"/>
      <c r="AL365" s="924"/>
      <c r="AM365" s="924"/>
      <c r="AN365" s="924"/>
      <c r="AO365" s="449"/>
      <c r="AP365" s="928" t="s">
        <v>2910</v>
      </c>
      <c r="AQ365" s="924">
        <v>6</v>
      </c>
      <c r="AR365" s="924"/>
      <c r="AS365" s="929"/>
      <c r="AT365" s="924"/>
      <c r="AU365" s="924"/>
      <c r="AV365" s="924"/>
      <c r="AW365" s="924"/>
      <c r="AX365" s="924"/>
      <c r="AY365" s="923" t="s">
        <v>41</v>
      </c>
      <c r="AZ365" s="928" t="s">
        <v>137</v>
      </c>
      <c r="BA365" s="924"/>
      <c r="BB365" s="924"/>
      <c r="BC365" s="924"/>
      <c r="BD365" s="449"/>
      <c r="BE365" s="449"/>
      <c r="BF365" s="923"/>
      <c r="BG365" s="924">
        <v>4</v>
      </c>
      <c r="BH365" s="924"/>
      <c r="BI365" s="924"/>
      <c r="BJ365" s="924">
        <v>2</v>
      </c>
      <c r="BK365" s="924"/>
      <c r="BL365" s="924"/>
      <c r="BM365" s="924"/>
      <c r="BN365" s="924">
        <v>46</v>
      </c>
      <c r="BO365" s="924"/>
      <c r="BP365" s="923" t="s">
        <v>41</v>
      </c>
      <c r="BQ365" s="930"/>
      <c r="BR365" s="929">
        <v>0.4</v>
      </c>
      <c r="BS365" s="923"/>
      <c r="BT365" s="424">
        <v>0.95</v>
      </c>
      <c r="BU365" s="424">
        <v>0.9</v>
      </c>
      <c r="BV365" s="426">
        <v>3</v>
      </c>
      <c r="BW365" s="424">
        <v>0.99</v>
      </c>
      <c r="BX365" s="449"/>
      <c r="BY365" s="449"/>
      <c r="BZ365" s="449"/>
      <c r="CA365" s="449"/>
      <c r="CB365" s="449"/>
      <c r="CC365" s="807"/>
      <c r="CD365" s="449"/>
      <c r="CE365" s="931" t="str">
        <f>IFERROR(WWWW[[#This Row],['#_Water sources passed]]/WWWW[[#This Row],['#_Water sources tested for fecal coliform ]],"no test")</f>
        <v>no test</v>
      </c>
      <c r="CF365" s="929" t="str">
        <f>IFERROR(WWWW[[#This Row],['#_Household passed]]/WWWW[[#This Row],['#_Household water samples tested for fecal coliform]],"no test")</f>
        <v>no test</v>
      </c>
      <c r="CG365" s="930" t="str">
        <f>IF(AND(WWWW[[#This Row],[% of water sources passed]]="no test",WWWW[[#This Row],[% Household passed]]="no test"),"No Test","Tested")</f>
        <v>No Test</v>
      </c>
      <c r="CH365" s="930">
        <f>WWWW[[#This Row],['#_Constructed/existing protected hand dug well]]-WWWW[[#This Row],['#_Non-functional protected hand dug well]]</f>
        <v>1</v>
      </c>
      <c r="CI365" s="930">
        <f>(WWWW[[#This Row],['#_Constructed/Existing tube wells/boreholes/handpumps_WASH_agency]]+WWWW[[#This Row],['#_Non-Cluster partner water tube-wells/boreholes/handpumps]])-WWWW[[#This Row],['#_Non-functional tube wells/boreholes/handpumps]]</f>
        <v>0</v>
      </c>
      <c r="CJ365" s="930">
        <f>WWWW[[#This Row],['#_Constructed/Existingwater storage tank with gravity fed reticulation system]]-WWWW[[#This Row],['#_Non-functional storage tank gravity fed reticulation system]]</f>
        <v>0</v>
      </c>
      <c r="CK365" s="930">
        <f>(WWWW[[#This Row],['#_Water_Liters_supplied_by_Water boating or water trucking]]/90)/15</f>
        <v>0</v>
      </c>
      <c r="CL365" s="930">
        <f>WWWW[[#This Row],['#_Water_Liters_from_Constructed/Existing water distribution system from river or natural spring]]/90/15</f>
        <v>0</v>
      </c>
      <c r="CM365" s="425">
        <f>IF(WWWW[[#This Row],['#_of water points in TLS/CFS]]*500&gt;WWWW[[#This Row],[Total PoP ]],WWWW[[#This Row],[Total PoP ]],WWWW[[#This Row],['#_of water points in TLS/CFS]]*500)</f>
        <v>0</v>
      </c>
      <c r="CN365" s="425">
        <f>IF(WWWW[[#This Row],['#_of water points in THF]]*500&gt;WWWW[[#This Row],[Total PoP ]],WWWW[[#This Row],[Total PoP ]],WWWW[[#This Row],['#_of water points in THF]]*500)</f>
        <v>0</v>
      </c>
      <c r="CO36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5" s="929">
        <f>IF(WWWW[[#This Row],[Location Type 1]]="Village",WWWW[[#This Row],[Access to safe drinking water for Village]],WWWW[[#This Row],[Access to safe drinking water for Camp]])</f>
        <v>1</v>
      </c>
      <c r="CR365" s="927">
        <f>WWWW[[#This Row],[%Equitable and continuous access to sufficient quantity of safe drinking water]]*WWWW[[#This Row],[Total PoP ]]</f>
        <v>192</v>
      </c>
      <c r="CS365" s="929">
        <f>IF((WWWW[[#This Row],['#_Constructed/Existing protected/fenced ponds]]*250)/WWWW[[#This Row],[Total PoP ]]&gt;1,1,(WWWW[[#This Row],['#_Constructed/Existing protected/fenced ponds]]*250)/WWWW[[#This Row],[Total PoP ]])</f>
        <v>0</v>
      </c>
      <c r="CT365" s="927">
        <f>WWWW[[#This Row],[% Access to unimproved water points]]*WWWW[[#This Row],[Total PoP ]]</f>
        <v>0</v>
      </c>
      <c r="CU36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192</v>
      </c>
      <c r="CW365" s="927">
        <f>WWWW[[#This Row],[HRP1]]/500</f>
        <v>0.38400000000000001</v>
      </c>
      <c r="CX365" s="932">
        <f>1-WWWW[[#This Row],[% Equitable and continuous access to sufficient quantity of domestic water]]</f>
        <v>0</v>
      </c>
      <c r="CY365" s="927">
        <f>WWWW[[#This Row],[%equitable and continuous access to sufficient quantity of safe drinking and domestic water''s GAP]]*WWWW[[#This Row],[Total PoP ]]</f>
        <v>0</v>
      </c>
      <c r="CZ365" s="930">
        <f>IF(WWWW[[#This Row],[Total required water points]]-WWWW[[#This Row],['#Water points coverage]]&lt;0,0,WWWW[[#This Row],[Total required water points]]-WWWW[[#This Row],['#Water points coverage]])</f>
        <v>0.61599999999999999</v>
      </c>
      <c r="DA365" s="930">
        <f>ROUND(IF(WWWW[[#This Row],[Total PoP ]]&lt;500,1,WWWW[[#This Row],[Total PoP ]]/500),0)</f>
        <v>1</v>
      </c>
      <c r="DB365" s="930">
        <f>(WWWW[[#This Row],['#_Constructed latrines_by_WASHAgencies]]+WWWW[[#This Row],['#_Non Cluster partner latrines]])-WWWW[[#This Row],['#_Non-functional latrines]]</f>
        <v>6</v>
      </c>
      <c r="DC365" s="634">
        <f>WWWW[[#This Row],[HRP2]]/WWWW[[#This Row],[Total PoP ]]</f>
        <v>0.625</v>
      </c>
      <c r="DD36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6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5" s="425">
        <f>IF(WWWW[[#This Row],['# of functional latrines in THF supported by WASH partners during the reporting period2]]="",0,WWWW[[#This Row],['# of functional latrines in THF supported by WASH partners during the reporting period2]]*50)</f>
        <v>0</v>
      </c>
      <c r="DH365" s="930">
        <f>ROUND(IF(WWWW[[#This Row],[Location Type 1]]="camp",WWWW[[#This Row],[Total PoP ]]/20,IF(WWWW[[#This Row],[Location Type 1]]="Temporary Location",WWWW[[#This Row],[Total PoP ]]/50,(WWWW[[#This Row],[Total PoP ]]/6))),0)</f>
        <v>10</v>
      </c>
      <c r="DI365" s="930">
        <f>IF(WWWW[[#This Row],[Total required Latrines]]-(WWWW[[#This Row],['#_Constructed latrines_by_WASHAgencies]]+WWWW[[#This Row],['#_Non Cluster partner latrines]])&lt;0,0,WWWW[[#This Row],[Total required Latrines]]-(WWWW[[#This Row],['#_Constructed latrines_by_WASHAgencies]]+WWWW[[#This Row],['#_Non Cluster partner latrines]]))</f>
        <v>4</v>
      </c>
      <c r="DJ365" s="932">
        <f>1-WWWW[[#This Row],[% people access to functioning Latrine]]</f>
        <v>0.375</v>
      </c>
      <c r="DK365" s="931">
        <f>IF(OR(WWWW[[#This Row],['#_Non-functional latrines]]="",WWWW[[#This Row],['#_Non-functional latrines]]=0),0,WWWW[[#This Row],['#_Non-functional latrines]]/(WWWW[[#This Row],['#_Constructed latrines_by_WASHAgencies]]+WWWW[[#This Row],['#_Non Cluster partner latrines]]))</f>
        <v>0</v>
      </c>
      <c r="DL365" s="927">
        <f>IF(500*(WWWW[[#This Row],['#_male hygiene promoters]]+WWWW[[#This Row],['#_female hygiene promoters]])&gt;WWWW[[#This Row],[Total PoP ]],WWWW[[#This Row],[Total PoP ]],500*(WWWW[[#This Row],['#_male hygiene promoters]]+WWWW[[#This Row],['#_female hygiene promoters]]))</f>
        <v>0</v>
      </c>
      <c r="DM36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192</v>
      </c>
      <c r="DN36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5" s="930">
        <f>IF(WWWW[[#This Row],['# People with access to soap]]&gt;WWWW[[#This Row],['# People with access to Sanity Pads]],WWWW[[#This Row],['# People with access to soap]],WWWW[[#This Row],['# People with access to Sanity Pads]])</f>
        <v>192</v>
      </c>
      <c r="DP365" s="930">
        <f>IF(WWWW[[#This Row],['# people reached by regular dedicated hygiene promotion_5]]&gt;WWWW[[#This Row],['# People received regular supply of hygiene items_6]],WWWW[[#This Row],['# people reached by regular dedicated hygiene promotion_5]],WWWW[[#This Row],['# People received regular supply of hygiene items_6]])</f>
        <v>192</v>
      </c>
      <c r="DQ365" s="932">
        <f>IF(WWWW[[#This Row],[HRP3]]/WWWW[[#This Row],[Total PoP ]]&gt;1,1,WWWW[[#This Row],[HRP3]]/WWWW[[#This Row],[Total PoP ]])</f>
        <v>1</v>
      </c>
      <c r="DR365" s="931">
        <f>1-WWWW[[#This Row],[Hygiene Coverage%]]</f>
        <v>0</v>
      </c>
      <c r="DS365" s="929">
        <f>WWWW[[#This Row],['# people reached by regular dedicated hygiene promotion_5]]/WWWW[[#This Row],[Total PoP ]]</f>
        <v>0</v>
      </c>
      <c r="DT36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5" s="930">
        <f>WWWW[[#This Row],['#_Constructed/Existing hand washing stations]]-WWWW[[#This Row],['#_Non-Functional_hand_washing_stations]]</f>
        <v>4</v>
      </c>
      <c r="DW365" s="927">
        <f>IF(WWWW[[#This Row],['# Functional hand washing stations during reporting period]]*20&gt;WWWW[[#This Row],[Total HH]],WWWW[[#This Row],[Total HH]],WWWW[[#This Row],['# Functional hand washing stations during reporting period]]*20)</f>
        <v>46</v>
      </c>
      <c r="DX365" s="927">
        <f>IF(WWWW[[#This Row],[Is sufficient soap available for TLS? (Yes/No)]]="yes",WWWW[[#This Row],['#_Constructed/Existing hand washing stations at TLS/CFS/THF]],0)</f>
        <v>0</v>
      </c>
      <c r="DY365" s="429">
        <f>IF(WWWW[[#This Row],['# Functional hand washing stations during reporting period]]*100&gt;WWWW[[#This Row],[Total PoP ]],WWWW[[#This Row],[Total PoP ]],WWWW[[#This Row],['# Functional hand washing stations during reporting period]]*100)</f>
        <v>192</v>
      </c>
      <c r="DZ365" s="429" t="str">
        <f>IF(OR(WWWW[[#This Row],['#_students at TLS_CFS]]="",WWWW[[#This Row],['#_students at TLS_CFS]]=0),"No","Yes")</f>
        <v>No</v>
      </c>
      <c r="EA365" s="634">
        <f>IF(WWWW[[#This Row],['#_of_affected_people_surveyed_who_report_feeling_informed_about_the_different_WASH_services_available_to_them]]="","",WWWW[[#This Row],['#_of_affected_people_surveyed_who_report_feeling_informed_about_the_different_WASH_services_available_to_them]]/WWWW[[#This Row],[Total PoP ]])</f>
        <v>1.5625E-2</v>
      </c>
      <c r="EB36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5" s="923" t="str">
        <f>VLOOKUP(WWWW[[#This Row],[Site Name]],SiteDB6[[Site Name]:[CCCM Management]],6,FALSE)</f>
        <v>Yes</v>
      </c>
      <c r="EF365" s="923" t="str">
        <f>VLOOKUP(WWWW[[#This Row],[Site Name]],SiteDB6[[Site Name]:[CCCM Focal Agency]],7,FALSE)</f>
        <v>Shalom</v>
      </c>
      <c r="EG365" s="923" t="str">
        <f>VLOOKUP(WWWW[[#This Row],[Site Name]],SiteDB6[[Site Name]:[Location Type 1]],9,FALSE)</f>
        <v>Camp</v>
      </c>
      <c r="EH365" s="923" t="str">
        <f>VLOOKUP(WWWW[[#This Row],[Site Name]],SiteDB6[[Site Name]:[Type of Accommodation]],10,FALSE)</f>
        <v>Camp</v>
      </c>
      <c r="EI365" s="923" t="str">
        <f>VLOOKUP(WWWW[[#This Row],[Site Name]],SiteDB6[[Site Name]:[Ethnic or GCA/NGCA]],11,FALSE)</f>
        <v>GCA</v>
      </c>
      <c r="EJ365" s="923">
        <f>VLOOKUP(WWWW[[#This Row],[Site Name]],SiteDB6[[Site Name]:[Lat]],12,FALSE)</f>
        <v>25.333683333333301</v>
      </c>
      <c r="EK365" s="923">
        <f>VLOOKUP(WWWW[[#This Row],[Site Name]],SiteDB6[[Site Name]:[Long]],13,FALSE)</f>
        <v>97.428251153846105</v>
      </c>
      <c r="EL365" s="923" t="str">
        <f>VLOOKUP(WWWW[[#This Row],[Site Name]],SiteDB6[[Site Name]:[Pcode]],3,FALSE)</f>
        <v>MMR001CMP037</v>
      </c>
      <c r="EM365" s="928" t="str">
        <f t="shared" si="5"/>
        <v>Covered</v>
      </c>
      <c r="EN365" s="928"/>
      <c r="EO365" s="923">
        <f>VLOOKUP(WWWW[[#This Row],[Site Name]],SiteDB6[[Site Name]:[Pop
(Kachin/Shan-CCCM as of July 2021)]],16,FALSE)</f>
        <v>46</v>
      </c>
      <c r="EP365" s="923">
        <f>VLOOKUP(WWWW[[#This Row],[Site Name]],SiteDB6[[Site Name]:[Pop
(Kachin/Shan-CCCM as of July 2021)]],17,FALSE)</f>
        <v>192</v>
      </c>
    </row>
    <row r="366" spans="1:146">
      <c r="A366" s="921" t="s">
        <v>2786</v>
      </c>
      <c r="B366" s="921" t="s">
        <v>242</v>
      </c>
      <c r="C366" s="922" t="s">
        <v>242</v>
      </c>
      <c r="D366" s="922" t="s">
        <v>299</v>
      </c>
      <c r="E366" s="922" t="s">
        <v>37</v>
      </c>
      <c r="F366" s="922" t="s">
        <v>142</v>
      </c>
      <c r="G366" s="594" t="str">
        <f>VLOOKUP(WWWW[[#This Row],[Site Name]],SiteDB6[[Site Name]:[Location Type]],8,FALSE)</f>
        <v>Camp</v>
      </c>
      <c r="H366" s="922" t="s">
        <v>275</v>
      </c>
      <c r="I366" s="924">
        <v>68</v>
      </c>
      <c r="J366" s="924">
        <v>193</v>
      </c>
      <c r="K366" s="925">
        <v>44562</v>
      </c>
      <c r="L366" s="926">
        <v>44926</v>
      </c>
      <c r="M366" s="924"/>
      <c r="N366" s="924">
        <v>1</v>
      </c>
      <c r="O366" s="924">
        <v>1</v>
      </c>
      <c r="P366" s="924"/>
      <c r="Q366" s="927" t="s">
        <v>41</v>
      </c>
      <c r="R366" s="924">
        <v>3</v>
      </c>
      <c r="S366" s="924">
        <v>3</v>
      </c>
      <c r="T366" s="449">
        <v>2</v>
      </c>
      <c r="U366" s="924"/>
      <c r="V366" s="924"/>
      <c r="W366" s="924"/>
      <c r="X366" s="924"/>
      <c r="Y366" s="924"/>
      <c r="Z366" s="924"/>
      <c r="AA366" s="924"/>
      <c r="AB366" s="924"/>
      <c r="AC366" s="924"/>
      <c r="AD366" s="924"/>
      <c r="AE366" s="924"/>
      <c r="AF366" s="924"/>
      <c r="AG366" s="924">
        <v>1</v>
      </c>
      <c r="AH366" s="924"/>
      <c r="AI366" s="924"/>
      <c r="AJ366" s="924"/>
      <c r="AK366" s="924"/>
      <c r="AL366" s="924"/>
      <c r="AM366" s="924">
        <v>1</v>
      </c>
      <c r="AN366" s="924"/>
      <c r="AO366" s="449"/>
      <c r="AP366" s="928" t="s">
        <v>2911</v>
      </c>
      <c r="AQ366" s="924">
        <v>9</v>
      </c>
      <c r="AR366" s="924"/>
      <c r="AS366" s="929"/>
      <c r="AT366" s="924"/>
      <c r="AU366" s="924"/>
      <c r="AV366" s="924"/>
      <c r="AW366" s="924"/>
      <c r="AX366" s="924"/>
      <c r="AY366" s="923" t="s">
        <v>41</v>
      </c>
      <c r="AZ366" s="928" t="s">
        <v>137</v>
      </c>
      <c r="BA366" s="924"/>
      <c r="BB366" s="924"/>
      <c r="BC366" s="924"/>
      <c r="BD366" s="449"/>
      <c r="BE366" s="449"/>
      <c r="BF366" s="923"/>
      <c r="BG366" s="924"/>
      <c r="BH366" s="924"/>
      <c r="BI366" s="924"/>
      <c r="BJ366" s="924">
        <v>2</v>
      </c>
      <c r="BK366" s="924"/>
      <c r="BL366" s="924"/>
      <c r="BM366" s="924">
        <v>1</v>
      </c>
      <c r="BN366" s="924">
        <v>68</v>
      </c>
      <c r="BO366" s="924"/>
      <c r="BP366" s="923" t="s">
        <v>41</v>
      </c>
      <c r="BQ366" s="930"/>
      <c r="BR366" s="929">
        <v>0.5</v>
      </c>
      <c r="BS366" s="923"/>
      <c r="BT366" s="424">
        <v>0.96</v>
      </c>
      <c r="BU366" s="424">
        <v>0.9</v>
      </c>
      <c r="BV366" s="426">
        <v>4</v>
      </c>
      <c r="BW366" s="424">
        <v>0.99</v>
      </c>
      <c r="BX366" s="449"/>
      <c r="BY366" s="449"/>
      <c r="BZ366" s="449"/>
      <c r="CA366" s="449"/>
      <c r="CB366" s="449"/>
      <c r="CC366" s="807"/>
      <c r="CD366" s="449"/>
      <c r="CE366" s="931" t="str">
        <f>IFERROR(WWWW[[#This Row],['#_Water sources passed]]/WWWW[[#This Row],['#_Water sources tested for fecal coliform ]],"no test")</f>
        <v>no test</v>
      </c>
      <c r="CF366" s="929" t="str">
        <f>IFERROR(WWWW[[#This Row],['#_Household passed]]/WWWW[[#This Row],['#_Household water samples tested for fecal coliform]],"no test")</f>
        <v>no test</v>
      </c>
      <c r="CG366" s="930" t="str">
        <f>IF(AND(WWWW[[#This Row],[% of water sources passed]]="no test",WWWW[[#This Row],[% Household passed]]="no test"),"No Test","Tested")</f>
        <v>No Test</v>
      </c>
      <c r="CH366" s="930">
        <f>WWWW[[#This Row],['#_Constructed/existing protected hand dug well]]-WWWW[[#This Row],['#_Non-functional protected hand dug well]]</f>
        <v>2</v>
      </c>
      <c r="CI366" s="930">
        <f>(WWWW[[#This Row],['#_Constructed/Existing tube wells/boreholes/handpumps_WASH_agency]]+WWWW[[#This Row],['#_Non-Cluster partner water tube-wells/boreholes/handpumps]])-WWWW[[#This Row],['#_Non-functional tube wells/boreholes/handpumps]]</f>
        <v>0</v>
      </c>
      <c r="CJ366" s="930">
        <f>WWWW[[#This Row],['#_Constructed/Existingwater storage tank with gravity fed reticulation system]]-WWWW[[#This Row],['#_Non-functional storage tank gravity fed reticulation system]]</f>
        <v>0</v>
      </c>
      <c r="CK366" s="930">
        <f>(WWWW[[#This Row],['#_Water_Liters_supplied_by_Water boating or water trucking]]/90)/15</f>
        <v>0</v>
      </c>
      <c r="CL366" s="930">
        <f>WWWW[[#This Row],['#_Water_Liters_from_Constructed/Existing water distribution system from river or natural spring]]/90/15</f>
        <v>0</v>
      </c>
      <c r="CM366" s="425">
        <f>IF(WWWW[[#This Row],['#_of water points in TLS/CFS]]*500&gt;WWWW[[#This Row],[Total PoP ]],WWWW[[#This Row],[Total PoP ]],WWWW[[#This Row],['#_of water points in TLS/CFS]]*500)</f>
        <v>0</v>
      </c>
      <c r="CN366" s="425">
        <f>IF(WWWW[[#This Row],['#_of water points in THF]]*500&gt;WWWW[[#This Row],[Total PoP ]],WWWW[[#This Row],[Total PoP ]],WWWW[[#This Row],['#_of water points in THF]]*500)</f>
        <v>0</v>
      </c>
      <c r="CO36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6" s="929">
        <f>IF(WWWW[[#This Row],[Location Type 1]]="Village",WWWW[[#This Row],[Access to safe drinking water for Village]],WWWW[[#This Row],[Access to safe drinking water for Camp]])</f>
        <v>1</v>
      </c>
      <c r="CR366" s="927">
        <f>WWWW[[#This Row],[%Equitable and continuous access to sufficient quantity of safe drinking water]]*WWWW[[#This Row],[Total PoP ]]</f>
        <v>193</v>
      </c>
      <c r="CS366" s="929">
        <f>IF((WWWW[[#This Row],['#_Constructed/Existing protected/fenced ponds]]*250)/WWWW[[#This Row],[Total PoP ]]&gt;1,1,(WWWW[[#This Row],['#_Constructed/Existing protected/fenced ponds]]*250)/WWWW[[#This Row],[Total PoP ]])</f>
        <v>0</v>
      </c>
      <c r="CT366" s="927">
        <f>WWWW[[#This Row],[% Access to unimproved water points]]*WWWW[[#This Row],[Total PoP ]]</f>
        <v>0</v>
      </c>
      <c r="CU36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W366" s="927">
        <f>WWWW[[#This Row],[HRP1]]/500</f>
        <v>0.38600000000000001</v>
      </c>
      <c r="CX366" s="932">
        <f>1-WWWW[[#This Row],[% Equitable and continuous access to sufficient quantity of domestic water]]</f>
        <v>0</v>
      </c>
      <c r="CY366" s="927">
        <f>WWWW[[#This Row],[%equitable and continuous access to sufficient quantity of safe drinking and domestic water''s GAP]]*WWWW[[#This Row],[Total PoP ]]</f>
        <v>0</v>
      </c>
      <c r="CZ366" s="930">
        <f>IF(WWWW[[#This Row],[Total required water points]]-WWWW[[#This Row],['#Water points coverage]]&lt;0,0,WWWW[[#This Row],[Total required water points]]-WWWW[[#This Row],['#Water points coverage]])</f>
        <v>0.61399999999999999</v>
      </c>
      <c r="DA366" s="930">
        <f>ROUND(IF(WWWW[[#This Row],[Total PoP ]]&lt;500,1,WWWW[[#This Row],[Total PoP ]]/500),0)</f>
        <v>1</v>
      </c>
      <c r="DB366" s="930">
        <f>(WWWW[[#This Row],['#_Constructed latrines_by_WASHAgencies]]+WWWW[[#This Row],['#_Non Cluster partner latrines]])-WWWW[[#This Row],['#_Non-functional latrines]]</f>
        <v>9</v>
      </c>
      <c r="DC366" s="634">
        <f>WWWW[[#This Row],[HRP2]]/WWWW[[#This Row],[Total PoP ]]</f>
        <v>0.93264248704663211</v>
      </c>
      <c r="DD36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36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6" s="425">
        <f>IF(WWWW[[#This Row],['# of functional latrines in THF supported by WASH partners during the reporting period2]]="",0,WWWW[[#This Row],['# of functional latrines in THF supported by WASH partners during the reporting period2]]*50)</f>
        <v>0</v>
      </c>
      <c r="DH366" s="930">
        <f>ROUND(IF(WWWW[[#This Row],[Location Type 1]]="camp",WWWW[[#This Row],[Total PoP ]]/20,IF(WWWW[[#This Row],[Location Type 1]]="Temporary Location",WWWW[[#This Row],[Total PoP ]]/50,(WWWW[[#This Row],[Total PoP ]]/6))),0)</f>
        <v>10</v>
      </c>
      <c r="DI366" s="930">
        <f>IF(WWWW[[#This Row],[Total required Latrines]]-(WWWW[[#This Row],['#_Constructed latrines_by_WASHAgencies]]+WWWW[[#This Row],['#_Non Cluster partner latrines]])&lt;0,0,WWWW[[#This Row],[Total required Latrines]]-(WWWW[[#This Row],['#_Constructed latrines_by_WASHAgencies]]+WWWW[[#This Row],['#_Non Cluster partner latrines]]))</f>
        <v>1</v>
      </c>
      <c r="DJ366" s="932">
        <f>1-WWWW[[#This Row],[% people access to functioning Latrine]]</f>
        <v>6.7357512953367893E-2</v>
      </c>
      <c r="DK366" s="931">
        <f>IF(OR(WWWW[[#This Row],['#_Non-functional latrines]]="",WWWW[[#This Row],['#_Non-functional latrines]]=0),0,WWWW[[#This Row],['#_Non-functional latrines]]/(WWWW[[#This Row],['#_Constructed latrines_by_WASHAgencies]]+WWWW[[#This Row],['#_Non Cluster partner latrines]]))</f>
        <v>0</v>
      </c>
      <c r="DL366" s="927">
        <f>IF(500*(WWWW[[#This Row],['#_male hygiene promoters]]+WWWW[[#This Row],['#_female hygiene promoters]])&gt;WWWW[[#This Row],[Total PoP ]],WWWW[[#This Row],[Total PoP ]],500*(WWWW[[#This Row],['#_male hygiene promoters]]+WWWW[[#This Row],['#_female hygiene promoters]]))</f>
        <v>193</v>
      </c>
      <c r="DM36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193</v>
      </c>
      <c r="DN36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6" s="930">
        <f>IF(WWWW[[#This Row],['# People with access to soap]]&gt;WWWW[[#This Row],['# People with access to Sanity Pads]],WWWW[[#This Row],['# People with access to soap]],WWWW[[#This Row],['# People with access to Sanity Pads]])</f>
        <v>193</v>
      </c>
      <c r="DP366" s="930">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Q366" s="932">
        <f>IF(WWWW[[#This Row],[HRP3]]/WWWW[[#This Row],[Total PoP ]]&gt;1,1,WWWW[[#This Row],[HRP3]]/WWWW[[#This Row],[Total PoP ]])</f>
        <v>1</v>
      </c>
      <c r="DR366" s="931">
        <f>1-WWWW[[#This Row],[Hygiene Coverage%]]</f>
        <v>0</v>
      </c>
      <c r="DS366" s="929">
        <f>WWWW[[#This Row],['# people reached by regular dedicated hygiene promotion_5]]/WWWW[[#This Row],[Total PoP ]]</f>
        <v>1</v>
      </c>
      <c r="DT36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6" s="930">
        <f>WWWW[[#This Row],['#_Constructed/Existing hand washing stations]]-WWWW[[#This Row],['#_Non-Functional_hand_washing_stations]]</f>
        <v>0</v>
      </c>
      <c r="DW366" s="927">
        <f>IF(WWWW[[#This Row],['# Functional hand washing stations during reporting period]]*20&gt;WWWW[[#This Row],[Total HH]],WWWW[[#This Row],[Total HH]],WWWW[[#This Row],['# Functional hand washing stations during reporting period]]*20)</f>
        <v>0</v>
      </c>
      <c r="DX366" s="927">
        <f>IF(WWWW[[#This Row],[Is sufficient soap available for TLS? (Yes/No)]]="yes",WWWW[[#This Row],['#_Constructed/Existing hand washing stations at TLS/CFS/THF]],0)</f>
        <v>1</v>
      </c>
      <c r="DY366" s="429">
        <f>IF(WWWW[[#This Row],['# Functional hand washing stations during reporting period]]*100&gt;WWWW[[#This Row],[Total PoP ]],WWWW[[#This Row],[Total PoP ]],WWWW[[#This Row],['# Functional hand washing stations during reporting period]]*100)</f>
        <v>0</v>
      </c>
      <c r="DZ366" s="429" t="str">
        <f>IF(OR(WWWW[[#This Row],['#_students at TLS_CFS]]="",WWWW[[#This Row],['#_students at TLS_CFS]]=0),"No","Yes")</f>
        <v>No</v>
      </c>
      <c r="EA366" s="634">
        <f>IF(WWWW[[#This Row],['#_of_affected_people_surveyed_who_report_feeling_informed_about_the_different_WASH_services_available_to_them]]="","",WWWW[[#This Row],['#_of_affected_people_surveyed_who_report_feeling_informed_about_the_different_WASH_services_available_to_them]]/WWWW[[#This Row],[Total PoP ]])</f>
        <v>2.072538860103627E-2</v>
      </c>
      <c r="EB36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6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6" s="923" t="str">
        <f>VLOOKUP(WWWW[[#This Row],[Site Name]],SiteDB6[[Site Name]:[CCCM Management]],6,FALSE)</f>
        <v>Yes</v>
      </c>
      <c r="EF366" s="923" t="str">
        <f>VLOOKUP(WWWW[[#This Row],[Site Name]],SiteDB6[[Site Name]:[CCCM Focal Agency]],7,FALSE)</f>
        <v>Shalom</v>
      </c>
      <c r="EG366" s="923" t="str">
        <f>VLOOKUP(WWWW[[#This Row],[Site Name]],SiteDB6[[Site Name]:[Location Type 1]],9,FALSE)</f>
        <v>Camp</v>
      </c>
      <c r="EH366" s="923" t="str">
        <f>VLOOKUP(WWWW[[#This Row],[Site Name]],SiteDB6[[Site Name]:[Type of Accommodation]],10,FALSE)</f>
        <v>Camp</v>
      </c>
      <c r="EI366" s="923" t="str">
        <f>VLOOKUP(WWWW[[#This Row],[Site Name]],SiteDB6[[Site Name]:[Ethnic or GCA/NGCA]],11,FALSE)</f>
        <v>GCA</v>
      </c>
      <c r="EJ366" s="923">
        <f>VLOOKUP(WWWW[[#This Row],[Site Name]],SiteDB6[[Site Name]:[Lat]],12,FALSE)</f>
        <v>25.351250396825399</v>
      </c>
      <c r="EK366" s="923">
        <f>VLOOKUP(WWWW[[#This Row],[Site Name]],SiteDB6[[Site Name]:[Long]],13,FALSE)</f>
        <v>97.444283730158702</v>
      </c>
      <c r="EL366" s="923" t="str">
        <f>VLOOKUP(WWWW[[#This Row],[Site Name]],SiteDB6[[Site Name]:[Pcode]],3,FALSE)</f>
        <v>MMR001CMP038</v>
      </c>
      <c r="EM366" s="928" t="str">
        <f t="shared" si="5"/>
        <v>Covered</v>
      </c>
      <c r="EN366" s="928"/>
      <c r="EO366" s="923">
        <f>VLOOKUP(WWWW[[#This Row],[Site Name]],SiteDB6[[Site Name]:[Pop
(Kachin/Shan-CCCM as of July 2021)]],16,FALSE)</f>
        <v>71</v>
      </c>
      <c r="EP366" s="923">
        <f>VLOOKUP(WWWW[[#This Row],[Site Name]],SiteDB6[[Site Name]:[Pop
(Kachin/Shan-CCCM as of July 2021)]],17,FALSE)</f>
        <v>307</v>
      </c>
    </row>
    <row r="367" spans="1:146">
      <c r="A367" s="921" t="s">
        <v>2786</v>
      </c>
      <c r="B367" s="729" t="s">
        <v>276</v>
      </c>
      <c r="C367" s="370" t="s">
        <v>276</v>
      </c>
      <c r="D367" s="370" t="s">
        <v>3061</v>
      </c>
      <c r="E367" s="922" t="s">
        <v>37</v>
      </c>
      <c r="F367" s="922" t="s">
        <v>195</v>
      </c>
      <c r="G367" s="594" t="str">
        <f>VLOOKUP(WWWW[[#This Row],[Site Name]],SiteDB6[[Site Name]:[Location Type]],8,FALSE)</f>
        <v>Camp</v>
      </c>
      <c r="H367" s="922" t="s">
        <v>277</v>
      </c>
      <c r="I367" s="924">
        <v>260</v>
      </c>
      <c r="J367" s="924">
        <v>1278</v>
      </c>
      <c r="K367" s="925">
        <v>44652</v>
      </c>
      <c r="L367" s="926">
        <v>44895</v>
      </c>
      <c r="M367" s="924"/>
      <c r="N367" s="924"/>
      <c r="O367" s="924"/>
      <c r="P367" s="924"/>
      <c r="Q367" s="927" t="s">
        <v>41</v>
      </c>
      <c r="R367" s="924">
        <v>7</v>
      </c>
      <c r="S367" s="924">
        <v>5</v>
      </c>
      <c r="T367" s="449">
        <v>2</v>
      </c>
      <c r="U367" s="924"/>
      <c r="V367" s="924"/>
      <c r="W367" s="924">
        <v>8</v>
      </c>
      <c r="X367" s="924"/>
      <c r="Y367" s="924"/>
      <c r="Z367" s="924"/>
      <c r="AA367" s="924"/>
      <c r="AB367" s="924"/>
      <c r="AC367" s="924"/>
      <c r="AD367" s="924"/>
      <c r="AE367" s="924"/>
      <c r="AF367" s="924"/>
      <c r="AG367" s="924"/>
      <c r="AH367" s="924"/>
      <c r="AI367" s="924">
        <v>5</v>
      </c>
      <c r="AJ367" s="924">
        <v>5</v>
      </c>
      <c r="AK367" s="924">
        <v>21</v>
      </c>
      <c r="AL367" s="924">
        <v>20</v>
      </c>
      <c r="AM367" s="924"/>
      <c r="AN367" s="924"/>
      <c r="AO367" s="449"/>
      <c r="AP367" s="928"/>
      <c r="AQ367" s="924">
        <v>52</v>
      </c>
      <c r="AR367" s="924"/>
      <c r="AS367" s="929"/>
      <c r="AT367" s="924"/>
      <c r="AU367" s="924"/>
      <c r="AV367" s="924">
        <v>53</v>
      </c>
      <c r="AW367" s="924">
        <v>80</v>
      </c>
      <c r="AX367" s="924"/>
      <c r="AY367" s="923" t="s">
        <v>41</v>
      </c>
      <c r="AZ367" s="928" t="s">
        <v>137</v>
      </c>
      <c r="BA367" s="924"/>
      <c r="BB367" s="924">
        <v>2</v>
      </c>
      <c r="BC367" s="924"/>
      <c r="BD367" s="449"/>
      <c r="BE367" s="449">
        <v>9</v>
      </c>
      <c r="BF367" s="923"/>
      <c r="BG367" s="924">
        <v>12</v>
      </c>
      <c r="BH367" s="924"/>
      <c r="BI367" s="924"/>
      <c r="BJ367" s="924">
        <v>5</v>
      </c>
      <c r="BK367" s="924"/>
      <c r="BL367" s="924"/>
      <c r="BM367" s="924">
        <v>3</v>
      </c>
      <c r="BN367" s="924">
        <v>260</v>
      </c>
      <c r="BO367" s="924">
        <v>447</v>
      </c>
      <c r="BP367" s="923"/>
      <c r="BQ367" s="930"/>
      <c r="BR367" s="929"/>
      <c r="BS367" s="923"/>
      <c r="BT367" s="424">
        <v>1</v>
      </c>
      <c r="BU367" s="424">
        <v>1</v>
      </c>
      <c r="BV367" s="426">
        <v>26</v>
      </c>
      <c r="BW367" s="424">
        <v>1</v>
      </c>
      <c r="BX367" s="449"/>
      <c r="BY367" s="449">
        <v>52</v>
      </c>
      <c r="BZ367" s="449">
        <v>5</v>
      </c>
      <c r="CA367" s="449"/>
      <c r="CB367" s="449"/>
      <c r="CC367" s="807"/>
      <c r="CD367" s="449"/>
      <c r="CE367" s="931">
        <f>IFERROR(WWWW[[#This Row],['#_Water sources passed]]/WWWW[[#This Row],['#_Water sources tested for fecal coliform ]],"no test")</f>
        <v>1</v>
      </c>
      <c r="CF367" s="929">
        <f>IFERROR(WWWW[[#This Row],['#_Household passed]]/WWWW[[#This Row],['#_Household water samples tested for fecal coliform]],"no test")</f>
        <v>0.95238095238095233</v>
      </c>
      <c r="CG367" s="930" t="str">
        <f>IF(AND(WWWW[[#This Row],[% of water sources passed]]="no test",WWWW[[#This Row],[% Household passed]]="no test"),"No Test","Tested")</f>
        <v>Tested</v>
      </c>
      <c r="CH367" s="930">
        <f>WWWW[[#This Row],['#_Constructed/existing protected hand dug well]]-WWWW[[#This Row],['#_Non-functional protected hand dug well]]</f>
        <v>2</v>
      </c>
      <c r="CI367" s="930">
        <f>(WWWW[[#This Row],['#_Constructed/Existing tube wells/boreholes/handpumps_WASH_agency]]+WWWW[[#This Row],['#_Non-Cluster partner water tube-wells/boreholes/handpumps]])-WWWW[[#This Row],['#_Non-functional tube wells/boreholes/handpumps]]</f>
        <v>8</v>
      </c>
      <c r="CJ367" s="930">
        <f>WWWW[[#This Row],['#_Constructed/Existingwater storage tank with gravity fed reticulation system]]-WWWW[[#This Row],['#_Non-functional storage tank gravity fed reticulation system]]</f>
        <v>0</v>
      </c>
      <c r="CK367" s="930">
        <f>(WWWW[[#This Row],['#_Water_Liters_supplied_by_Water boating or water trucking]]/90)/15</f>
        <v>0</v>
      </c>
      <c r="CL367" s="930">
        <f>WWWW[[#This Row],['#_Water_Liters_from_Constructed/Existing water distribution system from river or natural spring]]/90/15</f>
        <v>0</v>
      </c>
      <c r="CM367" s="425">
        <f>IF(WWWW[[#This Row],['#_of water points in TLS/CFS]]*500&gt;WWWW[[#This Row],[Total PoP ]],WWWW[[#This Row],[Total PoP ]],WWWW[[#This Row],['#_of water points in TLS/CFS]]*500)</f>
        <v>0</v>
      </c>
      <c r="CN367" s="425">
        <f>IF(WWWW[[#This Row],['#_of water points in THF]]*500&gt;WWWW[[#This Row],[Total PoP ]],WWWW[[#This Row],[Total PoP ]],WWWW[[#This Row],['#_of water points in THF]]*500)</f>
        <v>0</v>
      </c>
      <c r="CO36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7" s="929">
        <f>IF(WWWW[[#This Row],[Location Type 1]]="Village",WWWW[[#This Row],[Access to safe drinking water for Village]],WWWW[[#This Row],[Access to safe drinking water for Camp]])</f>
        <v>1</v>
      </c>
      <c r="CR367" s="927">
        <f>WWWW[[#This Row],[%Equitable and continuous access to sufficient quantity of safe drinking water]]*WWWW[[#This Row],[Total PoP ]]</f>
        <v>1278</v>
      </c>
      <c r="CS367" s="929">
        <f>IF((WWWW[[#This Row],['#_Constructed/Existing protected/fenced ponds]]*250)/WWWW[[#This Row],[Total PoP ]]&gt;1,1,(WWWW[[#This Row],['#_Constructed/Existing protected/fenced ponds]]*250)/WWWW[[#This Row],[Total PoP ]])</f>
        <v>0</v>
      </c>
      <c r="CT367" s="927">
        <f>WWWW[[#This Row],[% Access to unimproved water points]]*WWWW[[#This Row],[Total PoP ]]</f>
        <v>0</v>
      </c>
      <c r="CU36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1278</v>
      </c>
      <c r="CW367" s="927">
        <f>WWWW[[#This Row],[HRP1]]/500</f>
        <v>2.556</v>
      </c>
      <c r="CX367" s="932">
        <f>1-WWWW[[#This Row],[% Equitable and continuous access to sufficient quantity of domestic water]]</f>
        <v>0</v>
      </c>
      <c r="CY367" s="927">
        <f>WWWW[[#This Row],[%equitable and continuous access to sufficient quantity of safe drinking and domestic water''s GAP]]*WWWW[[#This Row],[Total PoP ]]</f>
        <v>0</v>
      </c>
      <c r="CZ367" s="930">
        <f>IF(WWWW[[#This Row],[Total required water points]]-WWWW[[#This Row],['#Water points coverage]]&lt;0,0,WWWW[[#This Row],[Total required water points]]-WWWW[[#This Row],['#Water points coverage]])</f>
        <v>0.44399999999999995</v>
      </c>
      <c r="DA367" s="930">
        <f>ROUND(IF(WWWW[[#This Row],[Total PoP ]]&lt;500,1,WWWW[[#This Row],[Total PoP ]]/500),0)</f>
        <v>3</v>
      </c>
      <c r="DB367" s="930">
        <f>(WWWW[[#This Row],['#_Constructed latrines_by_WASHAgencies]]+WWWW[[#This Row],['#_Non Cluster partner latrines]])-WWWW[[#This Row],['#_Non-functional latrines]]</f>
        <v>52</v>
      </c>
      <c r="DC367" s="634">
        <f>WWWW[[#This Row],[HRP2]]/WWWW[[#This Row],[Total PoP ]]</f>
        <v>0.82081377151799684</v>
      </c>
      <c r="DD36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1049</v>
      </c>
      <c r="DE36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1060</v>
      </c>
      <c r="DF36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7" s="425">
        <f>IF(WWWW[[#This Row],['# of functional latrines in THF supported by WASH partners during the reporting period2]]="",0,WWWW[[#This Row],['# of functional latrines in THF supported by WASH partners during the reporting period2]]*50)</f>
        <v>0</v>
      </c>
      <c r="DH367" s="930">
        <f>ROUND(IF(WWWW[[#This Row],[Location Type 1]]="camp",WWWW[[#This Row],[Total PoP ]]/20,IF(WWWW[[#This Row],[Location Type 1]]="Temporary Location",WWWW[[#This Row],[Total PoP ]]/50,(WWWW[[#This Row],[Total PoP ]]/6))),0)</f>
        <v>64</v>
      </c>
      <c r="DI367" s="930">
        <f>IF(WWWW[[#This Row],[Total required Latrines]]-(WWWW[[#This Row],['#_Constructed latrines_by_WASHAgencies]]+WWWW[[#This Row],['#_Non Cluster partner latrines]])&lt;0,0,WWWW[[#This Row],[Total required Latrines]]-(WWWW[[#This Row],['#_Constructed latrines_by_WASHAgencies]]+WWWW[[#This Row],['#_Non Cluster partner latrines]]))</f>
        <v>12</v>
      </c>
      <c r="DJ367" s="932">
        <f>1-WWWW[[#This Row],[% people access to functioning Latrine]]</f>
        <v>0.17918622848200316</v>
      </c>
      <c r="DK367" s="931">
        <f>IF(OR(WWWW[[#This Row],['#_Non-functional latrines]]="",WWWW[[#This Row],['#_Non-functional latrines]]=0),0,WWWW[[#This Row],['#_Non-functional latrines]]/(WWWW[[#This Row],['#_Constructed latrines_by_WASHAgencies]]+WWWW[[#This Row],['#_Non Cluster partner latrines]]))</f>
        <v>0</v>
      </c>
      <c r="DL367" s="927">
        <f>IF(500*(WWWW[[#This Row],['#_male hygiene promoters]]+WWWW[[#This Row],['#_female hygiene promoters]])&gt;WWWW[[#This Row],[Total PoP ]],WWWW[[#This Row],[Total PoP ]],500*(WWWW[[#This Row],['#_male hygiene promoters]]+WWWW[[#This Row],['#_female hygiene promoters]]))</f>
        <v>1278</v>
      </c>
      <c r="DM36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1278</v>
      </c>
      <c r="DN36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447</v>
      </c>
      <c r="DO367" s="930">
        <f>IF(WWWW[[#This Row],['# People with access to soap]]&gt;WWWW[[#This Row],['# People with access to Sanity Pads]],WWWW[[#This Row],['# People with access to soap]],WWWW[[#This Row],['# People with access to Sanity Pads]])</f>
        <v>1278</v>
      </c>
      <c r="DP367" s="930">
        <f>IF(WWWW[[#This Row],['# people reached by regular dedicated hygiene promotion_5]]&gt;WWWW[[#This Row],['# People received regular supply of hygiene items_6]],WWWW[[#This Row],['# people reached by regular dedicated hygiene promotion_5]],WWWW[[#This Row],['# People received regular supply of hygiene items_6]])</f>
        <v>1278</v>
      </c>
      <c r="DQ367" s="932">
        <f>IF(WWWW[[#This Row],[HRP3]]/WWWW[[#This Row],[Total PoP ]]&gt;1,1,WWWW[[#This Row],[HRP3]]/WWWW[[#This Row],[Total PoP ]])</f>
        <v>1</v>
      </c>
      <c r="DR367" s="931">
        <f>1-WWWW[[#This Row],[Hygiene Coverage%]]</f>
        <v>0</v>
      </c>
      <c r="DS367" s="929">
        <f>WWWW[[#This Row],['# people reached by regular dedicated hygiene promotion_5]]/WWWW[[#This Row],[Total PoP ]]</f>
        <v>1</v>
      </c>
      <c r="DT36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6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67" s="930">
        <f>WWWW[[#This Row],['#_Constructed/Existing hand washing stations]]-WWWW[[#This Row],['#_Non-Functional_hand_washing_stations]]</f>
        <v>12</v>
      </c>
      <c r="DW367" s="927">
        <f>IF(WWWW[[#This Row],['# Functional hand washing stations during reporting period]]*20&gt;WWWW[[#This Row],[Total HH]],WWWW[[#This Row],[Total HH]],WWWW[[#This Row],['# Functional hand washing stations during reporting period]]*20)</f>
        <v>240</v>
      </c>
      <c r="DX367" s="927">
        <f>IF(WWWW[[#This Row],[Is sufficient soap available for TLS? (Yes/No)]]="yes",WWWW[[#This Row],['#_Constructed/Existing hand washing stations at TLS/CFS/THF]],0)</f>
        <v>0</v>
      </c>
      <c r="DY367" s="429">
        <f>IF(WWWW[[#This Row],['# Functional hand washing stations during reporting period]]*100&gt;WWWW[[#This Row],[Total PoP ]],WWWW[[#This Row],[Total PoP ]],WWWW[[#This Row],['# Functional hand washing stations during reporting period]]*100)</f>
        <v>1200</v>
      </c>
      <c r="DZ367" s="429" t="str">
        <f>IF(OR(WWWW[[#This Row],['#_students at TLS_CFS]]="",WWWW[[#This Row],['#_students at TLS_CFS]]=0),"No","Yes")</f>
        <v>No</v>
      </c>
      <c r="EA367" s="634">
        <f>IF(WWWW[[#This Row],['#_of_affected_people_surveyed_who_report_feeling_informed_about_the_different_WASH_services_available_to_them]]="","",WWWW[[#This Row],['#_of_affected_people_surveyed_who_report_feeling_informed_about_the_different_WASH_services_available_to_them]]/WWWW[[#This Row],[Total PoP ]])</f>
        <v>2.0344287949921751E-2</v>
      </c>
      <c r="EB36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57</v>
      </c>
      <c r="EC36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7" s="923" t="str">
        <f>VLOOKUP(WWWW[[#This Row],[Site Name]],SiteDB6[[Site Name]:[CCCM Management]],6,FALSE)</f>
        <v>Yes</v>
      </c>
      <c r="EF367" s="923" t="str">
        <f>VLOOKUP(WWWW[[#This Row],[Site Name]],SiteDB6[[Site Name]:[CCCM Focal Agency]],7,FALSE)</f>
        <v>KMSS-BMO</v>
      </c>
      <c r="EG367" s="923" t="str">
        <f>VLOOKUP(WWWW[[#This Row],[Site Name]],SiteDB6[[Site Name]:[Location Type 1]],9,FALSE)</f>
        <v>Camp</v>
      </c>
      <c r="EH367" s="923" t="str">
        <f>VLOOKUP(WWWW[[#This Row],[Site Name]],SiteDB6[[Site Name]:[Type of Accommodation]],10,FALSE)</f>
        <v>Camp</v>
      </c>
      <c r="EI367" s="923" t="str">
        <f>VLOOKUP(WWWW[[#This Row],[Site Name]],SiteDB6[[Site Name]:[Ethnic or GCA/NGCA]],11,FALSE)</f>
        <v>GCA</v>
      </c>
      <c r="EJ367" s="923">
        <f>VLOOKUP(WWWW[[#This Row],[Site Name]],SiteDB6[[Site Name]:[Lat]],12,FALSE)</f>
        <v>24.260719999999999</v>
      </c>
      <c r="EK367" s="923">
        <f>VLOOKUP(WWWW[[#This Row],[Site Name]],SiteDB6[[Site Name]:[Long]],13,FALSE)</f>
        <v>97.238829999999993</v>
      </c>
      <c r="EL367" s="923" t="str">
        <f>VLOOKUP(WWWW[[#This Row],[Site Name]],SiteDB6[[Site Name]:[Pcode]],3,FALSE)</f>
        <v>MMR001CMP050</v>
      </c>
      <c r="EM367" s="928" t="str">
        <f t="shared" si="5"/>
        <v>Covered</v>
      </c>
      <c r="EN367" s="928"/>
      <c r="EO367" s="923">
        <f>VLOOKUP(WWWW[[#This Row],[Site Name]],SiteDB6[[Site Name]:[Pop
(Kachin/Shan-CCCM as of July 2021)]],16,FALSE)</f>
        <v>222</v>
      </c>
      <c r="EP367" s="923">
        <f>VLOOKUP(WWWW[[#This Row],[Site Name]],SiteDB6[[Site Name]:[Pop
(Kachin/Shan-CCCM as of July 2021)]],17,FALSE)</f>
        <v>1055</v>
      </c>
    </row>
    <row r="368" spans="1:146">
      <c r="A368" s="921" t="s">
        <v>2786</v>
      </c>
      <c r="B368" s="921" t="s">
        <v>276</v>
      </c>
      <c r="C368" s="922" t="s">
        <v>276</v>
      </c>
      <c r="D368" s="922" t="s">
        <v>3061</v>
      </c>
      <c r="E368" s="922" t="s">
        <v>37</v>
      </c>
      <c r="F368" s="922" t="s">
        <v>195</v>
      </c>
      <c r="G368" s="594" t="str">
        <f>VLOOKUP(WWWW[[#This Row],[Site Name]],SiteDB6[[Site Name]:[Location Type]],8,FALSE)</f>
        <v>Camp</v>
      </c>
      <c r="H368" s="922" t="s">
        <v>196</v>
      </c>
      <c r="I368" s="924">
        <v>36</v>
      </c>
      <c r="J368" s="924">
        <v>222</v>
      </c>
      <c r="K368" s="925">
        <v>44652</v>
      </c>
      <c r="L368" s="926">
        <v>44895</v>
      </c>
      <c r="M368" s="924"/>
      <c r="N368" s="924"/>
      <c r="O368" s="924"/>
      <c r="P368" s="924"/>
      <c r="Q368" s="927" t="s">
        <v>41</v>
      </c>
      <c r="R368" s="924">
        <v>1</v>
      </c>
      <c r="S368" s="924">
        <v>1</v>
      </c>
      <c r="T368" s="449">
        <v>1</v>
      </c>
      <c r="U368" s="924"/>
      <c r="V368" s="924"/>
      <c r="W368" s="924">
        <v>1</v>
      </c>
      <c r="X368" s="924"/>
      <c r="Y368" s="924"/>
      <c r="Z368" s="924"/>
      <c r="AA368" s="924"/>
      <c r="AB368" s="924"/>
      <c r="AC368" s="924"/>
      <c r="AD368" s="924"/>
      <c r="AE368" s="924"/>
      <c r="AF368" s="924"/>
      <c r="AG368" s="924"/>
      <c r="AH368" s="924"/>
      <c r="AI368" s="924"/>
      <c r="AJ368" s="924"/>
      <c r="AK368" s="924"/>
      <c r="AL368" s="924"/>
      <c r="AM368" s="924"/>
      <c r="AN368" s="924"/>
      <c r="AO368" s="449"/>
      <c r="AP368" s="928"/>
      <c r="AQ368" s="924">
        <v>2</v>
      </c>
      <c r="AR368" s="924"/>
      <c r="AS368" s="929"/>
      <c r="AT368" s="924"/>
      <c r="AU368" s="924"/>
      <c r="AV368" s="924"/>
      <c r="AW368" s="924"/>
      <c r="AX368" s="924"/>
      <c r="AY368" s="923" t="s">
        <v>41</v>
      </c>
      <c r="AZ368" s="928" t="s">
        <v>137</v>
      </c>
      <c r="BA368" s="924"/>
      <c r="BB368" s="924"/>
      <c r="BC368" s="924"/>
      <c r="BD368" s="449"/>
      <c r="BE368" s="449"/>
      <c r="BF368" s="923"/>
      <c r="BG368" s="924"/>
      <c r="BH368" s="924"/>
      <c r="BI368" s="924">
        <v>3</v>
      </c>
      <c r="BJ368" s="924"/>
      <c r="BK368" s="924"/>
      <c r="BL368" s="924"/>
      <c r="BM368" s="924"/>
      <c r="BN368" s="924"/>
      <c r="BO368" s="924"/>
      <c r="BP368" s="923"/>
      <c r="BQ368" s="930"/>
      <c r="BR368" s="929"/>
      <c r="BS368" s="923"/>
      <c r="BT368" s="424"/>
      <c r="BU368" s="424"/>
      <c r="BV368" s="426"/>
      <c r="BW368" s="424">
        <v>0</v>
      </c>
      <c r="BX368" s="449"/>
      <c r="BY368" s="449">
        <v>2</v>
      </c>
      <c r="BZ368" s="449">
        <v>3</v>
      </c>
      <c r="CA368" s="449"/>
      <c r="CB368" s="449"/>
      <c r="CC368" s="807"/>
      <c r="CD368" s="449"/>
      <c r="CE368" s="931" t="str">
        <f>IFERROR(WWWW[[#This Row],['#_Water sources passed]]/WWWW[[#This Row],['#_Water sources tested for fecal coliform ]],"no test")</f>
        <v>no test</v>
      </c>
      <c r="CF368" s="929" t="str">
        <f>IFERROR(WWWW[[#This Row],['#_Household passed]]/WWWW[[#This Row],['#_Household water samples tested for fecal coliform]],"no test")</f>
        <v>no test</v>
      </c>
      <c r="CG368" s="930" t="str">
        <f>IF(AND(WWWW[[#This Row],[% of water sources passed]]="no test",WWWW[[#This Row],[% Household passed]]="no test"),"No Test","Tested")</f>
        <v>No Test</v>
      </c>
      <c r="CH368" s="930">
        <f>WWWW[[#This Row],['#_Constructed/existing protected hand dug well]]-WWWW[[#This Row],['#_Non-functional protected hand dug well]]</f>
        <v>1</v>
      </c>
      <c r="CI368" s="930">
        <f>(WWWW[[#This Row],['#_Constructed/Existing tube wells/boreholes/handpumps_WASH_agency]]+WWWW[[#This Row],['#_Non-Cluster partner water tube-wells/boreholes/handpumps]])-WWWW[[#This Row],['#_Non-functional tube wells/boreholes/handpumps]]</f>
        <v>1</v>
      </c>
      <c r="CJ368" s="930">
        <f>WWWW[[#This Row],['#_Constructed/Existingwater storage tank with gravity fed reticulation system]]-WWWW[[#This Row],['#_Non-functional storage tank gravity fed reticulation system]]</f>
        <v>0</v>
      </c>
      <c r="CK368" s="930">
        <f>(WWWW[[#This Row],['#_Water_Liters_supplied_by_Water boating or water trucking]]/90)/15</f>
        <v>0</v>
      </c>
      <c r="CL368" s="930">
        <f>WWWW[[#This Row],['#_Water_Liters_from_Constructed/Existing water distribution system from river or natural spring]]/90/15</f>
        <v>0</v>
      </c>
      <c r="CM368" s="425">
        <f>IF(WWWW[[#This Row],['#_of water points in TLS/CFS]]*500&gt;WWWW[[#This Row],[Total PoP ]],WWWW[[#This Row],[Total PoP ]],WWWW[[#This Row],['#_of water points in TLS/CFS]]*500)</f>
        <v>0</v>
      </c>
      <c r="CN368" s="425">
        <f>IF(WWWW[[#This Row],['#_of water points in THF]]*500&gt;WWWW[[#This Row],[Total PoP ]],WWWW[[#This Row],[Total PoP ]],WWWW[[#This Row],['#_of water points in THF]]*500)</f>
        <v>0</v>
      </c>
      <c r="CO36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8" s="929">
        <f>IF(WWWW[[#This Row],[Location Type 1]]="Village",WWWW[[#This Row],[Access to safe drinking water for Village]],WWWW[[#This Row],[Access to safe drinking water for Camp]])</f>
        <v>1</v>
      </c>
      <c r="CR368" s="927">
        <f>WWWW[[#This Row],[%Equitable and continuous access to sufficient quantity of safe drinking water]]*WWWW[[#This Row],[Total PoP ]]</f>
        <v>222</v>
      </c>
      <c r="CS368" s="929">
        <f>IF((WWWW[[#This Row],['#_Constructed/Existing protected/fenced ponds]]*250)/WWWW[[#This Row],[Total PoP ]]&gt;1,1,(WWWW[[#This Row],['#_Constructed/Existing protected/fenced ponds]]*250)/WWWW[[#This Row],[Total PoP ]])</f>
        <v>0</v>
      </c>
      <c r="CT368" s="927">
        <f>WWWW[[#This Row],[% Access to unimproved water points]]*WWWW[[#This Row],[Total PoP ]]</f>
        <v>0</v>
      </c>
      <c r="CU36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368" s="927">
        <f>WWWW[[#This Row],[HRP1]]/500</f>
        <v>0.44400000000000001</v>
      </c>
      <c r="CX368" s="932">
        <f>1-WWWW[[#This Row],[% Equitable and continuous access to sufficient quantity of domestic water]]</f>
        <v>0</v>
      </c>
      <c r="CY368" s="927">
        <f>WWWW[[#This Row],[%equitable and continuous access to sufficient quantity of safe drinking and domestic water''s GAP]]*WWWW[[#This Row],[Total PoP ]]</f>
        <v>0</v>
      </c>
      <c r="CZ368" s="930">
        <f>IF(WWWW[[#This Row],[Total required water points]]-WWWW[[#This Row],['#Water points coverage]]&lt;0,0,WWWW[[#This Row],[Total required water points]]-WWWW[[#This Row],['#Water points coverage]])</f>
        <v>0.55600000000000005</v>
      </c>
      <c r="DA368" s="930">
        <f>ROUND(IF(WWWW[[#This Row],[Total PoP ]]&lt;500,1,WWWW[[#This Row],[Total PoP ]]/500),0)</f>
        <v>1</v>
      </c>
      <c r="DB368" s="930">
        <f>(WWWW[[#This Row],['#_Constructed latrines_by_WASHAgencies]]+WWWW[[#This Row],['#_Non Cluster partner latrines]])-WWWW[[#This Row],['#_Non-functional latrines]]</f>
        <v>2</v>
      </c>
      <c r="DC368" s="634">
        <f>WWWW[[#This Row],[HRP2]]/WWWW[[#This Row],[Total PoP ]]</f>
        <v>0.18018018018018017</v>
      </c>
      <c r="DD36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40</v>
      </c>
      <c r="DE36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6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8" s="425">
        <f>IF(WWWW[[#This Row],['# of functional latrines in THF supported by WASH partners during the reporting period2]]="",0,WWWW[[#This Row],['# of functional latrines in THF supported by WASH partners during the reporting period2]]*50)</f>
        <v>0</v>
      </c>
      <c r="DH368" s="930">
        <f>ROUND(IF(WWWW[[#This Row],[Location Type 1]]="camp",WWWW[[#This Row],[Total PoP ]]/20,IF(WWWW[[#This Row],[Location Type 1]]="Temporary Location",WWWW[[#This Row],[Total PoP ]]/50,(WWWW[[#This Row],[Total PoP ]]/6))),0)</f>
        <v>11</v>
      </c>
      <c r="DI368" s="930">
        <f>IF(WWWW[[#This Row],[Total required Latrines]]-(WWWW[[#This Row],['#_Constructed latrines_by_WASHAgencies]]+WWWW[[#This Row],['#_Non Cluster partner latrines]])&lt;0,0,WWWW[[#This Row],[Total required Latrines]]-(WWWW[[#This Row],['#_Constructed latrines_by_WASHAgencies]]+WWWW[[#This Row],['#_Non Cluster partner latrines]]))</f>
        <v>9</v>
      </c>
      <c r="DJ368" s="932">
        <f>1-WWWW[[#This Row],[% people access to functioning Latrine]]</f>
        <v>0.81981981981981988</v>
      </c>
      <c r="DK368" s="931">
        <f>IF(OR(WWWW[[#This Row],['#_Non-functional latrines]]="",WWWW[[#This Row],['#_Non-functional latrines]]=0),0,WWWW[[#This Row],['#_Non-functional latrines]]/(WWWW[[#This Row],['#_Constructed latrines_by_WASHAgencies]]+WWWW[[#This Row],['#_Non Cluster partner latrines]]))</f>
        <v>0</v>
      </c>
      <c r="DL368" s="927">
        <f>IF(500*(WWWW[[#This Row],['#_male hygiene promoters]]+WWWW[[#This Row],['#_female hygiene promoters]])&gt;WWWW[[#This Row],[Total PoP ]],WWWW[[#This Row],[Total PoP ]],500*(WWWW[[#This Row],['#_male hygiene promoters]]+WWWW[[#This Row],['#_female hygiene promoters]]))</f>
        <v>0</v>
      </c>
      <c r="DM36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8" s="930">
        <f>IF(WWWW[[#This Row],['# People with access to soap]]&gt;WWWW[[#This Row],['# People with access to Sanity Pads]],WWWW[[#This Row],['# People with access to soap]],WWWW[[#This Row],['# People with access to Sanity Pads]])</f>
        <v>0</v>
      </c>
      <c r="DP36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8" s="932">
        <f>IF(WWWW[[#This Row],[HRP3]]/WWWW[[#This Row],[Total PoP ]]&gt;1,1,WWWW[[#This Row],[HRP3]]/WWWW[[#This Row],[Total PoP ]])</f>
        <v>0</v>
      </c>
      <c r="DR368" s="931">
        <f>1-WWWW[[#This Row],[Hygiene Coverage%]]</f>
        <v>1</v>
      </c>
      <c r="DS368" s="929">
        <f>WWWW[[#This Row],['# people reached by regular dedicated hygiene promotion_5]]/WWWW[[#This Row],[Total PoP ]]</f>
        <v>0</v>
      </c>
      <c r="DT36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8" s="930">
        <f>WWWW[[#This Row],['#_Constructed/Existing hand washing stations]]-WWWW[[#This Row],['#_Non-Functional_hand_washing_stations]]</f>
        <v>0</v>
      </c>
      <c r="DW368" s="927">
        <f>IF(WWWW[[#This Row],['# Functional hand washing stations during reporting period]]*20&gt;WWWW[[#This Row],[Total HH]],WWWW[[#This Row],[Total HH]],WWWW[[#This Row],['# Functional hand washing stations during reporting period]]*20)</f>
        <v>0</v>
      </c>
      <c r="DX368" s="927">
        <f>IF(WWWW[[#This Row],[Is sufficient soap available for TLS? (Yes/No)]]="yes",WWWW[[#This Row],['#_Constructed/Existing hand washing stations at TLS/CFS/THF]],0)</f>
        <v>0</v>
      </c>
      <c r="DY368" s="429">
        <f>IF(WWWW[[#This Row],['# Functional hand washing stations during reporting period]]*100&gt;WWWW[[#This Row],[Total PoP ]],WWWW[[#This Row],[Total PoP ]],WWWW[[#This Row],['# Functional hand washing stations during reporting period]]*100)</f>
        <v>0</v>
      </c>
      <c r="DZ368" s="429" t="str">
        <f>IF(OR(WWWW[[#This Row],['#_students at TLS_CFS]]="",WWWW[[#This Row],['#_students at TLS_CFS]]=0),"No","Yes")</f>
        <v>No</v>
      </c>
      <c r="EA36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v>
      </c>
      <c r="EC36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8" s="923" t="str">
        <f>VLOOKUP(WWWW[[#This Row],[Site Name]],SiteDB6[[Site Name]:[CCCM Management]],6,FALSE)</f>
        <v>Yes</v>
      </c>
      <c r="EF368" s="923" t="str">
        <f>VLOOKUP(WWWW[[#This Row],[Site Name]],SiteDB6[[Site Name]:[CCCM Focal Agency]],7,FALSE)</f>
        <v>KBC-BMO</v>
      </c>
      <c r="EG368" s="923" t="str">
        <f>VLOOKUP(WWWW[[#This Row],[Site Name]],SiteDB6[[Site Name]:[Location Type 1]],9,FALSE)</f>
        <v>Camp</v>
      </c>
      <c r="EH368" s="923" t="str">
        <f>VLOOKUP(WWWW[[#This Row],[Site Name]],SiteDB6[[Site Name]:[Type of Accommodation]],10,FALSE)</f>
        <v>Camp</v>
      </c>
      <c r="EI368" s="923" t="str">
        <f>VLOOKUP(WWWW[[#This Row],[Site Name]],SiteDB6[[Site Name]:[Ethnic or GCA/NGCA]],11,FALSE)</f>
        <v>GCA</v>
      </c>
      <c r="EJ368" s="923">
        <f>VLOOKUP(WWWW[[#This Row],[Site Name]],SiteDB6[[Site Name]:[Lat]],12,FALSE)</f>
        <v>24.260466999999998</v>
      </c>
      <c r="EK368" s="923">
        <f>VLOOKUP(WWWW[[#This Row],[Site Name]],SiteDB6[[Site Name]:[Long]],13,FALSE)</f>
        <v>97.252650000000003</v>
      </c>
      <c r="EL368" s="923" t="str">
        <f>VLOOKUP(WWWW[[#This Row],[Site Name]],SiteDB6[[Site Name]:[Pcode]],3,FALSE)</f>
        <v>MMR001CMP194</v>
      </c>
      <c r="EM368" s="928" t="str">
        <f t="shared" si="5"/>
        <v>Covered</v>
      </c>
      <c r="EN368" s="928"/>
      <c r="EO368" s="923">
        <f>VLOOKUP(WWWW[[#This Row],[Site Name]],SiteDB6[[Site Name]:[Pop
(Kachin/Shan-CCCM as of July 2021)]],16,FALSE)</f>
        <v>9</v>
      </c>
      <c r="EP368" s="923">
        <f>VLOOKUP(WWWW[[#This Row],[Site Name]],SiteDB6[[Site Name]:[Pop
(Kachin/Shan-CCCM as of July 2021)]],17,FALSE)</f>
        <v>37</v>
      </c>
    </row>
    <row r="369" spans="1:146">
      <c r="A369" s="921" t="s">
        <v>2786</v>
      </c>
      <c r="B369" s="921" t="s">
        <v>276</v>
      </c>
      <c r="C369" s="922" t="s">
        <v>276</v>
      </c>
      <c r="D369" s="922" t="s">
        <v>3061</v>
      </c>
      <c r="E369" s="922" t="s">
        <v>37</v>
      </c>
      <c r="F369" s="922" t="s">
        <v>195</v>
      </c>
      <c r="G369" s="594" t="str">
        <f>VLOOKUP(WWWW[[#This Row],[Site Name]],SiteDB6[[Site Name]:[Location Type]],8,FALSE)</f>
        <v>Camp</v>
      </c>
      <c r="H369" s="922" t="s">
        <v>198</v>
      </c>
      <c r="I369" s="924">
        <v>36</v>
      </c>
      <c r="J369" s="924">
        <v>222</v>
      </c>
      <c r="K369" s="925">
        <v>44652</v>
      </c>
      <c r="L369" s="926">
        <v>44895</v>
      </c>
      <c r="M369" s="924"/>
      <c r="N369" s="924"/>
      <c r="O369" s="924"/>
      <c r="P369" s="924"/>
      <c r="Q369" s="927" t="s">
        <v>41</v>
      </c>
      <c r="R369" s="924">
        <v>0</v>
      </c>
      <c r="S369" s="924">
        <v>5</v>
      </c>
      <c r="T369" s="449"/>
      <c r="U369" s="924"/>
      <c r="V369" s="924"/>
      <c r="W369" s="924">
        <v>2</v>
      </c>
      <c r="X369" s="924"/>
      <c r="Y369" s="924"/>
      <c r="Z369" s="924"/>
      <c r="AA369" s="924"/>
      <c r="AB369" s="924"/>
      <c r="AC369" s="924"/>
      <c r="AD369" s="924"/>
      <c r="AE369" s="924"/>
      <c r="AF369" s="924"/>
      <c r="AG369" s="924"/>
      <c r="AH369" s="924"/>
      <c r="AI369" s="924">
        <v>2</v>
      </c>
      <c r="AJ369" s="924">
        <v>2</v>
      </c>
      <c r="AK369" s="924"/>
      <c r="AL369" s="924"/>
      <c r="AM369" s="924"/>
      <c r="AN369" s="924"/>
      <c r="AO369" s="449"/>
      <c r="AP369" s="928"/>
      <c r="AQ369" s="924">
        <v>7</v>
      </c>
      <c r="AR369" s="924"/>
      <c r="AS369" s="929"/>
      <c r="AT369" s="924"/>
      <c r="AU369" s="924"/>
      <c r="AV369" s="924">
        <v>7</v>
      </c>
      <c r="AW369" s="924">
        <v>18</v>
      </c>
      <c r="AX369" s="924"/>
      <c r="AY369" s="923" t="s">
        <v>41</v>
      </c>
      <c r="AZ369" s="928" t="s">
        <v>137</v>
      </c>
      <c r="BA369" s="924"/>
      <c r="BB369" s="924"/>
      <c r="BC369" s="924"/>
      <c r="BD369" s="449"/>
      <c r="BE369" s="449"/>
      <c r="BF369" s="923"/>
      <c r="BG369" s="924"/>
      <c r="BH369" s="924"/>
      <c r="BI369" s="924"/>
      <c r="BJ369" s="924">
        <v>2</v>
      </c>
      <c r="BK369" s="924"/>
      <c r="BL369" s="924"/>
      <c r="BM369" s="924"/>
      <c r="BN369" s="924"/>
      <c r="BO369" s="924"/>
      <c r="BP369" s="923"/>
      <c r="BQ369" s="930"/>
      <c r="BR369" s="929"/>
      <c r="BS369" s="923"/>
      <c r="BT369" s="424"/>
      <c r="BU369" s="424"/>
      <c r="BV369" s="426"/>
      <c r="BW369" s="424">
        <v>0</v>
      </c>
      <c r="BX369" s="449"/>
      <c r="BY369" s="449">
        <v>7</v>
      </c>
      <c r="BZ369" s="449">
        <v>2</v>
      </c>
      <c r="CA369" s="449"/>
      <c r="CB369" s="449"/>
      <c r="CC369" s="807"/>
      <c r="CD369" s="449"/>
      <c r="CE369" s="931">
        <f>IFERROR(WWWW[[#This Row],['#_Water sources passed]]/WWWW[[#This Row],['#_Water sources tested for fecal coliform ]],"no test")</f>
        <v>1</v>
      </c>
      <c r="CF369" s="929" t="str">
        <f>IFERROR(WWWW[[#This Row],['#_Household passed]]/WWWW[[#This Row],['#_Household water samples tested for fecal coliform]],"no test")</f>
        <v>no test</v>
      </c>
      <c r="CG369" s="930" t="str">
        <f>IF(AND(WWWW[[#This Row],[% of water sources passed]]="no test",WWWW[[#This Row],[% Household passed]]="no test"),"No Test","Tested")</f>
        <v>Tested</v>
      </c>
      <c r="CH369" s="930">
        <f>WWWW[[#This Row],['#_Constructed/existing protected hand dug well]]-WWWW[[#This Row],['#_Non-functional protected hand dug well]]</f>
        <v>0</v>
      </c>
      <c r="CI369" s="930">
        <f>(WWWW[[#This Row],['#_Constructed/Existing tube wells/boreholes/handpumps_WASH_agency]]+WWWW[[#This Row],['#_Non-Cluster partner water tube-wells/boreholes/handpumps]])-WWWW[[#This Row],['#_Non-functional tube wells/boreholes/handpumps]]</f>
        <v>2</v>
      </c>
      <c r="CJ369" s="930">
        <f>WWWW[[#This Row],['#_Constructed/Existingwater storage tank with gravity fed reticulation system]]-WWWW[[#This Row],['#_Non-functional storage tank gravity fed reticulation system]]</f>
        <v>0</v>
      </c>
      <c r="CK369" s="930">
        <f>(WWWW[[#This Row],['#_Water_Liters_supplied_by_Water boating or water trucking]]/90)/15</f>
        <v>0</v>
      </c>
      <c r="CL369" s="930">
        <f>WWWW[[#This Row],['#_Water_Liters_from_Constructed/Existing water distribution system from river or natural spring]]/90/15</f>
        <v>0</v>
      </c>
      <c r="CM369" s="425">
        <f>IF(WWWW[[#This Row],['#_of water points in TLS/CFS]]*500&gt;WWWW[[#This Row],[Total PoP ]],WWWW[[#This Row],[Total PoP ]],WWWW[[#This Row],['#_of water points in TLS/CFS]]*500)</f>
        <v>0</v>
      </c>
      <c r="CN369" s="425">
        <f>IF(WWWW[[#This Row],['#_of water points in THF]]*500&gt;WWWW[[#This Row],[Total PoP ]],WWWW[[#This Row],[Total PoP ]],WWWW[[#This Row],['#_of water points in THF]]*500)</f>
        <v>0</v>
      </c>
      <c r="CO36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6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69" s="929">
        <f>IF(WWWW[[#This Row],[Location Type 1]]="Village",WWWW[[#This Row],[Access to safe drinking water for Village]],WWWW[[#This Row],[Access to safe drinking water for Camp]])</f>
        <v>1</v>
      </c>
      <c r="CR369" s="927">
        <f>WWWW[[#This Row],[%Equitable and continuous access to sufficient quantity of safe drinking water]]*WWWW[[#This Row],[Total PoP ]]</f>
        <v>222</v>
      </c>
      <c r="CS369" s="929">
        <f>IF((WWWW[[#This Row],['#_Constructed/Existing protected/fenced ponds]]*250)/WWWW[[#This Row],[Total PoP ]]&gt;1,1,(WWWW[[#This Row],['#_Constructed/Existing protected/fenced ponds]]*250)/WWWW[[#This Row],[Total PoP ]])</f>
        <v>0</v>
      </c>
      <c r="CT369" s="927">
        <f>WWWW[[#This Row],[% Access to unimproved water points]]*WWWW[[#This Row],[Total PoP ]]</f>
        <v>0</v>
      </c>
      <c r="CU36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6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W369" s="927">
        <f>WWWW[[#This Row],[HRP1]]/500</f>
        <v>0.44400000000000001</v>
      </c>
      <c r="CX369" s="932">
        <f>1-WWWW[[#This Row],[% Equitable and continuous access to sufficient quantity of domestic water]]</f>
        <v>0</v>
      </c>
      <c r="CY369" s="927">
        <f>WWWW[[#This Row],[%equitable and continuous access to sufficient quantity of safe drinking and domestic water''s GAP]]*WWWW[[#This Row],[Total PoP ]]</f>
        <v>0</v>
      </c>
      <c r="CZ369" s="930">
        <f>IF(WWWW[[#This Row],[Total required water points]]-WWWW[[#This Row],['#Water points coverage]]&lt;0,0,WWWW[[#This Row],[Total required water points]]-WWWW[[#This Row],['#Water points coverage]])</f>
        <v>0.55600000000000005</v>
      </c>
      <c r="DA369" s="930">
        <f>ROUND(IF(WWWW[[#This Row],[Total PoP ]]&lt;500,1,WWWW[[#This Row],[Total PoP ]]/500),0)</f>
        <v>1</v>
      </c>
      <c r="DB369" s="930">
        <f>(WWWW[[#This Row],['#_Constructed latrines_by_WASHAgencies]]+WWWW[[#This Row],['#_Non Cluster partner latrines]])-WWWW[[#This Row],['#_Non-functional latrines]]</f>
        <v>7</v>
      </c>
      <c r="DC369" s="634">
        <f>WWWW[[#This Row],[HRP2]]/WWWW[[#This Row],[Total PoP ]]</f>
        <v>0.63063063063063063</v>
      </c>
      <c r="DD36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140</v>
      </c>
      <c r="DE36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140</v>
      </c>
      <c r="DF36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69" s="425">
        <f>IF(WWWW[[#This Row],['# of functional latrines in THF supported by WASH partners during the reporting period2]]="",0,WWWW[[#This Row],['# of functional latrines in THF supported by WASH partners during the reporting period2]]*50)</f>
        <v>0</v>
      </c>
      <c r="DH369" s="930">
        <f>ROUND(IF(WWWW[[#This Row],[Location Type 1]]="camp",WWWW[[#This Row],[Total PoP ]]/20,IF(WWWW[[#This Row],[Location Type 1]]="Temporary Location",WWWW[[#This Row],[Total PoP ]]/50,(WWWW[[#This Row],[Total PoP ]]/6))),0)</f>
        <v>11</v>
      </c>
      <c r="DI369" s="930">
        <f>IF(WWWW[[#This Row],[Total required Latrines]]-(WWWW[[#This Row],['#_Constructed latrines_by_WASHAgencies]]+WWWW[[#This Row],['#_Non Cluster partner latrines]])&lt;0,0,WWWW[[#This Row],[Total required Latrines]]-(WWWW[[#This Row],['#_Constructed latrines_by_WASHAgencies]]+WWWW[[#This Row],['#_Non Cluster partner latrines]]))</f>
        <v>4</v>
      </c>
      <c r="DJ369" s="932">
        <f>1-WWWW[[#This Row],[% people access to functioning Latrine]]</f>
        <v>0.36936936936936937</v>
      </c>
      <c r="DK369" s="931">
        <f>IF(OR(WWWW[[#This Row],['#_Non-functional latrines]]="",WWWW[[#This Row],['#_Non-functional latrines]]=0),0,WWWW[[#This Row],['#_Non-functional latrines]]/(WWWW[[#This Row],['#_Constructed latrines_by_WASHAgencies]]+WWWW[[#This Row],['#_Non Cluster partner latrines]]))</f>
        <v>0</v>
      </c>
      <c r="DL369" s="927">
        <f>IF(500*(WWWW[[#This Row],['#_male hygiene promoters]]+WWWW[[#This Row],['#_female hygiene promoters]])&gt;WWWW[[#This Row],[Total PoP ]],WWWW[[#This Row],[Total PoP ]],500*(WWWW[[#This Row],['#_male hygiene promoters]]+WWWW[[#This Row],['#_female hygiene promoters]]))</f>
        <v>0</v>
      </c>
      <c r="DM36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6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69" s="930">
        <f>IF(WWWW[[#This Row],['# People with access to soap]]&gt;WWWW[[#This Row],['# People with access to Sanity Pads]],WWWW[[#This Row],['# People with access to soap]],WWWW[[#This Row],['# People with access to Sanity Pads]])</f>
        <v>0</v>
      </c>
      <c r="DP36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69" s="932">
        <f>IF(WWWW[[#This Row],[HRP3]]/WWWW[[#This Row],[Total PoP ]]&gt;1,1,WWWW[[#This Row],[HRP3]]/WWWW[[#This Row],[Total PoP ]])</f>
        <v>0</v>
      </c>
      <c r="DR369" s="931">
        <f>1-WWWW[[#This Row],[Hygiene Coverage%]]</f>
        <v>1</v>
      </c>
      <c r="DS369" s="929">
        <f>WWWW[[#This Row],['# people reached by regular dedicated hygiene promotion_5]]/WWWW[[#This Row],[Total PoP ]]</f>
        <v>0</v>
      </c>
      <c r="DT36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6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69" s="930">
        <f>WWWW[[#This Row],['#_Constructed/Existing hand washing stations]]-WWWW[[#This Row],['#_Non-Functional_hand_washing_stations]]</f>
        <v>0</v>
      </c>
      <c r="DW369" s="927">
        <f>IF(WWWW[[#This Row],['# Functional hand washing stations during reporting period]]*20&gt;WWWW[[#This Row],[Total HH]],WWWW[[#This Row],[Total HH]],WWWW[[#This Row],['# Functional hand washing stations during reporting period]]*20)</f>
        <v>0</v>
      </c>
      <c r="DX369" s="927">
        <f>IF(WWWW[[#This Row],[Is sufficient soap available for TLS? (Yes/No)]]="yes",WWWW[[#This Row],['#_Constructed/Existing hand washing stations at TLS/CFS/THF]],0)</f>
        <v>0</v>
      </c>
      <c r="DY369" s="429">
        <f>IF(WWWW[[#This Row],['# Functional hand washing stations during reporting period]]*100&gt;WWWW[[#This Row],[Total PoP ]],WWWW[[#This Row],[Total PoP ]],WWWW[[#This Row],['# Functional hand washing stations during reporting period]]*100)</f>
        <v>0</v>
      </c>
      <c r="DZ369" s="429" t="str">
        <f>IF(OR(WWWW[[#This Row],['#_students at TLS_CFS]]="",WWWW[[#This Row],['#_students at TLS_CFS]]=0),"No","Yes")</f>
        <v>No</v>
      </c>
      <c r="EA36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6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9</v>
      </c>
      <c r="EC36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6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69" s="923" t="str">
        <f>VLOOKUP(WWWW[[#This Row],[Site Name]],SiteDB6[[Site Name]:[CCCM Management]],6,FALSE)</f>
        <v>Yes</v>
      </c>
      <c r="EF369" s="923" t="str">
        <f>VLOOKUP(WWWW[[#This Row],[Site Name]],SiteDB6[[Site Name]:[CCCM Focal Agency]],7,FALSE)</f>
        <v>KBC-BMO</v>
      </c>
      <c r="EG369" s="923" t="str">
        <f>VLOOKUP(WWWW[[#This Row],[Site Name]],SiteDB6[[Site Name]:[Location Type 1]],9,FALSE)</f>
        <v>Camp</v>
      </c>
      <c r="EH369" s="923" t="str">
        <f>VLOOKUP(WWWW[[#This Row],[Site Name]],SiteDB6[[Site Name]:[Type of Accommodation]],10,FALSE)</f>
        <v>Camp</v>
      </c>
      <c r="EI369" s="923" t="str">
        <f>VLOOKUP(WWWW[[#This Row],[Site Name]],SiteDB6[[Site Name]:[Ethnic or GCA/NGCA]],11,FALSE)</f>
        <v>GCA</v>
      </c>
      <c r="EJ369" s="923">
        <f>VLOOKUP(WWWW[[#This Row],[Site Name]],SiteDB6[[Site Name]:[Lat]],12,FALSE)</f>
        <v>24.24766</v>
      </c>
      <c r="EK369" s="923">
        <f>VLOOKUP(WWWW[[#This Row],[Site Name]],SiteDB6[[Site Name]:[Long]],13,FALSE)</f>
        <v>97.236919999999998</v>
      </c>
      <c r="EL369" s="923" t="str">
        <f>VLOOKUP(WWWW[[#This Row],[Site Name]],SiteDB6[[Site Name]:[Pcode]],3,FALSE)</f>
        <v>MMR001CMP052</v>
      </c>
      <c r="EM369" s="928" t="str">
        <f t="shared" si="5"/>
        <v>Covered</v>
      </c>
      <c r="EN369" s="928"/>
      <c r="EO369" s="923">
        <f>VLOOKUP(WWWW[[#This Row],[Site Name]],SiteDB6[[Site Name]:[Pop
(Kachin/Shan-CCCM as of July 2021)]],16,FALSE)</f>
        <v>37</v>
      </c>
      <c r="EP369" s="923">
        <f>VLOOKUP(WWWW[[#This Row],[Site Name]],SiteDB6[[Site Name]:[Pop
(Kachin/Shan-CCCM as of July 2021)]],17,FALSE)</f>
        <v>226</v>
      </c>
    </row>
    <row r="370" spans="1:146">
      <c r="A370" s="921" t="s">
        <v>2786</v>
      </c>
      <c r="B370" s="921" t="s">
        <v>276</v>
      </c>
      <c r="C370" s="922" t="s">
        <v>276</v>
      </c>
      <c r="D370" s="922" t="s">
        <v>3061</v>
      </c>
      <c r="E370" s="922" t="s">
        <v>37</v>
      </c>
      <c r="F370" s="922" t="s">
        <v>195</v>
      </c>
      <c r="G370" s="594" t="str">
        <f>VLOOKUP(WWWW[[#This Row],[Site Name]],SiteDB6[[Site Name]:[Location Type]],8,FALSE)</f>
        <v>Camp</v>
      </c>
      <c r="H370" s="922" t="s">
        <v>200</v>
      </c>
      <c r="I370" s="924">
        <v>122</v>
      </c>
      <c r="J370" s="924">
        <v>689</v>
      </c>
      <c r="K370" s="925">
        <v>44652</v>
      </c>
      <c r="L370" s="926">
        <v>44895</v>
      </c>
      <c r="M370" s="924"/>
      <c r="N370" s="924"/>
      <c r="O370" s="924"/>
      <c r="P370" s="924"/>
      <c r="Q370" s="927" t="s">
        <v>41</v>
      </c>
      <c r="R370" s="924">
        <v>1</v>
      </c>
      <c r="S370" s="924">
        <v>4</v>
      </c>
      <c r="T370" s="449">
        <v>3</v>
      </c>
      <c r="U370" s="924"/>
      <c r="V370" s="924"/>
      <c r="W370" s="924">
        <v>2</v>
      </c>
      <c r="X370" s="924"/>
      <c r="Y370" s="924"/>
      <c r="Z370" s="924"/>
      <c r="AA370" s="924"/>
      <c r="AB370" s="924"/>
      <c r="AC370" s="924"/>
      <c r="AD370" s="924"/>
      <c r="AE370" s="924"/>
      <c r="AF370" s="924"/>
      <c r="AG370" s="924"/>
      <c r="AH370" s="924"/>
      <c r="AI370" s="924">
        <v>5</v>
      </c>
      <c r="AJ370" s="924">
        <v>5</v>
      </c>
      <c r="AK370" s="924"/>
      <c r="AL370" s="924"/>
      <c r="AM370" s="924"/>
      <c r="AN370" s="924"/>
      <c r="AO370" s="449"/>
      <c r="AP370" s="928"/>
      <c r="AQ370" s="924">
        <v>23</v>
      </c>
      <c r="AR370" s="924"/>
      <c r="AS370" s="929"/>
      <c r="AT370" s="924"/>
      <c r="AU370" s="924"/>
      <c r="AV370" s="924">
        <v>23</v>
      </c>
      <c r="AW370" s="924">
        <v>45</v>
      </c>
      <c r="AX370" s="924"/>
      <c r="AY370" s="923" t="s">
        <v>41</v>
      </c>
      <c r="AZ370" s="928" t="s">
        <v>137</v>
      </c>
      <c r="BA370" s="924"/>
      <c r="BB370" s="924"/>
      <c r="BC370" s="924"/>
      <c r="BD370" s="449"/>
      <c r="BE370" s="449"/>
      <c r="BF370" s="923"/>
      <c r="BG370" s="924">
        <v>6</v>
      </c>
      <c r="BH370" s="924"/>
      <c r="BI370" s="924"/>
      <c r="BJ370" s="924">
        <v>7</v>
      </c>
      <c r="BK370" s="924"/>
      <c r="BL370" s="924"/>
      <c r="BM370" s="924"/>
      <c r="BN370" s="924"/>
      <c r="BO370" s="924"/>
      <c r="BP370" s="923"/>
      <c r="BQ370" s="930"/>
      <c r="BR370" s="929"/>
      <c r="BS370" s="923"/>
      <c r="BT370" s="424"/>
      <c r="BU370" s="424"/>
      <c r="BV370" s="426"/>
      <c r="BW370" s="424">
        <v>0</v>
      </c>
      <c r="BX370" s="449"/>
      <c r="BY370" s="449">
        <v>23</v>
      </c>
      <c r="BZ370" s="449">
        <v>7</v>
      </c>
      <c r="CA370" s="449"/>
      <c r="CB370" s="449"/>
      <c r="CC370" s="807"/>
      <c r="CD370" s="449"/>
      <c r="CE370" s="931">
        <f>IFERROR(WWWW[[#This Row],['#_Water sources passed]]/WWWW[[#This Row],['#_Water sources tested for fecal coliform ]],"no test")</f>
        <v>1</v>
      </c>
      <c r="CF370" s="929" t="str">
        <f>IFERROR(WWWW[[#This Row],['#_Household passed]]/WWWW[[#This Row],['#_Household water samples tested for fecal coliform]],"no test")</f>
        <v>no test</v>
      </c>
      <c r="CG370" s="930" t="str">
        <f>IF(AND(WWWW[[#This Row],[% of water sources passed]]="no test",WWWW[[#This Row],[% Household passed]]="no test"),"No Test","Tested")</f>
        <v>Tested</v>
      </c>
      <c r="CH370" s="930">
        <f>WWWW[[#This Row],['#_Constructed/existing protected hand dug well]]-WWWW[[#This Row],['#_Non-functional protected hand dug well]]</f>
        <v>3</v>
      </c>
      <c r="CI370" s="930">
        <f>(WWWW[[#This Row],['#_Constructed/Existing tube wells/boreholes/handpumps_WASH_agency]]+WWWW[[#This Row],['#_Non-Cluster partner water tube-wells/boreholes/handpumps]])-WWWW[[#This Row],['#_Non-functional tube wells/boreholes/handpumps]]</f>
        <v>2</v>
      </c>
      <c r="CJ370" s="930">
        <f>WWWW[[#This Row],['#_Constructed/Existingwater storage tank with gravity fed reticulation system]]-WWWW[[#This Row],['#_Non-functional storage tank gravity fed reticulation system]]</f>
        <v>0</v>
      </c>
      <c r="CK370" s="930">
        <f>(WWWW[[#This Row],['#_Water_Liters_supplied_by_Water boating or water trucking]]/90)/15</f>
        <v>0</v>
      </c>
      <c r="CL370" s="930">
        <f>WWWW[[#This Row],['#_Water_Liters_from_Constructed/Existing water distribution system from river or natural spring]]/90/15</f>
        <v>0</v>
      </c>
      <c r="CM370" s="425">
        <f>IF(WWWW[[#This Row],['#_of water points in TLS/CFS]]*500&gt;WWWW[[#This Row],[Total PoP ]],WWWW[[#This Row],[Total PoP ]],WWWW[[#This Row],['#_of water points in TLS/CFS]]*500)</f>
        <v>0</v>
      </c>
      <c r="CN370" s="425">
        <f>IF(WWWW[[#This Row],['#_of water points in THF]]*500&gt;WWWW[[#This Row],[Total PoP ]],WWWW[[#This Row],[Total PoP ]],WWWW[[#This Row],['#_of water points in THF]]*500)</f>
        <v>0</v>
      </c>
      <c r="CO37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0" s="929">
        <f>IF(WWWW[[#This Row],[Location Type 1]]="Village",WWWW[[#This Row],[Access to safe drinking water for Village]],WWWW[[#This Row],[Access to safe drinking water for Camp]])</f>
        <v>1</v>
      </c>
      <c r="CR370" s="927">
        <f>WWWW[[#This Row],[%Equitable and continuous access to sufficient quantity of safe drinking water]]*WWWW[[#This Row],[Total PoP ]]</f>
        <v>689</v>
      </c>
      <c r="CS370" s="929">
        <f>IF((WWWW[[#This Row],['#_Constructed/Existing protected/fenced ponds]]*250)/WWWW[[#This Row],[Total PoP ]]&gt;1,1,(WWWW[[#This Row],['#_Constructed/Existing protected/fenced ponds]]*250)/WWWW[[#This Row],[Total PoP ]])</f>
        <v>0</v>
      </c>
      <c r="CT370" s="927">
        <f>WWWW[[#This Row],[% Access to unimproved water points]]*WWWW[[#This Row],[Total PoP ]]</f>
        <v>0</v>
      </c>
      <c r="CU37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689</v>
      </c>
      <c r="CW370" s="927">
        <f>WWWW[[#This Row],[HRP1]]/500</f>
        <v>1.3779999999999999</v>
      </c>
      <c r="CX370" s="932">
        <f>1-WWWW[[#This Row],[% Equitable and continuous access to sufficient quantity of domestic water]]</f>
        <v>0</v>
      </c>
      <c r="CY370" s="927">
        <f>WWWW[[#This Row],[%equitable and continuous access to sufficient quantity of safe drinking and domestic water''s GAP]]*WWWW[[#This Row],[Total PoP ]]</f>
        <v>0</v>
      </c>
      <c r="CZ370" s="930">
        <f>IF(WWWW[[#This Row],[Total required water points]]-WWWW[[#This Row],['#Water points coverage]]&lt;0,0,WWWW[[#This Row],[Total required water points]]-WWWW[[#This Row],['#Water points coverage]])</f>
        <v>0</v>
      </c>
      <c r="DA370" s="930">
        <f>ROUND(IF(WWWW[[#This Row],[Total PoP ]]&lt;500,1,WWWW[[#This Row],[Total PoP ]]/500),0)</f>
        <v>1</v>
      </c>
      <c r="DB370" s="930">
        <f>(WWWW[[#This Row],['#_Constructed latrines_by_WASHAgencies]]+WWWW[[#This Row],['#_Non Cluster partner latrines]])-WWWW[[#This Row],['#_Non-functional latrines]]</f>
        <v>23</v>
      </c>
      <c r="DC370" s="634">
        <f>WWWW[[#This Row],[HRP2]]/WWWW[[#This Row],[Total PoP ]]</f>
        <v>0.66763425253991293</v>
      </c>
      <c r="DD37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460</v>
      </c>
      <c r="DE37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460</v>
      </c>
      <c r="DF37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0" s="425">
        <f>IF(WWWW[[#This Row],['# of functional latrines in THF supported by WASH partners during the reporting period2]]="",0,WWWW[[#This Row],['# of functional latrines in THF supported by WASH partners during the reporting period2]]*50)</f>
        <v>0</v>
      </c>
      <c r="DH370" s="930">
        <f>ROUND(IF(WWWW[[#This Row],[Location Type 1]]="camp",WWWW[[#This Row],[Total PoP ]]/20,IF(WWWW[[#This Row],[Location Type 1]]="Temporary Location",WWWW[[#This Row],[Total PoP ]]/50,(WWWW[[#This Row],[Total PoP ]]/6))),0)</f>
        <v>34</v>
      </c>
      <c r="DI370" s="930">
        <f>IF(WWWW[[#This Row],[Total required Latrines]]-(WWWW[[#This Row],['#_Constructed latrines_by_WASHAgencies]]+WWWW[[#This Row],['#_Non Cluster partner latrines]])&lt;0,0,WWWW[[#This Row],[Total required Latrines]]-(WWWW[[#This Row],['#_Constructed latrines_by_WASHAgencies]]+WWWW[[#This Row],['#_Non Cluster partner latrines]]))</f>
        <v>11</v>
      </c>
      <c r="DJ370" s="932">
        <f>1-WWWW[[#This Row],[% people access to functioning Latrine]]</f>
        <v>0.33236574746008707</v>
      </c>
      <c r="DK370" s="931">
        <f>IF(OR(WWWW[[#This Row],['#_Non-functional latrines]]="",WWWW[[#This Row],['#_Non-functional latrines]]=0),0,WWWW[[#This Row],['#_Non-functional latrines]]/(WWWW[[#This Row],['#_Constructed latrines_by_WASHAgencies]]+WWWW[[#This Row],['#_Non Cluster partner latrines]]))</f>
        <v>0</v>
      </c>
      <c r="DL370" s="927">
        <f>IF(500*(WWWW[[#This Row],['#_male hygiene promoters]]+WWWW[[#This Row],['#_female hygiene promoters]])&gt;WWWW[[#This Row],[Total PoP ]],WWWW[[#This Row],[Total PoP ]],500*(WWWW[[#This Row],['#_male hygiene promoters]]+WWWW[[#This Row],['#_female hygiene promoters]]))</f>
        <v>0</v>
      </c>
      <c r="DM37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0" s="930">
        <f>IF(WWWW[[#This Row],['# People with access to soap]]&gt;WWWW[[#This Row],['# People with access to Sanity Pads]],WWWW[[#This Row],['# People with access to soap]],WWWW[[#This Row],['# People with access to Sanity Pads]])</f>
        <v>0</v>
      </c>
      <c r="DP370"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0" s="932">
        <f>IF(WWWW[[#This Row],[HRP3]]/WWWW[[#This Row],[Total PoP ]]&gt;1,1,WWWW[[#This Row],[HRP3]]/WWWW[[#This Row],[Total PoP ]])</f>
        <v>0</v>
      </c>
      <c r="DR370" s="931">
        <f>1-WWWW[[#This Row],[Hygiene Coverage%]]</f>
        <v>1</v>
      </c>
      <c r="DS370" s="929">
        <f>WWWW[[#This Row],['# people reached by regular dedicated hygiene promotion_5]]/WWWW[[#This Row],[Total PoP ]]</f>
        <v>0</v>
      </c>
      <c r="DT37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0" s="930">
        <f>WWWW[[#This Row],['#_Constructed/Existing hand washing stations]]-WWWW[[#This Row],['#_Non-Functional_hand_washing_stations]]</f>
        <v>6</v>
      </c>
      <c r="DW370" s="927">
        <f>IF(WWWW[[#This Row],['# Functional hand washing stations during reporting period]]*20&gt;WWWW[[#This Row],[Total HH]],WWWW[[#This Row],[Total HH]],WWWW[[#This Row],['# Functional hand washing stations during reporting period]]*20)</f>
        <v>120</v>
      </c>
      <c r="DX370" s="927">
        <f>IF(WWWW[[#This Row],[Is sufficient soap available for TLS? (Yes/No)]]="yes",WWWW[[#This Row],['#_Constructed/Existing hand washing stations at TLS/CFS/THF]],0)</f>
        <v>0</v>
      </c>
      <c r="DY370" s="429">
        <f>IF(WWWW[[#This Row],['# Functional hand washing stations during reporting period]]*100&gt;WWWW[[#This Row],[Total PoP ]],WWWW[[#This Row],[Total PoP ]],WWWW[[#This Row],['# Functional hand washing stations during reporting period]]*100)</f>
        <v>600</v>
      </c>
      <c r="DZ370" s="429" t="str">
        <f>IF(OR(WWWW[[#This Row],['#_students at TLS_CFS]]="",WWWW[[#This Row],['#_students at TLS_CFS]]=0),"No","Yes")</f>
        <v>No</v>
      </c>
      <c r="EA370"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30</v>
      </c>
      <c r="EC37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0" s="923" t="str">
        <f>VLOOKUP(WWWW[[#This Row],[Site Name]],SiteDB6[[Site Name]:[CCCM Management]],6,FALSE)</f>
        <v>Yes</v>
      </c>
      <c r="EF370" s="923" t="str">
        <f>VLOOKUP(WWWW[[#This Row],[Site Name]],SiteDB6[[Site Name]:[CCCM Focal Agency]],7,FALSE)</f>
        <v>Shalom</v>
      </c>
      <c r="EG370" s="923" t="str">
        <f>VLOOKUP(WWWW[[#This Row],[Site Name]],SiteDB6[[Site Name]:[Location Type 1]],9,FALSE)</f>
        <v>Camp</v>
      </c>
      <c r="EH370" s="923" t="str">
        <f>VLOOKUP(WWWW[[#This Row],[Site Name]],SiteDB6[[Site Name]:[Type of Accommodation]],10,FALSE)</f>
        <v>Camp</v>
      </c>
      <c r="EI370" s="923" t="str">
        <f>VLOOKUP(WWWW[[#This Row],[Site Name]],SiteDB6[[Site Name]:[Ethnic or GCA/NGCA]],11,FALSE)</f>
        <v>GCA</v>
      </c>
      <c r="EJ370" s="923">
        <f>VLOOKUP(WWWW[[#This Row],[Site Name]],SiteDB6[[Site Name]:[Lat]],12,FALSE)</f>
        <v>24.2631743589744</v>
      </c>
      <c r="EK370" s="923">
        <f>VLOOKUP(WWWW[[#This Row],[Site Name]],SiteDB6[[Site Name]:[Long]],13,FALSE)</f>
        <v>97.240183461538507</v>
      </c>
      <c r="EL370" s="923" t="str">
        <f>VLOOKUP(WWWW[[#This Row],[Site Name]],SiteDB6[[Site Name]:[Pcode]],3,FALSE)</f>
        <v>MMR001CMP049</v>
      </c>
      <c r="EM370" s="928" t="str">
        <f t="shared" si="5"/>
        <v>Covered</v>
      </c>
      <c r="EN370" s="928"/>
      <c r="EO370" s="923">
        <f>VLOOKUP(WWWW[[#This Row],[Site Name]],SiteDB6[[Site Name]:[Pop
(Kachin/Shan-CCCM as of July 2021)]],16,FALSE)</f>
        <v>134</v>
      </c>
      <c r="EP370" s="923">
        <f>VLOOKUP(WWWW[[#This Row],[Site Name]],SiteDB6[[Site Name]:[Pop
(Kachin/Shan-CCCM as of July 2021)]],17,FALSE)</f>
        <v>767</v>
      </c>
    </row>
    <row r="371" spans="1:146">
      <c r="A371" s="921" t="s">
        <v>2786</v>
      </c>
      <c r="B371" s="921" t="s">
        <v>276</v>
      </c>
      <c r="C371" s="922" t="s">
        <v>276</v>
      </c>
      <c r="D371" s="922" t="s">
        <v>3061</v>
      </c>
      <c r="E371" s="922" t="s">
        <v>37</v>
      </c>
      <c r="F371" s="922" t="s">
        <v>195</v>
      </c>
      <c r="G371" s="594" t="str">
        <f>VLOOKUP(WWWW[[#This Row],[Site Name]],SiteDB6[[Site Name]:[Location Type]],8,FALSE)</f>
        <v>Camp</v>
      </c>
      <c r="H371" s="922" t="s">
        <v>2795</v>
      </c>
      <c r="I371" s="924">
        <v>40</v>
      </c>
      <c r="J371" s="924">
        <v>168</v>
      </c>
      <c r="K371" s="925">
        <v>44652</v>
      </c>
      <c r="L371" s="926">
        <v>44895</v>
      </c>
      <c r="M371" s="924"/>
      <c r="N371" s="924"/>
      <c r="O371" s="924"/>
      <c r="P371" s="924"/>
      <c r="Q371" s="927" t="s">
        <v>41</v>
      </c>
      <c r="R371" s="924">
        <v>4</v>
      </c>
      <c r="S371" s="924">
        <v>4</v>
      </c>
      <c r="T371" s="449">
        <v>1</v>
      </c>
      <c r="U371" s="924"/>
      <c r="V371" s="924"/>
      <c r="W371" s="924">
        <v>1</v>
      </c>
      <c r="X371" s="924"/>
      <c r="Y371" s="924"/>
      <c r="Z371" s="924"/>
      <c r="AA371" s="924"/>
      <c r="AB371" s="924"/>
      <c r="AC371" s="924"/>
      <c r="AD371" s="924"/>
      <c r="AE371" s="924"/>
      <c r="AF371" s="924"/>
      <c r="AG371" s="924"/>
      <c r="AH371" s="924"/>
      <c r="AI371" s="924">
        <v>2</v>
      </c>
      <c r="AJ371" s="924">
        <v>2</v>
      </c>
      <c r="AK371" s="924">
        <v>3</v>
      </c>
      <c r="AL371" s="924">
        <v>1</v>
      </c>
      <c r="AM371" s="924"/>
      <c r="AN371" s="924"/>
      <c r="AO371" s="449"/>
      <c r="AP371" s="928" t="s">
        <v>3062</v>
      </c>
      <c r="AQ371" s="924">
        <v>7</v>
      </c>
      <c r="AR371" s="924"/>
      <c r="AS371" s="929"/>
      <c r="AT371" s="924"/>
      <c r="AU371" s="924"/>
      <c r="AV371" s="924">
        <v>3</v>
      </c>
      <c r="AW371" s="924">
        <v>4</v>
      </c>
      <c r="AX371" s="924"/>
      <c r="AY371" s="923" t="s">
        <v>41</v>
      </c>
      <c r="AZ371" s="928" t="s">
        <v>137</v>
      </c>
      <c r="BA371" s="924"/>
      <c r="BB371" s="924"/>
      <c r="BC371" s="924"/>
      <c r="BD371" s="449"/>
      <c r="BE371" s="449">
        <v>7</v>
      </c>
      <c r="BF371" s="923"/>
      <c r="BG371" s="924">
        <v>9</v>
      </c>
      <c r="BH371" s="924"/>
      <c r="BI371" s="924"/>
      <c r="BJ371" s="924">
        <v>2</v>
      </c>
      <c r="BK371" s="924"/>
      <c r="BL371" s="924"/>
      <c r="BM371" s="924"/>
      <c r="BN371" s="924">
        <v>40</v>
      </c>
      <c r="BO371" s="924">
        <v>64</v>
      </c>
      <c r="BP371" s="923"/>
      <c r="BQ371" s="930"/>
      <c r="BR371" s="929"/>
      <c r="BS371" s="923"/>
      <c r="BT371" s="424"/>
      <c r="BU371" s="424"/>
      <c r="BV371" s="426"/>
      <c r="BW371" s="424">
        <v>0</v>
      </c>
      <c r="BX371" s="449"/>
      <c r="BY371" s="449">
        <v>9</v>
      </c>
      <c r="BZ371" s="449">
        <v>2</v>
      </c>
      <c r="CA371" s="449"/>
      <c r="CB371" s="449"/>
      <c r="CC371" s="807"/>
      <c r="CD371" s="449"/>
      <c r="CE371" s="931">
        <f>IFERROR(WWWW[[#This Row],['#_Water sources passed]]/WWWW[[#This Row],['#_Water sources tested for fecal coliform ]],"no test")</f>
        <v>1</v>
      </c>
      <c r="CF371" s="929">
        <f>IFERROR(WWWW[[#This Row],['#_Household passed]]/WWWW[[#This Row],['#_Household water samples tested for fecal coliform]],"no test")</f>
        <v>0.33333333333333331</v>
      </c>
      <c r="CG371" s="930" t="str">
        <f>IF(AND(WWWW[[#This Row],[% of water sources passed]]="no test",WWWW[[#This Row],[% Household passed]]="no test"),"No Test","Tested")</f>
        <v>Tested</v>
      </c>
      <c r="CH371" s="930">
        <f>WWWW[[#This Row],['#_Constructed/existing protected hand dug well]]-WWWW[[#This Row],['#_Non-functional protected hand dug well]]</f>
        <v>1</v>
      </c>
      <c r="CI371" s="930">
        <f>(WWWW[[#This Row],['#_Constructed/Existing tube wells/boreholes/handpumps_WASH_agency]]+WWWW[[#This Row],['#_Non-Cluster partner water tube-wells/boreholes/handpumps]])-WWWW[[#This Row],['#_Non-functional tube wells/boreholes/handpumps]]</f>
        <v>1</v>
      </c>
      <c r="CJ371" s="930">
        <f>WWWW[[#This Row],['#_Constructed/Existingwater storage tank with gravity fed reticulation system]]-WWWW[[#This Row],['#_Non-functional storage tank gravity fed reticulation system]]</f>
        <v>0</v>
      </c>
      <c r="CK371" s="930">
        <f>(WWWW[[#This Row],['#_Water_Liters_supplied_by_Water boating or water trucking]]/90)/15</f>
        <v>0</v>
      </c>
      <c r="CL371" s="930">
        <f>WWWW[[#This Row],['#_Water_Liters_from_Constructed/Existing water distribution system from river or natural spring]]/90/15</f>
        <v>0</v>
      </c>
      <c r="CM371" s="425">
        <f>IF(WWWW[[#This Row],['#_of water points in TLS/CFS]]*500&gt;WWWW[[#This Row],[Total PoP ]],WWWW[[#This Row],[Total PoP ]],WWWW[[#This Row],['#_of water points in TLS/CFS]]*500)</f>
        <v>0</v>
      </c>
      <c r="CN371" s="425">
        <f>IF(WWWW[[#This Row],['#_of water points in THF]]*500&gt;WWWW[[#This Row],[Total PoP ]],WWWW[[#This Row],[Total PoP ]],WWWW[[#This Row],['#_of water points in THF]]*500)</f>
        <v>0</v>
      </c>
      <c r="CO37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1" s="929">
        <f>IF(WWWW[[#This Row],[Location Type 1]]="Village",WWWW[[#This Row],[Access to safe drinking water for Village]],WWWW[[#This Row],[Access to safe drinking water for Camp]])</f>
        <v>1</v>
      </c>
      <c r="CR371" s="927">
        <f>WWWW[[#This Row],[%Equitable and continuous access to sufficient quantity of safe drinking water]]*WWWW[[#This Row],[Total PoP ]]</f>
        <v>168</v>
      </c>
      <c r="CS371" s="929">
        <f>IF((WWWW[[#This Row],['#_Constructed/Existing protected/fenced ponds]]*250)/WWWW[[#This Row],[Total PoP ]]&gt;1,1,(WWWW[[#This Row],['#_Constructed/Existing protected/fenced ponds]]*250)/WWWW[[#This Row],[Total PoP ]])</f>
        <v>0</v>
      </c>
      <c r="CT371" s="927">
        <f>WWWW[[#This Row],[% Access to unimproved water points]]*WWWW[[#This Row],[Total PoP ]]</f>
        <v>0</v>
      </c>
      <c r="CU37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168</v>
      </c>
      <c r="CW371" s="927">
        <f>WWWW[[#This Row],[HRP1]]/500</f>
        <v>0.33600000000000002</v>
      </c>
      <c r="CX371" s="932">
        <f>1-WWWW[[#This Row],[% Equitable and continuous access to sufficient quantity of domestic water]]</f>
        <v>0</v>
      </c>
      <c r="CY371" s="927">
        <f>WWWW[[#This Row],[%equitable and continuous access to sufficient quantity of safe drinking and domestic water''s GAP]]*WWWW[[#This Row],[Total PoP ]]</f>
        <v>0</v>
      </c>
      <c r="CZ371" s="930">
        <f>IF(WWWW[[#This Row],[Total required water points]]-WWWW[[#This Row],['#Water points coverage]]&lt;0,0,WWWW[[#This Row],[Total required water points]]-WWWW[[#This Row],['#Water points coverage]])</f>
        <v>0.66399999999999992</v>
      </c>
      <c r="DA371" s="930">
        <f>ROUND(IF(WWWW[[#This Row],[Total PoP ]]&lt;500,1,WWWW[[#This Row],[Total PoP ]]/500),0)</f>
        <v>1</v>
      </c>
      <c r="DB371" s="930">
        <f>(WWWW[[#This Row],['#_Constructed latrines_by_WASHAgencies]]+WWWW[[#This Row],['#_Non Cluster partner latrines]])-WWWW[[#This Row],['#_Non-functional latrines]]</f>
        <v>7</v>
      </c>
      <c r="DC371" s="634">
        <f>WWWW[[#This Row],[HRP2]]/WWWW[[#This Row],[Total PoP ]]</f>
        <v>0.875</v>
      </c>
      <c r="DD37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147</v>
      </c>
      <c r="DE37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F37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1" s="425">
        <f>IF(WWWW[[#This Row],['# of functional latrines in THF supported by WASH partners during the reporting period2]]="",0,WWWW[[#This Row],['# of functional latrines in THF supported by WASH partners during the reporting period2]]*50)</f>
        <v>0</v>
      </c>
      <c r="DH371" s="930">
        <f>ROUND(IF(WWWW[[#This Row],[Location Type 1]]="camp",WWWW[[#This Row],[Total PoP ]]/20,IF(WWWW[[#This Row],[Location Type 1]]="Temporary Location",WWWW[[#This Row],[Total PoP ]]/50,(WWWW[[#This Row],[Total PoP ]]/6))),0)</f>
        <v>8</v>
      </c>
      <c r="DI371" s="930">
        <f>IF(WWWW[[#This Row],[Total required Latrines]]-(WWWW[[#This Row],['#_Constructed latrines_by_WASHAgencies]]+WWWW[[#This Row],['#_Non Cluster partner latrines]])&lt;0,0,WWWW[[#This Row],[Total required Latrines]]-(WWWW[[#This Row],['#_Constructed latrines_by_WASHAgencies]]+WWWW[[#This Row],['#_Non Cluster partner latrines]]))</f>
        <v>1</v>
      </c>
      <c r="DJ371" s="932">
        <f>1-WWWW[[#This Row],[% people access to functioning Latrine]]</f>
        <v>0.125</v>
      </c>
      <c r="DK371" s="931">
        <f>IF(OR(WWWW[[#This Row],['#_Non-functional latrines]]="",WWWW[[#This Row],['#_Non-functional latrines]]=0),0,WWWW[[#This Row],['#_Non-functional latrines]]/(WWWW[[#This Row],['#_Constructed latrines_by_WASHAgencies]]+WWWW[[#This Row],['#_Non Cluster partner latrines]]))</f>
        <v>0</v>
      </c>
      <c r="DL371" s="927">
        <f>IF(500*(WWWW[[#This Row],['#_male hygiene promoters]]+WWWW[[#This Row],['#_female hygiene promoters]])&gt;WWWW[[#This Row],[Total PoP ]],WWWW[[#This Row],[Total PoP ]],500*(WWWW[[#This Row],['#_male hygiene promoters]]+WWWW[[#This Row],['#_female hygiene promoters]]))</f>
        <v>0</v>
      </c>
      <c r="DM37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168</v>
      </c>
      <c r="DN37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64</v>
      </c>
      <c r="DO371" s="930">
        <f>IF(WWWW[[#This Row],['# People with access to soap]]&gt;WWWW[[#This Row],['# People with access to Sanity Pads]],WWWW[[#This Row],['# People with access to soap]],WWWW[[#This Row],['# People with access to Sanity Pads]])</f>
        <v>168</v>
      </c>
      <c r="DP371" s="930">
        <f>IF(WWWW[[#This Row],['# people reached by regular dedicated hygiene promotion_5]]&gt;WWWW[[#This Row],['# People received regular supply of hygiene items_6]],WWWW[[#This Row],['# people reached by regular dedicated hygiene promotion_5]],WWWW[[#This Row],['# People received regular supply of hygiene items_6]])</f>
        <v>168</v>
      </c>
      <c r="DQ371" s="932">
        <f>IF(WWWW[[#This Row],[HRP3]]/WWWW[[#This Row],[Total PoP ]]&gt;1,1,WWWW[[#This Row],[HRP3]]/WWWW[[#This Row],[Total PoP ]])</f>
        <v>1</v>
      </c>
      <c r="DR371" s="931">
        <f>1-WWWW[[#This Row],[Hygiene Coverage%]]</f>
        <v>0</v>
      </c>
      <c r="DS371" s="929">
        <f>WWWW[[#This Row],['# people reached by regular dedicated hygiene promotion_5]]/WWWW[[#This Row],[Total PoP ]]</f>
        <v>0</v>
      </c>
      <c r="DT37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7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71" s="930">
        <f>WWWW[[#This Row],['#_Constructed/Existing hand washing stations]]-WWWW[[#This Row],['#_Non-Functional_hand_washing_stations]]</f>
        <v>9</v>
      </c>
      <c r="DW371" s="927">
        <f>IF(WWWW[[#This Row],['# Functional hand washing stations during reporting period]]*20&gt;WWWW[[#This Row],[Total HH]],WWWW[[#This Row],[Total HH]],WWWW[[#This Row],['# Functional hand washing stations during reporting period]]*20)</f>
        <v>40</v>
      </c>
      <c r="DX371" s="927">
        <f>IF(WWWW[[#This Row],[Is sufficient soap available for TLS? (Yes/No)]]="yes",WWWW[[#This Row],['#_Constructed/Existing hand washing stations at TLS/CFS/THF]],0)</f>
        <v>0</v>
      </c>
      <c r="DY371" s="429">
        <f>IF(WWWW[[#This Row],['# Functional hand washing stations during reporting period]]*100&gt;WWWW[[#This Row],[Total PoP ]],WWWW[[#This Row],[Total PoP ]],WWWW[[#This Row],['# Functional hand washing stations during reporting period]]*100)</f>
        <v>168</v>
      </c>
      <c r="DZ371" s="429" t="str">
        <f>IF(OR(WWWW[[#This Row],['#_students at TLS_CFS]]="",WWWW[[#This Row],['#_students at TLS_CFS]]=0),"No","Yes")</f>
        <v>No</v>
      </c>
      <c r="EA371"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v>
      </c>
      <c r="EC37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1" s="923">
        <f>VLOOKUP(WWWW[[#This Row],[Site Name]],SiteDB6[[Site Name]:[CCCM Management]],6,FALSE)</f>
        <v>0</v>
      </c>
      <c r="EF371" s="923">
        <f>VLOOKUP(WWWW[[#This Row],[Site Name]],SiteDB6[[Site Name]:[CCCM Focal Agency]],7,FALSE)</f>
        <v>0</v>
      </c>
      <c r="EG371" s="923" t="str">
        <f>VLOOKUP(WWWW[[#This Row],[Site Name]],SiteDB6[[Site Name]:[Location Type 1]],9,FALSE)</f>
        <v>Camp</v>
      </c>
      <c r="EH371" s="923" t="str">
        <f>VLOOKUP(WWWW[[#This Row],[Site Name]],SiteDB6[[Site Name]:[Type of Accommodation]],10,FALSE)</f>
        <v>Camp</v>
      </c>
      <c r="EI371" s="923" t="str">
        <f>VLOOKUP(WWWW[[#This Row],[Site Name]],SiteDB6[[Site Name]:[Ethnic or GCA/NGCA]],11,FALSE)</f>
        <v>GCA</v>
      </c>
      <c r="EJ371" s="923">
        <f>VLOOKUP(WWWW[[#This Row],[Site Name]],SiteDB6[[Site Name]:[Lat]],12,FALSE)</f>
        <v>24.314934000000001</v>
      </c>
      <c r="EK371" s="923">
        <f>VLOOKUP(WWWW[[#This Row],[Site Name]],SiteDB6[[Site Name]:[Long]],13,FALSE)</f>
        <v>97.305190999999994</v>
      </c>
      <c r="EL371" s="923" t="str">
        <f>VLOOKUP(WWWW[[#This Row],[Site Name]],SiteDB6[[Site Name]:[Pcode]],3,FALSE)</f>
        <v>MMR001CMP285</v>
      </c>
      <c r="EM371" s="928" t="str">
        <f t="shared" si="5"/>
        <v>Covered</v>
      </c>
      <c r="EN371" s="928"/>
      <c r="EO371" s="923">
        <f>VLOOKUP(WWWW[[#This Row],[Site Name]],SiteDB6[[Site Name]:[Pop
(Kachin/Shan-CCCM as of July 2021)]],16,FALSE)</f>
        <v>40</v>
      </c>
      <c r="EP371" s="923">
        <f>VLOOKUP(WWWW[[#This Row],[Site Name]],SiteDB6[[Site Name]:[Pop
(Kachin/Shan-CCCM as of July 2021)]],17,FALSE)</f>
        <v>190</v>
      </c>
    </row>
    <row r="372" spans="1:146">
      <c r="A372" s="921" t="s">
        <v>2786</v>
      </c>
      <c r="B372" s="921" t="s">
        <v>276</v>
      </c>
      <c r="C372" s="922" t="s">
        <v>276</v>
      </c>
      <c r="D372" s="922" t="s">
        <v>3061</v>
      </c>
      <c r="E372" s="922" t="s">
        <v>37</v>
      </c>
      <c r="F372" s="922" t="s">
        <v>195</v>
      </c>
      <c r="G372" s="594" t="str">
        <f>VLOOKUP(WWWW[[#This Row],[Site Name]],SiteDB6[[Site Name]:[Location Type]],8,FALSE)</f>
        <v>Camp</v>
      </c>
      <c r="H372" s="922" t="s">
        <v>279</v>
      </c>
      <c r="I372" s="924">
        <v>65</v>
      </c>
      <c r="J372" s="924">
        <v>334</v>
      </c>
      <c r="K372" s="925">
        <v>44652</v>
      </c>
      <c r="L372" s="926">
        <v>44895</v>
      </c>
      <c r="M372" s="924"/>
      <c r="N372" s="924"/>
      <c r="O372" s="924"/>
      <c r="P372" s="924"/>
      <c r="Q372" s="927" t="s">
        <v>41</v>
      </c>
      <c r="R372" s="924">
        <v>2</v>
      </c>
      <c r="S372" s="924">
        <v>4</v>
      </c>
      <c r="T372" s="449">
        <v>1</v>
      </c>
      <c r="U372" s="924"/>
      <c r="V372" s="924"/>
      <c r="W372" s="924">
        <v>2</v>
      </c>
      <c r="X372" s="924"/>
      <c r="Y372" s="924"/>
      <c r="Z372" s="924"/>
      <c r="AA372" s="924"/>
      <c r="AB372" s="924"/>
      <c r="AC372" s="924"/>
      <c r="AD372" s="924"/>
      <c r="AE372" s="924"/>
      <c r="AF372" s="924"/>
      <c r="AG372" s="924"/>
      <c r="AH372" s="924"/>
      <c r="AI372" s="924">
        <v>3</v>
      </c>
      <c r="AJ372" s="924">
        <v>3</v>
      </c>
      <c r="AK372" s="924"/>
      <c r="AL372" s="924"/>
      <c r="AM372" s="924"/>
      <c r="AN372" s="924"/>
      <c r="AO372" s="449"/>
      <c r="AP372" s="928"/>
      <c r="AQ372" s="924">
        <v>33</v>
      </c>
      <c r="AR372" s="924"/>
      <c r="AS372" s="929"/>
      <c r="AT372" s="924"/>
      <c r="AU372" s="924"/>
      <c r="AV372" s="924">
        <v>33</v>
      </c>
      <c r="AW372" s="924">
        <v>28</v>
      </c>
      <c r="AX372" s="924"/>
      <c r="AY372" s="923" t="s">
        <v>41</v>
      </c>
      <c r="AZ372" s="928" t="s">
        <v>137</v>
      </c>
      <c r="BA372" s="924"/>
      <c r="BB372" s="924"/>
      <c r="BC372" s="924"/>
      <c r="BD372" s="449"/>
      <c r="BE372" s="449"/>
      <c r="BF372" s="923"/>
      <c r="BG372" s="924">
        <v>19</v>
      </c>
      <c r="BH372" s="924"/>
      <c r="BI372" s="924"/>
      <c r="BJ372" s="924">
        <v>7</v>
      </c>
      <c r="BK372" s="924"/>
      <c r="BL372" s="924"/>
      <c r="BM372" s="924"/>
      <c r="BN372" s="924"/>
      <c r="BO372" s="924"/>
      <c r="BP372" s="923"/>
      <c r="BQ372" s="930"/>
      <c r="BR372" s="929"/>
      <c r="BS372" s="923"/>
      <c r="BT372" s="424"/>
      <c r="BU372" s="424"/>
      <c r="BV372" s="426"/>
      <c r="BW372" s="424">
        <v>0</v>
      </c>
      <c r="BX372" s="449"/>
      <c r="BY372" s="449">
        <v>33</v>
      </c>
      <c r="BZ372" s="449">
        <v>7</v>
      </c>
      <c r="CA372" s="449"/>
      <c r="CB372" s="449"/>
      <c r="CC372" s="807"/>
      <c r="CD372" s="449"/>
      <c r="CE372" s="931">
        <f>IFERROR(WWWW[[#This Row],['#_Water sources passed]]/WWWW[[#This Row],['#_Water sources tested for fecal coliform ]],"no test")</f>
        <v>1</v>
      </c>
      <c r="CF372" s="929" t="str">
        <f>IFERROR(WWWW[[#This Row],['#_Household passed]]/WWWW[[#This Row],['#_Household water samples tested for fecal coliform]],"no test")</f>
        <v>no test</v>
      </c>
      <c r="CG372" s="930" t="str">
        <f>IF(AND(WWWW[[#This Row],[% of water sources passed]]="no test",WWWW[[#This Row],[% Household passed]]="no test"),"No Test","Tested")</f>
        <v>Tested</v>
      </c>
      <c r="CH372" s="930">
        <f>WWWW[[#This Row],['#_Constructed/existing protected hand dug well]]-WWWW[[#This Row],['#_Non-functional protected hand dug well]]</f>
        <v>1</v>
      </c>
      <c r="CI372" s="930">
        <f>(WWWW[[#This Row],['#_Constructed/Existing tube wells/boreholes/handpumps_WASH_agency]]+WWWW[[#This Row],['#_Non-Cluster partner water tube-wells/boreholes/handpumps]])-WWWW[[#This Row],['#_Non-functional tube wells/boreholes/handpumps]]</f>
        <v>2</v>
      </c>
      <c r="CJ372" s="930">
        <f>WWWW[[#This Row],['#_Constructed/Existingwater storage tank with gravity fed reticulation system]]-WWWW[[#This Row],['#_Non-functional storage tank gravity fed reticulation system]]</f>
        <v>0</v>
      </c>
      <c r="CK372" s="930">
        <f>(WWWW[[#This Row],['#_Water_Liters_supplied_by_Water boating or water trucking]]/90)/15</f>
        <v>0</v>
      </c>
      <c r="CL372" s="930">
        <f>WWWW[[#This Row],['#_Water_Liters_from_Constructed/Existing water distribution system from river or natural spring]]/90/15</f>
        <v>0</v>
      </c>
      <c r="CM372" s="425">
        <f>IF(WWWW[[#This Row],['#_of water points in TLS/CFS]]*500&gt;WWWW[[#This Row],[Total PoP ]],WWWW[[#This Row],[Total PoP ]],WWWW[[#This Row],['#_of water points in TLS/CFS]]*500)</f>
        <v>0</v>
      </c>
      <c r="CN372" s="425">
        <f>IF(WWWW[[#This Row],['#_of water points in THF]]*500&gt;WWWW[[#This Row],[Total PoP ]],WWWW[[#This Row],[Total PoP ]],WWWW[[#This Row],['#_of water points in THF]]*500)</f>
        <v>0</v>
      </c>
      <c r="CO37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2" s="929">
        <f>IF(WWWW[[#This Row],[Location Type 1]]="Village",WWWW[[#This Row],[Access to safe drinking water for Village]],WWWW[[#This Row],[Access to safe drinking water for Camp]])</f>
        <v>1</v>
      </c>
      <c r="CR372" s="927">
        <f>WWWW[[#This Row],[%Equitable and continuous access to sufficient quantity of safe drinking water]]*WWWW[[#This Row],[Total PoP ]]</f>
        <v>334</v>
      </c>
      <c r="CS372" s="929">
        <f>IF((WWWW[[#This Row],['#_Constructed/Existing protected/fenced ponds]]*250)/WWWW[[#This Row],[Total PoP ]]&gt;1,1,(WWWW[[#This Row],['#_Constructed/Existing protected/fenced ponds]]*250)/WWWW[[#This Row],[Total PoP ]])</f>
        <v>0</v>
      </c>
      <c r="CT372" s="927">
        <f>WWWW[[#This Row],[% Access to unimproved water points]]*WWWW[[#This Row],[Total PoP ]]</f>
        <v>0</v>
      </c>
      <c r="CU37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W372" s="927">
        <f>WWWW[[#This Row],[HRP1]]/500</f>
        <v>0.66800000000000004</v>
      </c>
      <c r="CX372" s="932">
        <f>1-WWWW[[#This Row],[% Equitable and continuous access to sufficient quantity of domestic water]]</f>
        <v>0</v>
      </c>
      <c r="CY372" s="927">
        <f>WWWW[[#This Row],[%equitable and continuous access to sufficient quantity of safe drinking and domestic water''s GAP]]*WWWW[[#This Row],[Total PoP ]]</f>
        <v>0</v>
      </c>
      <c r="CZ372" s="930">
        <f>IF(WWWW[[#This Row],[Total required water points]]-WWWW[[#This Row],['#Water points coverage]]&lt;0,0,WWWW[[#This Row],[Total required water points]]-WWWW[[#This Row],['#Water points coverage]])</f>
        <v>0.33199999999999996</v>
      </c>
      <c r="DA372" s="930">
        <f>ROUND(IF(WWWW[[#This Row],[Total PoP ]]&lt;500,1,WWWW[[#This Row],[Total PoP ]]/500),0)</f>
        <v>1</v>
      </c>
      <c r="DB372" s="930">
        <f>(WWWW[[#This Row],['#_Constructed latrines_by_WASHAgencies]]+WWWW[[#This Row],['#_Non Cluster partner latrines]])-WWWW[[#This Row],['#_Non-functional latrines]]</f>
        <v>33</v>
      </c>
      <c r="DC372" s="634">
        <f>WWWW[[#This Row],[HRP2]]/WWWW[[#This Row],[Total PoP ]]</f>
        <v>1</v>
      </c>
      <c r="DD37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334</v>
      </c>
      <c r="DE37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334</v>
      </c>
      <c r="DF37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2" s="425">
        <f>IF(WWWW[[#This Row],['# of functional latrines in THF supported by WASH partners during the reporting period2]]="",0,WWWW[[#This Row],['# of functional latrines in THF supported by WASH partners during the reporting period2]]*50)</f>
        <v>0</v>
      </c>
      <c r="DH372" s="930">
        <f>ROUND(IF(WWWW[[#This Row],[Location Type 1]]="camp",WWWW[[#This Row],[Total PoP ]]/20,IF(WWWW[[#This Row],[Location Type 1]]="Temporary Location",WWWW[[#This Row],[Total PoP ]]/50,(WWWW[[#This Row],[Total PoP ]]/6))),0)</f>
        <v>17</v>
      </c>
      <c r="DI372" s="930">
        <f>IF(WWWW[[#This Row],[Total required Latrines]]-(WWWW[[#This Row],['#_Constructed latrines_by_WASHAgencies]]+WWWW[[#This Row],['#_Non Cluster partner latrines]])&lt;0,0,WWWW[[#This Row],[Total required Latrines]]-(WWWW[[#This Row],['#_Constructed latrines_by_WASHAgencies]]+WWWW[[#This Row],['#_Non Cluster partner latrines]]))</f>
        <v>0</v>
      </c>
      <c r="DJ372" s="932">
        <f>1-WWWW[[#This Row],[% people access to functioning Latrine]]</f>
        <v>0</v>
      </c>
      <c r="DK372" s="931">
        <f>IF(OR(WWWW[[#This Row],['#_Non-functional latrines]]="",WWWW[[#This Row],['#_Non-functional latrines]]=0),0,WWWW[[#This Row],['#_Non-functional latrines]]/(WWWW[[#This Row],['#_Constructed latrines_by_WASHAgencies]]+WWWW[[#This Row],['#_Non Cluster partner latrines]]))</f>
        <v>0</v>
      </c>
      <c r="DL372" s="927">
        <f>IF(500*(WWWW[[#This Row],['#_male hygiene promoters]]+WWWW[[#This Row],['#_female hygiene promoters]])&gt;WWWW[[#This Row],[Total PoP ]],WWWW[[#This Row],[Total PoP ]],500*(WWWW[[#This Row],['#_male hygiene promoters]]+WWWW[[#This Row],['#_female hygiene promoters]]))</f>
        <v>0</v>
      </c>
      <c r="DM37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2" s="930">
        <f>IF(WWWW[[#This Row],['# People with access to soap]]&gt;WWWW[[#This Row],['# People with access to Sanity Pads]],WWWW[[#This Row],['# People with access to soap]],WWWW[[#This Row],['# People with access to Sanity Pads]])</f>
        <v>0</v>
      </c>
      <c r="DP372"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2" s="932">
        <f>IF(WWWW[[#This Row],[HRP3]]/WWWW[[#This Row],[Total PoP ]]&gt;1,1,WWWW[[#This Row],[HRP3]]/WWWW[[#This Row],[Total PoP ]])</f>
        <v>0</v>
      </c>
      <c r="DR372" s="931">
        <f>1-WWWW[[#This Row],[Hygiene Coverage%]]</f>
        <v>1</v>
      </c>
      <c r="DS372" s="929">
        <f>WWWW[[#This Row],['# people reached by regular dedicated hygiene promotion_5]]/WWWW[[#This Row],[Total PoP ]]</f>
        <v>0</v>
      </c>
      <c r="DT37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2" s="930">
        <f>WWWW[[#This Row],['#_Constructed/Existing hand washing stations]]-WWWW[[#This Row],['#_Non-Functional_hand_washing_stations]]</f>
        <v>19</v>
      </c>
      <c r="DW372" s="927">
        <f>IF(WWWW[[#This Row],['# Functional hand washing stations during reporting period]]*20&gt;WWWW[[#This Row],[Total HH]],WWWW[[#This Row],[Total HH]],WWWW[[#This Row],['# Functional hand washing stations during reporting period]]*20)</f>
        <v>65</v>
      </c>
      <c r="DX372" s="927">
        <f>IF(WWWW[[#This Row],[Is sufficient soap available for TLS? (Yes/No)]]="yes",WWWW[[#This Row],['#_Constructed/Existing hand washing stations at TLS/CFS/THF]],0)</f>
        <v>0</v>
      </c>
      <c r="DY372" s="429">
        <f>IF(WWWW[[#This Row],['# Functional hand washing stations during reporting period]]*100&gt;WWWW[[#This Row],[Total PoP ]],WWWW[[#This Row],[Total PoP ]],WWWW[[#This Row],['# Functional hand washing stations during reporting period]]*100)</f>
        <v>334</v>
      </c>
      <c r="DZ372" s="429" t="str">
        <f>IF(OR(WWWW[[#This Row],['#_students at TLS_CFS]]="",WWWW[[#This Row],['#_students at TLS_CFS]]=0),"No","Yes")</f>
        <v>No</v>
      </c>
      <c r="EA37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40</v>
      </c>
      <c r="EC37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2" s="923" t="str">
        <f>VLOOKUP(WWWW[[#This Row],[Site Name]],SiteDB6[[Site Name]:[CCCM Management]],6,FALSE)</f>
        <v>Yes</v>
      </c>
      <c r="EF372" s="923" t="str">
        <f>VLOOKUP(WWWW[[#This Row],[Site Name]],SiteDB6[[Site Name]:[CCCM Focal Agency]],7,FALSE)</f>
        <v>KBC-BMO</v>
      </c>
      <c r="EG372" s="923" t="str">
        <f>VLOOKUP(WWWW[[#This Row],[Site Name]],SiteDB6[[Site Name]:[Location Type 1]],9,FALSE)</f>
        <v>Camp</v>
      </c>
      <c r="EH372" s="923" t="str">
        <f>VLOOKUP(WWWW[[#This Row],[Site Name]],SiteDB6[[Site Name]:[Type of Accommodation]],10,FALSE)</f>
        <v>Camp</v>
      </c>
      <c r="EI372" s="923" t="str">
        <f>VLOOKUP(WWWW[[#This Row],[Site Name]],SiteDB6[[Site Name]:[Ethnic or GCA/NGCA]],11,FALSE)</f>
        <v>GCA</v>
      </c>
      <c r="EJ372" s="923">
        <f>VLOOKUP(WWWW[[#This Row],[Site Name]],SiteDB6[[Site Name]:[Lat]],12,FALSE)</f>
        <v>24.222349999999999</v>
      </c>
      <c r="EK372" s="923">
        <f>VLOOKUP(WWWW[[#This Row],[Site Name]],SiteDB6[[Site Name]:[Long]],13,FALSE)</f>
        <v>97.252650000000003</v>
      </c>
      <c r="EL372" s="923" t="str">
        <f>VLOOKUP(WWWW[[#This Row],[Site Name]],SiteDB6[[Site Name]:[Pcode]],3,FALSE)</f>
        <v>MMR001CMP193</v>
      </c>
      <c r="EM372" s="928" t="str">
        <f t="shared" si="5"/>
        <v>Covered</v>
      </c>
      <c r="EN372" s="928"/>
      <c r="EO372" s="923">
        <f>VLOOKUP(WWWW[[#This Row],[Site Name]],SiteDB6[[Site Name]:[Pop
(Kachin/Shan-CCCM as of July 2021)]],16,FALSE)</f>
        <v>64</v>
      </c>
      <c r="EP372" s="923">
        <f>VLOOKUP(WWWW[[#This Row],[Site Name]],SiteDB6[[Site Name]:[Pop
(Kachin/Shan-CCCM as of July 2021)]],17,FALSE)</f>
        <v>339</v>
      </c>
    </row>
    <row r="373" spans="1:146">
      <c r="A373" s="921" t="s">
        <v>2786</v>
      </c>
      <c r="B373" s="921" t="s">
        <v>276</v>
      </c>
      <c r="C373" s="922" t="s">
        <v>276</v>
      </c>
      <c r="D373" s="922" t="s">
        <v>3061</v>
      </c>
      <c r="E373" s="922" t="s">
        <v>37</v>
      </c>
      <c r="F373" s="922" t="s">
        <v>195</v>
      </c>
      <c r="G373" s="594" t="str">
        <f>VLOOKUP(WWWW[[#This Row],[Site Name]],SiteDB6[[Site Name]:[Location Type]],8,FALSE)</f>
        <v>Camp</v>
      </c>
      <c r="H373" s="922" t="s">
        <v>280</v>
      </c>
      <c r="I373" s="924">
        <v>610</v>
      </c>
      <c r="J373" s="924">
        <v>3860</v>
      </c>
      <c r="K373" s="925">
        <v>44652</v>
      </c>
      <c r="L373" s="926">
        <v>44895</v>
      </c>
      <c r="M373" s="924"/>
      <c r="N373" s="924"/>
      <c r="O373" s="924"/>
      <c r="P373" s="924"/>
      <c r="Q373" s="927" t="s">
        <v>41</v>
      </c>
      <c r="R373" s="924">
        <v>20</v>
      </c>
      <c r="S373" s="924">
        <v>14</v>
      </c>
      <c r="T373" s="449">
        <v>1</v>
      </c>
      <c r="U373" s="924"/>
      <c r="V373" s="924"/>
      <c r="W373" s="924">
        <v>23</v>
      </c>
      <c r="X373" s="924"/>
      <c r="Y373" s="924"/>
      <c r="Z373" s="924"/>
      <c r="AA373" s="924"/>
      <c r="AB373" s="924"/>
      <c r="AC373" s="924"/>
      <c r="AD373" s="924"/>
      <c r="AE373" s="924"/>
      <c r="AF373" s="924"/>
      <c r="AG373" s="924"/>
      <c r="AH373" s="924"/>
      <c r="AI373" s="924">
        <v>15</v>
      </c>
      <c r="AJ373" s="924">
        <v>15</v>
      </c>
      <c r="AK373" s="924">
        <v>27</v>
      </c>
      <c r="AL373" s="924">
        <v>27</v>
      </c>
      <c r="AM373" s="924"/>
      <c r="AN373" s="924"/>
      <c r="AO373" s="449"/>
      <c r="AP373" s="928"/>
      <c r="AQ373" s="924">
        <v>148</v>
      </c>
      <c r="AR373" s="924"/>
      <c r="AS373" s="929"/>
      <c r="AT373" s="924"/>
      <c r="AU373" s="924"/>
      <c r="AV373" s="924">
        <v>141</v>
      </c>
      <c r="AW373" s="924">
        <v>173</v>
      </c>
      <c r="AX373" s="924"/>
      <c r="AY373" s="923" t="s">
        <v>41</v>
      </c>
      <c r="AZ373" s="928" t="s">
        <v>137</v>
      </c>
      <c r="BA373" s="924"/>
      <c r="BB373" s="924">
        <v>10</v>
      </c>
      <c r="BC373" s="924"/>
      <c r="BD373" s="449"/>
      <c r="BE373" s="449">
        <v>23</v>
      </c>
      <c r="BF373" s="923"/>
      <c r="BG373" s="924">
        <v>32</v>
      </c>
      <c r="BH373" s="924"/>
      <c r="BI373" s="924"/>
      <c r="BJ373" s="924">
        <v>15</v>
      </c>
      <c r="BK373" s="924"/>
      <c r="BL373" s="924">
        <v>1</v>
      </c>
      <c r="BM373" s="924">
        <v>5</v>
      </c>
      <c r="BN373" s="924">
        <v>606</v>
      </c>
      <c r="BO373" s="924">
        <v>1336</v>
      </c>
      <c r="BP373" s="923"/>
      <c r="BQ373" s="930"/>
      <c r="BR373" s="929"/>
      <c r="BS373" s="923"/>
      <c r="BT373" s="424">
        <v>0.98</v>
      </c>
      <c r="BU373" s="424">
        <v>0.97</v>
      </c>
      <c r="BV373" s="426">
        <v>58</v>
      </c>
      <c r="BW373" s="424">
        <v>1</v>
      </c>
      <c r="BX373" s="449"/>
      <c r="BY373" s="449">
        <v>148</v>
      </c>
      <c r="BZ373" s="449">
        <v>15</v>
      </c>
      <c r="CA373" s="449"/>
      <c r="CB373" s="449"/>
      <c r="CC373" s="807"/>
      <c r="CD373" s="449"/>
      <c r="CE373" s="931">
        <f>IFERROR(WWWW[[#This Row],['#_Water sources passed]]/WWWW[[#This Row],['#_Water sources tested for fecal coliform ]],"no test")</f>
        <v>1</v>
      </c>
      <c r="CF373" s="929">
        <f>IFERROR(WWWW[[#This Row],['#_Household passed]]/WWWW[[#This Row],['#_Household water samples tested for fecal coliform]],"no test")</f>
        <v>1</v>
      </c>
      <c r="CG373" s="930" t="str">
        <f>IF(AND(WWWW[[#This Row],[% of water sources passed]]="no test",WWWW[[#This Row],[% Household passed]]="no test"),"No Test","Tested")</f>
        <v>Tested</v>
      </c>
      <c r="CH373" s="930">
        <f>WWWW[[#This Row],['#_Constructed/existing protected hand dug well]]-WWWW[[#This Row],['#_Non-functional protected hand dug well]]</f>
        <v>1</v>
      </c>
      <c r="CI373" s="930">
        <f>(WWWW[[#This Row],['#_Constructed/Existing tube wells/boreholes/handpumps_WASH_agency]]+WWWW[[#This Row],['#_Non-Cluster partner water tube-wells/boreholes/handpumps]])-WWWW[[#This Row],['#_Non-functional tube wells/boreholes/handpumps]]</f>
        <v>23</v>
      </c>
      <c r="CJ373" s="930">
        <f>WWWW[[#This Row],['#_Constructed/Existingwater storage tank with gravity fed reticulation system]]-WWWW[[#This Row],['#_Non-functional storage tank gravity fed reticulation system]]</f>
        <v>0</v>
      </c>
      <c r="CK373" s="930">
        <f>(WWWW[[#This Row],['#_Water_Liters_supplied_by_Water boating or water trucking]]/90)/15</f>
        <v>0</v>
      </c>
      <c r="CL373" s="930">
        <f>WWWW[[#This Row],['#_Water_Liters_from_Constructed/Existing water distribution system from river or natural spring]]/90/15</f>
        <v>0</v>
      </c>
      <c r="CM373" s="425">
        <f>IF(WWWW[[#This Row],['#_of water points in TLS/CFS]]*500&gt;WWWW[[#This Row],[Total PoP ]],WWWW[[#This Row],[Total PoP ]],WWWW[[#This Row],['#_of water points in TLS/CFS]]*500)</f>
        <v>0</v>
      </c>
      <c r="CN373" s="425">
        <f>IF(WWWW[[#This Row],['#_of water points in THF]]*500&gt;WWWW[[#This Row],[Total PoP ]],WWWW[[#This Row],[Total PoP ]],WWWW[[#This Row],['#_of water points in THF]]*500)</f>
        <v>0</v>
      </c>
      <c r="CO37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3" s="929">
        <f>IF(WWWW[[#This Row],[Location Type 1]]="Village",WWWW[[#This Row],[Access to safe drinking water for Village]],WWWW[[#This Row],[Access to safe drinking water for Camp]])</f>
        <v>1</v>
      </c>
      <c r="CR373" s="927">
        <f>WWWW[[#This Row],[%Equitable and continuous access to sufficient quantity of safe drinking water]]*WWWW[[#This Row],[Total PoP ]]</f>
        <v>3860</v>
      </c>
      <c r="CS373" s="929">
        <f>IF((WWWW[[#This Row],['#_Constructed/Existing protected/fenced ponds]]*250)/WWWW[[#This Row],[Total PoP ]]&gt;1,1,(WWWW[[#This Row],['#_Constructed/Existing protected/fenced ponds]]*250)/WWWW[[#This Row],[Total PoP ]])</f>
        <v>0</v>
      </c>
      <c r="CT373" s="927">
        <f>WWWW[[#This Row],[% Access to unimproved water points]]*WWWW[[#This Row],[Total PoP ]]</f>
        <v>0</v>
      </c>
      <c r="CU37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3860</v>
      </c>
      <c r="CW373" s="927">
        <f>WWWW[[#This Row],[HRP1]]/500</f>
        <v>7.72</v>
      </c>
      <c r="CX373" s="932">
        <f>1-WWWW[[#This Row],[% Equitable and continuous access to sufficient quantity of domestic water]]</f>
        <v>0</v>
      </c>
      <c r="CY373" s="927">
        <f>WWWW[[#This Row],[%equitable and continuous access to sufficient quantity of safe drinking and domestic water''s GAP]]*WWWW[[#This Row],[Total PoP ]]</f>
        <v>0</v>
      </c>
      <c r="CZ373" s="930">
        <f>IF(WWWW[[#This Row],[Total required water points]]-WWWW[[#This Row],['#Water points coverage]]&lt;0,0,WWWW[[#This Row],[Total required water points]]-WWWW[[#This Row],['#Water points coverage]])</f>
        <v>0.28000000000000025</v>
      </c>
      <c r="DA373" s="930">
        <f>ROUND(IF(WWWW[[#This Row],[Total PoP ]]&lt;500,1,WWWW[[#This Row],[Total PoP ]]/500),0)</f>
        <v>8</v>
      </c>
      <c r="DB373" s="930">
        <f>(WWWW[[#This Row],['#_Constructed latrines_by_WASHAgencies]]+WWWW[[#This Row],['#_Non Cluster partner latrines]])-WWWW[[#This Row],['#_Non-functional latrines]]</f>
        <v>148</v>
      </c>
      <c r="DC373" s="634">
        <f>WWWW[[#This Row],[HRP2]]/WWWW[[#This Row],[Total PoP ]]</f>
        <v>0.77279792746113984</v>
      </c>
      <c r="DD37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2983</v>
      </c>
      <c r="DE37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2820</v>
      </c>
      <c r="DF37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3" s="425">
        <f>IF(WWWW[[#This Row],['# of functional latrines in THF supported by WASH partners during the reporting period2]]="",0,WWWW[[#This Row],['# of functional latrines in THF supported by WASH partners during the reporting period2]]*50)</f>
        <v>0</v>
      </c>
      <c r="DH373" s="930">
        <f>ROUND(IF(WWWW[[#This Row],[Location Type 1]]="camp",WWWW[[#This Row],[Total PoP ]]/20,IF(WWWW[[#This Row],[Location Type 1]]="Temporary Location",WWWW[[#This Row],[Total PoP ]]/50,(WWWW[[#This Row],[Total PoP ]]/6))),0)</f>
        <v>193</v>
      </c>
      <c r="DI373" s="930">
        <f>IF(WWWW[[#This Row],[Total required Latrines]]-(WWWW[[#This Row],['#_Constructed latrines_by_WASHAgencies]]+WWWW[[#This Row],['#_Non Cluster partner latrines]])&lt;0,0,WWWW[[#This Row],[Total required Latrines]]-(WWWW[[#This Row],['#_Constructed latrines_by_WASHAgencies]]+WWWW[[#This Row],['#_Non Cluster partner latrines]]))</f>
        <v>45</v>
      </c>
      <c r="DJ373" s="932">
        <f>1-WWWW[[#This Row],[% people access to functioning Latrine]]</f>
        <v>0.22720207253886016</v>
      </c>
      <c r="DK373" s="931">
        <f>IF(OR(WWWW[[#This Row],['#_Non-functional latrines]]="",WWWW[[#This Row],['#_Non-functional latrines]]=0),0,WWWW[[#This Row],['#_Non-functional latrines]]/(WWWW[[#This Row],['#_Constructed latrines_by_WASHAgencies]]+WWWW[[#This Row],['#_Non Cluster partner latrines]]))</f>
        <v>0</v>
      </c>
      <c r="DL373" s="927">
        <f>IF(500*(WWWW[[#This Row],['#_male hygiene promoters]]+WWWW[[#This Row],['#_female hygiene promoters]])&gt;WWWW[[#This Row],[Total PoP ]],WWWW[[#This Row],[Total PoP ]],500*(WWWW[[#This Row],['#_male hygiene promoters]]+WWWW[[#This Row],['#_female hygiene promoters]]))</f>
        <v>3000</v>
      </c>
      <c r="DM37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3030</v>
      </c>
      <c r="DN37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1336</v>
      </c>
      <c r="DO373" s="930">
        <f>IF(WWWW[[#This Row],['# People with access to soap]]&gt;WWWW[[#This Row],['# People with access to Sanity Pads]],WWWW[[#This Row],['# People with access to soap]],WWWW[[#This Row],['# People with access to Sanity Pads]])</f>
        <v>3030</v>
      </c>
      <c r="DP373" s="930">
        <f>IF(WWWW[[#This Row],['# people reached by regular dedicated hygiene promotion_5]]&gt;WWWW[[#This Row],['# People received regular supply of hygiene items_6]],WWWW[[#This Row],['# people reached by regular dedicated hygiene promotion_5]],WWWW[[#This Row],['# People received regular supply of hygiene items_6]])</f>
        <v>3030</v>
      </c>
      <c r="DQ373" s="932">
        <f>IF(WWWW[[#This Row],[HRP3]]/WWWW[[#This Row],[Total PoP ]]&gt;1,1,WWWW[[#This Row],[HRP3]]/WWWW[[#This Row],[Total PoP ]])</f>
        <v>0.78497409326424872</v>
      </c>
      <c r="DR373" s="931">
        <f>1-WWWW[[#This Row],[Hygiene Coverage%]]</f>
        <v>0.21502590673575128</v>
      </c>
      <c r="DS373" s="929">
        <f>WWWW[[#This Row],['# people reached by regular dedicated hygiene promotion_5]]/WWWW[[#This Row],[Total PoP ]]</f>
        <v>0.77720207253886009</v>
      </c>
      <c r="DT37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7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73" s="930">
        <f>WWWW[[#This Row],['#_Constructed/Existing hand washing stations]]-WWWW[[#This Row],['#_Non-Functional_hand_washing_stations]]</f>
        <v>32</v>
      </c>
      <c r="DW373" s="927">
        <f>IF(WWWW[[#This Row],['# Functional hand washing stations during reporting period]]*20&gt;WWWW[[#This Row],[Total HH]],WWWW[[#This Row],[Total HH]],WWWW[[#This Row],['# Functional hand washing stations during reporting period]]*20)</f>
        <v>610</v>
      </c>
      <c r="DX373" s="927">
        <f>IF(WWWW[[#This Row],[Is sufficient soap available for TLS? (Yes/No)]]="yes",WWWW[[#This Row],['#_Constructed/Existing hand washing stations at TLS/CFS/THF]],0)</f>
        <v>0</v>
      </c>
      <c r="DY373" s="429">
        <f>IF(WWWW[[#This Row],['# Functional hand washing stations during reporting period]]*100&gt;WWWW[[#This Row],[Total PoP ]],WWWW[[#This Row],[Total PoP ]],WWWW[[#This Row],['# Functional hand washing stations during reporting period]]*100)</f>
        <v>3200</v>
      </c>
      <c r="DZ373" s="429" t="str">
        <f>IF(OR(WWWW[[#This Row],['#_students at TLS_CFS]]="",WWWW[[#This Row],['#_students at TLS_CFS]]=0),"No","Yes")</f>
        <v>No</v>
      </c>
      <c r="EA373" s="634">
        <f>IF(WWWW[[#This Row],['#_of_affected_people_surveyed_who_report_feeling_informed_about_the_different_WASH_services_available_to_them]]="","",WWWW[[#This Row],['#_of_affected_people_surveyed_who_report_feeling_informed_about_the_different_WASH_services_available_to_them]]/WWWW[[#This Row],[Total PoP ]])</f>
        <v>1.5025906735751295E-2</v>
      </c>
      <c r="EB37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163</v>
      </c>
      <c r="EC37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3" s="923" t="str">
        <f>VLOOKUP(WWWW[[#This Row],[Site Name]],SiteDB6[[Site Name]:[CCCM Management]],6,FALSE)</f>
        <v>Yes</v>
      </c>
      <c r="EF373" s="923" t="str">
        <f>VLOOKUP(WWWW[[#This Row],[Site Name]],SiteDB6[[Site Name]:[CCCM Focal Agency]],7,FALSE)</f>
        <v>KBC-BMO</v>
      </c>
      <c r="EG373" s="923" t="str">
        <f>VLOOKUP(WWWW[[#This Row],[Site Name]],SiteDB6[[Site Name]:[Location Type 1]],9,FALSE)</f>
        <v>Camp</v>
      </c>
      <c r="EH373" s="923" t="str">
        <f>VLOOKUP(WWWW[[#This Row],[Site Name]],SiteDB6[[Site Name]:[Type of Accommodation]],10,FALSE)</f>
        <v>Camp</v>
      </c>
      <c r="EI373" s="923" t="str">
        <f>VLOOKUP(WWWW[[#This Row],[Site Name]],SiteDB6[[Site Name]:[Ethnic or GCA/NGCA]],11,FALSE)</f>
        <v>GCA</v>
      </c>
      <c r="EJ373" s="923">
        <f>VLOOKUP(WWWW[[#This Row],[Site Name]],SiteDB6[[Site Name]:[Lat]],12,FALSE)</f>
        <v>24.268292826086999</v>
      </c>
      <c r="EK373" s="923">
        <f>VLOOKUP(WWWW[[#This Row],[Site Name]],SiteDB6[[Site Name]:[Long]],13,FALSE)</f>
        <v>97.229116811594196</v>
      </c>
      <c r="EL373" s="923" t="str">
        <f>VLOOKUP(WWWW[[#This Row],[Site Name]],SiteDB6[[Site Name]:[Pcode]],3,FALSE)</f>
        <v>MMR001CMP047</v>
      </c>
      <c r="EM373" s="928" t="str">
        <f t="shared" si="5"/>
        <v>Covered</v>
      </c>
      <c r="EN373" s="928"/>
      <c r="EO373" s="923">
        <f>VLOOKUP(WWWW[[#This Row],[Site Name]],SiteDB6[[Site Name]:[Pop
(Kachin/Shan-CCCM as of July 2021)]],16,FALSE)</f>
        <v>597</v>
      </c>
      <c r="EP373" s="923">
        <f>VLOOKUP(WWWW[[#This Row],[Site Name]],SiteDB6[[Site Name]:[Pop
(Kachin/Shan-CCCM as of July 2021)]],17,FALSE)</f>
        <v>3765</v>
      </c>
    </row>
    <row r="374" spans="1:146">
      <c r="A374" s="921" t="s">
        <v>2786</v>
      </c>
      <c r="B374" s="921" t="s">
        <v>276</v>
      </c>
      <c r="C374" s="922" t="s">
        <v>276</v>
      </c>
      <c r="D374" s="922" t="s">
        <v>3061</v>
      </c>
      <c r="E374" s="922" t="s">
        <v>37</v>
      </c>
      <c r="F374" s="922" t="s">
        <v>195</v>
      </c>
      <c r="G374" s="594" t="str">
        <f>VLOOKUP(WWWW[[#This Row],[Site Name]],SiteDB6[[Site Name]:[Location Type]],8,FALSE)</f>
        <v>Camp_not registered</v>
      </c>
      <c r="H374" s="922" t="s">
        <v>2204</v>
      </c>
      <c r="I374" s="924"/>
      <c r="J374" s="924"/>
      <c r="K374" s="925">
        <v>43833</v>
      </c>
      <c r="L374" s="926">
        <v>44620</v>
      </c>
      <c r="M374" s="924"/>
      <c r="N374" s="924"/>
      <c r="O374" s="924"/>
      <c r="P374" s="924"/>
      <c r="Q374" s="927" t="s">
        <v>41</v>
      </c>
      <c r="R374" s="924"/>
      <c r="S374" s="924"/>
      <c r="T374" s="449"/>
      <c r="U374" s="924"/>
      <c r="V374" s="924"/>
      <c r="W374" s="924">
        <v>5</v>
      </c>
      <c r="X374" s="924"/>
      <c r="Y374" s="924"/>
      <c r="Z374" s="924"/>
      <c r="AA374" s="924"/>
      <c r="AB374" s="924"/>
      <c r="AC374" s="924"/>
      <c r="AD374" s="924"/>
      <c r="AE374" s="924"/>
      <c r="AF374" s="924"/>
      <c r="AG374" s="924"/>
      <c r="AH374" s="924"/>
      <c r="AI374" s="924"/>
      <c r="AJ374" s="924"/>
      <c r="AK374" s="924"/>
      <c r="AL374" s="924"/>
      <c r="AM374" s="924"/>
      <c r="AN374" s="924"/>
      <c r="AO374" s="449"/>
      <c r="AP374" s="928"/>
      <c r="AQ374" s="924">
        <v>18</v>
      </c>
      <c r="AR374" s="924"/>
      <c r="AS374" s="929"/>
      <c r="AT374" s="924"/>
      <c r="AU374" s="924"/>
      <c r="AV374" s="924"/>
      <c r="AW374" s="924"/>
      <c r="AX374" s="924"/>
      <c r="AY374" s="923" t="s">
        <v>41</v>
      </c>
      <c r="AZ374" s="928" t="s">
        <v>140</v>
      </c>
      <c r="BA374" s="924"/>
      <c r="BB374" s="924"/>
      <c r="BC374" s="924"/>
      <c r="BD374" s="449"/>
      <c r="BE374" s="449"/>
      <c r="BF374" s="923"/>
      <c r="BG374" s="924">
        <v>7</v>
      </c>
      <c r="BH374" s="924"/>
      <c r="BI374" s="924"/>
      <c r="BJ374" s="924">
        <v>4</v>
      </c>
      <c r="BK374" s="924"/>
      <c r="BL374" s="924"/>
      <c r="BM374" s="924"/>
      <c r="BN374" s="924"/>
      <c r="BO374" s="924"/>
      <c r="BP374" s="923"/>
      <c r="BQ374" s="930"/>
      <c r="BR374" s="929"/>
      <c r="BS374" s="923"/>
      <c r="BT374" s="424"/>
      <c r="BU374" s="424"/>
      <c r="BV374" s="426"/>
      <c r="BW374" s="424"/>
      <c r="BX374" s="449"/>
      <c r="BY374" s="449"/>
      <c r="BZ374" s="449"/>
      <c r="CA374" s="449"/>
      <c r="CB374" s="449"/>
      <c r="CC374" s="807"/>
      <c r="CD374" s="449"/>
      <c r="CE374" s="931" t="str">
        <f>IFERROR(WWWW[[#This Row],['#_Water sources passed]]/WWWW[[#This Row],['#_Water sources tested for fecal coliform ]],"no test")</f>
        <v>no test</v>
      </c>
      <c r="CF374" s="929" t="str">
        <f>IFERROR(WWWW[[#This Row],['#_Household passed]]/WWWW[[#This Row],['#_Household water samples tested for fecal coliform]],"no test")</f>
        <v>no test</v>
      </c>
      <c r="CG374" s="930" t="str">
        <f>IF(AND(WWWW[[#This Row],[% of water sources passed]]="no test",WWWW[[#This Row],[% Household passed]]="no test"),"No Test","Tested")</f>
        <v>No Test</v>
      </c>
      <c r="CH374" s="930">
        <f>WWWW[[#This Row],['#_Constructed/existing protected hand dug well]]-WWWW[[#This Row],['#_Non-functional protected hand dug well]]</f>
        <v>0</v>
      </c>
      <c r="CI374" s="930">
        <f>(WWWW[[#This Row],['#_Constructed/Existing tube wells/boreholes/handpumps_WASH_agency]]+WWWW[[#This Row],['#_Non-Cluster partner water tube-wells/boreholes/handpumps]])-WWWW[[#This Row],['#_Non-functional tube wells/boreholes/handpumps]]</f>
        <v>5</v>
      </c>
      <c r="CJ374" s="930">
        <f>WWWW[[#This Row],['#_Constructed/Existingwater storage tank with gravity fed reticulation system]]-WWWW[[#This Row],['#_Non-functional storage tank gravity fed reticulation system]]</f>
        <v>0</v>
      </c>
      <c r="CK374" s="930">
        <f>(WWWW[[#This Row],['#_Water_Liters_supplied_by_Water boating or water trucking]]/90)/15</f>
        <v>0</v>
      </c>
      <c r="CL374" s="930">
        <f>WWWW[[#This Row],['#_Water_Liters_from_Constructed/Existing water distribution system from river or natural spring]]/90/15</f>
        <v>0</v>
      </c>
      <c r="CM374" s="425">
        <f>IF(WWWW[[#This Row],['#_of water points in TLS/CFS]]*500&gt;WWWW[[#This Row],[Total PoP ]],WWWW[[#This Row],[Total PoP ]],WWWW[[#This Row],['#_of water points in TLS/CFS]]*500)</f>
        <v>0</v>
      </c>
      <c r="CN374" s="425">
        <f>IF(WWWW[[#This Row],['#_of water points in THF]]*500&gt;WWWW[[#This Row],[Total PoP ]],WWWW[[#This Row],[Total PoP ]],WWWW[[#This Row],['#_of water points in THF]]*500)</f>
        <v>0</v>
      </c>
      <c r="CO374" s="931"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374" s="931"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374" s="929" t="str">
        <f>IF(WWWW[[#This Row],[Location Type 1]]="Village",WWWW[[#This Row],[Access to safe drinking water for Village]],WWWW[[#This Row],[Access to safe drinking water for Camp]])</f>
        <v/>
      </c>
      <c r="CR374" s="927"/>
      <c r="CS374" s="929"/>
      <c r="CT374" s="927">
        <f>WWWW[[#This Row],[% Access to unimproved water points]]*WWWW[[#This Row],[Total PoP ]]</f>
        <v>0</v>
      </c>
      <c r="CU374" s="929"/>
      <c r="CV37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74" s="927">
        <f>WWWW[[#This Row],[HRP1]]/500</f>
        <v>0</v>
      </c>
      <c r="CX374" s="932">
        <f>1-WWWW[[#This Row],[% Equitable and continuous access to sufficient quantity of domestic water]]</f>
        <v>1</v>
      </c>
      <c r="CY374" s="927">
        <f>WWWW[[#This Row],[%equitable and continuous access to sufficient quantity of safe drinking and domestic water''s GAP]]*WWWW[[#This Row],[Total PoP ]]</f>
        <v>0</v>
      </c>
      <c r="CZ374" s="930">
        <f>IF(WWWW[[#This Row],[Total required water points]]-WWWW[[#This Row],['#Water points coverage]]&lt;0,0,WWWW[[#This Row],[Total required water points]]-WWWW[[#This Row],['#Water points coverage]])</f>
        <v>1</v>
      </c>
      <c r="DA374" s="930">
        <f>ROUND(IF(WWWW[[#This Row],[Total PoP ]]&lt;500,1,WWWW[[#This Row],[Total PoP ]]/500),0)</f>
        <v>1</v>
      </c>
      <c r="DB374" s="930">
        <f>(WWWW[[#This Row],['#_Constructed latrines_by_WASHAgencies]]+WWWW[[#This Row],['#_Non Cluster partner latrines]])-WWWW[[#This Row],['#_Non-functional latrines]]</f>
        <v>18</v>
      </c>
      <c r="DC374" s="634"/>
      <c r="DD37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7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7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4" s="425">
        <f>IF(WWWW[[#This Row],['# of functional latrines in THF supported by WASH partners during the reporting period2]]="",0,WWWW[[#This Row],['# of functional latrines in THF supported by WASH partners during the reporting period2]]*50)</f>
        <v>0</v>
      </c>
      <c r="DH374" s="930">
        <f>ROUND(IF(WWWW[[#This Row],[Location Type 1]]="camp",WWWW[[#This Row],[Total PoP ]]/20,IF(WWWW[[#This Row],[Location Type 1]]="Temporary Location",WWWW[[#This Row],[Total PoP ]]/50,(WWWW[[#This Row],[Total PoP ]]/6))),0)</f>
        <v>0</v>
      </c>
      <c r="DI374" s="930">
        <f>IF(WWWW[[#This Row],[Total required Latrines]]-(WWWW[[#This Row],['#_Constructed latrines_by_WASHAgencies]]+WWWW[[#This Row],['#_Non Cluster partner latrines]])&lt;0,0,WWWW[[#This Row],[Total required Latrines]]-(WWWW[[#This Row],['#_Constructed latrines_by_WASHAgencies]]+WWWW[[#This Row],['#_Non Cluster partner latrines]]))</f>
        <v>0</v>
      </c>
      <c r="DJ374" s="932"/>
      <c r="DK374" s="931">
        <f>IF(OR(WWWW[[#This Row],['#_Non-functional latrines]]="",WWWW[[#This Row],['#_Non-functional latrines]]=0),0,WWWW[[#This Row],['#_Non-functional latrines]]/(WWWW[[#This Row],['#_Constructed latrines_by_WASHAgencies]]+WWWW[[#This Row],['#_Non Cluster partner latrines]]))</f>
        <v>0</v>
      </c>
      <c r="DL374" s="927">
        <f>IF(500*(WWWW[[#This Row],['#_male hygiene promoters]]+WWWW[[#This Row],['#_female hygiene promoters]])&gt;WWWW[[#This Row],[Total PoP ]],WWWW[[#This Row],[Total PoP ]],500*(WWWW[[#This Row],['#_male hygiene promoters]]+WWWW[[#This Row],['#_female hygiene promoters]]))</f>
        <v>0</v>
      </c>
      <c r="DM37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4" s="930">
        <f>IF(WWWW[[#This Row],['# People with access to soap]]&gt;WWWW[[#This Row],['# People with access to Sanity Pads]],WWWW[[#This Row],['# People with access to soap]],WWWW[[#This Row],['# People with access to Sanity Pads]])</f>
        <v>0</v>
      </c>
      <c r="DP37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4" s="932"/>
      <c r="DR374" s="931"/>
      <c r="DS374" s="929"/>
      <c r="DT374" s="931"/>
      <c r="DU374" s="929"/>
      <c r="DV374" s="930">
        <f>WWWW[[#This Row],['#_Constructed/Existing hand washing stations]]-WWWW[[#This Row],['#_Non-Functional_hand_washing_stations]]</f>
        <v>7</v>
      </c>
      <c r="DW374" s="927">
        <f>IF(WWWW[[#This Row],['# Functional hand washing stations during reporting period]]*20&gt;WWWW[[#This Row],[Total HH]],WWWW[[#This Row],[Total HH]],WWWW[[#This Row],['# Functional hand washing stations during reporting period]]*20)</f>
        <v>0</v>
      </c>
      <c r="DX374" s="927">
        <f>IF(WWWW[[#This Row],[Is sufficient soap available for TLS? (Yes/No)]]="yes",WWWW[[#This Row],['#_Constructed/Existing hand washing stations at TLS/CFS/THF]],0)</f>
        <v>0</v>
      </c>
      <c r="DY374" s="429">
        <f>IF(WWWW[[#This Row],['# Functional hand washing stations during reporting period]]*100&gt;WWWW[[#This Row],[Total PoP ]],WWWW[[#This Row],[Total PoP ]],WWWW[[#This Row],['# Functional hand washing stations during reporting period]]*100)</f>
        <v>0</v>
      </c>
      <c r="DZ374" s="429" t="str">
        <f>IF(OR(WWWW[[#This Row],['#_students at TLS_CFS]]="",WWWW[[#This Row],['#_students at TLS_CFS]]=0),"No","Yes")</f>
        <v>No</v>
      </c>
      <c r="EA37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7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4" s="923" t="str">
        <f>VLOOKUP(WWWW[[#This Row],[Site Name]],SiteDB6[[Site Name]:[CCCM Management]],6,FALSE)</f>
        <v>No</v>
      </c>
      <c r="EF374" s="923">
        <f>VLOOKUP(WWWW[[#This Row],[Site Name]],SiteDB6[[Site Name]:[CCCM Focal Agency]],7,FALSE)</f>
        <v>0</v>
      </c>
      <c r="EG374" s="923" t="str">
        <f>VLOOKUP(WWWW[[#This Row],[Site Name]],SiteDB6[[Site Name]:[Location Type 1]],9,FALSE)</f>
        <v>Camp</v>
      </c>
      <c r="EH374" s="923" t="str">
        <f>VLOOKUP(WWWW[[#This Row],[Site Name]],SiteDB6[[Site Name]:[Type of Accommodation]],10,FALSE)</f>
        <v>Camp</v>
      </c>
      <c r="EI374" s="923" t="str">
        <f>VLOOKUP(WWWW[[#This Row],[Site Name]],SiteDB6[[Site Name]:[Ethnic or GCA/NGCA]],11,FALSE)</f>
        <v>GCA</v>
      </c>
      <c r="EJ374" s="923">
        <f>VLOOKUP(WWWW[[#This Row],[Site Name]],SiteDB6[[Site Name]:[Lat]],12,FALSE)</f>
        <v>0</v>
      </c>
      <c r="EK374" s="923">
        <f>VLOOKUP(WWWW[[#This Row],[Site Name]],SiteDB6[[Site Name]:[Long]],13,FALSE)</f>
        <v>0</v>
      </c>
      <c r="EL374" s="923">
        <f>VLOOKUP(WWWW[[#This Row],[Site Name]],SiteDB6[[Site Name]:[Pcode]],3,FALSE)</f>
        <v>0</v>
      </c>
      <c r="EM374" s="928" t="str">
        <f t="shared" si="5"/>
        <v>Covered</v>
      </c>
      <c r="EN374" s="928"/>
      <c r="EO374" s="923">
        <f>VLOOKUP(WWWW[[#This Row],[Site Name]],SiteDB6[[Site Name]:[Pop
(Kachin/Shan-CCCM as of July 2021)]],16,FALSE)</f>
        <v>0</v>
      </c>
      <c r="EP374" s="923">
        <f>VLOOKUP(WWWW[[#This Row],[Site Name]],SiteDB6[[Site Name]:[Pop
(Kachin/Shan-CCCM as of July 2021)]],17,FALSE)</f>
        <v>0</v>
      </c>
    </row>
    <row r="375" spans="1:146">
      <c r="A375" s="921" t="s">
        <v>2786</v>
      </c>
      <c r="B375" s="921" t="s">
        <v>276</v>
      </c>
      <c r="C375" s="922" t="s">
        <v>276</v>
      </c>
      <c r="D375" s="922" t="s">
        <v>3061</v>
      </c>
      <c r="E375" s="922" t="s">
        <v>37</v>
      </c>
      <c r="F375" s="922" t="s">
        <v>38</v>
      </c>
      <c r="G375" s="594" t="str">
        <f>VLOOKUP(WWWW[[#This Row],[Site Name]],SiteDB6[[Site Name]:[Location Type]],8,FALSE)</f>
        <v>Camp</v>
      </c>
      <c r="H375" s="922" t="s">
        <v>193</v>
      </c>
      <c r="I375" s="924">
        <v>172</v>
      </c>
      <c r="J375" s="924">
        <v>789</v>
      </c>
      <c r="K375" s="591">
        <v>44652</v>
      </c>
      <c r="L375" s="592">
        <v>44895</v>
      </c>
      <c r="M375" s="924"/>
      <c r="N375" s="924"/>
      <c r="O375" s="924"/>
      <c r="P375" s="924"/>
      <c r="Q375" s="927" t="s">
        <v>41</v>
      </c>
      <c r="R375" s="924"/>
      <c r="S375" s="924">
        <v>7</v>
      </c>
      <c r="T375" s="449">
        <v>4</v>
      </c>
      <c r="U375" s="924"/>
      <c r="V375" s="924"/>
      <c r="W375" s="924">
        <v>4</v>
      </c>
      <c r="X375" s="924"/>
      <c r="Y375" s="924"/>
      <c r="Z375" s="924"/>
      <c r="AA375" s="924"/>
      <c r="AB375" s="924"/>
      <c r="AC375" s="924"/>
      <c r="AD375" s="924"/>
      <c r="AE375" s="924"/>
      <c r="AF375" s="924"/>
      <c r="AG375" s="924"/>
      <c r="AH375" s="924"/>
      <c r="AI375" s="924"/>
      <c r="AJ375" s="924"/>
      <c r="AK375" s="924"/>
      <c r="AL375" s="924"/>
      <c r="AM375" s="924"/>
      <c r="AN375" s="924"/>
      <c r="AO375" s="449"/>
      <c r="AP375" s="928"/>
      <c r="AQ375" s="449">
        <v>44</v>
      </c>
      <c r="AR375" s="924"/>
      <c r="AS375" s="929"/>
      <c r="AT375" s="924"/>
      <c r="AU375" s="924"/>
      <c r="AV375" s="449">
        <v>44</v>
      </c>
      <c r="AW375" s="449">
        <v>39</v>
      </c>
      <c r="AX375" s="924"/>
      <c r="AY375" s="923" t="s">
        <v>41</v>
      </c>
      <c r="AZ375" s="928" t="s">
        <v>137</v>
      </c>
      <c r="BA375" s="924"/>
      <c r="BB375" s="924">
        <v>1</v>
      </c>
      <c r="BC375" s="924"/>
      <c r="BD375" s="449"/>
      <c r="BE375" s="449">
        <v>1</v>
      </c>
      <c r="BF375" s="923"/>
      <c r="BG375" s="924">
        <v>4</v>
      </c>
      <c r="BH375" s="924"/>
      <c r="BI375" s="924"/>
      <c r="BJ375" s="924">
        <v>5</v>
      </c>
      <c r="BK375" s="924"/>
      <c r="BL375" s="924"/>
      <c r="BM375" s="924"/>
      <c r="BN375" s="924"/>
      <c r="BO375" s="924"/>
      <c r="BP375" s="923"/>
      <c r="BQ375" s="930"/>
      <c r="BR375" s="929"/>
      <c r="BS375" s="923"/>
      <c r="BT375" s="424"/>
      <c r="BU375" s="424"/>
      <c r="BV375" s="426"/>
      <c r="BW375" s="424"/>
      <c r="BX375" s="449"/>
      <c r="BY375" s="449">
        <v>44</v>
      </c>
      <c r="BZ375" s="449">
        <v>5</v>
      </c>
      <c r="CA375" s="449"/>
      <c r="CB375" s="449"/>
      <c r="CC375" s="807"/>
      <c r="CD375" s="449"/>
      <c r="CE375" s="931" t="str">
        <f>IFERROR(WWWW[[#This Row],['#_Water sources passed]]/WWWW[[#This Row],['#_Water sources tested for fecal coliform ]],"no test")</f>
        <v>no test</v>
      </c>
      <c r="CF375" s="929" t="str">
        <f>IFERROR(WWWW[[#This Row],['#_Household passed]]/WWWW[[#This Row],['#_Household water samples tested for fecal coliform]],"no test")</f>
        <v>no test</v>
      </c>
      <c r="CG375" s="930" t="str">
        <f>IF(AND(WWWW[[#This Row],[% of water sources passed]]="no test",WWWW[[#This Row],[% Household passed]]="no test"),"No Test","Tested")</f>
        <v>No Test</v>
      </c>
      <c r="CH375" s="930">
        <f>WWWW[[#This Row],['#_Constructed/existing protected hand dug well]]-WWWW[[#This Row],['#_Non-functional protected hand dug well]]</f>
        <v>4</v>
      </c>
      <c r="CI375" s="930">
        <f>(WWWW[[#This Row],['#_Constructed/Existing tube wells/boreholes/handpumps_WASH_agency]]+WWWW[[#This Row],['#_Non-Cluster partner water tube-wells/boreholes/handpumps]])-WWWW[[#This Row],['#_Non-functional tube wells/boreholes/handpumps]]</f>
        <v>4</v>
      </c>
      <c r="CJ375" s="930">
        <f>WWWW[[#This Row],['#_Constructed/Existingwater storage tank with gravity fed reticulation system]]-WWWW[[#This Row],['#_Non-functional storage tank gravity fed reticulation system]]</f>
        <v>0</v>
      </c>
      <c r="CK375" s="930">
        <f>(WWWW[[#This Row],['#_Water_Liters_supplied_by_Water boating or water trucking]]/90)/15</f>
        <v>0</v>
      </c>
      <c r="CL375" s="930">
        <f>WWWW[[#This Row],['#_Water_Liters_from_Constructed/Existing water distribution system from river or natural spring]]/90/15</f>
        <v>0</v>
      </c>
      <c r="CM375" s="425">
        <f>IF(WWWW[[#This Row],['#_of water points in TLS/CFS]]*500&gt;WWWW[[#This Row],[Total PoP ]],WWWW[[#This Row],[Total PoP ]],WWWW[[#This Row],['#_of water points in TLS/CFS]]*500)</f>
        <v>0</v>
      </c>
      <c r="CN375" s="425">
        <f>IF(WWWW[[#This Row],['#_of water points in THF]]*500&gt;WWWW[[#This Row],[Total PoP ]],WWWW[[#This Row],[Total PoP ]],WWWW[[#This Row],['#_of water points in THF]]*500)</f>
        <v>0</v>
      </c>
      <c r="CO37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5" s="929">
        <f>IF(WWWW[[#This Row],[Location Type 1]]="Village",WWWW[[#This Row],[Access to safe drinking water for Village]],WWWW[[#This Row],[Access to safe drinking water for Camp]])</f>
        <v>1</v>
      </c>
      <c r="CR375" s="927">
        <f>WWWW[[#This Row],[%Equitable and continuous access to sufficient quantity of safe drinking water]]*WWWW[[#This Row],[Total PoP ]]</f>
        <v>789</v>
      </c>
      <c r="CS375" s="929">
        <f>IF((WWWW[[#This Row],['#_Constructed/Existing protected/fenced ponds]]*250)/WWWW[[#This Row],[Total PoP ]]&gt;1,1,(WWWW[[#This Row],['#_Constructed/Existing protected/fenced ponds]]*250)/WWWW[[#This Row],[Total PoP ]])</f>
        <v>0</v>
      </c>
      <c r="CT375" s="927">
        <f>WWWW[[#This Row],[% Access to unimproved water points]]*WWWW[[#This Row],[Total PoP ]]</f>
        <v>0</v>
      </c>
      <c r="CU37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W375" s="927">
        <f>WWWW[[#This Row],[HRP1]]/500</f>
        <v>1.5780000000000001</v>
      </c>
      <c r="CX375" s="932">
        <f>1-WWWW[[#This Row],[% Equitable and continuous access to sufficient quantity of domestic water]]</f>
        <v>0</v>
      </c>
      <c r="CY375" s="927">
        <f>WWWW[[#This Row],[%equitable and continuous access to sufficient quantity of safe drinking and domestic water''s GAP]]*WWWW[[#This Row],[Total PoP ]]</f>
        <v>0</v>
      </c>
      <c r="CZ375" s="930">
        <f>IF(WWWW[[#This Row],[Total required water points]]-WWWW[[#This Row],['#Water points coverage]]&lt;0,0,WWWW[[#This Row],[Total required water points]]-WWWW[[#This Row],['#Water points coverage]])</f>
        <v>0.42199999999999993</v>
      </c>
      <c r="DA375" s="930">
        <f>ROUND(IF(WWWW[[#This Row],[Total PoP ]]&lt;500,1,WWWW[[#This Row],[Total PoP ]]/500),0)</f>
        <v>2</v>
      </c>
      <c r="DB375" s="930">
        <f>(WWWW[[#This Row],['#_Constructed latrines_by_WASHAgencies]]+WWWW[[#This Row],['#_Non Cluster partner latrines]])-WWWW[[#This Row],['#_Non-functional latrines]]</f>
        <v>44</v>
      </c>
      <c r="DC375" s="634">
        <f>WWWW[[#This Row],[HRP2]]/WWWW[[#This Row],[Total PoP ]]</f>
        <v>1</v>
      </c>
      <c r="DD37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789</v>
      </c>
      <c r="DE37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789</v>
      </c>
      <c r="DF37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5" s="425">
        <f>IF(WWWW[[#This Row],['# of functional latrines in THF supported by WASH partners during the reporting period2]]="",0,WWWW[[#This Row],['# of functional latrines in THF supported by WASH partners during the reporting period2]]*50)</f>
        <v>0</v>
      </c>
      <c r="DH375" s="930">
        <f>ROUND(IF(WWWW[[#This Row],[Location Type 1]]="camp",WWWW[[#This Row],[Total PoP ]]/20,IF(WWWW[[#This Row],[Location Type 1]]="Temporary Location",WWWW[[#This Row],[Total PoP ]]/50,(WWWW[[#This Row],[Total PoP ]]/6))),0)</f>
        <v>39</v>
      </c>
      <c r="DI375" s="930">
        <f>IF(WWWW[[#This Row],[Total required Latrines]]-(WWWW[[#This Row],['#_Constructed latrines_by_WASHAgencies]]+WWWW[[#This Row],['#_Non Cluster partner latrines]])&lt;0,0,WWWW[[#This Row],[Total required Latrines]]-(WWWW[[#This Row],['#_Constructed latrines_by_WASHAgencies]]+WWWW[[#This Row],['#_Non Cluster partner latrines]]))</f>
        <v>0</v>
      </c>
      <c r="DJ375" s="932">
        <f>1-WWWW[[#This Row],[% people access to functioning Latrine]]</f>
        <v>0</v>
      </c>
      <c r="DK375" s="931">
        <f>IF(OR(WWWW[[#This Row],['#_Non-functional latrines]]="",WWWW[[#This Row],['#_Non-functional latrines]]=0),0,WWWW[[#This Row],['#_Non-functional latrines]]/(WWWW[[#This Row],['#_Constructed latrines_by_WASHAgencies]]+WWWW[[#This Row],['#_Non Cluster partner latrines]]))</f>
        <v>0</v>
      </c>
      <c r="DL375" s="927">
        <f>IF(500*(WWWW[[#This Row],['#_male hygiene promoters]]+WWWW[[#This Row],['#_female hygiene promoters]])&gt;WWWW[[#This Row],[Total PoP ]],WWWW[[#This Row],[Total PoP ]],500*(WWWW[[#This Row],['#_male hygiene promoters]]+WWWW[[#This Row],['#_female hygiene promoters]]))</f>
        <v>0</v>
      </c>
      <c r="DM37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5" s="930">
        <f>IF(WWWW[[#This Row],['# People with access to soap]]&gt;WWWW[[#This Row],['# People with access to Sanity Pads]],WWWW[[#This Row],['# People with access to soap]],WWWW[[#This Row],['# People with access to Sanity Pads]])</f>
        <v>0</v>
      </c>
      <c r="DP375"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5" s="932">
        <f>IF(WWWW[[#This Row],[HRP3]]/WWWW[[#This Row],[Total PoP ]]&gt;1,1,WWWW[[#This Row],[HRP3]]/WWWW[[#This Row],[Total PoP ]])</f>
        <v>0</v>
      </c>
      <c r="DR375" s="931">
        <f>1-WWWW[[#This Row],[Hygiene Coverage%]]</f>
        <v>1</v>
      </c>
      <c r="DS375" s="929">
        <f>WWWW[[#This Row],['# people reached by regular dedicated hygiene promotion_5]]/WWWW[[#This Row],[Total PoP ]]</f>
        <v>0</v>
      </c>
      <c r="DT37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5" s="930">
        <f>WWWW[[#This Row],['#_Constructed/Existing hand washing stations]]-WWWW[[#This Row],['#_Non-Functional_hand_washing_stations]]</f>
        <v>4</v>
      </c>
      <c r="DW375" s="927">
        <f>IF(WWWW[[#This Row],['# Functional hand washing stations during reporting period]]*20&gt;WWWW[[#This Row],[Total HH]],WWWW[[#This Row],[Total HH]],WWWW[[#This Row],['# Functional hand washing stations during reporting period]]*20)</f>
        <v>80</v>
      </c>
      <c r="DX375" s="927">
        <f>IF(WWWW[[#This Row],[Is sufficient soap available for TLS? (Yes/No)]]="yes",WWWW[[#This Row],['#_Constructed/Existing hand washing stations at TLS/CFS/THF]],0)</f>
        <v>0</v>
      </c>
      <c r="DY375" s="429">
        <f>IF(WWWW[[#This Row],['# Functional hand washing stations during reporting period]]*100&gt;WWWW[[#This Row],[Total PoP ]],WWWW[[#This Row],[Total PoP ]],WWWW[[#This Row],['# Functional hand washing stations during reporting period]]*100)</f>
        <v>400</v>
      </c>
      <c r="DZ375" s="429" t="str">
        <f>IF(OR(WWWW[[#This Row],['#_students at TLS_CFS]]="",WWWW[[#This Row],['#_students at TLS_CFS]]=0),"No","Yes")</f>
        <v>No</v>
      </c>
      <c r="EA37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49</v>
      </c>
      <c r="EC37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5" s="923" t="str">
        <f>VLOOKUP(WWWW[[#This Row],[Site Name]],SiteDB6[[Site Name]:[CCCM Management]],6,FALSE)</f>
        <v>Yes</v>
      </c>
      <c r="EF375" s="923" t="str">
        <f>VLOOKUP(WWWW[[#This Row],[Site Name]],SiteDB6[[Site Name]:[CCCM Focal Agency]],7,FALSE)</f>
        <v>KBC-BMO</v>
      </c>
      <c r="EG375" s="923" t="str">
        <f>VLOOKUP(WWWW[[#This Row],[Site Name]],SiteDB6[[Site Name]:[Location Type 1]],9,FALSE)</f>
        <v>Camp</v>
      </c>
      <c r="EH375" s="923" t="str">
        <f>VLOOKUP(WWWW[[#This Row],[Site Name]],SiteDB6[[Site Name]:[Type of Accommodation]],10,FALSE)</f>
        <v>Camp</v>
      </c>
      <c r="EI375" s="923" t="str">
        <f>VLOOKUP(WWWW[[#This Row],[Site Name]],SiteDB6[[Site Name]:[Ethnic or GCA/NGCA]],11,FALSE)</f>
        <v>GCA</v>
      </c>
      <c r="EJ375" s="923">
        <f>VLOOKUP(WWWW[[#This Row],[Site Name]],SiteDB6[[Site Name]:[Lat]],12,FALSE)</f>
        <v>24.129059999999999</v>
      </c>
      <c r="EK375" s="923">
        <f>VLOOKUP(WWWW[[#This Row],[Site Name]],SiteDB6[[Site Name]:[Long]],13,FALSE)</f>
        <v>97.291820000000001</v>
      </c>
      <c r="EL375" s="923" t="str">
        <f>VLOOKUP(WWWW[[#This Row],[Site Name]],SiteDB6[[Site Name]:[Pcode]],3,FALSE)</f>
        <v>MMR001CMP066</v>
      </c>
      <c r="EM375" s="928" t="str">
        <f t="shared" si="5"/>
        <v>Covered</v>
      </c>
      <c r="EN375" s="928"/>
      <c r="EO375" s="923">
        <f>VLOOKUP(WWWW[[#This Row],[Site Name]],SiteDB6[[Site Name]:[Pop
(Kachin/Shan-CCCM as of July 2021)]],16,FALSE)</f>
        <v>181</v>
      </c>
      <c r="EP375" s="923">
        <f>VLOOKUP(WWWW[[#This Row],[Site Name]],SiteDB6[[Site Name]:[Pop
(Kachin/Shan-CCCM as of July 2021)]],17,FALSE)</f>
        <v>815</v>
      </c>
    </row>
    <row r="376" spans="1:146">
      <c r="A376" s="921" t="s">
        <v>2786</v>
      </c>
      <c r="B376" s="921" t="s">
        <v>276</v>
      </c>
      <c r="C376" s="922" t="s">
        <v>276</v>
      </c>
      <c r="D376" s="922" t="s">
        <v>3061</v>
      </c>
      <c r="E376" s="922" t="s">
        <v>37</v>
      </c>
      <c r="F376" s="922" t="s">
        <v>205</v>
      </c>
      <c r="G376" s="594" t="str">
        <f>VLOOKUP(WWWW[[#This Row],[Site Name]],SiteDB6[[Site Name]:[Location Type]],8,FALSE)</f>
        <v>Camp_not registered</v>
      </c>
      <c r="H376" s="922" t="s">
        <v>206</v>
      </c>
      <c r="I376" s="924">
        <v>11</v>
      </c>
      <c r="J376" s="924">
        <v>32</v>
      </c>
      <c r="K376" s="925">
        <v>44652</v>
      </c>
      <c r="L376" s="926">
        <v>44895</v>
      </c>
      <c r="M376" s="924"/>
      <c r="N376" s="924"/>
      <c r="O376" s="924"/>
      <c r="P376" s="924"/>
      <c r="Q376" s="927" t="s">
        <v>41</v>
      </c>
      <c r="R376" s="924">
        <v>2</v>
      </c>
      <c r="S376" s="924">
        <v>3</v>
      </c>
      <c r="T376" s="449">
        <v>3</v>
      </c>
      <c r="U376" s="924"/>
      <c r="V376" s="924"/>
      <c r="W376" s="924">
        <v>1</v>
      </c>
      <c r="X376" s="924"/>
      <c r="Y376" s="924"/>
      <c r="Z376" s="924"/>
      <c r="AA376" s="924"/>
      <c r="AB376" s="924"/>
      <c r="AC376" s="924"/>
      <c r="AD376" s="924"/>
      <c r="AE376" s="924"/>
      <c r="AF376" s="924"/>
      <c r="AG376" s="924"/>
      <c r="AH376" s="924"/>
      <c r="AI376" s="924">
        <v>3</v>
      </c>
      <c r="AJ376" s="924">
        <v>1</v>
      </c>
      <c r="AK376" s="924"/>
      <c r="AL376" s="924"/>
      <c r="AM376" s="924"/>
      <c r="AN376" s="924"/>
      <c r="AO376" s="449"/>
      <c r="AP376" s="928" t="s">
        <v>3063</v>
      </c>
      <c r="AQ376" s="924">
        <v>31</v>
      </c>
      <c r="AR376" s="924"/>
      <c r="AS376" s="929"/>
      <c r="AT376" s="924"/>
      <c r="AU376" s="924"/>
      <c r="AV376" s="924">
        <v>31</v>
      </c>
      <c r="AW376" s="924">
        <v>9</v>
      </c>
      <c r="AX376" s="924"/>
      <c r="AY376" s="923" t="s">
        <v>41</v>
      </c>
      <c r="AZ376" s="928" t="s">
        <v>137</v>
      </c>
      <c r="BA376" s="924"/>
      <c r="BB376" s="924"/>
      <c r="BC376" s="924">
        <v>3</v>
      </c>
      <c r="BD376" s="449"/>
      <c r="BE376" s="449"/>
      <c r="BF376" s="923"/>
      <c r="BG376" s="924">
        <v>11</v>
      </c>
      <c r="BH376" s="924"/>
      <c r="BI376" s="924"/>
      <c r="BJ376" s="924">
        <v>3</v>
      </c>
      <c r="BK376" s="924"/>
      <c r="BL376" s="924"/>
      <c r="BM376" s="924"/>
      <c r="BN376" s="924"/>
      <c r="BO376" s="924"/>
      <c r="BP376" s="923"/>
      <c r="BQ376" s="930"/>
      <c r="BR376" s="929"/>
      <c r="BS376" s="923"/>
      <c r="BT376" s="424"/>
      <c r="BU376" s="424"/>
      <c r="BV376" s="426"/>
      <c r="BW376" s="424">
        <v>0</v>
      </c>
      <c r="BX376" s="449"/>
      <c r="BY376" s="449">
        <v>31</v>
      </c>
      <c r="BZ376" s="449">
        <v>3</v>
      </c>
      <c r="CA376" s="449"/>
      <c r="CB376" s="449"/>
      <c r="CC376" s="807"/>
      <c r="CD376" s="449"/>
      <c r="CE376" s="931">
        <f>IFERROR(WWWW[[#This Row],['#_Water sources passed]]/WWWW[[#This Row],['#_Water sources tested for fecal coliform ]],"no test")</f>
        <v>0.33333333333333331</v>
      </c>
      <c r="CF376" s="929" t="str">
        <f>IFERROR(WWWW[[#This Row],['#_Household passed]]/WWWW[[#This Row],['#_Household water samples tested for fecal coliform]],"no test")</f>
        <v>no test</v>
      </c>
      <c r="CG376" s="930" t="str">
        <f>IF(AND(WWWW[[#This Row],[% of water sources passed]]="no test",WWWW[[#This Row],[% Household passed]]="no test"),"No Test","Tested")</f>
        <v>Tested</v>
      </c>
      <c r="CH376" s="930">
        <f>WWWW[[#This Row],['#_Constructed/existing protected hand dug well]]-WWWW[[#This Row],['#_Non-functional protected hand dug well]]</f>
        <v>3</v>
      </c>
      <c r="CI376" s="930">
        <f>(WWWW[[#This Row],['#_Constructed/Existing tube wells/boreholes/handpumps_WASH_agency]]+WWWW[[#This Row],['#_Non-Cluster partner water tube-wells/boreholes/handpumps]])-WWWW[[#This Row],['#_Non-functional tube wells/boreholes/handpumps]]</f>
        <v>1</v>
      </c>
      <c r="CJ376" s="930">
        <f>WWWW[[#This Row],['#_Constructed/Existingwater storage tank with gravity fed reticulation system]]-WWWW[[#This Row],['#_Non-functional storage tank gravity fed reticulation system]]</f>
        <v>0</v>
      </c>
      <c r="CK376" s="930">
        <f>(WWWW[[#This Row],['#_Water_Liters_supplied_by_Water boating or water trucking]]/90)/15</f>
        <v>0</v>
      </c>
      <c r="CL376" s="930">
        <f>WWWW[[#This Row],['#_Water_Liters_from_Constructed/Existing water distribution system from river or natural spring]]/90/15</f>
        <v>0</v>
      </c>
      <c r="CM376" s="425">
        <f>IF(WWWW[[#This Row],['#_of water points in TLS/CFS]]*500&gt;WWWW[[#This Row],[Total PoP ]],WWWW[[#This Row],[Total PoP ]],WWWW[[#This Row],['#_of water points in TLS/CFS]]*500)</f>
        <v>0</v>
      </c>
      <c r="CN376" s="425">
        <f>IF(WWWW[[#This Row],['#_of water points in THF]]*500&gt;WWWW[[#This Row],[Total PoP ]],WWWW[[#This Row],[Total PoP ]],WWWW[[#This Row],['#_of water points in THF]]*500)</f>
        <v>0</v>
      </c>
      <c r="CO37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6" s="929">
        <f>IF(WWWW[[#This Row],[Location Type 1]]="Village",WWWW[[#This Row],[Access to safe drinking water for Village]],WWWW[[#This Row],[Access to safe drinking water for Camp]])</f>
        <v>1</v>
      </c>
      <c r="CR376" s="927">
        <f>WWWW[[#This Row],[%Equitable and continuous access to sufficient quantity of safe drinking water]]*WWWW[[#This Row],[Total PoP ]]</f>
        <v>32</v>
      </c>
      <c r="CS376" s="929">
        <f>IF((WWWW[[#This Row],['#_Constructed/Existing protected/fenced ponds]]*250)/WWWW[[#This Row],[Total PoP ]]&gt;1,1,(WWWW[[#This Row],['#_Constructed/Existing protected/fenced ponds]]*250)/WWWW[[#This Row],[Total PoP ]])</f>
        <v>0</v>
      </c>
      <c r="CT376" s="927">
        <f>WWWW[[#This Row],[% Access to unimproved water points]]*WWWW[[#This Row],[Total PoP ]]</f>
        <v>0</v>
      </c>
      <c r="CU37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W376" s="927">
        <f>WWWW[[#This Row],[HRP1]]/500</f>
        <v>6.4000000000000001E-2</v>
      </c>
      <c r="CX376" s="932">
        <f>1-WWWW[[#This Row],[% Equitable and continuous access to sufficient quantity of domestic water]]</f>
        <v>0</v>
      </c>
      <c r="CY376" s="927">
        <f>WWWW[[#This Row],[%equitable and continuous access to sufficient quantity of safe drinking and domestic water''s GAP]]*WWWW[[#This Row],[Total PoP ]]</f>
        <v>0</v>
      </c>
      <c r="CZ376" s="930">
        <f>IF(WWWW[[#This Row],[Total required water points]]-WWWW[[#This Row],['#Water points coverage]]&lt;0,0,WWWW[[#This Row],[Total required water points]]-WWWW[[#This Row],['#Water points coverage]])</f>
        <v>0.93599999999999994</v>
      </c>
      <c r="DA376" s="930">
        <f>ROUND(IF(WWWW[[#This Row],[Total PoP ]]&lt;500,1,WWWW[[#This Row],[Total PoP ]]/500),0)</f>
        <v>1</v>
      </c>
      <c r="DB376" s="930">
        <f>(WWWW[[#This Row],['#_Constructed latrines_by_WASHAgencies]]+WWWW[[#This Row],['#_Non Cluster partner latrines]])-WWWW[[#This Row],['#_Non-functional latrines]]</f>
        <v>31</v>
      </c>
      <c r="DC376" s="634">
        <f>WWWW[[#This Row],[HRP2]]/WWWW[[#This Row],[Total PoP ]]</f>
        <v>1</v>
      </c>
      <c r="DD37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32</v>
      </c>
      <c r="DE37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v>
      </c>
      <c r="DF37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6" s="425">
        <f>IF(WWWW[[#This Row],['# of functional latrines in THF supported by WASH partners during the reporting period2]]="",0,WWWW[[#This Row],['# of functional latrines in THF supported by WASH partners during the reporting period2]]*50)</f>
        <v>0</v>
      </c>
      <c r="DH376" s="930">
        <f>ROUND(IF(WWWW[[#This Row],[Location Type 1]]="camp",WWWW[[#This Row],[Total PoP ]]/20,IF(WWWW[[#This Row],[Location Type 1]]="Temporary Location",WWWW[[#This Row],[Total PoP ]]/50,(WWWW[[#This Row],[Total PoP ]]/6))),0)</f>
        <v>2</v>
      </c>
      <c r="DI376" s="930">
        <f>IF(WWWW[[#This Row],[Total required Latrines]]-(WWWW[[#This Row],['#_Constructed latrines_by_WASHAgencies]]+WWWW[[#This Row],['#_Non Cluster partner latrines]])&lt;0,0,WWWW[[#This Row],[Total required Latrines]]-(WWWW[[#This Row],['#_Constructed latrines_by_WASHAgencies]]+WWWW[[#This Row],['#_Non Cluster partner latrines]]))</f>
        <v>0</v>
      </c>
      <c r="DJ376" s="932">
        <f>1-WWWW[[#This Row],[% people access to functioning Latrine]]</f>
        <v>0</v>
      </c>
      <c r="DK376" s="931">
        <f>IF(OR(WWWW[[#This Row],['#_Non-functional latrines]]="",WWWW[[#This Row],['#_Non-functional latrines]]=0),0,WWWW[[#This Row],['#_Non-functional latrines]]/(WWWW[[#This Row],['#_Constructed latrines_by_WASHAgencies]]+WWWW[[#This Row],['#_Non Cluster partner latrines]]))</f>
        <v>0</v>
      </c>
      <c r="DL376" s="927">
        <f>IF(500*(WWWW[[#This Row],['#_male hygiene promoters]]+WWWW[[#This Row],['#_female hygiene promoters]])&gt;WWWW[[#This Row],[Total PoP ]],WWWW[[#This Row],[Total PoP ]],500*(WWWW[[#This Row],['#_male hygiene promoters]]+WWWW[[#This Row],['#_female hygiene promoters]]))</f>
        <v>0</v>
      </c>
      <c r="DM37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6" s="930">
        <f>IF(WWWW[[#This Row],['# People with access to soap]]&gt;WWWW[[#This Row],['# People with access to Sanity Pads]],WWWW[[#This Row],['# People with access to soap]],WWWW[[#This Row],['# People with access to Sanity Pads]])</f>
        <v>0</v>
      </c>
      <c r="DP37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6" s="932">
        <f>IF(WWWW[[#This Row],[HRP3]]/WWWW[[#This Row],[Total PoP ]]&gt;1,1,WWWW[[#This Row],[HRP3]]/WWWW[[#This Row],[Total PoP ]])</f>
        <v>0</v>
      </c>
      <c r="DR376" s="931">
        <f>1-WWWW[[#This Row],[Hygiene Coverage%]]</f>
        <v>1</v>
      </c>
      <c r="DS376" s="929">
        <f>WWWW[[#This Row],['# people reached by regular dedicated hygiene promotion_5]]/WWWW[[#This Row],[Total PoP ]]</f>
        <v>0</v>
      </c>
      <c r="DT37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6" s="930">
        <f>WWWW[[#This Row],['#_Constructed/Existing hand washing stations]]-WWWW[[#This Row],['#_Non-Functional_hand_washing_stations]]</f>
        <v>11</v>
      </c>
      <c r="DW376" s="927">
        <f>IF(WWWW[[#This Row],['# Functional hand washing stations during reporting period]]*20&gt;WWWW[[#This Row],[Total HH]],WWWW[[#This Row],[Total HH]],WWWW[[#This Row],['# Functional hand washing stations during reporting period]]*20)</f>
        <v>11</v>
      </c>
      <c r="DX376" s="927">
        <f>IF(WWWW[[#This Row],[Is sufficient soap available for TLS? (Yes/No)]]="yes",WWWW[[#This Row],['#_Constructed/Existing hand washing stations at TLS/CFS/THF]],0)</f>
        <v>0</v>
      </c>
      <c r="DY376" s="429">
        <f>IF(WWWW[[#This Row],['# Functional hand washing stations during reporting period]]*100&gt;WWWW[[#This Row],[Total PoP ]],WWWW[[#This Row],[Total PoP ]],WWWW[[#This Row],['# Functional hand washing stations during reporting period]]*100)</f>
        <v>32</v>
      </c>
      <c r="DZ376" s="429" t="str">
        <f>IF(OR(WWWW[[#This Row],['#_students at TLS_CFS]]="",WWWW[[#This Row],['#_students at TLS_CFS]]=0),"No","Yes")</f>
        <v>No</v>
      </c>
      <c r="EA37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34</v>
      </c>
      <c r="EC37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6" s="923">
        <f>VLOOKUP(WWWW[[#This Row],[Site Name]],SiteDB6[[Site Name]:[CCCM Management]],6,FALSE)</f>
        <v>0</v>
      </c>
      <c r="EF376" s="923">
        <f>VLOOKUP(WWWW[[#This Row],[Site Name]],SiteDB6[[Site Name]:[CCCM Focal Agency]],7,FALSE)</f>
        <v>0</v>
      </c>
      <c r="EG376" s="923" t="str">
        <f>VLOOKUP(WWWW[[#This Row],[Site Name]],SiteDB6[[Site Name]:[Location Type 1]],9,FALSE)</f>
        <v>Camp</v>
      </c>
      <c r="EH376" s="923" t="str">
        <f>VLOOKUP(WWWW[[#This Row],[Site Name]],SiteDB6[[Site Name]:[Type of Accommodation]],10,FALSE)</f>
        <v>Camp</v>
      </c>
      <c r="EI376" s="923" t="str">
        <f>VLOOKUP(WWWW[[#This Row],[Site Name]],SiteDB6[[Site Name]:[Ethnic or GCA/NGCA]],11,FALSE)</f>
        <v>GCA</v>
      </c>
      <c r="EJ376" s="923">
        <f>VLOOKUP(WWWW[[#This Row],[Site Name]],SiteDB6[[Site Name]:[Lat]],12,FALSE)</f>
        <v>0</v>
      </c>
      <c r="EK376" s="923">
        <f>VLOOKUP(WWWW[[#This Row],[Site Name]],SiteDB6[[Site Name]:[Long]],13,FALSE)</f>
        <v>0</v>
      </c>
      <c r="EL376" s="923">
        <f>VLOOKUP(WWWW[[#This Row],[Site Name]],SiteDB6[[Site Name]:[Pcode]],3,FALSE)</f>
        <v>0</v>
      </c>
      <c r="EM376" s="928" t="str">
        <f t="shared" si="5"/>
        <v>Covered</v>
      </c>
      <c r="EN376" s="928"/>
      <c r="EO376" s="923">
        <f>VLOOKUP(WWWW[[#This Row],[Site Name]],SiteDB6[[Site Name]:[Pop
(Kachin/Shan-CCCM as of July 2021)]],16,FALSE)</f>
        <v>0</v>
      </c>
      <c r="EP376" s="923">
        <f>VLOOKUP(WWWW[[#This Row],[Site Name]],SiteDB6[[Site Name]:[Pop
(Kachin/Shan-CCCM as of July 2021)]],17,FALSE)</f>
        <v>0</v>
      </c>
    </row>
    <row r="377" spans="1:146">
      <c r="A377" s="921" t="s">
        <v>2786</v>
      </c>
      <c r="B377" s="921" t="s">
        <v>276</v>
      </c>
      <c r="C377" s="922" t="s">
        <v>276</v>
      </c>
      <c r="D377" s="922" t="s">
        <v>3061</v>
      </c>
      <c r="E377" s="922" t="s">
        <v>37</v>
      </c>
      <c r="F377" s="922" t="s">
        <v>205</v>
      </c>
      <c r="G377" s="594" t="str">
        <f>VLOOKUP(WWWW[[#This Row],[Site Name]],SiteDB6[[Site Name]:[Location Type]],8,FALSE)</f>
        <v>Camp_not registered</v>
      </c>
      <c r="H377" s="922" t="s">
        <v>2161</v>
      </c>
      <c r="I377" s="924">
        <v>3</v>
      </c>
      <c r="J377" s="924">
        <v>16</v>
      </c>
      <c r="K377" s="925">
        <v>44652</v>
      </c>
      <c r="L377" s="926">
        <v>44895</v>
      </c>
      <c r="M377" s="924"/>
      <c r="N377" s="924"/>
      <c r="O377" s="924"/>
      <c r="P377" s="924"/>
      <c r="Q377" s="927" t="s">
        <v>41</v>
      </c>
      <c r="R377" s="924">
        <v>3</v>
      </c>
      <c r="S377" s="924">
        <v>8</v>
      </c>
      <c r="T377" s="449"/>
      <c r="U377" s="924"/>
      <c r="V377" s="924"/>
      <c r="W377" s="924">
        <v>1</v>
      </c>
      <c r="X377" s="924"/>
      <c r="Y377" s="924"/>
      <c r="Z377" s="924"/>
      <c r="AA377" s="924"/>
      <c r="AB377" s="924"/>
      <c r="AC377" s="924"/>
      <c r="AD377" s="924"/>
      <c r="AE377" s="924"/>
      <c r="AF377" s="924"/>
      <c r="AG377" s="924"/>
      <c r="AH377" s="924"/>
      <c r="AI377" s="924">
        <v>2</v>
      </c>
      <c r="AJ377" s="924">
        <v>2</v>
      </c>
      <c r="AK377" s="924">
        <v>3</v>
      </c>
      <c r="AL377" s="924">
        <v>3</v>
      </c>
      <c r="AM377" s="924"/>
      <c r="AN377" s="924"/>
      <c r="AO377" s="449"/>
      <c r="AP377" s="928"/>
      <c r="AQ377" s="924">
        <v>12</v>
      </c>
      <c r="AR377" s="924"/>
      <c r="AS377" s="929"/>
      <c r="AT377" s="924"/>
      <c r="AU377" s="924"/>
      <c r="AV377" s="924">
        <v>8</v>
      </c>
      <c r="AW377" s="924">
        <v>3.2</v>
      </c>
      <c r="AX377" s="924"/>
      <c r="AY377" s="923" t="s">
        <v>41</v>
      </c>
      <c r="AZ377" s="928" t="s">
        <v>137</v>
      </c>
      <c r="BA377" s="924"/>
      <c r="BB377" s="924"/>
      <c r="BC377" s="924"/>
      <c r="BD377" s="449"/>
      <c r="BE377" s="449"/>
      <c r="BF377" s="923"/>
      <c r="BG377" s="924">
        <v>7</v>
      </c>
      <c r="BH377" s="924"/>
      <c r="BI377" s="924"/>
      <c r="BJ377" s="924">
        <v>7</v>
      </c>
      <c r="BK377" s="924"/>
      <c r="BL377" s="924"/>
      <c r="BM377" s="924">
        <v>1</v>
      </c>
      <c r="BN377" s="924">
        <v>11</v>
      </c>
      <c r="BO377" s="924"/>
      <c r="BP377" s="923"/>
      <c r="BQ377" s="930"/>
      <c r="BR377" s="929"/>
      <c r="BS377" s="923"/>
      <c r="BT377" s="424">
        <v>1</v>
      </c>
      <c r="BU377" s="424">
        <v>1</v>
      </c>
      <c r="BV377" s="426">
        <v>5</v>
      </c>
      <c r="BW377" s="424">
        <v>0</v>
      </c>
      <c r="BX377" s="449"/>
      <c r="BY377" s="449">
        <v>12</v>
      </c>
      <c r="BZ377" s="449">
        <v>2</v>
      </c>
      <c r="CA377" s="449"/>
      <c r="CB377" s="449"/>
      <c r="CC377" s="807"/>
      <c r="CD377" s="449"/>
      <c r="CE377" s="931">
        <f>IFERROR(WWWW[[#This Row],['#_Water sources passed]]/WWWW[[#This Row],['#_Water sources tested for fecal coliform ]],"no test")</f>
        <v>1</v>
      </c>
      <c r="CF377" s="929">
        <f>IFERROR(WWWW[[#This Row],['#_Household passed]]/WWWW[[#This Row],['#_Household water samples tested for fecal coliform]],"no test")</f>
        <v>1</v>
      </c>
      <c r="CG377" s="930" t="str">
        <f>IF(AND(WWWW[[#This Row],[% of water sources passed]]="no test",WWWW[[#This Row],[% Household passed]]="no test"),"No Test","Tested")</f>
        <v>Tested</v>
      </c>
      <c r="CH377" s="930">
        <f>WWWW[[#This Row],['#_Constructed/existing protected hand dug well]]-WWWW[[#This Row],['#_Non-functional protected hand dug well]]</f>
        <v>0</v>
      </c>
      <c r="CI377" s="930">
        <f>(WWWW[[#This Row],['#_Constructed/Existing tube wells/boreholes/handpumps_WASH_agency]]+WWWW[[#This Row],['#_Non-Cluster partner water tube-wells/boreholes/handpumps]])-WWWW[[#This Row],['#_Non-functional tube wells/boreholes/handpumps]]</f>
        <v>1</v>
      </c>
      <c r="CJ377" s="930">
        <f>WWWW[[#This Row],['#_Constructed/Existingwater storage tank with gravity fed reticulation system]]-WWWW[[#This Row],['#_Non-functional storage tank gravity fed reticulation system]]</f>
        <v>0</v>
      </c>
      <c r="CK377" s="930">
        <f>(WWWW[[#This Row],['#_Water_Liters_supplied_by_Water boating or water trucking]]/90)/15</f>
        <v>0</v>
      </c>
      <c r="CL377" s="930">
        <f>WWWW[[#This Row],['#_Water_Liters_from_Constructed/Existing water distribution system from river or natural spring]]/90/15</f>
        <v>0</v>
      </c>
      <c r="CM377" s="425">
        <f>IF(WWWW[[#This Row],['#_of water points in TLS/CFS]]*500&gt;WWWW[[#This Row],[Total PoP ]],WWWW[[#This Row],[Total PoP ]],WWWW[[#This Row],['#_of water points in TLS/CFS]]*500)</f>
        <v>0</v>
      </c>
      <c r="CN377" s="425">
        <f>IF(WWWW[[#This Row],['#_of water points in THF]]*500&gt;WWWW[[#This Row],[Total PoP ]],WWWW[[#This Row],[Total PoP ]],WWWW[[#This Row],['#_of water points in THF]]*500)</f>
        <v>0</v>
      </c>
      <c r="CO37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7" s="929">
        <f>IF(WWWW[[#This Row],[Location Type 1]]="Village",WWWW[[#This Row],[Access to safe drinking water for Village]],WWWW[[#This Row],[Access to safe drinking water for Camp]])</f>
        <v>1</v>
      </c>
      <c r="CR377" s="927">
        <f>WWWW[[#This Row],[%Equitable and continuous access to sufficient quantity of safe drinking water]]*WWWW[[#This Row],[Total PoP ]]</f>
        <v>16</v>
      </c>
      <c r="CS377" s="929">
        <f>IF((WWWW[[#This Row],['#_Constructed/Existing protected/fenced ponds]]*250)/WWWW[[#This Row],[Total PoP ]]&gt;1,1,(WWWW[[#This Row],['#_Constructed/Existing protected/fenced ponds]]*250)/WWWW[[#This Row],[Total PoP ]])</f>
        <v>0</v>
      </c>
      <c r="CT377" s="927">
        <f>WWWW[[#This Row],[% Access to unimproved water points]]*WWWW[[#This Row],[Total PoP ]]</f>
        <v>0</v>
      </c>
      <c r="CU37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v>
      </c>
      <c r="CW377" s="927">
        <f>WWWW[[#This Row],[HRP1]]/500</f>
        <v>3.2000000000000001E-2</v>
      </c>
      <c r="CX377" s="932">
        <f>1-WWWW[[#This Row],[% Equitable and continuous access to sufficient quantity of domestic water]]</f>
        <v>0</v>
      </c>
      <c r="CY377" s="927">
        <f>WWWW[[#This Row],[%equitable and continuous access to sufficient quantity of safe drinking and domestic water''s GAP]]*WWWW[[#This Row],[Total PoP ]]</f>
        <v>0</v>
      </c>
      <c r="CZ377" s="930">
        <f>IF(WWWW[[#This Row],[Total required water points]]-WWWW[[#This Row],['#Water points coverage]]&lt;0,0,WWWW[[#This Row],[Total required water points]]-WWWW[[#This Row],['#Water points coverage]])</f>
        <v>0.96799999999999997</v>
      </c>
      <c r="DA377" s="930">
        <f>ROUND(IF(WWWW[[#This Row],[Total PoP ]]&lt;500,1,WWWW[[#This Row],[Total PoP ]]/500),0)</f>
        <v>1</v>
      </c>
      <c r="DB377" s="930">
        <f>(WWWW[[#This Row],['#_Constructed latrines_by_WASHAgencies]]+WWWW[[#This Row],['#_Non Cluster partner latrines]])-WWWW[[#This Row],['#_Non-functional latrines]]</f>
        <v>12</v>
      </c>
      <c r="DC377" s="634">
        <f>WWWW[[#This Row],[HRP2]]/WWWW[[#This Row],[Total PoP ]]</f>
        <v>1</v>
      </c>
      <c r="DD37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v>
      </c>
      <c r="DE37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v>
      </c>
      <c r="DF37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7" s="425">
        <f>IF(WWWW[[#This Row],['# of functional latrines in THF supported by WASH partners during the reporting period2]]="",0,WWWW[[#This Row],['# of functional latrines in THF supported by WASH partners during the reporting period2]]*50)</f>
        <v>0</v>
      </c>
      <c r="DH377" s="930">
        <f>ROUND(IF(WWWW[[#This Row],[Location Type 1]]="camp",WWWW[[#This Row],[Total PoP ]]/20,IF(WWWW[[#This Row],[Location Type 1]]="Temporary Location",WWWW[[#This Row],[Total PoP ]]/50,(WWWW[[#This Row],[Total PoP ]]/6))),0)</f>
        <v>1</v>
      </c>
      <c r="DI377" s="930">
        <f>IF(WWWW[[#This Row],[Total required Latrines]]-(WWWW[[#This Row],['#_Constructed latrines_by_WASHAgencies]]+WWWW[[#This Row],['#_Non Cluster partner latrines]])&lt;0,0,WWWW[[#This Row],[Total required Latrines]]-(WWWW[[#This Row],['#_Constructed latrines_by_WASHAgencies]]+WWWW[[#This Row],['#_Non Cluster partner latrines]]))</f>
        <v>0</v>
      </c>
      <c r="DJ377" s="932">
        <f>1-WWWW[[#This Row],[% people access to functioning Latrine]]</f>
        <v>0</v>
      </c>
      <c r="DK377" s="931">
        <f>IF(OR(WWWW[[#This Row],['#_Non-functional latrines]]="",WWWW[[#This Row],['#_Non-functional latrines]]=0),0,WWWW[[#This Row],['#_Non-functional latrines]]/(WWWW[[#This Row],['#_Constructed latrines_by_WASHAgencies]]+WWWW[[#This Row],['#_Non Cluster partner latrines]]))</f>
        <v>0</v>
      </c>
      <c r="DL377" s="927">
        <f>IF(500*(WWWW[[#This Row],['#_male hygiene promoters]]+WWWW[[#This Row],['#_female hygiene promoters]])&gt;WWWW[[#This Row],[Total PoP ]],WWWW[[#This Row],[Total PoP ]],500*(WWWW[[#This Row],['#_male hygiene promoters]]+WWWW[[#This Row],['#_female hygiene promoters]]))</f>
        <v>16</v>
      </c>
      <c r="DM37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v>
      </c>
      <c r="DN37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7" s="930">
        <f>IF(WWWW[[#This Row],['# People with access to soap]]&gt;WWWW[[#This Row],['# People with access to Sanity Pads]],WWWW[[#This Row],['# People with access to soap]],WWWW[[#This Row],['# People with access to Sanity Pads]])</f>
        <v>16</v>
      </c>
      <c r="DP377" s="930">
        <f>IF(WWWW[[#This Row],['# people reached by regular dedicated hygiene promotion_5]]&gt;WWWW[[#This Row],['# People received regular supply of hygiene items_6]],WWWW[[#This Row],['# people reached by regular dedicated hygiene promotion_5]],WWWW[[#This Row],['# People received regular supply of hygiene items_6]])</f>
        <v>16</v>
      </c>
      <c r="DQ377" s="932">
        <f>IF(WWWW[[#This Row],[HRP3]]/WWWW[[#This Row],[Total PoP ]]&gt;1,1,WWWW[[#This Row],[HRP3]]/WWWW[[#This Row],[Total PoP ]])</f>
        <v>1</v>
      </c>
      <c r="DR377" s="931">
        <f>1-WWWW[[#This Row],[Hygiene Coverage%]]</f>
        <v>0</v>
      </c>
      <c r="DS377" s="929">
        <f>WWWW[[#This Row],['# people reached by regular dedicated hygiene promotion_5]]/WWWW[[#This Row],[Total PoP ]]</f>
        <v>1</v>
      </c>
      <c r="DT37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7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7" s="930">
        <f>WWWW[[#This Row],['#_Constructed/Existing hand washing stations]]-WWWW[[#This Row],['#_Non-Functional_hand_washing_stations]]</f>
        <v>7</v>
      </c>
      <c r="DW377" s="927">
        <f>IF(WWWW[[#This Row],['# Functional hand washing stations during reporting period]]*20&gt;WWWW[[#This Row],[Total HH]],WWWW[[#This Row],[Total HH]],WWWW[[#This Row],['# Functional hand washing stations during reporting period]]*20)</f>
        <v>3</v>
      </c>
      <c r="DX377" s="927">
        <f>IF(WWWW[[#This Row],[Is sufficient soap available for TLS? (Yes/No)]]="yes",WWWW[[#This Row],['#_Constructed/Existing hand washing stations at TLS/CFS/THF]],0)</f>
        <v>0</v>
      </c>
      <c r="DY377" s="429">
        <f>IF(WWWW[[#This Row],['# Functional hand washing stations during reporting period]]*100&gt;WWWW[[#This Row],[Total PoP ]],WWWW[[#This Row],[Total PoP ]],WWWW[[#This Row],['# Functional hand washing stations during reporting period]]*100)</f>
        <v>16</v>
      </c>
      <c r="DZ377" s="429" t="str">
        <f>IF(OR(WWWW[[#This Row],['#_students at TLS_CFS]]="",WWWW[[#This Row],['#_students at TLS_CFS]]=0),"No","Yes")</f>
        <v>No</v>
      </c>
      <c r="EA377" s="634">
        <f>IF(WWWW[[#This Row],['#_of_affected_people_surveyed_who_report_feeling_informed_about_the_different_WASH_services_available_to_them]]="","",WWWW[[#This Row],['#_of_affected_people_surveyed_who_report_feeling_informed_about_the_different_WASH_services_available_to_them]]/WWWW[[#This Row],[Total PoP ]])</f>
        <v>0.3125</v>
      </c>
      <c r="EB37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14</v>
      </c>
      <c r="EC37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7" s="923">
        <f>VLOOKUP(WWWW[[#This Row],[Site Name]],SiteDB6[[Site Name]:[CCCM Management]],6,FALSE)</f>
        <v>0</v>
      </c>
      <c r="EF377" s="923">
        <f>VLOOKUP(WWWW[[#This Row],[Site Name]],SiteDB6[[Site Name]:[CCCM Focal Agency]],7,FALSE)</f>
        <v>0</v>
      </c>
      <c r="EG377" s="923" t="str">
        <f>VLOOKUP(WWWW[[#This Row],[Site Name]],SiteDB6[[Site Name]:[Location Type 1]],9,FALSE)</f>
        <v>Camp</v>
      </c>
      <c r="EH377" s="923" t="str">
        <f>VLOOKUP(WWWW[[#This Row],[Site Name]],SiteDB6[[Site Name]:[Type of Accommodation]],10,FALSE)</f>
        <v>Camp</v>
      </c>
      <c r="EI377" s="923" t="str">
        <f>VLOOKUP(WWWW[[#This Row],[Site Name]],SiteDB6[[Site Name]:[Ethnic or GCA/NGCA]],11,FALSE)</f>
        <v>GCA</v>
      </c>
      <c r="EJ377" s="923">
        <f>VLOOKUP(WWWW[[#This Row],[Site Name]],SiteDB6[[Site Name]:[Lat]],12,FALSE)</f>
        <v>0</v>
      </c>
      <c r="EK377" s="923">
        <f>VLOOKUP(WWWW[[#This Row],[Site Name]],SiteDB6[[Site Name]:[Long]],13,FALSE)</f>
        <v>0</v>
      </c>
      <c r="EL377" s="923">
        <f>VLOOKUP(WWWW[[#This Row],[Site Name]],SiteDB6[[Site Name]:[Pcode]],3,FALSE)</f>
        <v>0</v>
      </c>
      <c r="EM377" s="928" t="str">
        <f t="shared" si="5"/>
        <v>Covered</v>
      </c>
      <c r="EN377" s="928"/>
      <c r="EO377" s="923">
        <f>VLOOKUP(WWWW[[#This Row],[Site Name]],SiteDB6[[Site Name]:[Pop
(Kachin/Shan-CCCM as of July 2021)]],16,FALSE)</f>
        <v>0</v>
      </c>
      <c r="EP377" s="923">
        <f>VLOOKUP(WWWW[[#This Row],[Site Name]],SiteDB6[[Site Name]:[Pop
(Kachin/Shan-CCCM as of July 2021)]],17,FALSE)</f>
        <v>0</v>
      </c>
    </row>
    <row r="378" spans="1:146">
      <c r="A378" s="921" t="s">
        <v>2786</v>
      </c>
      <c r="B378" s="921" t="s">
        <v>276</v>
      </c>
      <c r="C378" s="922" t="s">
        <v>276</v>
      </c>
      <c r="D378" s="922" t="s">
        <v>3061</v>
      </c>
      <c r="E378" s="922" t="s">
        <v>37</v>
      </c>
      <c r="F378" s="922" t="s">
        <v>205</v>
      </c>
      <c r="G378" s="594" t="str">
        <f>VLOOKUP(WWWW[[#This Row],[Site Name]],SiteDB6[[Site Name]:[Location Type]],8,FALSE)</f>
        <v>Camp_not registered</v>
      </c>
      <c r="H378" s="922" t="s">
        <v>207</v>
      </c>
      <c r="I378" s="924">
        <v>1597</v>
      </c>
      <c r="J378" s="924">
        <v>8250</v>
      </c>
      <c r="K378" s="925">
        <v>44652</v>
      </c>
      <c r="L378" s="926">
        <v>44895</v>
      </c>
      <c r="M378" s="924"/>
      <c r="N378" s="924"/>
      <c r="O378" s="924"/>
      <c r="P378" s="924"/>
      <c r="Q378" s="927" t="s">
        <v>41</v>
      </c>
      <c r="R378" s="924">
        <v>1</v>
      </c>
      <c r="S378" s="924">
        <v>5</v>
      </c>
      <c r="T378" s="449">
        <v>1</v>
      </c>
      <c r="U378" s="924"/>
      <c r="V378" s="924"/>
      <c r="W378" s="924"/>
      <c r="X378" s="924"/>
      <c r="Y378" s="924"/>
      <c r="Z378" s="924"/>
      <c r="AA378" s="924"/>
      <c r="AB378" s="924"/>
      <c r="AC378" s="924"/>
      <c r="AD378" s="924"/>
      <c r="AE378" s="924"/>
      <c r="AF378" s="924"/>
      <c r="AG378" s="924"/>
      <c r="AH378" s="924"/>
      <c r="AI378" s="924">
        <v>1</v>
      </c>
      <c r="AJ378" s="924">
        <v>0</v>
      </c>
      <c r="AK378" s="924"/>
      <c r="AL378" s="924"/>
      <c r="AM378" s="924"/>
      <c r="AN378" s="924"/>
      <c r="AO378" s="449"/>
      <c r="AP378" s="928" t="s">
        <v>3064</v>
      </c>
      <c r="AQ378" s="924">
        <v>6</v>
      </c>
      <c r="AR378" s="924"/>
      <c r="AS378" s="929"/>
      <c r="AT378" s="924"/>
      <c r="AU378" s="924"/>
      <c r="AV378" s="924">
        <v>6</v>
      </c>
      <c r="AW378" s="924">
        <v>4</v>
      </c>
      <c r="AX378" s="924"/>
      <c r="AY378" s="923" t="s">
        <v>41</v>
      </c>
      <c r="AZ378" s="928" t="s">
        <v>137</v>
      </c>
      <c r="BA378" s="924"/>
      <c r="BB378" s="924"/>
      <c r="BC378" s="924"/>
      <c r="BD378" s="449"/>
      <c r="BE378" s="449"/>
      <c r="BF378" s="923"/>
      <c r="BG378" s="924"/>
      <c r="BH378" s="924"/>
      <c r="BI378" s="924"/>
      <c r="BJ378" s="924">
        <v>2</v>
      </c>
      <c r="BK378" s="924"/>
      <c r="BL378" s="924"/>
      <c r="BM378" s="924"/>
      <c r="BN378" s="924"/>
      <c r="BO378" s="924"/>
      <c r="BP378" s="923"/>
      <c r="BQ378" s="930"/>
      <c r="BR378" s="929"/>
      <c r="BS378" s="923"/>
      <c r="BT378" s="424"/>
      <c r="BU378" s="424"/>
      <c r="BV378" s="426"/>
      <c r="BW378" s="424">
        <v>0</v>
      </c>
      <c r="BX378" s="449"/>
      <c r="BY378" s="449">
        <v>6</v>
      </c>
      <c r="BZ378" s="449">
        <v>2</v>
      </c>
      <c r="CA378" s="449"/>
      <c r="CB378" s="449"/>
      <c r="CC378" s="807"/>
      <c r="CD378" s="449"/>
      <c r="CE378" s="931">
        <f>IFERROR(WWWW[[#This Row],['#_Water sources passed]]/WWWW[[#This Row],['#_Water sources tested for fecal coliform ]],"no test")</f>
        <v>0</v>
      </c>
      <c r="CF378" s="929" t="str">
        <f>IFERROR(WWWW[[#This Row],['#_Household passed]]/WWWW[[#This Row],['#_Household water samples tested for fecal coliform]],"no test")</f>
        <v>no test</v>
      </c>
      <c r="CG378" s="930" t="str">
        <f>IF(AND(WWWW[[#This Row],[% of water sources passed]]="no test",WWWW[[#This Row],[% Household passed]]="no test"),"No Test","Tested")</f>
        <v>Tested</v>
      </c>
      <c r="CH378" s="930">
        <f>WWWW[[#This Row],['#_Constructed/existing protected hand dug well]]-WWWW[[#This Row],['#_Non-functional protected hand dug well]]</f>
        <v>1</v>
      </c>
      <c r="CI378" s="930">
        <f>(WWWW[[#This Row],['#_Constructed/Existing tube wells/boreholes/handpumps_WASH_agency]]+WWWW[[#This Row],['#_Non-Cluster partner water tube-wells/boreholes/handpumps]])-WWWW[[#This Row],['#_Non-functional tube wells/boreholes/handpumps]]</f>
        <v>0</v>
      </c>
      <c r="CJ378" s="930">
        <f>WWWW[[#This Row],['#_Constructed/Existingwater storage tank with gravity fed reticulation system]]-WWWW[[#This Row],['#_Non-functional storage tank gravity fed reticulation system]]</f>
        <v>0</v>
      </c>
      <c r="CK378" s="930">
        <f>(WWWW[[#This Row],['#_Water_Liters_supplied_by_Water boating or water trucking]]/90)/15</f>
        <v>0</v>
      </c>
      <c r="CL378" s="930">
        <f>WWWW[[#This Row],['#_Water_Liters_from_Constructed/Existing water distribution system from river or natural spring]]/90/15</f>
        <v>0</v>
      </c>
      <c r="CM378" s="425">
        <f>IF(WWWW[[#This Row],['#_of water points in TLS/CFS]]*500&gt;WWWW[[#This Row],[Total PoP ]],WWWW[[#This Row],[Total PoP ]],WWWW[[#This Row],['#_of water points in TLS/CFS]]*500)</f>
        <v>0</v>
      </c>
      <c r="CN378" s="425">
        <f>IF(WWWW[[#This Row],['#_of water points in THF]]*500&gt;WWWW[[#This Row],[Total PoP ]],WWWW[[#This Row],[Total PoP ]],WWWW[[#This Row],['#_of water points in THF]]*500)</f>
        <v>0</v>
      </c>
      <c r="CO37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4.8484848484848485E-2</v>
      </c>
      <c r="CP37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3.0303030303030304E-2</v>
      </c>
      <c r="CQ378" s="929">
        <f>IF(WWWW[[#This Row],[Location Type 1]]="Village",WWWW[[#This Row],[Access to safe drinking water for Village]],WWWW[[#This Row],[Access to safe drinking water for Camp]])</f>
        <v>4.8484848484848485E-2</v>
      </c>
      <c r="CR378" s="927">
        <f>WWWW[[#This Row],[%Equitable and continuous access to sufficient quantity of safe drinking water]]*WWWW[[#This Row],[Total PoP ]]</f>
        <v>400</v>
      </c>
      <c r="CS378" s="929">
        <f>IF((WWWW[[#This Row],['#_Constructed/Existing protected/fenced ponds]]*250)/WWWW[[#This Row],[Total PoP ]]&gt;1,1,(WWWW[[#This Row],['#_Constructed/Existing protected/fenced ponds]]*250)/WWWW[[#This Row],[Total PoP ]])</f>
        <v>0</v>
      </c>
      <c r="CT378" s="927">
        <f>WWWW[[#This Row],[% Access to unimproved water points]]*WWWW[[#This Row],[Total PoP ]]</f>
        <v>0</v>
      </c>
      <c r="CU37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4.8484848484848485E-2</v>
      </c>
      <c r="CV37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W378" s="927">
        <f>WWWW[[#This Row],[HRP1]]/500</f>
        <v>0.8</v>
      </c>
      <c r="CX378" s="932">
        <f>1-WWWW[[#This Row],[% Equitable and continuous access to sufficient quantity of domestic water]]</f>
        <v>0.95151515151515154</v>
      </c>
      <c r="CY378" s="927">
        <f>WWWW[[#This Row],[%equitable and continuous access to sufficient quantity of safe drinking and domestic water''s GAP]]*WWWW[[#This Row],[Total PoP ]]</f>
        <v>7850</v>
      </c>
      <c r="CZ378" s="930">
        <f>IF(WWWW[[#This Row],[Total required water points]]-WWWW[[#This Row],['#Water points coverage]]&lt;0,0,WWWW[[#This Row],[Total required water points]]-WWWW[[#This Row],['#Water points coverage]])</f>
        <v>16.2</v>
      </c>
      <c r="DA378" s="930">
        <f>ROUND(IF(WWWW[[#This Row],[Total PoP ]]&lt;500,1,WWWW[[#This Row],[Total PoP ]]/500),0)</f>
        <v>17</v>
      </c>
      <c r="DB378" s="930">
        <f>(WWWW[[#This Row],['#_Constructed latrines_by_WASHAgencies]]+WWWW[[#This Row],['#_Non Cluster partner latrines]])-WWWW[[#This Row],['#_Non-functional latrines]]</f>
        <v>6</v>
      </c>
      <c r="DC378" s="634">
        <f>WWWW[[#This Row],[HRP2]]/WWWW[[#This Row],[Total PoP ]]</f>
        <v>1.4545454545454545E-2</v>
      </c>
      <c r="DD37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7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7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8" s="425">
        <f>IF(WWWW[[#This Row],['# of functional latrines in THF supported by WASH partners during the reporting period2]]="",0,WWWW[[#This Row],['# of functional latrines in THF supported by WASH partners during the reporting period2]]*50)</f>
        <v>0</v>
      </c>
      <c r="DH378" s="930">
        <f>ROUND(IF(WWWW[[#This Row],[Location Type 1]]="camp",WWWW[[#This Row],[Total PoP ]]/20,IF(WWWW[[#This Row],[Location Type 1]]="Temporary Location",WWWW[[#This Row],[Total PoP ]]/50,(WWWW[[#This Row],[Total PoP ]]/6))),0)</f>
        <v>413</v>
      </c>
      <c r="DI378" s="930">
        <f>IF(WWWW[[#This Row],[Total required Latrines]]-(WWWW[[#This Row],['#_Constructed latrines_by_WASHAgencies]]+WWWW[[#This Row],['#_Non Cluster partner latrines]])&lt;0,0,WWWW[[#This Row],[Total required Latrines]]-(WWWW[[#This Row],['#_Constructed latrines_by_WASHAgencies]]+WWWW[[#This Row],['#_Non Cluster partner latrines]]))</f>
        <v>407</v>
      </c>
      <c r="DJ378" s="932">
        <f>1-WWWW[[#This Row],[% people access to functioning Latrine]]</f>
        <v>0.98545454545454547</v>
      </c>
      <c r="DK378" s="931">
        <f>IF(OR(WWWW[[#This Row],['#_Non-functional latrines]]="",WWWW[[#This Row],['#_Non-functional latrines]]=0),0,WWWW[[#This Row],['#_Non-functional latrines]]/(WWWW[[#This Row],['#_Constructed latrines_by_WASHAgencies]]+WWWW[[#This Row],['#_Non Cluster partner latrines]]))</f>
        <v>0</v>
      </c>
      <c r="DL378" s="927">
        <f>IF(500*(WWWW[[#This Row],['#_male hygiene promoters]]+WWWW[[#This Row],['#_female hygiene promoters]])&gt;WWWW[[#This Row],[Total PoP ]],WWWW[[#This Row],[Total PoP ]],500*(WWWW[[#This Row],['#_male hygiene promoters]]+WWWW[[#This Row],['#_female hygiene promoters]]))</f>
        <v>0</v>
      </c>
      <c r="DM37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8" s="930">
        <f>IF(WWWW[[#This Row],['# People with access to soap]]&gt;WWWW[[#This Row],['# People with access to Sanity Pads]],WWWW[[#This Row],['# People with access to soap]],WWWW[[#This Row],['# People with access to Sanity Pads]])</f>
        <v>0</v>
      </c>
      <c r="DP378"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8" s="932">
        <f>IF(WWWW[[#This Row],[HRP3]]/WWWW[[#This Row],[Total PoP ]]&gt;1,1,WWWW[[#This Row],[HRP3]]/WWWW[[#This Row],[Total PoP ]])</f>
        <v>0</v>
      </c>
      <c r="DR378" s="931">
        <f>1-WWWW[[#This Row],[Hygiene Coverage%]]</f>
        <v>1</v>
      </c>
      <c r="DS378" s="929">
        <f>WWWW[[#This Row],['# people reached by regular dedicated hygiene promotion_5]]/WWWW[[#This Row],[Total PoP ]]</f>
        <v>0</v>
      </c>
      <c r="DT37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8" s="930">
        <f>WWWW[[#This Row],['#_Constructed/Existing hand washing stations]]-WWWW[[#This Row],['#_Non-Functional_hand_washing_stations]]</f>
        <v>0</v>
      </c>
      <c r="DW378" s="927">
        <f>IF(WWWW[[#This Row],['# Functional hand washing stations during reporting period]]*20&gt;WWWW[[#This Row],[Total HH]],WWWW[[#This Row],[Total HH]],WWWW[[#This Row],['# Functional hand washing stations during reporting period]]*20)</f>
        <v>0</v>
      </c>
      <c r="DX378" s="927">
        <f>IF(WWWW[[#This Row],[Is sufficient soap available for TLS? (Yes/No)]]="yes",WWWW[[#This Row],['#_Constructed/Existing hand washing stations at TLS/CFS/THF]],0)</f>
        <v>0</v>
      </c>
      <c r="DY378" s="429">
        <f>IF(WWWW[[#This Row],['# Functional hand washing stations during reporting period]]*100&gt;WWWW[[#This Row],[Total PoP ]],WWWW[[#This Row],[Total PoP ]],WWWW[[#This Row],['# Functional hand washing stations during reporting period]]*100)</f>
        <v>0</v>
      </c>
      <c r="DZ378" s="429" t="str">
        <f>IF(OR(WWWW[[#This Row],['#_students at TLS_CFS]]="",WWWW[[#This Row],['#_students at TLS_CFS]]=0),"No","Yes")</f>
        <v>No</v>
      </c>
      <c r="EA378"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8</v>
      </c>
      <c r="EC37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8" s="923">
        <f>VLOOKUP(WWWW[[#This Row],[Site Name]],SiteDB6[[Site Name]:[CCCM Management]],6,FALSE)</f>
        <v>0</v>
      </c>
      <c r="EF378" s="923">
        <f>VLOOKUP(WWWW[[#This Row],[Site Name]],SiteDB6[[Site Name]:[CCCM Focal Agency]],7,FALSE)</f>
        <v>0</v>
      </c>
      <c r="EG378" s="923" t="str">
        <f>VLOOKUP(WWWW[[#This Row],[Site Name]],SiteDB6[[Site Name]:[Location Type 1]],9,FALSE)</f>
        <v>Camp</v>
      </c>
      <c r="EH378" s="923" t="str">
        <f>VLOOKUP(WWWW[[#This Row],[Site Name]],SiteDB6[[Site Name]:[Type of Accommodation]],10,FALSE)</f>
        <v>Camp</v>
      </c>
      <c r="EI378" s="923" t="str">
        <f>VLOOKUP(WWWW[[#This Row],[Site Name]],SiteDB6[[Site Name]:[Ethnic or GCA/NGCA]],11,FALSE)</f>
        <v>GCA</v>
      </c>
      <c r="EJ378" s="923">
        <f>VLOOKUP(WWWW[[#This Row],[Site Name]],SiteDB6[[Site Name]:[Lat]],12,FALSE)</f>
        <v>0</v>
      </c>
      <c r="EK378" s="923">
        <f>VLOOKUP(WWWW[[#This Row],[Site Name]],SiteDB6[[Site Name]:[Long]],13,FALSE)</f>
        <v>0</v>
      </c>
      <c r="EL378" s="923">
        <f>VLOOKUP(WWWW[[#This Row],[Site Name]],SiteDB6[[Site Name]:[Pcode]],3,FALSE)</f>
        <v>0</v>
      </c>
      <c r="EM378" s="928" t="str">
        <f t="shared" si="5"/>
        <v>Covered</v>
      </c>
      <c r="EN378" s="928"/>
      <c r="EO378" s="923">
        <f>VLOOKUP(WWWW[[#This Row],[Site Name]],SiteDB6[[Site Name]:[Pop
(Kachin/Shan-CCCM as of July 2021)]],16,FALSE)</f>
        <v>0</v>
      </c>
      <c r="EP378" s="923">
        <f>VLOOKUP(WWWW[[#This Row],[Site Name]],SiteDB6[[Site Name]:[Pop
(Kachin/Shan-CCCM as of July 2021)]],17,FALSE)</f>
        <v>0</v>
      </c>
    </row>
    <row r="379" spans="1:146">
      <c r="A379" s="921" t="s">
        <v>2786</v>
      </c>
      <c r="B379" s="921" t="s">
        <v>276</v>
      </c>
      <c r="C379" s="922" t="s">
        <v>276</v>
      </c>
      <c r="D379" s="922" t="s">
        <v>3061</v>
      </c>
      <c r="E379" s="922" t="s">
        <v>37</v>
      </c>
      <c r="F379" s="922" t="s">
        <v>205</v>
      </c>
      <c r="G379" s="594" t="str">
        <f>VLOOKUP(WWWW[[#This Row],[Site Name]],SiteDB6[[Site Name]:[Location Type]],8,FALSE)</f>
        <v>Camp_not registered</v>
      </c>
      <c r="H379" s="922" t="s">
        <v>209</v>
      </c>
      <c r="I379" s="924">
        <v>46</v>
      </c>
      <c r="J379" s="924">
        <v>263</v>
      </c>
      <c r="K379" s="925">
        <v>44652</v>
      </c>
      <c r="L379" s="926">
        <v>44895</v>
      </c>
      <c r="M379" s="924"/>
      <c r="N379" s="924"/>
      <c r="O379" s="924"/>
      <c r="P379" s="924"/>
      <c r="Q379" s="927" t="s">
        <v>41</v>
      </c>
      <c r="R379" s="924">
        <v>4</v>
      </c>
      <c r="S379" s="924">
        <v>0</v>
      </c>
      <c r="T379" s="449">
        <v>1</v>
      </c>
      <c r="U379" s="924"/>
      <c r="V379" s="924"/>
      <c r="W379" s="924">
        <v>2</v>
      </c>
      <c r="X379" s="924"/>
      <c r="Y379" s="924"/>
      <c r="Z379" s="924"/>
      <c r="AA379" s="924"/>
      <c r="AB379" s="924"/>
      <c r="AC379" s="924"/>
      <c r="AD379" s="924"/>
      <c r="AE379" s="924"/>
      <c r="AF379" s="924"/>
      <c r="AG379" s="924"/>
      <c r="AH379" s="924"/>
      <c r="AI379" s="924">
        <v>3</v>
      </c>
      <c r="AJ379" s="924">
        <v>3</v>
      </c>
      <c r="AK379" s="924"/>
      <c r="AL379" s="924"/>
      <c r="AM379" s="924"/>
      <c r="AN379" s="924"/>
      <c r="AO379" s="449"/>
      <c r="AP379" s="928"/>
      <c r="AQ379" s="924">
        <v>5</v>
      </c>
      <c r="AR379" s="924"/>
      <c r="AS379" s="929"/>
      <c r="AT379" s="924"/>
      <c r="AU379" s="924"/>
      <c r="AV379" s="924">
        <v>5</v>
      </c>
      <c r="AW379" s="924">
        <v>4</v>
      </c>
      <c r="AX379" s="924"/>
      <c r="AY379" s="923" t="s">
        <v>41</v>
      </c>
      <c r="AZ379" s="928" t="s">
        <v>137</v>
      </c>
      <c r="BA379" s="924"/>
      <c r="BB379" s="924"/>
      <c r="BC379" s="924"/>
      <c r="BD379" s="449"/>
      <c r="BE379" s="449"/>
      <c r="BF379" s="923"/>
      <c r="BG379" s="924">
        <v>2</v>
      </c>
      <c r="BH379" s="924"/>
      <c r="BI379" s="924"/>
      <c r="BJ379" s="924">
        <v>2</v>
      </c>
      <c r="BK379" s="924"/>
      <c r="BL379" s="924"/>
      <c r="BM379" s="924"/>
      <c r="BN379" s="924"/>
      <c r="BO379" s="924"/>
      <c r="BP379" s="923"/>
      <c r="BQ379" s="930"/>
      <c r="BR379" s="929"/>
      <c r="BS379" s="923"/>
      <c r="BT379" s="424"/>
      <c r="BU379" s="424"/>
      <c r="BV379" s="426"/>
      <c r="BW379" s="424">
        <v>0</v>
      </c>
      <c r="BX379" s="449"/>
      <c r="BY379" s="449">
        <v>5</v>
      </c>
      <c r="BZ379" s="449">
        <v>2</v>
      </c>
      <c r="CA379" s="449"/>
      <c r="CB379" s="449"/>
      <c r="CC379" s="807"/>
      <c r="CD379" s="449"/>
      <c r="CE379" s="931">
        <f>IFERROR(WWWW[[#This Row],['#_Water sources passed]]/WWWW[[#This Row],['#_Water sources tested for fecal coliform ]],"no test")</f>
        <v>1</v>
      </c>
      <c r="CF379" s="929" t="str">
        <f>IFERROR(WWWW[[#This Row],['#_Household passed]]/WWWW[[#This Row],['#_Household water samples tested for fecal coliform]],"no test")</f>
        <v>no test</v>
      </c>
      <c r="CG379" s="930" t="str">
        <f>IF(AND(WWWW[[#This Row],[% of water sources passed]]="no test",WWWW[[#This Row],[% Household passed]]="no test"),"No Test","Tested")</f>
        <v>Tested</v>
      </c>
      <c r="CH379" s="930">
        <f>WWWW[[#This Row],['#_Constructed/existing protected hand dug well]]-WWWW[[#This Row],['#_Non-functional protected hand dug well]]</f>
        <v>1</v>
      </c>
      <c r="CI379" s="930">
        <f>(WWWW[[#This Row],['#_Constructed/Existing tube wells/boreholes/handpumps_WASH_agency]]+WWWW[[#This Row],['#_Non-Cluster partner water tube-wells/boreholes/handpumps]])-WWWW[[#This Row],['#_Non-functional tube wells/boreholes/handpumps]]</f>
        <v>2</v>
      </c>
      <c r="CJ379" s="930">
        <f>WWWW[[#This Row],['#_Constructed/Existingwater storage tank with gravity fed reticulation system]]-WWWW[[#This Row],['#_Non-functional storage tank gravity fed reticulation system]]</f>
        <v>0</v>
      </c>
      <c r="CK379" s="930">
        <f>(WWWW[[#This Row],['#_Water_Liters_supplied_by_Water boating or water trucking]]/90)/15</f>
        <v>0</v>
      </c>
      <c r="CL379" s="930">
        <f>WWWW[[#This Row],['#_Water_Liters_from_Constructed/Existing water distribution system from river or natural spring]]/90/15</f>
        <v>0</v>
      </c>
      <c r="CM379" s="425">
        <f>IF(WWWW[[#This Row],['#_of water points in TLS/CFS]]*500&gt;WWWW[[#This Row],[Total PoP ]],WWWW[[#This Row],[Total PoP ]],WWWW[[#This Row],['#_of water points in TLS/CFS]]*500)</f>
        <v>0</v>
      </c>
      <c r="CN379" s="425">
        <f>IF(WWWW[[#This Row],['#_of water points in THF]]*500&gt;WWWW[[#This Row],[Total PoP ]],WWWW[[#This Row],[Total PoP ]],WWWW[[#This Row],['#_of water points in THF]]*500)</f>
        <v>0</v>
      </c>
      <c r="CO37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7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79" s="929">
        <f>IF(WWWW[[#This Row],[Location Type 1]]="Village",WWWW[[#This Row],[Access to safe drinking water for Village]],WWWW[[#This Row],[Access to safe drinking water for Camp]])</f>
        <v>1</v>
      </c>
      <c r="CR379" s="927">
        <f>WWWW[[#This Row],[%Equitable and continuous access to sufficient quantity of safe drinking water]]*WWWW[[#This Row],[Total PoP ]]</f>
        <v>263</v>
      </c>
      <c r="CS379" s="929">
        <f>IF((WWWW[[#This Row],['#_Constructed/Existing protected/fenced ponds]]*250)/WWWW[[#This Row],[Total PoP ]]&gt;1,1,(WWWW[[#This Row],['#_Constructed/Existing protected/fenced ponds]]*250)/WWWW[[#This Row],[Total PoP ]])</f>
        <v>0</v>
      </c>
      <c r="CT379" s="927">
        <f>WWWW[[#This Row],[% Access to unimproved water points]]*WWWW[[#This Row],[Total PoP ]]</f>
        <v>0</v>
      </c>
      <c r="CU37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7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W379" s="927">
        <f>WWWW[[#This Row],[HRP1]]/500</f>
        <v>0.52600000000000002</v>
      </c>
      <c r="CX379" s="932">
        <f>1-WWWW[[#This Row],[% Equitable and continuous access to sufficient quantity of domestic water]]</f>
        <v>0</v>
      </c>
      <c r="CY379" s="927">
        <f>WWWW[[#This Row],[%equitable and continuous access to sufficient quantity of safe drinking and domestic water''s GAP]]*WWWW[[#This Row],[Total PoP ]]</f>
        <v>0</v>
      </c>
      <c r="CZ379" s="930">
        <f>IF(WWWW[[#This Row],[Total required water points]]-WWWW[[#This Row],['#Water points coverage]]&lt;0,0,WWWW[[#This Row],[Total required water points]]-WWWW[[#This Row],['#Water points coverage]])</f>
        <v>0.47399999999999998</v>
      </c>
      <c r="DA379" s="930">
        <f>ROUND(IF(WWWW[[#This Row],[Total PoP ]]&lt;500,1,WWWW[[#This Row],[Total PoP ]]/500),0)</f>
        <v>1</v>
      </c>
      <c r="DB379" s="930">
        <f>(WWWW[[#This Row],['#_Constructed latrines_by_WASHAgencies]]+WWWW[[#This Row],['#_Non Cluster partner latrines]])-WWWW[[#This Row],['#_Non-functional latrines]]</f>
        <v>5</v>
      </c>
      <c r="DC379" s="634">
        <f>WWWW[[#This Row],[HRP2]]/WWWW[[#This Row],[Total PoP ]]</f>
        <v>0.38022813688212925</v>
      </c>
      <c r="DD37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100</v>
      </c>
      <c r="DE37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F37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79" s="425">
        <f>IF(WWWW[[#This Row],['# of functional latrines in THF supported by WASH partners during the reporting period2]]="",0,WWWW[[#This Row],['# of functional latrines in THF supported by WASH partners during the reporting period2]]*50)</f>
        <v>0</v>
      </c>
      <c r="DH379" s="930">
        <f>ROUND(IF(WWWW[[#This Row],[Location Type 1]]="camp",WWWW[[#This Row],[Total PoP ]]/20,IF(WWWW[[#This Row],[Location Type 1]]="Temporary Location",WWWW[[#This Row],[Total PoP ]]/50,(WWWW[[#This Row],[Total PoP ]]/6))),0)</f>
        <v>13</v>
      </c>
      <c r="DI379" s="930">
        <f>IF(WWWW[[#This Row],[Total required Latrines]]-(WWWW[[#This Row],['#_Constructed latrines_by_WASHAgencies]]+WWWW[[#This Row],['#_Non Cluster partner latrines]])&lt;0,0,WWWW[[#This Row],[Total required Latrines]]-(WWWW[[#This Row],['#_Constructed latrines_by_WASHAgencies]]+WWWW[[#This Row],['#_Non Cluster partner latrines]]))</f>
        <v>8</v>
      </c>
      <c r="DJ379" s="932">
        <f>1-WWWW[[#This Row],[% people access to functioning Latrine]]</f>
        <v>0.6197718631178708</v>
      </c>
      <c r="DK379" s="931">
        <f>IF(OR(WWWW[[#This Row],['#_Non-functional latrines]]="",WWWW[[#This Row],['#_Non-functional latrines]]=0),0,WWWW[[#This Row],['#_Non-functional latrines]]/(WWWW[[#This Row],['#_Constructed latrines_by_WASHAgencies]]+WWWW[[#This Row],['#_Non Cluster partner latrines]]))</f>
        <v>0</v>
      </c>
      <c r="DL379" s="927">
        <f>IF(500*(WWWW[[#This Row],['#_male hygiene promoters]]+WWWW[[#This Row],['#_female hygiene promoters]])&gt;WWWW[[#This Row],[Total PoP ]],WWWW[[#This Row],[Total PoP ]],500*(WWWW[[#This Row],['#_male hygiene promoters]]+WWWW[[#This Row],['#_female hygiene promoters]]))</f>
        <v>0</v>
      </c>
      <c r="DM37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7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79" s="930">
        <f>IF(WWWW[[#This Row],['# People with access to soap]]&gt;WWWW[[#This Row],['# People with access to Sanity Pads]],WWWW[[#This Row],['# People with access to soap]],WWWW[[#This Row],['# People with access to Sanity Pads]])</f>
        <v>0</v>
      </c>
      <c r="DP37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79" s="932">
        <f>IF(WWWW[[#This Row],[HRP3]]/WWWW[[#This Row],[Total PoP ]]&gt;1,1,WWWW[[#This Row],[HRP3]]/WWWW[[#This Row],[Total PoP ]])</f>
        <v>0</v>
      </c>
      <c r="DR379" s="931">
        <f>1-WWWW[[#This Row],[Hygiene Coverage%]]</f>
        <v>1</v>
      </c>
      <c r="DS379" s="929">
        <f>WWWW[[#This Row],['# people reached by regular dedicated hygiene promotion_5]]/WWWW[[#This Row],[Total PoP ]]</f>
        <v>0</v>
      </c>
      <c r="DT37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7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79" s="930">
        <f>WWWW[[#This Row],['#_Constructed/Existing hand washing stations]]-WWWW[[#This Row],['#_Non-Functional_hand_washing_stations]]</f>
        <v>2</v>
      </c>
      <c r="DW379" s="927">
        <f>IF(WWWW[[#This Row],['# Functional hand washing stations during reporting period]]*20&gt;WWWW[[#This Row],[Total HH]],WWWW[[#This Row],[Total HH]],WWWW[[#This Row],['# Functional hand washing stations during reporting period]]*20)</f>
        <v>40</v>
      </c>
      <c r="DX379" s="927">
        <f>IF(WWWW[[#This Row],[Is sufficient soap available for TLS? (Yes/No)]]="yes",WWWW[[#This Row],['#_Constructed/Existing hand washing stations at TLS/CFS/THF]],0)</f>
        <v>0</v>
      </c>
      <c r="DY379" s="429">
        <f>IF(WWWW[[#This Row],['# Functional hand washing stations during reporting period]]*100&gt;WWWW[[#This Row],[Total PoP ]],WWWW[[#This Row],[Total PoP ]],WWWW[[#This Row],['# Functional hand washing stations during reporting period]]*100)</f>
        <v>200</v>
      </c>
      <c r="DZ379" s="429" t="str">
        <f>IF(OR(WWWW[[#This Row],['#_students at TLS_CFS]]="",WWWW[[#This Row],['#_students at TLS_CFS]]=0),"No","Yes")</f>
        <v>No</v>
      </c>
      <c r="EA37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7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v>
      </c>
      <c r="EC37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7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79" s="923">
        <f>VLOOKUP(WWWW[[#This Row],[Site Name]],SiteDB6[[Site Name]:[CCCM Management]],6,FALSE)</f>
        <v>0</v>
      </c>
      <c r="EF379" s="923">
        <f>VLOOKUP(WWWW[[#This Row],[Site Name]],SiteDB6[[Site Name]:[CCCM Focal Agency]],7,FALSE)</f>
        <v>0</v>
      </c>
      <c r="EG379" s="923" t="str">
        <f>VLOOKUP(WWWW[[#This Row],[Site Name]],SiteDB6[[Site Name]:[Location Type 1]],9,FALSE)</f>
        <v>Camp</v>
      </c>
      <c r="EH379" s="923" t="str">
        <f>VLOOKUP(WWWW[[#This Row],[Site Name]],SiteDB6[[Site Name]:[Type of Accommodation]],10,FALSE)</f>
        <v>Camp</v>
      </c>
      <c r="EI379" s="923" t="str">
        <f>VLOOKUP(WWWW[[#This Row],[Site Name]],SiteDB6[[Site Name]:[Ethnic or GCA/NGCA]],11,FALSE)</f>
        <v>GCA</v>
      </c>
      <c r="EJ379" s="923">
        <f>VLOOKUP(WWWW[[#This Row],[Site Name]],SiteDB6[[Site Name]:[Lat]],12,FALSE)</f>
        <v>0</v>
      </c>
      <c r="EK379" s="923">
        <f>VLOOKUP(WWWW[[#This Row],[Site Name]],SiteDB6[[Site Name]:[Long]],13,FALSE)</f>
        <v>0</v>
      </c>
      <c r="EL379" s="923">
        <f>VLOOKUP(WWWW[[#This Row],[Site Name]],SiteDB6[[Site Name]:[Pcode]],3,FALSE)</f>
        <v>0</v>
      </c>
      <c r="EM379" s="928" t="str">
        <f t="shared" si="5"/>
        <v>Covered</v>
      </c>
      <c r="EN379" s="928"/>
      <c r="EO379" s="923">
        <f>VLOOKUP(WWWW[[#This Row],[Site Name]],SiteDB6[[Site Name]:[Pop
(Kachin/Shan-CCCM as of July 2021)]],16,FALSE)</f>
        <v>0</v>
      </c>
      <c r="EP379" s="923">
        <f>VLOOKUP(WWWW[[#This Row],[Site Name]],SiteDB6[[Site Name]:[Pop
(Kachin/Shan-CCCM as of July 2021)]],17,FALSE)</f>
        <v>0</v>
      </c>
    </row>
    <row r="380" spans="1:146">
      <c r="A380" s="921" t="s">
        <v>2786</v>
      </c>
      <c r="B380" s="921" t="s">
        <v>276</v>
      </c>
      <c r="C380" s="922" t="s">
        <v>276</v>
      </c>
      <c r="D380" s="922" t="s">
        <v>3061</v>
      </c>
      <c r="E380" s="922" t="s">
        <v>37</v>
      </c>
      <c r="F380" s="922" t="s">
        <v>205</v>
      </c>
      <c r="G380" s="594" t="str">
        <f>VLOOKUP(WWWW[[#This Row],[Site Name]],SiteDB6[[Site Name]:[Location Type]],8,FALSE)</f>
        <v>Camp</v>
      </c>
      <c r="H380" s="922" t="s">
        <v>281</v>
      </c>
      <c r="I380" s="924">
        <v>39</v>
      </c>
      <c r="J380" s="924">
        <v>239</v>
      </c>
      <c r="K380" s="925">
        <v>44652</v>
      </c>
      <c r="L380" s="926">
        <v>44895</v>
      </c>
      <c r="M380" s="924"/>
      <c r="N380" s="924"/>
      <c r="O380" s="924"/>
      <c r="P380" s="924"/>
      <c r="Q380" s="927" t="s">
        <v>41</v>
      </c>
      <c r="R380" s="924">
        <v>3</v>
      </c>
      <c r="S380" s="924">
        <v>6</v>
      </c>
      <c r="T380" s="449">
        <v>1</v>
      </c>
      <c r="U380" s="924"/>
      <c r="V380" s="924"/>
      <c r="W380" s="924"/>
      <c r="X380" s="924"/>
      <c r="Y380" s="924"/>
      <c r="Z380" s="924"/>
      <c r="AA380" s="924">
        <v>1</v>
      </c>
      <c r="AB380" s="924"/>
      <c r="AC380" s="924"/>
      <c r="AD380" s="924"/>
      <c r="AE380" s="924"/>
      <c r="AF380" s="924"/>
      <c r="AG380" s="924"/>
      <c r="AH380" s="924"/>
      <c r="AI380" s="924">
        <v>1</v>
      </c>
      <c r="AJ380" s="924">
        <v>1</v>
      </c>
      <c r="AK380" s="924">
        <v>6</v>
      </c>
      <c r="AL380" s="924">
        <v>6</v>
      </c>
      <c r="AM380" s="924"/>
      <c r="AN380" s="924"/>
      <c r="AO380" s="449"/>
      <c r="AP380" s="928"/>
      <c r="AQ380" s="924">
        <v>9</v>
      </c>
      <c r="AR380" s="924"/>
      <c r="AS380" s="929"/>
      <c r="AT380" s="924"/>
      <c r="AU380" s="924"/>
      <c r="AV380" s="924">
        <v>10</v>
      </c>
      <c r="AW380" s="924">
        <v>21</v>
      </c>
      <c r="AX380" s="924"/>
      <c r="AY380" s="923" t="s">
        <v>41</v>
      </c>
      <c r="AZ380" s="928" t="s">
        <v>137</v>
      </c>
      <c r="BA380" s="924"/>
      <c r="BB380" s="924"/>
      <c r="BC380" s="924"/>
      <c r="BD380" s="449"/>
      <c r="BE380" s="449">
        <v>2</v>
      </c>
      <c r="BF380" s="923"/>
      <c r="BG380" s="924">
        <v>7</v>
      </c>
      <c r="BH380" s="924"/>
      <c r="BI380" s="924"/>
      <c r="BJ380" s="924">
        <v>1</v>
      </c>
      <c r="BK380" s="924"/>
      <c r="BL380" s="924"/>
      <c r="BM380" s="924">
        <v>1</v>
      </c>
      <c r="BN380" s="924">
        <v>35</v>
      </c>
      <c r="BO380" s="924"/>
      <c r="BP380" s="923"/>
      <c r="BQ380" s="930"/>
      <c r="BR380" s="929"/>
      <c r="BS380" s="923"/>
      <c r="BT380" s="424">
        <v>1</v>
      </c>
      <c r="BU380" s="424">
        <v>1</v>
      </c>
      <c r="BV380" s="426">
        <v>7</v>
      </c>
      <c r="BW380" s="424">
        <v>0</v>
      </c>
      <c r="BX380" s="449"/>
      <c r="BY380" s="449">
        <v>9</v>
      </c>
      <c r="BZ380" s="449">
        <v>1</v>
      </c>
      <c r="CA380" s="449"/>
      <c r="CB380" s="449"/>
      <c r="CC380" s="807"/>
      <c r="CD380" s="449"/>
      <c r="CE380" s="931">
        <f>IFERROR(WWWW[[#This Row],['#_Water sources passed]]/WWWW[[#This Row],['#_Water sources tested for fecal coliform ]],"no test")</f>
        <v>1</v>
      </c>
      <c r="CF380" s="929">
        <f>IFERROR(WWWW[[#This Row],['#_Household passed]]/WWWW[[#This Row],['#_Household water samples tested for fecal coliform]],"no test")</f>
        <v>1</v>
      </c>
      <c r="CG380" s="930" t="str">
        <f>IF(AND(WWWW[[#This Row],[% of water sources passed]]="no test",WWWW[[#This Row],[% Household passed]]="no test"),"No Test","Tested")</f>
        <v>Tested</v>
      </c>
      <c r="CH380" s="930">
        <f>WWWW[[#This Row],['#_Constructed/existing protected hand dug well]]-WWWW[[#This Row],['#_Non-functional protected hand dug well]]</f>
        <v>1</v>
      </c>
      <c r="CI380" s="930">
        <f>(WWWW[[#This Row],['#_Constructed/Existing tube wells/boreholes/handpumps_WASH_agency]]+WWWW[[#This Row],['#_Non-Cluster partner water tube-wells/boreholes/handpumps]])-WWWW[[#This Row],['#_Non-functional tube wells/boreholes/handpumps]]</f>
        <v>0</v>
      </c>
      <c r="CJ380" s="930">
        <f>WWWW[[#This Row],['#_Constructed/Existingwater storage tank with gravity fed reticulation system]]-WWWW[[#This Row],['#_Non-functional storage tank gravity fed reticulation system]]</f>
        <v>1</v>
      </c>
      <c r="CK380" s="930">
        <f>(WWWW[[#This Row],['#_Water_Liters_supplied_by_Water boating or water trucking]]/90)/15</f>
        <v>0</v>
      </c>
      <c r="CL380" s="930">
        <f>WWWW[[#This Row],['#_Water_Liters_from_Constructed/Existing water distribution system from river or natural spring]]/90/15</f>
        <v>0</v>
      </c>
      <c r="CM380" s="425">
        <f>IF(WWWW[[#This Row],['#_of water points in TLS/CFS]]*500&gt;WWWW[[#This Row],[Total PoP ]],WWWW[[#This Row],[Total PoP ]],WWWW[[#This Row],['#_of water points in TLS/CFS]]*500)</f>
        <v>0</v>
      </c>
      <c r="CN380" s="425">
        <f>IF(WWWW[[#This Row],['#_of water points in THF]]*500&gt;WWWW[[#This Row],[Total PoP ]],WWWW[[#This Row],[Total PoP ]],WWWW[[#This Row],['#_of water points in THF]]*500)</f>
        <v>0</v>
      </c>
      <c r="CO38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0" s="929">
        <f>IF(WWWW[[#This Row],[Location Type 1]]="Village",WWWW[[#This Row],[Access to safe drinking water for Village]],WWWW[[#This Row],[Access to safe drinking water for Camp]])</f>
        <v>1</v>
      </c>
      <c r="CR380" s="927">
        <f>WWWW[[#This Row],[%Equitable and continuous access to sufficient quantity of safe drinking water]]*WWWW[[#This Row],[Total PoP ]]</f>
        <v>239</v>
      </c>
      <c r="CS380" s="929">
        <f>IF((WWWW[[#This Row],['#_Constructed/Existing protected/fenced ponds]]*250)/WWWW[[#This Row],[Total PoP ]]&gt;1,1,(WWWW[[#This Row],['#_Constructed/Existing protected/fenced ponds]]*250)/WWWW[[#This Row],[Total PoP ]])</f>
        <v>0</v>
      </c>
      <c r="CT380" s="927">
        <f>WWWW[[#This Row],[% Access to unimproved water points]]*WWWW[[#This Row],[Total PoP ]]</f>
        <v>0</v>
      </c>
      <c r="CU38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CW380" s="927">
        <f>WWWW[[#This Row],[HRP1]]/500</f>
        <v>0.47799999999999998</v>
      </c>
      <c r="CX380" s="932">
        <f>1-WWWW[[#This Row],[% Equitable and continuous access to sufficient quantity of domestic water]]</f>
        <v>0</v>
      </c>
      <c r="CY380" s="927">
        <f>WWWW[[#This Row],[%equitable and continuous access to sufficient quantity of safe drinking and domestic water''s GAP]]*WWWW[[#This Row],[Total PoP ]]</f>
        <v>0</v>
      </c>
      <c r="CZ380" s="930">
        <f>IF(WWWW[[#This Row],[Total required water points]]-WWWW[[#This Row],['#Water points coverage]]&lt;0,0,WWWW[[#This Row],[Total required water points]]-WWWW[[#This Row],['#Water points coverage]])</f>
        <v>0.52200000000000002</v>
      </c>
      <c r="DA380" s="930">
        <f>ROUND(IF(WWWW[[#This Row],[Total PoP ]]&lt;500,1,WWWW[[#This Row],[Total PoP ]]/500),0)</f>
        <v>1</v>
      </c>
      <c r="DB380" s="930">
        <f>(WWWW[[#This Row],['#_Constructed latrines_by_WASHAgencies]]+WWWW[[#This Row],['#_Non Cluster partner latrines]])-WWWW[[#This Row],['#_Non-functional latrines]]</f>
        <v>9</v>
      </c>
      <c r="DC380" s="634">
        <f>WWWW[[#This Row],[HRP2]]/WWWW[[#This Row],[Total PoP ]]</f>
        <v>0.7615062761506276</v>
      </c>
      <c r="DD38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182</v>
      </c>
      <c r="DE38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200</v>
      </c>
      <c r="DF38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0" s="425">
        <f>IF(WWWW[[#This Row],['# of functional latrines in THF supported by WASH partners during the reporting period2]]="",0,WWWW[[#This Row],['# of functional latrines in THF supported by WASH partners during the reporting period2]]*50)</f>
        <v>0</v>
      </c>
      <c r="DH380" s="930">
        <f>ROUND(IF(WWWW[[#This Row],[Location Type 1]]="camp",WWWW[[#This Row],[Total PoP ]]/20,IF(WWWW[[#This Row],[Location Type 1]]="Temporary Location",WWWW[[#This Row],[Total PoP ]]/50,(WWWW[[#This Row],[Total PoP ]]/6))),0)</f>
        <v>12</v>
      </c>
      <c r="DI380" s="930">
        <f>IF(WWWW[[#This Row],[Total required Latrines]]-(WWWW[[#This Row],['#_Constructed latrines_by_WASHAgencies]]+WWWW[[#This Row],['#_Non Cluster partner latrines]])&lt;0,0,WWWW[[#This Row],[Total required Latrines]]-(WWWW[[#This Row],['#_Constructed latrines_by_WASHAgencies]]+WWWW[[#This Row],['#_Non Cluster partner latrines]]))</f>
        <v>3</v>
      </c>
      <c r="DJ380" s="932">
        <f>1-WWWW[[#This Row],[% people access to functioning Latrine]]</f>
        <v>0.2384937238493724</v>
      </c>
      <c r="DK380" s="931">
        <f>IF(OR(WWWW[[#This Row],['#_Non-functional latrines]]="",WWWW[[#This Row],['#_Non-functional latrines]]=0),0,WWWW[[#This Row],['#_Non-functional latrines]]/(WWWW[[#This Row],['#_Constructed latrines_by_WASHAgencies]]+WWWW[[#This Row],['#_Non Cluster partner latrines]]))</f>
        <v>0</v>
      </c>
      <c r="DL380" s="927">
        <f>IF(500*(WWWW[[#This Row],['#_male hygiene promoters]]+WWWW[[#This Row],['#_female hygiene promoters]])&gt;WWWW[[#This Row],[Total PoP ]],WWWW[[#This Row],[Total PoP ]],500*(WWWW[[#This Row],['#_male hygiene promoters]]+WWWW[[#This Row],['#_female hygiene promoters]]))</f>
        <v>239</v>
      </c>
      <c r="DM38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N38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0" s="930">
        <f>IF(WWWW[[#This Row],['# People with access to soap]]&gt;WWWW[[#This Row],['# People with access to Sanity Pads]],WWWW[[#This Row],['# People with access to soap]],WWWW[[#This Row],['# People with access to Sanity Pads]])</f>
        <v>175</v>
      </c>
      <c r="DP380" s="930">
        <f>IF(WWWW[[#This Row],['# people reached by regular dedicated hygiene promotion_5]]&gt;WWWW[[#This Row],['# People received regular supply of hygiene items_6]],WWWW[[#This Row],['# people reached by regular dedicated hygiene promotion_5]],WWWW[[#This Row],['# People received regular supply of hygiene items_6]])</f>
        <v>239</v>
      </c>
      <c r="DQ380" s="932">
        <f>IF(WWWW[[#This Row],[HRP3]]/WWWW[[#This Row],[Total PoP ]]&gt;1,1,WWWW[[#This Row],[HRP3]]/WWWW[[#This Row],[Total PoP ]])</f>
        <v>1</v>
      </c>
      <c r="DR380" s="931">
        <f>1-WWWW[[#This Row],[Hygiene Coverage%]]</f>
        <v>0</v>
      </c>
      <c r="DS380" s="929">
        <f>WWWW[[#This Row],['# people reached by regular dedicated hygiene promotion_5]]/WWWW[[#This Row],[Total PoP ]]</f>
        <v>1</v>
      </c>
      <c r="DT38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0" s="930">
        <f>WWWW[[#This Row],['#_Constructed/Existing hand washing stations]]-WWWW[[#This Row],['#_Non-Functional_hand_washing_stations]]</f>
        <v>7</v>
      </c>
      <c r="DW380" s="927">
        <f>IF(WWWW[[#This Row],['# Functional hand washing stations during reporting period]]*20&gt;WWWW[[#This Row],[Total HH]],WWWW[[#This Row],[Total HH]],WWWW[[#This Row],['# Functional hand washing stations during reporting period]]*20)</f>
        <v>39</v>
      </c>
      <c r="DX380" s="927">
        <f>IF(WWWW[[#This Row],[Is sufficient soap available for TLS? (Yes/No)]]="yes",WWWW[[#This Row],['#_Constructed/Existing hand washing stations at TLS/CFS/THF]],0)</f>
        <v>0</v>
      </c>
      <c r="DY380" s="429">
        <f>IF(WWWW[[#This Row],['# Functional hand washing stations during reporting period]]*100&gt;WWWW[[#This Row],[Total PoP ]],WWWW[[#This Row],[Total PoP ]],WWWW[[#This Row],['# Functional hand washing stations during reporting period]]*100)</f>
        <v>239</v>
      </c>
      <c r="DZ380" s="429" t="str">
        <f>IF(OR(WWWW[[#This Row],['#_students at TLS_CFS]]="",WWWW[[#This Row],['#_students at TLS_CFS]]=0),"No","Yes")</f>
        <v>No</v>
      </c>
      <c r="EA380" s="634">
        <f>IF(WWWW[[#This Row],['#_of_affected_people_surveyed_who_report_feeling_informed_about_the_different_WASH_services_available_to_them]]="","",WWWW[[#This Row],['#_of_affected_people_surveyed_who_report_feeling_informed_about_the_different_WASH_services_available_to_them]]/WWWW[[#This Row],[Total PoP ]])</f>
        <v>2.9288702928870293E-2</v>
      </c>
      <c r="EB38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10</v>
      </c>
      <c r="EC38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0" s="923" t="str">
        <f>VLOOKUP(WWWW[[#This Row],[Site Name]],SiteDB6[[Site Name]:[CCCM Management]],6,FALSE)</f>
        <v>Yes</v>
      </c>
      <c r="EF380" s="923" t="str">
        <f>VLOOKUP(WWWW[[#This Row],[Site Name]],SiteDB6[[Site Name]:[CCCM Focal Agency]],7,FALSE)</f>
        <v>KBC-BMO</v>
      </c>
      <c r="EG380" s="923" t="str">
        <f>VLOOKUP(WWWW[[#This Row],[Site Name]],SiteDB6[[Site Name]:[Location Type 1]],9,FALSE)</f>
        <v>Camp</v>
      </c>
      <c r="EH380" s="923" t="str">
        <f>VLOOKUP(WWWW[[#This Row],[Site Name]],SiteDB6[[Site Name]:[Type of Accommodation]],10,FALSE)</f>
        <v>Camp</v>
      </c>
      <c r="EI380" s="923" t="str">
        <f>VLOOKUP(WWWW[[#This Row],[Site Name]],SiteDB6[[Site Name]:[Ethnic or GCA/NGCA]],11,FALSE)</f>
        <v>GCA</v>
      </c>
      <c r="EJ380" s="923">
        <f>VLOOKUP(WWWW[[#This Row],[Site Name]],SiteDB6[[Site Name]:[Lat]],12,FALSE)</f>
        <v>24.200972</v>
      </c>
      <c r="EK380" s="923">
        <f>VLOOKUP(WWWW[[#This Row],[Site Name]],SiteDB6[[Site Name]:[Long]],13,FALSE)</f>
        <v>97.718582999999995</v>
      </c>
      <c r="EL380" s="923" t="str">
        <f>VLOOKUP(WWWW[[#This Row],[Site Name]],SiteDB6[[Site Name]:[Pcode]],3,FALSE)</f>
        <v>MMR001CMP071</v>
      </c>
      <c r="EM380" s="928" t="str">
        <f t="shared" si="5"/>
        <v>Covered</v>
      </c>
      <c r="EN380" s="928"/>
      <c r="EO380" s="923">
        <f>VLOOKUP(WWWW[[#This Row],[Site Name]],SiteDB6[[Site Name]:[Pop
(Kachin/Shan-CCCM as of July 2021)]],16,FALSE)</f>
        <v>40</v>
      </c>
      <c r="EP380" s="923">
        <f>VLOOKUP(WWWW[[#This Row],[Site Name]],SiteDB6[[Site Name]:[Pop
(Kachin/Shan-CCCM as of July 2021)]],17,FALSE)</f>
        <v>247</v>
      </c>
    </row>
    <row r="381" spans="1:146">
      <c r="A381" s="921" t="s">
        <v>2786</v>
      </c>
      <c r="B381" s="921" t="s">
        <v>276</v>
      </c>
      <c r="C381" s="922" t="s">
        <v>276</v>
      </c>
      <c r="D381" s="922" t="s">
        <v>3061</v>
      </c>
      <c r="E381" s="922" t="s">
        <v>37</v>
      </c>
      <c r="F381" s="922" t="s">
        <v>205</v>
      </c>
      <c r="G381" s="594" t="str">
        <f>VLOOKUP(WWWW[[#This Row],[Site Name]],SiteDB6[[Site Name]:[Location Type]],8,FALSE)</f>
        <v>Camp</v>
      </c>
      <c r="H381" s="922" t="s">
        <v>282</v>
      </c>
      <c r="I381" s="924">
        <v>68</v>
      </c>
      <c r="J381" s="924">
        <v>426</v>
      </c>
      <c r="K381" s="925">
        <v>44652</v>
      </c>
      <c r="L381" s="926">
        <v>44895</v>
      </c>
      <c r="M381" s="924"/>
      <c r="N381" s="924"/>
      <c r="O381" s="924"/>
      <c r="P381" s="924"/>
      <c r="Q381" s="927" t="s">
        <v>41</v>
      </c>
      <c r="R381" s="924">
        <v>5</v>
      </c>
      <c r="S381" s="924">
        <v>6</v>
      </c>
      <c r="T381" s="449"/>
      <c r="U381" s="924"/>
      <c r="V381" s="924"/>
      <c r="W381" s="924">
        <v>1</v>
      </c>
      <c r="X381" s="924"/>
      <c r="Y381" s="924"/>
      <c r="Z381" s="924"/>
      <c r="AA381" s="924">
        <v>1</v>
      </c>
      <c r="AB381" s="924"/>
      <c r="AC381" s="924"/>
      <c r="AD381" s="924"/>
      <c r="AE381" s="924"/>
      <c r="AF381" s="924"/>
      <c r="AG381" s="924"/>
      <c r="AH381" s="924"/>
      <c r="AI381" s="924">
        <v>1</v>
      </c>
      <c r="AJ381" s="924">
        <v>1</v>
      </c>
      <c r="AK381" s="924">
        <v>6</v>
      </c>
      <c r="AL381" s="924">
        <v>6</v>
      </c>
      <c r="AM381" s="924"/>
      <c r="AN381" s="924"/>
      <c r="AO381" s="449"/>
      <c r="AP381" s="928"/>
      <c r="AQ381" s="924">
        <v>6</v>
      </c>
      <c r="AR381" s="924"/>
      <c r="AS381" s="929"/>
      <c r="AT381" s="924"/>
      <c r="AU381" s="924"/>
      <c r="AV381" s="924">
        <v>14</v>
      </c>
      <c r="AW381" s="924">
        <v>22</v>
      </c>
      <c r="AX381" s="924"/>
      <c r="AY381" s="923" t="s">
        <v>41</v>
      </c>
      <c r="AZ381" s="928" t="s">
        <v>137</v>
      </c>
      <c r="BA381" s="924"/>
      <c r="BB381" s="924"/>
      <c r="BC381" s="924"/>
      <c r="BD381" s="449"/>
      <c r="BE381" s="449">
        <v>6</v>
      </c>
      <c r="BF381" s="923"/>
      <c r="BG381" s="924">
        <v>3</v>
      </c>
      <c r="BH381" s="924"/>
      <c r="BI381" s="924"/>
      <c r="BJ381" s="924">
        <v>2</v>
      </c>
      <c r="BK381" s="924"/>
      <c r="BL381" s="924"/>
      <c r="BM381" s="924">
        <v>1</v>
      </c>
      <c r="BN381" s="924">
        <v>62</v>
      </c>
      <c r="BO381" s="924"/>
      <c r="BP381" s="923"/>
      <c r="BQ381" s="930"/>
      <c r="BR381" s="929"/>
      <c r="BS381" s="923"/>
      <c r="BT381" s="424">
        <v>1</v>
      </c>
      <c r="BU381" s="424">
        <v>1</v>
      </c>
      <c r="BV381" s="426">
        <v>10</v>
      </c>
      <c r="BW381" s="424">
        <v>0</v>
      </c>
      <c r="BX381" s="449"/>
      <c r="BY381" s="449">
        <v>6</v>
      </c>
      <c r="BZ381" s="449">
        <v>2</v>
      </c>
      <c r="CA381" s="449"/>
      <c r="CB381" s="449"/>
      <c r="CC381" s="807"/>
      <c r="CD381" s="449"/>
      <c r="CE381" s="931">
        <f>IFERROR(WWWW[[#This Row],['#_Water sources passed]]/WWWW[[#This Row],['#_Water sources tested for fecal coliform ]],"no test")</f>
        <v>1</v>
      </c>
      <c r="CF381" s="929">
        <f>IFERROR(WWWW[[#This Row],['#_Household passed]]/WWWW[[#This Row],['#_Household water samples tested for fecal coliform]],"no test")</f>
        <v>1</v>
      </c>
      <c r="CG381" s="930" t="str">
        <f>IF(AND(WWWW[[#This Row],[% of water sources passed]]="no test",WWWW[[#This Row],[% Household passed]]="no test"),"No Test","Tested")</f>
        <v>Tested</v>
      </c>
      <c r="CH381" s="930">
        <f>WWWW[[#This Row],['#_Constructed/existing protected hand dug well]]-WWWW[[#This Row],['#_Non-functional protected hand dug well]]</f>
        <v>0</v>
      </c>
      <c r="CI381" s="930">
        <f>(WWWW[[#This Row],['#_Constructed/Existing tube wells/boreholes/handpumps_WASH_agency]]+WWWW[[#This Row],['#_Non-Cluster partner water tube-wells/boreholes/handpumps]])-WWWW[[#This Row],['#_Non-functional tube wells/boreholes/handpumps]]</f>
        <v>1</v>
      </c>
      <c r="CJ381" s="930">
        <f>WWWW[[#This Row],['#_Constructed/Existingwater storage tank with gravity fed reticulation system]]-WWWW[[#This Row],['#_Non-functional storage tank gravity fed reticulation system]]</f>
        <v>1</v>
      </c>
      <c r="CK381" s="930">
        <f>(WWWW[[#This Row],['#_Water_Liters_supplied_by_Water boating or water trucking]]/90)/15</f>
        <v>0</v>
      </c>
      <c r="CL381" s="930">
        <f>WWWW[[#This Row],['#_Water_Liters_from_Constructed/Existing water distribution system from river or natural spring]]/90/15</f>
        <v>0</v>
      </c>
      <c r="CM381" s="425">
        <f>IF(WWWW[[#This Row],['#_of water points in TLS/CFS]]*500&gt;WWWW[[#This Row],[Total PoP ]],WWWW[[#This Row],[Total PoP ]],WWWW[[#This Row],['#_of water points in TLS/CFS]]*500)</f>
        <v>0</v>
      </c>
      <c r="CN381" s="425">
        <f>IF(WWWW[[#This Row],['#_of water points in THF]]*500&gt;WWWW[[#This Row],[Total PoP ]],WWWW[[#This Row],[Total PoP ]],WWWW[[#This Row],['#_of water points in THF]]*500)</f>
        <v>0</v>
      </c>
      <c r="CO38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Q381" s="929">
        <f>IF(WWWW[[#This Row],[Location Type 1]]="Village",WWWW[[#This Row],[Access to safe drinking water for Village]],WWWW[[#This Row],[Access to safe drinking water for Camp]])</f>
        <v>1</v>
      </c>
      <c r="CR381" s="927">
        <f>WWWW[[#This Row],[%Equitable and continuous access to sufficient quantity of safe drinking water]]*WWWW[[#This Row],[Total PoP ]]</f>
        <v>426</v>
      </c>
      <c r="CS381" s="929">
        <f>IF((WWWW[[#This Row],['#_Constructed/Existing protected/fenced ponds]]*250)/WWWW[[#This Row],[Total PoP ]]&gt;1,1,(WWWW[[#This Row],['#_Constructed/Existing protected/fenced ponds]]*250)/WWWW[[#This Row],[Total PoP ]])</f>
        <v>0</v>
      </c>
      <c r="CT381" s="927">
        <f>WWWW[[#This Row],[% Access to unimproved water points]]*WWWW[[#This Row],[Total PoP ]]</f>
        <v>0</v>
      </c>
      <c r="CU38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W381" s="927">
        <f>WWWW[[#This Row],[HRP1]]/500</f>
        <v>0.85199999999999998</v>
      </c>
      <c r="CX381" s="932">
        <f>1-WWWW[[#This Row],[% Equitable and continuous access to sufficient quantity of domestic water]]</f>
        <v>0</v>
      </c>
      <c r="CY381" s="927">
        <f>WWWW[[#This Row],[%equitable and continuous access to sufficient quantity of safe drinking and domestic water''s GAP]]*WWWW[[#This Row],[Total PoP ]]</f>
        <v>0</v>
      </c>
      <c r="CZ381" s="930">
        <f>IF(WWWW[[#This Row],[Total required water points]]-WWWW[[#This Row],['#Water points coverage]]&lt;0,0,WWWW[[#This Row],[Total required water points]]-WWWW[[#This Row],['#Water points coverage]])</f>
        <v>0.14800000000000002</v>
      </c>
      <c r="DA381" s="930">
        <f>ROUND(IF(WWWW[[#This Row],[Total PoP ]]&lt;500,1,WWWW[[#This Row],[Total PoP ]]/500),0)</f>
        <v>1</v>
      </c>
      <c r="DB381" s="930">
        <f>(WWWW[[#This Row],['#_Constructed latrines_by_WASHAgencies]]+WWWW[[#This Row],['#_Non Cluster partner latrines]])-WWWW[[#This Row],['#_Non-functional latrines]]</f>
        <v>6</v>
      </c>
      <c r="DC381" s="634">
        <f>WWWW[[#This Row],[HRP2]]/WWWW[[#This Row],[Total PoP ]]</f>
        <v>0.29577464788732394</v>
      </c>
      <c r="DD38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126</v>
      </c>
      <c r="DE38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280</v>
      </c>
      <c r="DF38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1" s="425">
        <f>IF(WWWW[[#This Row],['# of functional latrines in THF supported by WASH partners during the reporting period2]]="",0,WWWW[[#This Row],['# of functional latrines in THF supported by WASH partners during the reporting period2]]*50)</f>
        <v>0</v>
      </c>
      <c r="DH381" s="930">
        <f>ROUND(IF(WWWW[[#This Row],[Location Type 1]]="camp",WWWW[[#This Row],[Total PoP ]]/20,IF(WWWW[[#This Row],[Location Type 1]]="Temporary Location",WWWW[[#This Row],[Total PoP ]]/50,(WWWW[[#This Row],[Total PoP ]]/6))),0)</f>
        <v>21</v>
      </c>
      <c r="DI381" s="930">
        <f>IF(WWWW[[#This Row],[Total required Latrines]]-(WWWW[[#This Row],['#_Constructed latrines_by_WASHAgencies]]+WWWW[[#This Row],['#_Non Cluster partner latrines]])&lt;0,0,WWWW[[#This Row],[Total required Latrines]]-(WWWW[[#This Row],['#_Constructed latrines_by_WASHAgencies]]+WWWW[[#This Row],['#_Non Cluster partner latrines]]))</f>
        <v>15</v>
      </c>
      <c r="DJ381" s="932">
        <f>1-WWWW[[#This Row],[% people access to functioning Latrine]]</f>
        <v>0.70422535211267601</v>
      </c>
      <c r="DK381" s="931">
        <f>IF(OR(WWWW[[#This Row],['#_Non-functional latrines]]="",WWWW[[#This Row],['#_Non-functional latrines]]=0),0,WWWW[[#This Row],['#_Non-functional latrines]]/(WWWW[[#This Row],['#_Constructed latrines_by_WASHAgencies]]+WWWW[[#This Row],['#_Non Cluster partner latrines]]))</f>
        <v>0</v>
      </c>
      <c r="DL381" s="927">
        <f>IF(500*(WWWW[[#This Row],['#_male hygiene promoters]]+WWWW[[#This Row],['#_female hygiene promoters]])&gt;WWWW[[#This Row],[Total PoP ]],WWWW[[#This Row],[Total PoP ]],500*(WWWW[[#This Row],['#_male hygiene promoters]]+WWWW[[#This Row],['#_female hygiene promoters]]))</f>
        <v>426</v>
      </c>
      <c r="DM38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310</v>
      </c>
      <c r="DN38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1" s="930">
        <f>IF(WWWW[[#This Row],['# People with access to soap]]&gt;WWWW[[#This Row],['# People with access to Sanity Pads]],WWWW[[#This Row],['# People with access to soap]],WWWW[[#This Row],['# People with access to Sanity Pads]])</f>
        <v>310</v>
      </c>
      <c r="DP381" s="930">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Q381" s="932">
        <f>IF(WWWW[[#This Row],[HRP3]]/WWWW[[#This Row],[Total PoP ]]&gt;1,1,WWWW[[#This Row],[HRP3]]/WWWW[[#This Row],[Total PoP ]])</f>
        <v>1</v>
      </c>
      <c r="DR381" s="931">
        <f>1-WWWW[[#This Row],[Hygiene Coverage%]]</f>
        <v>0</v>
      </c>
      <c r="DS381" s="929">
        <f>WWWW[[#This Row],['# people reached by regular dedicated hygiene promotion_5]]/WWWW[[#This Row],[Total PoP ]]</f>
        <v>1</v>
      </c>
      <c r="DT38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1" s="930">
        <f>WWWW[[#This Row],['#_Constructed/Existing hand washing stations]]-WWWW[[#This Row],['#_Non-Functional_hand_washing_stations]]</f>
        <v>3</v>
      </c>
      <c r="DW381" s="927">
        <f>IF(WWWW[[#This Row],['# Functional hand washing stations during reporting period]]*20&gt;WWWW[[#This Row],[Total HH]],WWWW[[#This Row],[Total HH]],WWWW[[#This Row],['# Functional hand washing stations during reporting period]]*20)</f>
        <v>60</v>
      </c>
      <c r="DX381" s="927">
        <f>IF(WWWW[[#This Row],[Is sufficient soap available for TLS? (Yes/No)]]="yes",WWWW[[#This Row],['#_Constructed/Existing hand washing stations at TLS/CFS/THF]],0)</f>
        <v>0</v>
      </c>
      <c r="DY381" s="429">
        <f>IF(WWWW[[#This Row],['# Functional hand washing stations during reporting period]]*100&gt;WWWW[[#This Row],[Total PoP ]],WWWW[[#This Row],[Total PoP ]],WWWW[[#This Row],['# Functional hand washing stations during reporting period]]*100)</f>
        <v>300</v>
      </c>
      <c r="DZ381" s="429" t="str">
        <f>IF(OR(WWWW[[#This Row],['#_students at TLS_CFS]]="",WWWW[[#This Row],['#_students at TLS_CFS]]=0),"No","Yes")</f>
        <v>No</v>
      </c>
      <c r="EA381" s="634">
        <f>IF(WWWW[[#This Row],['#_of_affected_people_surveyed_who_report_feeling_informed_about_the_different_WASH_services_available_to_them]]="","",WWWW[[#This Row],['#_of_affected_people_surveyed_who_report_feeling_informed_about_the_different_WASH_services_available_to_them]]/WWWW[[#This Row],[Total PoP ]])</f>
        <v>2.3474178403755867E-2</v>
      </c>
      <c r="EB38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8</v>
      </c>
      <c r="EC38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1" s="923" t="str">
        <f>VLOOKUP(WWWW[[#This Row],[Site Name]],SiteDB6[[Site Name]:[CCCM Management]],6,FALSE)</f>
        <v>Yes</v>
      </c>
      <c r="EF381" s="923" t="str">
        <f>VLOOKUP(WWWW[[#This Row],[Site Name]],SiteDB6[[Site Name]:[CCCM Focal Agency]],7,FALSE)</f>
        <v>KMSS-BMO</v>
      </c>
      <c r="EG381" s="923" t="str">
        <f>VLOOKUP(WWWW[[#This Row],[Site Name]],SiteDB6[[Site Name]:[Location Type 1]],9,FALSE)</f>
        <v>Camp</v>
      </c>
      <c r="EH381" s="923" t="str">
        <f>VLOOKUP(WWWW[[#This Row],[Site Name]],SiteDB6[[Site Name]:[Type of Accommodation]],10,FALSE)</f>
        <v>Camp</v>
      </c>
      <c r="EI381" s="923" t="str">
        <f>VLOOKUP(WWWW[[#This Row],[Site Name]],SiteDB6[[Site Name]:[Ethnic or GCA/NGCA]],11,FALSE)</f>
        <v>GCA</v>
      </c>
      <c r="EJ381" s="923">
        <f>VLOOKUP(WWWW[[#This Row],[Site Name]],SiteDB6[[Site Name]:[Lat]],12,FALSE)</f>
        <v>24.205417000000001</v>
      </c>
      <c r="EK381" s="923">
        <f>VLOOKUP(WWWW[[#This Row],[Site Name]],SiteDB6[[Site Name]:[Long]],13,FALSE)</f>
        <v>97.724566999999993</v>
      </c>
      <c r="EL381" s="923" t="str">
        <f>VLOOKUP(WWWW[[#This Row],[Site Name]],SiteDB6[[Site Name]:[Pcode]],3,FALSE)</f>
        <v>MMR001CMP069</v>
      </c>
      <c r="EM381" s="928" t="str">
        <f t="shared" si="5"/>
        <v>Covered</v>
      </c>
      <c r="EN381" s="928"/>
      <c r="EO381" s="923">
        <f>VLOOKUP(WWWW[[#This Row],[Site Name]],SiteDB6[[Site Name]:[Pop
(Kachin/Shan-CCCM as of July 2021)]],16,FALSE)</f>
        <v>79</v>
      </c>
      <c r="EP381" s="923">
        <f>VLOOKUP(WWWW[[#This Row],[Site Name]],SiteDB6[[Site Name]:[Pop
(Kachin/Shan-CCCM as of July 2021)]],17,FALSE)</f>
        <v>448</v>
      </c>
    </row>
    <row r="382" spans="1:146">
      <c r="A382" s="921" t="s">
        <v>2786</v>
      </c>
      <c r="B382" s="921" t="s">
        <v>276</v>
      </c>
      <c r="C382" s="922" t="s">
        <v>276</v>
      </c>
      <c r="D382" s="922" t="s">
        <v>3061</v>
      </c>
      <c r="E382" s="922" t="s">
        <v>37</v>
      </c>
      <c r="F382" s="922" t="s">
        <v>205</v>
      </c>
      <c r="G382" s="594" t="str">
        <f>VLOOKUP(WWWW[[#This Row],[Site Name]],SiteDB6[[Site Name]:[Location Type]],8,FALSE)</f>
        <v>Camp</v>
      </c>
      <c r="H382" s="922" t="s">
        <v>283</v>
      </c>
      <c r="I382" s="924">
        <v>232</v>
      </c>
      <c r="J382" s="924">
        <v>1322</v>
      </c>
      <c r="K382" s="925">
        <v>44652</v>
      </c>
      <c r="L382" s="926">
        <v>44895</v>
      </c>
      <c r="M382" s="924"/>
      <c r="N382" s="924"/>
      <c r="O382" s="924"/>
      <c r="P382" s="924"/>
      <c r="Q382" s="927" t="s">
        <v>41</v>
      </c>
      <c r="R382" s="924">
        <v>11</v>
      </c>
      <c r="S382" s="924">
        <v>13</v>
      </c>
      <c r="T382" s="449">
        <v>5</v>
      </c>
      <c r="U382" s="924"/>
      <c r="V382" s="924"/>
      <c r="W382" s="924">
        <v>3</v>
      </c>
      <c r="X382" s="924"/>
      <c r="Y382" s="924"/>
      <c r="Z382" s="924"/>
      <c r="AA382" s="924">
        <v>4</v>
      </c>
      <c r="AB382" s="924"/>
      <c r="AC382" s="924"/>
      <c r="AD382" s="924"/>
      <c r="AE382" s="924"/>
      <c r="AF382" s="924"/>
      <c r="AG382" s="924"/>
      <c r="AH382" s="924"/>
      <c r="AI382" s="924">
        <v>7</v>
      </c>
      <c r="AJ382" s="924">
        <v>7</v>
      </c>
      <c r="AK382" s="924">
        <v>36</v>
      </c>
      <c r="AL382" s="924">
        <v>36</v>
      </c>
      <c r="AM382" s="924"/>
      <c r="AN382" s="924"/>
      <c r="AO382" s="449"/>
      <c r="AP382" s="928"/>
      <c r="AQ382" s="924">
        <v>47</v>
      </c>
      <c r="AR382" s="924"/>
      <c r="AS382" s="929"/>
      <c r="AT382" s="924"/>
      <c r="AU382" s="924"/>
      <c r="AV382" s="924">
        <v>45</v>
      </c>
      <c r="AW382" s="924">
        <v>97</v>
      </c>
      <c r="AX382" s="924"/>
      <c r="AY382" s="923" t="s">
        <v>41</v>
      </c>
      <c r="AZ382" s="928" t="s">
        <v>137</v>
      </c>
      <c r="BA382" s="924"/>
      <c r="BB382" s="924"/>
      <c r="BC382" s="924"/>
      <c r="BD382" s="449"/>
      <c r="BE382" s="449">
        <v>3</v>
      </c>
      <c r="BF382" s="923"/>
      <c r="BG382" s="924">
        <v>3</v>
      </c>
      <c r="BH382" s="924"/>
      <c r="BI382" s="924"/>
      <c r="BJ382" s="924">
        <v>6</v>
      </c>
      <c r="BK382" s="924"/>
      <c r="BL382" s="924"/>
      <c r="BM382" s="924">
        <v>4</v>
      </c>
      <c r="BN382" s="924">
        <v>240</v>
      </c>
      <c r="BO382" s="924"/>
      <c r="BP382" s="923"/>
      <c r="BQ382" s="930"/>
      <c r="BR382" s="929"/>
      <c r="BS382" s="923"/>
      <c r="BT382" s="424">
        <v>1</v>
      </c>
      <c r="BU382" s="424">
        <v>1</v>
      </c>
      <c r="BV382" s="426">
        <v>41</v>
      </c>
      <c r="BW382" s="424">
        <v>1</v>
      </c>
      <c r="BX382" s="449"/>
      <c r="BY382" s="449">
        <v>47</v>
      </c>
      <c r="BZ382" s="449">
        <v>5</v>
      </c>
      <c r="CA382" s="449"/>
      <c r="CB382" s="449"/>
      <c r="CC382" s="807"/>
      <c r="CD382" s="449"/>
      <c r="CE382" s="931">
        <f>IFERROR(WWWW[[#This Row],['#_Water sources passed]]/WWWW[[#This Row],['#_Water sources tested for fecal coliform ]],"no test")</f>
        <v>1</v>
      </c>
      <c r="CF382" s="929">
        <f>IFERROR(WWWW[[#This Row],['#_Household passed]]/WWWW[[#This Row],['#_Household water samples tested for fecal coliform]],"no test")</f>
        <v>1</v>
      </c>
      <c r="CG382" s="930" t="str">
        <f>IF(AND(WWWW[[#This Row],[% of water sources passed]]="no test",WWWW[[#This Row],[% Household passed]]="no test"),"No Test","Tested")</f>
        <v>Tested</v>
      </c>
      <c r="CH382" s="930">
        <f>WWWW[[#This Row],['#_Constructed/existing protected hand dug well]]-WWWW[[#This Row],['#_Non-functional protected hand dug well]]</f>
        <v>5</v>
      </c>
      <c r="CI382" s="930">
        <f>(WWWW[[#This Row],['#_Constructed/Existing tube wells/boreholes/handpumps_WASH_agency]]+WWWW[[#This Row],['#_Non-Cluster partner water tube-wells/boreholes/handpumps]])-WWWW[[#This Row],['#_Non-functional tube wells/boreholes/handpumps]]</f>
        <v>3</v>
      </c>
      <c r="CJ382" s="930">
        <f>WWWW[[#This Row],['#_Constructed/Existingwater storage tank with gravity fed reticulation system]]-WWWW[[#This Row],['#_Non-functional storage tank gravity fed reticulation system]]</f>
        <v>4</v>
      </c>
      <c r="CK382" s="930">
        <f>(WWWW[[#This Row],['#_Water_Liters_supplied_by_Water boating or water trucking]]/90)/15</f>
        <v>0</v>
      </c>
      <c r="CL382" s="930">
        <f>WWWW[[#This Row],['#_Water_Liters_from_Constructed/Existing water distribution system from river or natural spring]]/90/15</f>
        <v>0</v>
      </c>
      <c r="CM382" s="425">
        <f>IF(WWWW[[#This Row],['#_of water points in TLS/CFS]]*500&gt;WWWW[[#This Row],[Total PoP ]],WWWW[[#This Row],[Total PoP ]],WWWW[[#This Row],['#_of water points in TLS/CFS]]*500)</f>
        <v>0</v>
      </c>
      <c r="CN382" s="425">
        <f>IF(WWWW[[#This Row],['#_of water points in THF]]*500&gt;WWWW[[#This Row],[Total PoP ]],WWWW[[#This Row],[Total PoP ]],WWWW[[#This Row],['#_of water points in THF]]*500)</f>
        <v>0</v>
      </c>
      <c r="CO38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2" s="929">
        <f>IF(WWWW[[#This Row],[Location Type 1]]="Village",WWWW[[#This Row],[Access to safe drinking water for Village]],WWWW[[#This Row],[Access to safe drinking water for Camp]])</f>
        <v>1</v>
      </c>
      <c r="CR382" s="927">
        <f>WWWW[[#This Row],[%Equitable and continuous access to sufficient quantity of safe drinking water]]*WWWW[[#This Row],[Total PoP ]]</f>
        <v>1322</v>
      </c>
      <c r="CS382" s="929">
        <f>IF((WWWW[[#This Row],['#_Constructed/Existing protected/fenced ponds]]*250)/WWWW[[#This Row],[Total PoP ]]&gt;1,1,(WWWW[[#This Row],['#_Constructed/Existing protected/fenced ponds]]*250)/WWWW[[#This Row],[Total PoP ]])</f>
        <v>0</v>
      </c>
      <c r="CT382" s="927">
        <f>WWWW[[#This Row],[% Access to unimproved water points]]*WWWW[[#This Row],[Total PoP ]]</f>
        <v>0</v>
      </c>
      <c r="CU38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1322</v>
      </c>
      <c r="CW382" s="927">
        <f>WWWW[[#This Row],[HRP1]]/500</f>
        <v>2.6440000000000001</v>
      </c>
      <c r="CX382" s="932">
        <f>1-WWWW[[#This Row],[% Equitable and continuous access to sufficient quantity of domestic water]]</f>
        <v>0</v>
      </c>
      <c r="CY382" s="927">
        <f>WWWW[[#This Row],[%equitable and continuous access to sufficient quantity of safe drinking and domestic water''s GAP]]*WWWW[[#This Row],[Total PoP ]]</f>
        <v>0</v>
      </c>
      <c r="CZ382" s="930">
        <f>IF(WWWW[[#This Row],[Total required water points]]-WWWW[[#This Row],['#Water points coverage]]&lt;0,0,WWWW[[#This Row],[Total required water points]]-WWWW[[#This Row],['#Water points coverage]])</f>
        <v>0.35599999999999987</v>
      </c>
      <c r="DA382" s="930">
        <f>ROUND(IF(WWWW[[#This Row],[Total PoP ]]&lt;500,1,WWWW[[#This Row],[Total PoP ]]/500),0)</f>
        <v>3</v>
      </c>
      <c r="DB382" s="930">
        <f>(WWWW[[#This Row],['#_Constructed latrines_by_WASHAgencies]]+WWWW[[#This Row],['#_Non Cluster partner latrines]])-WWWW[[#This Row],['#_Non-functional latrines]]</f>
        <v>47</v>
      </c>
      <c r="DC382" s="634">
        <f>WWWW[[#This Row],[HRP2]]/WWWW[[#This Row],[Total PoP ]]</f>
        <v>0.71331316187594551</v>
      </c>
      <c r="DD38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943</v>
      </c>
      <c r="DE38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900</v>
      </c>
      <c r="DF38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2" s="425">
        <f>IF(WWWW[[#This Row],['# of functional latrines in THF supported by WASH partners during the reporting period2]]="",0,WWWW[[#This Row],['# of functional latrines in THF supported by WASH partners during the reporting period2]]*50)</f>
        <v>0</v>
      </c>
      <c r="DH382" s="930">
        <f>ROUND(IF(WWWW[[#This Row],[Location Type 1]]="camp",WWWW[[#This Row],[Total PoP ]]/20,IF(WWWW[[#This Row],[Location Type 1]]="Temporary Location",WWWW[[#This Row],[Total PoP ]]/50,(WWWW[[#This Row],[Total PoP ]]/6))),0)</f>
        <v>66</v>
      </c>
      <c r="DI382" s="930">
        <f>IF(WWWW[[#This Row],[Total required Latrines]]-(WWWW[[#This Row],['#_Constructed latrines_by_WASHAgencies]]+WWWW[[#This Row],['#_Non Cluster partner latrines]])&lt;0,0,WWWW[[#This Row],[Total required Latrines]]-(WWWW[[#This Row],['#_Constructed latrines_by_WASHAgencies]]+WWWW[[#This Row],['#_Non Cluster partner latrines]]))</f>
        <v>19</v>
      </c>
      <c r="DJ382" s="932">
        <f>1-WWWW[[#This Row],[% people access to functioning Latrine]]</f>
        <v>0.28668683812405449</v>
      </c>
      <c r="DK382" s="931">
        <f>IF(OR(WWWW[[#This Row],['#_Non-functional latrines]]="",WWWW[[#This Row],['#_Non-functional latrines]]=0),0,WWWW[[#This Row],['#_Non-functional latrines]]/(WWWW[[#This Row],['#_Constructed latrines_by_WASHAgencies]]+WWWW[[#This Row],['#_Non Cluster partner latrines]]))</f>
        <v>0</v>
      </c>
      <c r="DL382" s="927">
        <f>IF(500*(WWWW[[#This Row],['#_male hygiene promoters]]+WWWW[[#This Row],['#_female hygiene promoters]])&gt;WWWW[[#This Row],[Total PoP ]],WWWW[[#This Row],[Total PoP ]],500*(WWWW[[#This Row],['#_male hygiene promoters]]+WWWW[[#This Row],['#_female hygiene promoters]]))</f>
        <v>1322</v>
      </c>
      <c r="DM38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1200</v>
      </c>
      <c r="DN38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2" s="930">
        <f>IF(WWWW[[#This Row],['# People with access to soap]]&gt;WWWW[[#This Row],['# People with access to Sanity Pads]],WWWW[[#This Row],['# People with access to soap]],WWWW[[#This Row],['# People with access to Sanity Pads]])</f>
        <v>1200</v>
      </c>
      <c r="DP382" s="930">
        <f>IF(WWWW[[#This Row],['# people reached by regular dedicated hygiene promotion_5]]&gt;WWWW[[#This Row],['# People received regular supply of hygiene items_6]],WWWW[[#This Row],['# people reached by regular dedicated hygiene promotion_5]],WWWW[[#This Row],['# People received regular supply of hygiene items_6]])</f>
        <v>1322</v>
      </c>
      <c r="DQ382" s="932">
        <f>IF(WWWW[[#This Row],[HRP3]]/WWWW[[#This Row],[Total PoP ]]&gt;1,1,WWWW[[#This Row],[HRP3]]/WWWW[[#This Row],[Total PoP ]])</f>
        <v>1</v>
      </c>
      <c r="DR382" s="931">
        <f>1-WWWW[[#This Row],[Hygiene Coverage%]]</f>
        <v>0</v>
      </c>
      <c r="DS382" s="929">
        <f>WWWW[[#This Row],['# people reached by regular dedicated hygiene promotion_5]]/WWWW[[#This Row],[Total PoP ]]</f>
        <v>1</v>
      </c>
      <c r="DT38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2" s="930">
        <f>WWWW[[#This Row],['#_Constructed/Existing hand washing stations]]-WWWW[[#This Row],['#_Non-Functional_hand_washing_stations]]</f>
        <v>3</v>
      </c>
      <c r="DW382" s="927">
        <f>IF(WWWW[[#This Row],['# Functional hand washing stations during reporting period]]*20&gt;WWWW[[#This Row],[Total HH]],WWWW[[#This Row],[Total HH]],WWWW[[#This Row],['# Functional hand washing stations during reporting period]]*20)</f>
        <v>60</v>
      </c>
      <c r="DX382" s="927">
        <f>IF(WWWW[[#This Row],[Is sufficient soap available for TLS? (Yes/No)]]="yes",WWWW[[#This Row],['#_Constructed/Existing hand washing stations at TLS/CFS/THF]],0)</f>
        <v>0</v>
      </c>
      <c r="DY382" s="429">
        <f>IF(WWWW[[#This Row],['# Functional hand washing stations during reporting period]]*100&gt;WWWW[[#This Row],[Total PoP ]],WWWW[[#This Row],[Total PoP ]],WWWW[[#This Row],['# Functional hand washing stations during reporting period]]*100)</f>
        <v>300</v>
      </c>
      <c r="DZ382" s="429" t="str">
        <f>IF(OR(WWWW[[#This Row],['#_students at TLS_CFS]]="",WWWW[[#This Row],['#_students at TLS_CFS]]=0),"No","Yes")</f>
        <v>No</v>
      </c>
      <c r="EA382" s="634">
        <f>IF(WWWW[[#This Row],['#_of_affected_people_surveyed_who_report_feeling_informed_about_the_different_WASH_services_available_to_them]]="","",WWWW[[#This Row],['#_of_affected_people_surveyed_who_report_feeling_informed_about_the_different_WASH_services_available_to_them]]/WWWW[[#This Row],[Total PoP ]])</f>
        <v>3.1013615733736764E-2</v>
      </c>
      <c r="EB38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52</v>
      </c>
      <c r="EC38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2" s="923" t="str">
        <f>VLOOKUP(WWWW[[#This Row],[Site Name]],SiteDB6[[Site Name]:[CCCM Management]],6,FALSE)</f>
        <v>Yes</v>
      </c>
      <c r="EF382" s="923" t="str">
        <f>VLOOKUP(WWWW[[#This Row],[Site Name]],SiteDB6[[Site Name]:[CCCM Focal Agency]],7,FALSE)</f>
        <v>KBC-BMO</v>
      </c>
      <c r="EG382" s="923" t="str">
        <f>VLOOKUP(WWWW[[#This Row],[Site Name]],SiteDB6[[Site Name]:[Location Type 1]],9,FALSE)</f>
        <v>Camp</v>
      </c>
      <c r="EH382" s="923" t="str">
        <f>VLOOKUP(WWWW[[#This Row],[Site Name]],SiteDB6[[Site Name]:[Type of Accommodation]],10,FALSE)</f>
        <v>Camp</v>
      </c>
      <c r="EI382" s="923" t="str">
        <f>VLOOKUP(WWWW[[#This Row],[Site Name]],SiteDB6[[Site Name]:[Ethnic or GCA/NGCA]],11,FALSE)</f>
        <v>GCA</v>
      </c>
      <c r="EJ382" s="923">
        <f>VLOOKUP(WWWW[[#This Row],[Site Name]],SiteDB6[[Site Name]:[Lat]],12,FALSE)</f>
        <v>24.200433</v>
      </c>
      <c r="EK382" s="923">
        <f>VLOOKUP(WWWW[[#This Row],[Site Name]],SiteDB6[[Site Name]:[Long]],13,FALSE)</f>
        <v>97.717133000000004</v>
      </c>
      <c r="EL382" s="923" t="str">
        <f>VLOOKUP(WWWW[[#This Row],[Site Name]],SiteDB6[[Site Name]:[Pcode]],3,FALSE)</f>
        <v>MMR001CMP070</v>
      </c>
      <c r="EM382" s="928" t="str">
        <f t="shared" si="5"/>
        <v>Covered</v>
      </c>
      <c r="EN382" s="928"/>
      <c r="EO382" s="923">
        <f>VLOOKUP(WWWW[[#This Row],[Site Name]],SiteDB6[[Site Name]:[Pop
(Kachin/Shan-CCCM as of July 2021)]],16,FALSE)</f>
        <v>240</v>
      </c>
      <c r="EP382" s="923">
        <f>VLOOKUP(WWWW[[#This Row],[Site Name]],SiteDB6[[Site Name]:[Pop
(Kachin/Shan-CCCM as of July 2021)]],17,FALSE)</f>
        <v>1395</v>
      </c>
    </row>
    <row r="383" spans="1:146">
      <c r="A383" s="921" t="s">
        <v>2786</v>
      </c>
      <c r="B383" s="921" t="s">
        <v>276</v>
      </c>
      <c r="C383" s="922" t="s">
        <v>276</v>
      </c>
      <c r="D383" s="922" t="s">
        <v>3061</v>
      </c>
      <c r="E383" s="922" t="s">
        <v>37</v>
      </c>
      <c r="F383" s="922" t="s">
        <v>205</v>
      </c>
      <c r="G383" s="594" t="str">
        <f>VLOOKUP(WWWW[[#This Row],[Site Name]],SiteDB6[[Site Name]:[Location Type]],8,FALSE)</f>
        <v>Camp_not registered</v>
      </c>
      <c r="H383" s="922" t="s">
        <v>288</v>
      </c>
      <c r="I383" s="924"/>
      <c r="J383" s="924"/>
      <c r="K383" s="925">
        <v>43833</v>
      </c>
      <c r="L383" s="926">
        <v>44620</v>
      </c>
      <c r="M383" s="924"/>
      <c r="N383" s="924"/>
      <c r="O383" s="924"/>
      <c r="P383" s="924"/>
      <c r="Q383" s="927" t="s">
        <v>41</v>
      </c>
      <c r="R383" s="924"/>
      <c r="S383" s="924"/>
      <c r="T383" s="449">
        <v>2</v>
      </c>
      <c r="U383" s="924"/>
      <c r="V383" s="924"/>
      <c r="W383" s="924">
        <v>1</v>
      </c>
      <c r="X383" s="924"/>
      <c r="Y383" s="924"/>
      <c r="Z383" s="924"/>
      <c r="AA383" s="924"/>
      <c r="AB383" s="924"/>
      <c r="AC383" s="924"/>
      <c r="AD383" s="924"/>
      <c r="AE383" s="924"/>
      <c r="AF383" s="924"/>
      <c r="AG383" s="924"/>
      <c r="AH383" s="924"/>
      <c r="AI383" s="924"/>
      <c r="AJ383" s="924"/>
      <c r="AK383" s="924"/>
      <c r="AL383" s="924"/>
      <c r="AM383" s="924"/>
      <c r="AN383" s="924"/>
      <c r="AO383" s="449"/>
      <c r="AP383" s="928"/>
      <c r="AQ383" s="924">
        <v>7</v>
      </c>
      <c r="AR383" s="924"/>
      <c r="AS383" s="929"/>
      <c r="AT383" s="924"/>
      <c r="AU383" s="924"/>
      <c r="AV383" s="924"/>
      <c r="AW383" s="924"/>
      <c r="AX383" s="924"/>
      <c r="AY383" s="923" t="s">
        <v>41</v>
      </c>
      <c r="AZ383" s="928" t="s">
        <v>140</v>
      </c>
      <c r="BA383" s="924"/>
      <c r="BB383" s="924"/>
      <c r="BC383" s="924"/>
      <c r="BD383" s="449"/>
      <c r="BE383" s="449">
        <v>5</v>
      </c>
      <c r="BF383" s="923"/>
      <c r="BG383" s="924">
        <v>1</v>
      </c>
      <c r="BH383" s="924"/>
      <c r="BI383" s="924"/>
      <c r="BJ383" s="924">
        <v>3</v>
      </c>
      <c r="BK383" s="924"/>
      <c r="BL383" s="924"/>
      <c r="BM383" s="924"/>
      <c r="BN383" s="924"/>
      <c r="BO383" s="924"/>
      <c r="BP383" s="923"/>
      <c r="BQ383" s="930"/>
      <c r="BR383" s="929"/>
      <c r="BS383" s="923"/>
      <c r="BT383" s="424"/>
      <c r="BU383" s="424"/>
      <c r="BV383" s="426"/>
      <c r="BW383" s="424"/>
      <c r="BX383" s="449"/>
      <c r="BY383" s="449"/>
      <c r="BZ383" s="449"/>
      <c r="CA383" s="449"/>
      <c r="CB383" s="449"/>
      <c r="CC383" s="807"/>
      <c r="CD383" s="449"/>
      <c r="CE383" s="931" t="str">
        <f>IFERROR(WWWW[[#This Row],['#_Water sources passed]]/WWWW[[#This Row],['#_Water sources tested for fecal coliform ]],"no test")</f>
        <v>no test</v>
      </c>
      <c r="CF383" s="929" t="str">
        <f>IFERROR(WWWW[[#This Row],['#_Household passed]]/WWWW[[#This Row],['#_Household water samples tested for fecal coliform]],"no test")</f>
        <v>no test</v>
      </c>
      <c r="CG383" s="930" t="str">
        <f>IF(AND(WWWW[[#This Row],[% of water sources passed]]="no test",WWWW[[#This Row],[% Household passed]]="no test"),"No Test","Tested")</f>
        <v>No Test</v>
      </c>
      <c r="CH383" s="930">
        <f>WWWW[[#This Row],['#_Constructed/existing protected hand dug well]]-WWWW[[#This Row],['#_Non-functional protected hand dug well]]</f>
        <v>2</v>
      </c>
      <c r="CI383" s="930">
        <f>(WWWW[[#This Row],['#_Constructed/Existing tube wells/boreholes/handpumps_WASH_agency]]+WWWW[[#This Row],['#_Non-Cluster partner water tube-wells/boreholes/handpumps]])-WWWW[[#This Row],['#_Non-functional tube wells/boreholes/handpumps]]</f>
        <v>1</v>
      </c>
      <c r="CJ383" s="930">
        <f>WWWW[[#This Row],['#_Constructed/Existingwater storage tank with gravity fed reticulation system]]-WWWW[[#This Row],['#_Non-functional storage tank gravity fed reticulation system]]</f>
        <v>0</v>
      </c>
      <c r="CK383" s="930">
        <f>(WWWW[[#This Row],['#_Water_Liters_supplied_by_Water boating or water trucking]]/90)/15</f>
        <v>0</v>
      </c>
      <c r="CL383" s="930">
        <f>WWWW[[#This Row],['#_Water_Liters_from_Constructed/Existing water distribution system from river or natural spring]]/90/15</f>
        <v>0</v>
      </c>
      <c r="CM383" s="425">
        <f>IF(WWWW[[#This Row],['#_of water points in TLS/CFS]]*500&gt;WWWW[[#This Row],[Total PoP ]],WWWW[[#This Row],[Total PoP ]],WWWW[[#This Row],['#_of water points in TLS/CFS]]*500)</f>
        <v>0</v>
      </c>
      <c r="CN383" s="425">
        <f>IF(WWWW[[#This Row],['#_of water points in THF]]*500&gt;WWWW[[#This Row],[Total PoP ]],WWWW[[#This Row],[Total PoP ]],WWWW[[#This Row],['#_of water points in THF]]*500)</f>
        <v>0</v>
      </c>
      <c r="CO383" s="931"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P383" s="931"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Q383" s="929" t="str">
        <f>IF(WWWW[[#This Row],[Location Type 1]]="Village",WWWW[[#This Row],[Access to safe drinking water for Village]],WWWW[[#This Row],[Access to safe drinking water for Camp]])</f>
        <v/>
      </c>
      <c r="CR383" s="927"/>
      <c r="CS383" s="929"/>
      <c r="CT383" s="927">
        <f>WWWW[[#This Row],[% Access to unimproved water points]]*WWWW[[#This Row],[Total PoP ]]</f>
        <v>0</v>
      </c>
      <c r="CU383" s="929"/>
      <c r="CV38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W383" s="927">
        <f>WWWW[[#This Row],[HRP1]]/500</f>
        <v>0</v>
      </c>
      <c r="CX383" s="932">
        <f>1-WWWW[[#This Row],[% Equitable and continuous access to sufficient quantity of domestic water]]</f>
        <v>1</v>
      </c>
      <c r="CY383" s="927">
        <f>WWWW[[#This Row],[%equitable and continuous access to sufficient quantity of safe drinking and domestic water''s GAP]]*WWWW[[#This Row],[Total PoP ]]</f>
        <v>0</v>
      </c>
      <c r="CZ383" s="930">
        <f>IF(WWWW[[#This Row],[Total required water points]]-WWWW[[#This Row],['#Water points coverage]]&lt;0,0,WWWW[[#This Row],[Total required water points]]-WWWW[[#This Row],['#Water points coverage]])</f>
        <v>1</v>
      </c>
      <c r="DA383" s="930">
        <f>ROUND(IF(WWWW[[#This Row],[Total PoP ]]&lt;500,1,WWWW[[#This Row],[Total PoP ]]/500),0)</f>
        <v>1</v>
      </c>
      <c r="DB383" s="930">
        <f>(WWWW[[#This Row],['#_Constructed latrines_by_WASHAgencies]]+WWWW[[#This Row],['#_Non Cluster partner latrines]])-WWWW[[#This Row],['#_Non-functional latrines]]</f>
        <v>7</v>
      </c>
      <c r="DC383" s="634"/>
      <c r="DD38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8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3" s="425">
        <f>IF(WWWW[[#This Row],['# of functional latrines in THF supported by WASH partners during the reporting period2]]="",0,WWWW[[#This Row],['# of functional latrines in THF supported by WASH partners during the reporting period2]]*50)</f>
        <v>0</v>
      </c>
      <c r="DH383" s="930">
        <f>ROUND(IF(WWWW[[#This Row],[Location Type 1]]="camp",WWWW[[#This Row],[Total PoP ]]/20,IF(WWWW[[#This Row],[Location Type 1]]="Temporary Location",WWWW[[#This Row],[Total PoP ]]/50,(WWWW[[#This Row],[Total PoP ]]/6))),0)</f>
        <v>0</v>
      </c>
      <c r="DI383" s="930">
        <f>IF(WWWW[[#This Row],[Total required Latrines]]-(WWWW[[#This Row],['#_Constructed latrines_by_WASHAgencies]]+WWWW[[#This Row],['#_Non Cluster partner latrines]])&lt;0,0,WWWW[[#This Row],[Total required Latrines]]-(WWWW[[#This Row],['#_Constructed latrines_by_WASHAgencies]]+WWWW[[#This Row],['#_Non Cluster partner latrines]]))</f>
        <v>0</v>
      </c>
      <c r="DJ383" s="932"/>
      <c r="DK383" s="931">
        <f>IF(OR(WWWW[[#This Row],['#_Non-functional latrines]]="",WWWW[[#This Row],['#_Non-functional latrines]]=0),0,WWWW[[#This Row],['#_Non-functional latrines]]/(WWWW[[#This Row],['#_Constructed latrines_by_WASHAgencies]]+WWWW[[#This Row],['#_Non Cluster partner latrines]]))</f>
        <v>0</v>
      </c>
      <c r="DL383" s="927">
        <f>IF(500*(WWWW[[#This Row],['#_male hygiene promoters]]+WWWW[[#This Row],['#_female hygiene promoters]])&gt;WWWW[[#This Row],[Total PoP ]],WWWW[[#This Row],[Total PoP ]],500*(WWWW[[#This Row],['#_male hygiene promoters]]+WWWW[[#This Row],['#_female hygiene promoters]]))</f>
        <v>0</v>
      </c>
      <c r="DM38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3" s="930">
        <f>IF(WWWW[[#This Row],['# People with access to soap]]&gt;WWWW[[#This Row],['# People with access to Sanity Pads]],WWWW[[#This Row],['# People with access to soap]],WWWW[[#This Row],['# People with access to Sanity Pads]])</f>
        <v>0</v>
      </c>
      <c r="DP383"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3" s="932"/>
      <c r="DR383" s="931"/>
      <c r="DS383" s="929"/>
      <c r="DT383" s="931"/>
      <c r="DU383" s="929"/>
      <c r="DV383" s="930">
        <f>WWWW[[#This Row],['#_Constructed/Existing hand washing stations]]-WWWW[[#This Row],['#_Non-Functional_hand_washing_stations]]</f>
        <v>1</v>
      </c>
      <c r="DW383" s="927">
        <f>IF(WWWW[[#This Row],['# Functional hand washing stations during reporting period]]*20&gt;WWWW[[#This Row],[Total HH]],WWWW[[#This Row],[Total HH]],WWWW[[#This Row],['# Functional hand washing stations during reporting period]]*20)</f>
        <v>0</v>
      </c>
      <c r="DX383" s="927">
        <f>IF(WWWW[[#This Row],[Is sufficient soap available for TLS? (Yes/No)]]="yes",WWWW[[#This Row],['#_Constructed/Existing hand washing stations at TLS/CFS/THF]],0)</f>
        <v>0</v>
      </c>
      <c r="DY383" s="429">
        <f>IF(WWWW[[#This Row],['# Functional hand washing stations during reporting period]]*100&gt;WWWW[[#This Row],[Total PoP ]],WWWW[[#This Row],[Total PoP ]],WWWW[[#This Row],['# Functional hand washing stations during reporting period]]*100)</f>
        <v>0</v>
      </c>
      <c r="DZ383" s="429" t="str">
        <f>IF(OR(WWWW[[#This Row],['#_students at TLS_CFS]]="",WWWW[[#This Row],['#_students at TLS_CFS]]=0),"No","Yes")</f>
        <v>No</v>
      </c>
      <c r="EA38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3" s="923">
        <f>VLOOKUP(WWWW[[#This Row],[Site Name]],SiteDB6[[Site Name]:[CCCM Management]],6,FALSE)</f>
        <v>0</v>
      </c>
      <c r="EF383" s="923">
        <f>VLOOKUP(WWWW[[#This Row],[Site Name]],SiteDB6[[Site Name]:[CCCM Focal Agency]],7,FALSE)</f>
        <v>0</v>
      </c>
      <c r="EG383" s="923" t="str">
        <f>VLOOKUP(WWWW[[#This Row],[Site Name]],SiteDB6[[Site Name]:[Location Type 1]],9,FALSE)</f>
        <v>Camp</v>
      </c>
      <c r="EH383" s="923" t="str">
        <f>VLOOKUP(WWWW[[#This Row],[Site Name]],SiteDB6[[Site Name]:[Type of Accommodation]],10,FALSE)</f>
        <v>School</v>
      </c>
      <c r="EI383" s="923" t="str">
        <f>VLOOKUP(WWWW[[#This Row],[Site Name]],SiteDB6[[Site Name]:[Ethnic or GCA/NGCA]],11,FALSE)</f>
        <v>GCA</v>
      </c>
      <c r="EJ383" s="923">
        <f>VLOOKUP(WWWW[[#This Row],[Site Name]],SiteDB6[[Site Name]:[Lat]],12,FALSE)</f>
        <v>0</v>
      </c>
      <c r="EK383" s="923">
        <f>VLOOKUP(WWWW[[#This Row],[Site Name]],SiteDB6[[Site Name]:[Long]],13,FALSE)</f>
        <v>0</v>
      </c>
      <c r="EL383" s="923">
        <f>VLOOKUP(WWWW[[#This Row],[Site Name]],SiteDB6[[Site Name]:[Pcode]],3,FALSE)</f>
        <v>0</v>
      </c>
      <c r="EM383" s="928" t="str">
        <f t="shared" si="5"/>
        <v>Covered</v>
      </c>
      <c r="EN383" s="928"/>
      <c r="EO383" s="923">
        <f>VLOOKUP(WWWW[[#This Row],[Site Name]],SiteDB6[[Site Name]:[Pop
(Kachin/Shan-CCCM as of July 2021)]],16,FALSE)</f>
        <v>0</v>
      </c>
      <c r="EP383" s="923">
        <f>VLOOKUP(WWWW[[#This Row],[Site Name]],SiteDB6[[Site Name]:[Pop
(Kachin/Shan-CCCM as of July 2021)]],17,FALSE)</f>
        <v>0</v>
      </c>
    </row>
    <row r="384" spans="1:146">
      <c r="A384" s="921" t="s">
        <v>2786</v>
      </c>
      <c r="B384" s="921" t="s">
        <v>276</v>
      </c>
      <c r="C384" s="922" t="s">
        <v>276</v>
      </c>
      <c r="D384" s="922" t="s">
        <v>3061</v>
      </c>
      <c r="E384" s="922" t="s">
        <v>37</v>
      </c>
      <c r="F384" s="922" t="s">
        <v>205</v>
      </c>
      <c r="G384" s="594" t="str">
        <f>VLOOKUP(WWWW[[#This Row],[Site Name]],SiteDB6[[Site Name]:[Location Type]],8,FALSE)</f>
        <v>Camp</v>
      </c>
      <c r="H384" s="922" t="s">
        <v>210</v>
      </c>
      <c r="I384" s="924">
        <v>127</v>
      </c>
      <c r="J384" s="924">
        <v>741</v>
      </c>
      <c r="K384" s="925">
        <v>44652</v>
      </c>
      <c r="L384" s="926">
        <v>44895</v>
      </c>
      <c r="M384" s="924"/>
      <c r="N384" s="924"/>
      <c r="O384" s="924"/>
      <c r="P384" s="924"/>
      <c r="Q384" s="927" t="s">
        <v>41</v>
      </c>
      <c r="R384" s="924">
        <v>3</v>
      </c>
      <c r="S384" s="924">
        <v>3</v>
      </c>
      <c r="T384" s="449"/>
      <c r="U384" s="924"/>
      <c r="V384" s="924"/>
      <c r="W384" s="924">
        <v>3</v>
      </c>
      <c r="X384" s="924"/>
      <c r="Y384" s="924"/>
      <c r="Z384" s="924"/>
      <c r="AA384" s="924"/>
      <c r="AB384" s="924"/>
      <c r="AC384" s="924"/>
      <c r="AD384" s="924"/>
      <c r="AE384" s="924"/>
      <c r="AF384" s="924"/>
      <c r="AG384" s="924"/>
      <c r="AH384" s="924"/>
      <c r="AI384" s="924"/>
      <c r="AJ384" s="924"/>
      <c r="AK384" s="924"/>
      <c r="AL384" s="924"/>
      <c r="AM384" s="924"/>
      <c r="AN384" s="924"/>
      <c r="AO384" s="449"/>
      <c r="AP384" s="928"/>
      <c r="AQ384" s="924">
        <v>50</v>
      </c>
      <c r="AR384" s="924"/>
      <c r="AS384" s="929"/>
      <c r="AT384" s="924"/>
      <c r="AU384" s="924"/>
      <c r="AV384" s="924">
        <v>50</v>
      </c>
      <c r="AW384" s="924">
        <v>9</v>
      </c>
      <c r="AX384" s="924"/>
      <c r="AY384" s="923" t="s">
        <v>41</v>
      </c>
      <c r="AZ384" s="928" t="s">
        <v>137</v>
      </c>
      <c r="BA384" s="924"/>
      <c r="BB384" s="924"/>
      <c r="BC384" s="924"/>
      <c r="BD384" s="449"/>
      <c r="BE384" s="449"/>
      <c r="BF384" s="923"/>
      <c r="BG384" s="924">
        <v>8</v>
      </c>
      <c r="BH384" s="924"/>
      <c r="BI384" s="924"/>
      <c r="BJ384" s="924">
        <v>7</v>
      </c>
      <c r="BK384" s="924"/>
      <c r="BL384" s="924"/>
      <c r="BM384" s="924"/>
      <c r="BN384" s="924"/>
      <c r="BO384" s="924"/>
      <c r="BP384" s="923"/>
      <c r="BQ384" s="930"/>
      <c r="BR384" s="929"/>
      <c r="BS384" s="923"/>
      <c r="BT384" s="424"/>
      <c r="BU384" s="424"/>
      <c r="BV384" s="426"/>
      <c r="BW384" s="424">
        <v>0</v>
      </c>
      <c r="BX384" s="449"/>
      <c r="BY384" s="449">
        <v>50</v>
      </c>
      <c r="BZ384" s="449">
        <v>7</v>
      </c>
      <c r="CA384" s="449"/>
      <c r="CB384" s="449"/>
      <c r="CC384" s="807"/>
      <c r="CD384" s="449"/>
      <c r="CE384" s="931" t="str">
        <f>IFERROR(WWWW[[#This Row],['#_Water sources passed]]/WWWW[[#This Row],['#_Water sources tested for fecal coliform ]],"no test")</f>
        <v>no test</v>
      </c>
      <c r="CF384" s="929" t="str">
        <f>IFERROR(WWWW[[#This Row],['#_Household passed]]/WWWW[[#This Row],['#_Household water samples tested for fecal coliform]],"no test")</f>
        <v>no test</v>
      </c>
      <c r="CG384" s="930" t="str">
        <f>IF(AND(WWWW[[#This Row],[% of water sources passed]]="no test",WWWW[[#This Row],[% Household passed]]="no test"),"No Test","Tested")</f>
        <v>No Test</v>
      </c>
      <c r="CH384" s="930">
        <f>WWWW[[#This Row],['#_Constructed/existing protected hand dug well]]-WWWW[[#This Row],['#_Non-functional protected hand dug well]]</f>
        <v>0</v>
      </c>
      <c r="CI384" s="930">
        <f>(WWWW[[#This Row],['#_Constructed/Existing tube wells/boreholes/handpumps_WASH_agency]]+WWWW[[#This Row],['#_Non-Cluster partner water tube-wells/boreholes/handpumps]])-WWWW[[#This Row],['#_Non-functional tube wells/boreholes/handpumps]]</f>
        <v>3</v>
      </c>
      <c r="CJ384" s="930">
        <f>WWWW[[#This Row],['#_Constructed/Existingwater storage tank with gravity fed reticulation system]]-WWWW[[#This Row],['#_Non-functional storage tank gravity fed reticulation system]]</f>
        <v>0</v>
      </c>
      <c r="CK384" s="930">
        <f>(WWWW[[#This Row],['#_Water_Liters_supplied_by_Water boating or water trucking]]/90)/15</f>
        <v>0</v>
      </c>
      <c r="CL384" s="930">
        <f>WWWW[[#This Row],['#_Water_Liters_from_Constructed/Existing water distribution system from river or natural spring]]/90/15</f>
        <v>0</v>
      </c>
      <c r="CM384" s="425">
        <f>IF(WWWW[[#This Row],['#_of water points in TLS/CFS]]*500&gt;WWWW[[#This Row],[Total PoP ]],WWWW[[#This Row],[Total PoP ]],WWWW[[#This Row],['#_of water points in TLS/CFS]]*500)</f>
        <v>0</v>
      </c>
      <c r="CN384" s="425">
        <f>IF(WWWW[[#This Row],['#_of water points in THF]]*500&gt;WWWW[[#This Row],[Total PoP ]],WWWW[[#This Row],[Total PoP ]],WWWW[[#This Row],['#_of water points in THF]]*500)</f>
        <v>0</v>
      </c>
      <c r="CO38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4" s="929">
        <f>IF(WWWW[[#This Row],[Location Type 1]]="Village",WWWW[[#This Row],[Access to safe drinking water for Village]],WWWW[[#This Row],[Access to safe drinking water for Camp]])</f>
        <v>1</v>
      </c>
      <c r="CR384" s="927">
        <f>WWWW[[#This Row],[%Equitable and continuous access to sufficient quantity of safe drinking water]]*WWWW[[#This Row],[Total PoP ]]</f>
        <v>741</v>
      </c>
      <c r="CS384" s="929">
        <f>IF((WWWW[[#This Row],['#_Constructed/Existing protected/fenced ponds]]*250)/WWWW[[#This Row],[Total PoP ]]&gt;1,1,(WWWW[[#This Row],['#_Constructed/Existing protected/fenced ponds]]*250)/WWWW[[#This Row],[Total PoP ]])</f>
        <v>0</v>
      </c>
      <c r="CT384" s="927">
        <f>WWWW[[#This Row],[% Access to unimproved water points]]*WWWW[[#This Row],[Total PoP ]]</f>
        <v>0</v>
      </c>
      <c r="CU38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W384" s="927">
        <f>WWWW[[#This Row],[HRP1]]/500</f>
        <v>1.482</v>
      </c>
      <c r="CX384" s="932">
        <f>1-WWWW[[#This Row],[% Equitable and continuous access to sufficient quantity of domestic water]]</f>
        <v>0</v>
      </c>
      <c r="CY384" s="927">
        <f>WWWW[[#This Row],[%equitable and continuous access to sufficient quantity of safe drinking and domestic water''s GAP]]*WWWW[[#This Row],[Total PoP ]]</f>
        <v>0</v>
      </c>
      <c r="CZ384" s="930">
        <f>IF(WWWW[[#This Row],[Total required water points]]-WWWW[[#This Row],['#Water points coverage]]&lt;0,0,WWWW[[#This Row],[Total required water points]]-WWWW[[#This Row],['#Water points coverage]])</f>
        <v>0</v>
      </c>
      <c r="DA384" s="930">
        <f>ROUND(IF(WWWW[[#This Row],[Total PoP ]]&lt;500,1,WWWW[[#This Row],[Total PoP ]]/500),0)</f>
        <v>1</v>
      </c>
      <c r="DB384" s="930">
        <f>(WWWW[[#This Row],['#_Constructed latrines_by_WASHAgencies]]+WWWW[[#This Row],['#_Non Cluster partner latrines]])-WWWW[[#This Row],['#_Non-functional latrines]]</f>
        <v>50</v>
      </c>
      <c r="DC384" s="634">
        <f>WWWW[[#This Row],[HRP2]]/WWWW[[#This Row],[Total PoP ]]</f>
        <v>1</v>
      </c>
      <c r="DD38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741</v>
      </c>
      <c r="DE38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741</v>
      </c>
      <c r="DF38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4" s="425">
        <f>IF(WWWW[[#This Row],['# of functional latrines in THF supported by WASH partners during the reporting period2]]="",0,WWWW[[#This Row],['# of functional latrines in THF supported by WASH partners during the reporting period2]]*50)</f>
        <v>0</v>
      </c>
      <c r="DH384" s="930">
        <f>ROUND(IF(WWWW[[#This Row],[Location Type 1]]="camp",WWWW[[#This Row],[Total PoP ]]/20,IF(WWWW[[#This Row],[Location Type 1]]="Temporary Location",WWWW[[#This Row],[Total PoP ]]/50,(WWWW[[#This Row],[Total PoP ]]/6))),0)</f>
        <v>37</v>
      </c>
      <c r="DI384" s="930">
        <f>IF(WWWW[[#This Row],[Total required Latrines]]-(WWWW[[#This Row],['#_Constructed latrines_by_WASHAgencies]]+WWWW[[#This Row],['#_Non Cluster partner latrines]])&lt;0,0,WWWW[[#This Row],[Total required Latrines]]-(WWWW[[#This Row],['#_Constructed latrines_by_WASHAgencies]]+WWWW[[#This Row],['#_Non Cluster partner latrines]]))</f>
        <v>0</v>
      </c>
      <c r="DJ384" s="932">
        <f>1-WWWW[[#This Row],[% people access to functioning Latrine]]</f>
        <v>0</v>
      </c>
      <c r="DK384" s="931">
        <f>IF(OR(WWWW[[#This Row],['#_Non-functional latrines]]="",WWWW[[#This Row],['#_Non-functional latrines]]=0),0,WWWW[[#This Row],['#_Non-functional latrines]]/(WWWW[[#This Row],['#_Constructed latrines_by_WASHAgencies]]+WWWW[[#This Row],['#_Non Cluster partner latrines]]))</f>
        <v>0</v>
      </c>
      <c r="DL384" s="927">
        <f>IF(500*(WWWW[[#This Row],['#_male hygiene promoters]]+WWWW[[#This Row],['#_female hygiene promoters]])&gt;WWWW[[#This Row],[Total PoP ]],WWWW[[#This Row],[Total PoP ]],500*(WWWW[[#This Row],['#_male hygiene promoters]]+WWWW[[#This Row],['#_female hygiene promoters]]))</f>
        <v>0</v>
      </c>
      <c r="DM38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4" s="930">
        <f>IF(WWWW[[#This Row],['# People with access to soap]]&gt;WWWW[[#This Row],['# People with access to Sanity Pads]],WWWW[[#This Row],['# People with access to soap]],WWWW[[#This Row],['# People with access to Sanity Pads]])</f>
        <v>0</v>
      </c>
      <c r="DP384"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4" s="932">
        <f>IF(WWWW[[#This Row],[HRP3]]/WWWW[[#This Row],[Total PoP ]]&gt;1,1,WWWW[[#This Row],[HRP3]]/WWWW[[#This Row],[Total PoP ]])</f>
        <v>0</v>
      </c>
      <c r="DR384" s="931">
        <f>1-WWWW[[#This Row],[Hygiene Coverage%]]</f>
        <v>1</v>
      </c>
      <c r="DS384" s="929">
        <f>WWWW[[#This Row],['# people reached by regular dedicated hygiene promotion_5]]/WWWW[[#This Row],[Total PoP ]]</f>
        <v>0</v>
      </c>
      <c r="DT38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4" s="930">
        <f>WWWW[[#This Row],['#_Constructed/Existing hand washing stations]]-WWWW[[#This Row],['#_Non-Functional_hand_washing_stations]]</f>
        <v>8</v>
      </c>
      <c r="DW384" s="927">
        <f>IF(WWWW[[#This Row],['# Functional hand washing stations during reporting period]]*20&gt;WWWW[[#This Row],[Total HH]],WWWW[[#This Row],[Total HH]],WWWW[[#This Row],['# Functional hand washing stations during reporting period]]*20)</f>
        <v>127</v>
      </c>
      <c r="DX384" s="927">
        <f>IF(WWWW[[#This Row],[Is sufficient soap available for TLS? (Yes/No)]]="yes",WWWW[[#This Row],['#_Constructed/Existing hand washing stations at TLS/CFS/THF]],0)</f>
        <v>0</v>
      </c>
      <c r="DY384" s="429">
        <f>IF(WWWW[[#This Row],['# Functional hand washing stations during reporting period]]*100&gt;WWWW[[#This Row],[Total PoP ]],WWWW[[#This Row],[Total PoP ]],WWWW[[#This Row],['# Functional hand washing stations during reporting period]]*100)</f>
        <v>741</v>
      </c>
      <c r="DZ384" s="429" t="str">
        <f>IF(OR(WWWW[[#This Row],['#_students at TLS_CFS]]="",WWWW[[#This Row],['#_students at TLS_CFS]]=0),"No","Yes")</f>
        <v>No</v>
      </c>
      <c r="EA38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57</v>
      </c>
      <c r="EC38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4" s="923" t="str">
        <f>VLOOKUP(WWWW[[#This Row],[Site Name]],SiteDB6[[Site Name]:[CCCM Management]],6,FALSE)</f>
        <v>Yes</v>
      </c>
      <c r="EF384" s="923" t="str">
        <f>VLOOKUP(WWWW[[#This Row],[Site Name]],SiteDB6[[Site Name]:[CCCM Focal Agency]],7,FALSE)</f>
        <v>KMSS-BMO</v>
      </c>
      <c r="EG384" s="923" t="str">
        <f>VLOOKUP(WWWW[[#This Row],[Site Name]],SiteDB6[[Site Name]:[Location Type 1]],9,FALSE)</f>
        <v>Camp</v>
      </c>
      <c r="EH384" s="923" t="str">
        <f>VLOOKUP(WWWW[[#This Row],[Site Name]],SiteDB6[[Site Name]:[Type of Accommodation]],10,FALSE)</f>
        <v>Camp</v>
      </c>
      <c r="EI384" s="923" t="str">
        <f>VLOOKUP(WWWW[[#This Row],[Site Name]],SiteDB6[[Site Name]:[Ethnic or GCA/NGCA]],11,FALSE)</f>
        <v>GCA</v>
      </c>
      <c r="EJ384" s="923">
        <f>VLOOKUP(WWWW[[#This Row],[Site Name]],SiteDB6[[Site Name]:[Lat]],12,FALSE)</f>
        <v>24.245100000000001</v>
      </c>
      <c r="EK384" s="923">
        <f>VLOOKUP(WWWW[[#This Row],[Site Name]],SiteDB6[[Site Name]:[Long]],13,FALSE)</f>
        <v>97.325019999999995</v>
      </c>
      <c r="EL384" s="923" t="str">
        <f>VLOOKUP(WWWW[[#This Row],[Site Name]],SiteDB6[[Site Name]:[Pcode]],3,FALSE)</f>
        <v>MMR001CMP062</v>
      </c>
      <c r="EM384" s="928" t="str">
        <f t="shared" si="5"/>
        <v>Covered</v>
      </c>
      <c r="EN384" s="928"/>
      <c r="EO384" s="923">
        <f>VLOOKUP(WWWW[[#This Row],[Site Name]],SiteDB6[[Site Name]:[Pop
(Kachin/Shan-CCCM as of July 2021)]],16,FALSE)</f>
        <v>122</v>
      </c>
      <c r="EP384" s="923">
        <f>VLOOKUP(WWWW[[#This Row],[Site Name]],SiteDB6[[Site Name]:[Pop
(Kachin/Shan-CCCM as of July 2021)]],17,FALSE)</f>
        <v>571</v>
      </c>
    </row>
    <row r="385" spans="1:146">
      <c r="A385" s="921" t="s">
        <v>2786</v>
      </c>
      <c r="B385" s="921" t="s">
        <v>276</v>
      </c>
      <c r="C385" s="922" t="s">
        <v>276</v>
      </c>
      <c r="D385" s="922" t="s">
        <v>3061</v>
      </c>
      <c r="E385" s="922" t="s">
        <v>37</v>
      </c>
      <c r="F385" s="922" t="s">
        <v>205</v>
      </c>
      <c r="G385" s="594" t="str">
        <f>VLOOKUP(WWWW[[#This Row],[Site Name]],SiteDB6[[Site Name]:[Location Type]],8,FALSE)</f>
        <v>Camp_not registered</v>
      </c>
      <c r="H385" s="922" t="s">
        <v>287</v>
      </c>
      <c r="I385" s="924">
        <v>114</v>
      </c>
      <c r="J385" s="924">
        <v>586</v>
      </c>
      <c r="K385" s="925">
        <v>44652</v>
      </c>
      <c r="L385" s="926">
        <v>44895</v>
      </c>
      <c r="M385" s="924"/>
      <c r="N385" s="924"/>
      <c r="O385" s="924"/>
      <c r="P385" s="924"/>
      <c r="Q385" s="927" t="s">
        <v>41</v>
      </c>
      <c r="R385" s="924">
        <v>4</v>
      </c>
      <c r="S385" s="924">
        <v>3</v>
      </c>
      <c r="T385" s="449">
        <v>1</v>
      </c>
      <c r="U385" s="924"/>
      <c r="V385" s="924"/>
      <c r="W385" s="924">
        <v>1</v>
      </c>
      <c r="X385" s="924"/>
      <c r="Y385" s="924"/>
      <c r="Z385" s="924"/>
      <c r="AA385" s="924"/>
      <c r="AB385" s="924"/>
      <c r="AC385" s="924"/>
      <c r="AD385" s="924"/>
      <c r="AE385" s="924"/>
      <c r="AF385" s="924"/>
      <c r="AG385" s="924"/>
      <c r="AH385" s="924"/>
      <c r="AI385" s="924">
        <v>2</v>
      </c>
      <c r="AJ385" s="924">
        <v>2</v>
      </c>
      <c r="AK385" s="924">
        <v>15</v>
      </c>
      <c r="AL385" s="924">
        <v>15</v>
      </c>
      <c r="AM385" s="924"/>
      <c r="AN385" s="924"/>
      <c r="AO385" s="449"/>
      <c r="AP385" s="928"/>
      <c r="AQ385" s="924">
        <v>28</v>
      </c>
      <c r="AR385" s="924"/>
      <c r="AS385" s="929"/>
      <c r="AT385" s="924"/>
      <c r="AU385" s="924"/>
      <c r="AV385" s="924">
        <v>38</v>
      </c>
      <c r="AW385" s="924">
        <v>50</v>
      </c>
      <c r="AX385" s="924"/>
      <c r="AY385" s="923" t="s">
        <v>41</v>
      </c>
      <c r="AZ385" s="928" t="s">
        <v>137</v>
      </c>
      <c r="BA385" s="924"/>
      <c r="BB385" s="924">
        <v>1</v>
      </c>
      <c r="BC385" s="924"/>
      <c r="BD385" s="449"/>
      <c r="BE385" s="449">
        <v>3</v>
      </c>
      <c r="BF385" s="923"/>
      <c r="BG385" s="924">
        <v>8</v>
      </c>
      <c r="BH385" s="924"/>
      <c r="BI385" s="924"/>
      <c r="BJ385" s="924">
        <v>4</v>
      </c>
      <c r="BK385" s="924"/>
      <c r="BL385" s="924">
        <v>0</v>
      </c>
      <c r="BM385" s="924">
        <v>2</v>
      </c>
      <c r="BN385" s="924">
        <v>114</v>
      </c>
      <c r="BO385" s="924">
        <v>206</v>
      </c>
      <c r="BP385" s="923"/>
      <c r="BQ385" s="930"/>
      <c r="BR385" s="929"/>
      <c r="BS385" s="923"/>
      <c r="BT385" s="424">
        <v>1</v>
      </c>
      <c r="BU385" s="424">
        <v>1</v>
      </c>
      <c r="BV385" s="426">
        <v>12</v>
      </c>
      <c r="BW385" s="424">
        <v>0</v>
      </c>
      <c r="BX385" s="449"/>
      <c r="BY385" s="449">
        <v>28</v>
      </c>
      <c r="BZ385" s="449">
        <v>4</v>
      </c>
      <c r="CA385" s="449"/>
      <c r="CB385" s="449"/>
      <c r="CC385" s="807"/>
      <c r="CD385" s="449"/>
      <c r="CE385" s="931">
        <f>IFERROR(WWWW[[#This Row],['#_Water sources passed]]/WWWW[[#This Row],['#_Water sources tested for fecal coliform ]],"no test")</f>
        <v>1</v>
      </c>
      <c r="CF385" s="929">
        <f>IFERROR(WWWW[[#This Row],['#_Household passed]]/WWWW[[#This Row],['#_Household water samples tested for fecal coliform]],"no test")</f>
        <v>1</v>
      </c>
      <c r="CG385" s="930" t="str">
        <f>IF(AND(WWWW[[#This Row],[% of water sources passed]]="no test",WWWW[[#This Row],[% Household passed]]="no test"),"No Test","Tested")</f>
        <v>Tested</v>
      </c>
      <c r="CH385" s="930">
        <f>WWWW[[#This Row],['#_Constructed/existing protected hand dug well]]-WWWW[[#This Row],['#_Non-functional protected hand dug well]]</f>
        <v>1</v>
      </c>
      <c r="CI385" s="930">
        <f>(WWWW[[#This Row],['#_Constructed/Existing tube wells/boreholes/handpumps_WASH_agency]]+WWWW[[#This Row],['#_Non-Cluster partner water tube-wells/boreholes/handpumps]])-WWWW[[#This Row],['#_Non-functional tube wells/boreholes/handpumps]]</f>
        <v>1</v>
      </c>
      <c r="CJ385" s="930">
        <f>WWWW[[#This Row],['#_Constructed/Existingwater storage tank with gravity fed reticulation system]]-WWWW[[#This Row],['#_Non-functional storage tank gravity fed reticulation system]]</f>
        <v>0</v>
      </c>
      <c r="CK385" s="930">
        <f>(WWWW[[#This Row],['#_Water_Liters_supplied_by_Water boating or water trucking]]/90)/15</f>
        <v>0</v>
      </c>
      <c r="CL385" s="930">
        <f>WWWW[[#This Row],['#_Water_Liters_from_Constructed/Existing water distribution system from river or natural spring]]/90/15</f>
        <v>0</v>
      </c>
      <c r="CM385" s="425">
        <f>IF(WWWW[[#This Row],['#_of water points in TLS/CFS]]*500&gt;WWWW[[#This Row],[Total PoP ]],WWWW[[#This Row],[Total PoP ]],WWWW[[#This Row],['#_of water points in TLS/CFS]]*500)</f>
        <v>0</v>
      </c>
      <c r="CN385" s="425">
        <f>IF(WWWW[[#This Row],['#_of water points in THF]]*500&gt;WWWW[[#This Row],[Total PoP ]],WWWW[[#This Row],[Total PoP ]],WWWW[[#This Row],['#_of water points in THF]]*500)</f>
        <v>0</v>
      </c>
      <c r="CO38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0.85324232081911267</v>
      </c>
      <c r="CQ385" s="929">
        <f>IF(WWWW[[#This Row],[Location Type 1]]="Village",WWWW[[#This Row],[Access to safe drinking water for Village]],WWWW[[#This Row],[Access to safe drinking water for Camp]])</f>
        <v>1</v>
      </c>
      <c r="CR385" s="927">
        <f>WWWW[[#This Row],[%Equitable and continuous access to sufficient quantity of safe drinking water]]*WWWW[[#This Row],[Total PoP ]]</f>
        <v>586</v>
      </c>
      <c r="CS385" s="929">
        <f>IF((WWWW[[#This Row],['#_Constructed/Existing protected/fenced ponds]]*250)/WWWW[[#This Row],[Total PoP ]]&gt;1,1,(WWWW[[#This Row],['#_Constructed/Existing protected/fenced ponds]]*250)/WWWW[[#This Row],[Total PoP ]])</f>
        <v>0</v>
      </c>
      <c r="CT385" s="927">
        <f>WWWW[[#This Row],[% Access to unimproved water points]]*WWWW[[#This Row],[Total PoP ]]</f>
        <v>0</v>
      </c>
      <c r="CU38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586</v>
      </c>
      <c r="CW385" s="927">
        <f>WWWW[[#This Row],[HRP1]]/500</f>
        <v>1.1719999999999999</v>
      </c>
      <c r="CX385" s="932">
        <f>1-WWWW[[#This Row],[% Equitable and continuous access to sufficient quantity of domestic water]]</f>
        <v>0</v>
      </c>
      <c r="CY385" s="927">
        <f>WWWW[[#This Row],[%equitable and continuous access to sufficient quantity of safe drinking and domestic water''s GAP]]*WWWW[[#This Row],[Total PoP ]]</f>
        <v>0</v>
      </c>
      <c r="CZ385" s="930">
        <f>IF(WWWW[[#This Row],[Total required water points]]-WWWW[[#This Row],['#Water points coverage]]&lt;0,0,WWWW[[#This Row],[Total required water points]]-WWWW[[#This Row],['#Water points coverage]])</f>
        <v>0</v>
      </c>
      <c r="DA385" s="930">
        <f>ROUND(IF(WWWW[[#This Row],[Total PoP ]]&lt;500,1,WWWW[[#This Row],[Total PoP ]]/500),0)</f>
        <v>1</v>
      </c>
      <c r="DB385" s="930">
        <f>(WWWW[[#This Row],['#_Constructed latrines_by_WASHAgencies]]+WWWW[[#This Row],['#_Non Cluster partner latrines]])-WWWW[[#This Row],['#_Non-functional latrines]]</f>
        <v>28</v>
      </c>
      <c r="DC385" s="634">
        <f>WWWW[[#This Row],[HRP2]]/WWWW[[#This Row],[Total PoP ]]</f>
        <v>0.96075085324232079</v>
      </c>
      <c r="DD38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563</v>
      </c>
      <c r="DE38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586</v>
      </c>
      <c r="DF38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5" s="425">
        <f>IF(WWWW[[#This Row],['# of functional latrines in THF supported by WASH partners during the reporting period2]]="",0,WWWW[[#This Row],['# of functional latrines in THF supported by WASH partners during the reporting period2]]*50)</f>
        <v>0</v>
      </c>
      <c r="DH385" s="930">
        <f>ROUND(IF(WWWW[[#This Row],[Location Type 1]]="camp",WWWW[[#This Row],[Total PoP ]]/20,IF(WWWW[[#This Row],[Location Type 1]]="Temporary Location",WWWW[[#This Row],[Total PoP ]]/50,(WWWW[[#This Row],[Total PoP ]]/6))),0)</f>
        <v>29</v>
      </c>
      <c r="DI385" s="930">
        <f>IF(WWWW[[#This Row],[Total required Latrines]]-(WWWW[[#This Row],['#_Constructed latrines_by_WASHAgencies]]+WWWW[[#This Row],['#_Non Cluster partner latrines]])&lt;0,0,WWWW[[#This Row],[Total required Latrines]]-(WWWW[[#This Row],['#_Constructed latrines_by_WASHAgencies]]+WWWW[[#This Row],['#_Non Cluster partner latrines]]))</f>
        <v>1</v>
      </c>
      <c r="DJ385" s="932">
        <f>1-WWWW[[#This Row],[% people access to functioning Latrine]]</f>
        <v>3.924914675767921E-2</v>
      </c>
      <c r="DK385" s="931">
        <f>IF(OR(WWWW[[#This Row],['#_Non-functional latrines]]="",WWWW[[#This Row],['#_Non-functional latrines]]=0),0,WWWW[[#This Row],['#_Non-functional latrines]]/(WWWW[[#This Row],['#_Constructed latrines_by_WASHAgencies]]+WWWW[[#This Row],['#_Non Cluster partner latrines]]))</f>
        <v>0</v>
      </c>
      <c r="DL385" s="927">
        <f>IF(500*(WWWW[[#This Row],['#_male hygiene promoters]]+WWWW[[#This Row],['#_female hygiene promoters]])&gt;WWWW[[#This Row],[Total PoP ]],WWWW[[#This Row],[Total PoP ]],500*(WWWW[[#This Row],['#_male hygiene promoters]]+WWWW[[#This Row],['#_female hygiene promoters]]))</f>
        <v>586</v>
      </c>
      <c r="DM38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586</v>
      </c>
      <c r="DN38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206</v>
      </c>
      <c r="DO385" s="930">
        <f>IF(WWWW[[#This Row],['# People with access to soap]]&gt;WWWW[[#This Row],['# People with access to Sanity Pads]],WWWW[[#This Row],['# People with access to soap]],WWWW[[#This Row],['# People with access to Sanity Pads]])</f>
        <v>586</v>
      </c>
      <c r="DP385" s="930">
        <f>IF(WWWW[[#This Row],['# people reached by regular dedicated hygiene promotion_5]]&gt;WWWW[[#This Row],['# People received regular supply of hygiene items_6]],WWWW[[#This Row],['# people reached by regular dedicated hygiene promotion_5]],WWWW[[#This Row],['# People received regular supply of hygiene items_6]])</f>
        <v>586</v>
      </c>
      <c r="DQ385" s="932">
        <f>IF(WWWW[[#This Row],[HRP3]]/WWWW[[#This Row],[Total PoP ]]&gt;1,1,WWWW[[#This Row],[HRP3]]/WWWW[[#This Row],[Total PoP ]])</f>
        <v>1</v>
      </c>
      <c r="DR385" s="931">
        <f>1-WWWW[[#This Row],[Hygiene Coverage%]]</f>
        <v>0</v>
      </c>
      <c r="DS385" s="929">
        <f>WWWW[[#This Row],['# people reached by regular dedicated hygiene promotion_5]]/WWWW[[#This Row],[Total PoP ]]</f>
        <v>1</v>
      </c>
      <c r="DT38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85" s="930">
        <f>WWWW[[#This Row],['#_Constructed/Existing hand washing stations]]-WWWW[[#This Row],['#_Non-Functional_hand_washing_stations]]</f>
        <v>8</v>
      </c>
      <c r="DW385" s="927">
        <f>IF(WWWW[[#This Row],['# Functional hand washing stations during reporting period]]*20&gt;WWWW[[#This Row],[Total HH]],WWWW[[#This Row],[Total HH]],WWWW[[#This Row],['# Functional hand washing stations during reporting period]]*20)</f>
        <v>114</v>
      </c>
      <c r="DX385" s="927">
        <f>IF(WWWW[[#This Row],[Is sufficient soap available for TLS? (Yes/No)]]="yes",WWWW[[#This Row],['#_Constructed/Existing hand washing stations at TLS/CFS/THF]],0)</f>
        <v>0</v>
      </c>
      <c r="DY385" s="429">
        <f>IF(WWWW[[#This Row],['# Functional hand washing stations during reporting period]]*100&gt;WWWW[[#This Row],[Total PoP ]],WWWW[[#This Row],[Total PoP ]],WWWW[[#This Row],['# Functional hand washing stations during reporting period]]*100)</f>
        <v>586</v>
      </c>
      <c r="DZ385" s="429" t="str">
        <f>IF(OR(WWWW[[#This Row],['#_students at TLS_CFS]]="",WWWW[[#This Row],['#_students at TLS_CFS]]=0),"No","Yes")</f>
        <v>No</v>
      </c>
      <c r="EA385" s="634">
        <f>IF(WWWW[[#This Row],['#_of_affected_people_surveyed_who_report_feeling_informed_about_the_different_WASH_services_available_to_them]]="","",WWWW[[#This Row],['#_of_affected_people_surveyed_who_report_feeling_informed_about_the_different_WASH_services_available_to_them]]/WWWW[[#This Row],[Total PoP ]])</f>
        <v>2.0477815699658702E-2</v>
      </c>
      <c r="EB38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32</v>
      </c>
      <c r="EC38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5" s="923">
        <f>VLOOKUP(WWWW[[#This Row],[Site Name]],SiteDB6[[Site Name]:[CCCM Management]],6,FALSE)</f>
        <v>0</v>
      </c>
      <c r="EF385" s="923">
        <f>VLOOKUP(WWWW[[#This Row],[Site Name]],SiteDB6[[Site Name]:[CCCM Focal Agency]],7,FALSE)</f>
        <v>0</v>
      </c>
      <c r="EG385" s="923" t="str">
        <f>VLOOKUP(WWWW[[#This Row],[Site Name]],SiteDB6[[Site Name]:[Location Type 1]],9,FALSE)</f>
        <v>Camp</v>
      </c>
      <c r="EH385" s="923" t="str">
        <f>VLOOKUP(WWWW[[#This Row],[Site Name]],SiteDB6[[Site Name]:[Type of Accommodation]],10,FALSE)</f>
        <v>Camp</v>
      </c>
      <c r="EI385" s="923" t="str">
        <f>VLOOKUP(WWWW[[#This Row],[Site Name]],SiteDB6[[Site Name]:[Ethnic or GCA/NGCA]],11,FALSE)</f>
        <v>GCA</v>
      </c>
      <c r="EJ385" s="923">
        <f>VLOOKUP(WWWW[[#This Row],[Site Name]],SiteDB6[[Site Name]:[Lat]],12,FALSE)</f>
        <v>0</v>
      </c>
      <c r="EK385" s="923">
        <f>VLOOKUP(WWWW[[#This Row],[Site Name]],SiteDB6[[Site Name]:[Long]],13,FALSE)</f>
        <v>0</v>
      </c>
      <c r="EL385" s="923">
        <f>VLOOKUP(WWWW[[#This Row],[Site Name]],SiteDB6[[Site Name]:[Pcode]],3,FALSE)</f>
        <v>0</v>
      </c>
      <c r="EM385" s="928" t="str">
        <f t="shared" si="5"/>
        <v>Covered</v>
      </c>
      <c r="EN385" s="928"/>
      <c r="EO385" s="923">
        <f>VLOOKUP(WWWW[[#This Row],[Site Name]],SiteDB6[[Site Name]:[Pop
(Kachin/Shan-CCCM as of July 2021)]],16,FALSE)</f>
        <v>0</v>
      </c>
      <c r="EP385" s="923">
        <f>VLOOKUP(WWWW[[#This Row],[Site Name]],SiteDB6[[Site Name]:[Pop
(Kachin/Shan-CCCM as of July 2021)]],17,FALSE)</f>
        <v>0</v>
      </c>
    </row>
    <row r="386" spans="1:146">
      <c r="A386" s="921" t="s">
        <v>2786</v>
      </c>
      <c r="B386" s="921" t="s">
        <v>276</v>
      </c>
      <c r="C386" s="922" t="s">
        <v>276</v>
      </c>
      <c r="D386" s="922" t="s">
        <v>3061</v>
      </c>
      <c r="E386" s="922" t="s">
        <v>37</v>
      </c>
      <c r="F386" s="922" t="s">
        <v>205</v>
      </c>
      <c r="G386" s="594" t="str">
        <f>VLOOKUP(WWWW[[#This Row],[Site Name]],SiteDB6[[Site Name]:[Location Type]],8,FALSE)</f>
        <v>Camp</v>
      </c>
      <c r="H386" s="922" t="s">
        <v>213</v>
      </c>
      <c r="I386" s="924">
        <v>86</v>
      </c>
      <c r="J386" s="924">
        <v>424</v>
      </c>
      <c r="K386" s="925">
        <v>44652</v>
      </c>
      <c r="L386" s="926">
        <v>44895</v>
      </c>
      <c r="M386" s="924"/>
      <c r="N386" s="924"/>
      <c r="O386" s="924"/>
      <c r="P386" s="924"/>
      <c r="Q386" s="927" t="s">
        <v>41</v>
      </c>
      <c r="R386" s="924">
        <v>2</v>
      </c>
      <c r="S386" s="924">
        <v>5</v>
      </c>
      <c r="T386" s="449">
        <v>2</v>
      </c>
      <c r="U386" s="924"/>
      <c r="V386" s="924"/>
      <c r="W386" s="924"/>
      <c r="X386" s="924"/>
      <c r="Y386" s="924"/>
      <c r="Z386" s="924"/>
      <c r="AA386" s="924"/>
      <c r="AB386" s="924"/>
      <c r="AC386" s="924"/>
      <c r="AD386" s="924"/>
      <c r="AE386" s="924"/>
      <c r="AF386" s="924"/>
      <c r="AG386" s="924"/>
      <c r="AH386" s="924"/>
      <c r="AI386" s="924">
        <v>2</v>
      </c>
      <c r="AJ386" s="924">
        <v>1</v>
      </c>
      <c r="AK386" s="924"/>
      <c r="AL386" s="924"/>
      <c r="AM386" s="924"/>
      <c r="AN386" s="924"/>
      <c r="AO386" s="449"/>
      <c r="AP386" s="928"/>
      <c r="AQ386" s="924">
        <v>6</v>
      </c>
      <c r="AR386" s="924"/>
      <c r="AS386" s="929"/>
      <c r="AT386" s="924"/>
      <c r="AU386" s="924"/>
      <c r="AV386" s="924">
        <v>6</v>
      </c>
      <c r="AW386" s="924">
        <v>5</v>
      </c>
      <c r="AX386" s="924"/>
      <c r="AY386" s="923" t="s">
        <v>41</v>
      </c>
      <c r="AZ386" s="928" t="s">
        <v>137</v>
      </c>
      <c r="BA386" s="924"/>
      <c r="BB386" s="924"/>
      <c r="BC386" s="924"/>
      <c r="BD386" s="449"/>
      <c r="BE386" s="449"/>
      <c r="BF386" s="923"/>
      <c r="BG386" s="924"/>
      <c r="BH386" s="924"/>
      <c r="BI386" s="924"/>
      <c r="BJ386" s="924">
        <v>1</v>
      </c>
      <c r="BK386" s="924"/>
      <c r="BL386" s="924"/>
      <c r="BM386" s="924"/>
      <c r="BN386" s="924"/>
      <c r="BO386" s="924"/>
      <c r="BP386" s="923"/>
      <c r="BQ386" s="930"/>
      <c r="BR386" s="929"/>
      <c r="BS386" s="923"/>
      <c r="BT386" s="424"/>
      <c r="BU386" s="424"/>
      <c r="BV386" s="426"/>
      <c r="BW386" s="424">
        <v>0</v>
      </c>
      <c r="BX386" s="449"/>
      <c r="BY386" s="449">
        <v>6</v>
      </c>
      <c r="BZ386" s="449">
        <v>1</v>
      </c>
      <c r="CA386" s="449"/>
      <c r="CB386" s="449"/>
      <c r="CC386" s="807"/>
      <c r="CD386" s="449"/>
      <c r="CE386" s="931">
        <f>IFERROR(WWWW[[#This Row],['#_Water sources passed]]/WWWW[[#This Row],['#_Water sources tested for fecal coliform ]],"no test")</f>
        <v>0.5</v>
      </c>
      <c r="CF386" s="929" t="str">
        <f>IFERROR(WWWW[[#This Row],['#_Household passed]]/WWWW[[#This Row],['#_Household water samples tested for fecal coliform]],"no test")</f>
        <v>no test</v>
      </c>
      <c r="CG386" s="930" t="str">
        <f>IF(AND(WWWW[[#This Row],[% of water sources passed]]="no test",WWWW[[#This Row],[% Household passed]]="no test"),"No Test","Tested")</f>
        <v>Tested</v>
      </c>
      <c r="CH386" s="930">
        <f>WWWW[[#This Row],['#_Constructed/existing protected hand dug well]]-WWWW[[#This Row],['#_Non-functional protected hand dug well]]</f>
        <v>2</v>
      </c>
      <c r="CI386" s="930">
        <f>(WWWW[[#This Row],['#_Constructed/Existing tube wells/boreholes/handpumps_WASH_agency]]+WWWW[[#This Row],['#_Non-Cluster partner water tube-wells/boreholes/handpumps]])-WWWW[[#This Row],['#_Non-functional tube wells/boreholes/handpumps]]</f>
        <v>0</v>
      </c>
      <c r="CJ386" s="930">
        <f>WWWW[[#This Row],['#_Constructed/Existingwater storage tank with gravity fed reticulation system]]-WWWW[[#This Row],['#_Non-functional storage tank gravity fed reticulation system]]</f>
        <v>0</v>
      </c>
      <c r="CK386" s="930">
        <f>(WWWW[[#This Row],['#_Water_Liters_supplied_by_Water boating or water trucking]]/90)/15</f>
        <v>0</v>
      </c>
      <c r="CL386" s="930">
        <f>WWWW[[#This Row],['#_Water_Liters_from_Constructed/Existing water distribution system from river or natural spring]]/90/15</f>
        <v>0</v>
      </c>
      <c r="CM386" s="425">
        <f>IF(WWWW[[#This Row],['#_of water points in TLS/CFS]]*500&gt;WWWW[[#This Row],[Total PoP ]],WWWW[[#This Row],[Total PoP ]],WWWW[[#This Row],['#_of water points in TLS/CFS]]*500)</f>
        <v>0</v>
      </c>
      <c r="CN386" s="425">
        <f>IF(WWWW[[#This Row],['#_of water points in THF]]*500&gt;WWWW[[#This Row],[Total PoP ]],WWWW[[#This Row],[Total PoP ]],WWWW[[#This Row],['#_of water points in THF]]*500)</f>
        <v>0</v>
      </c>
      <c r="CO38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6" s="929">
        <f>IF(WWWW[[#This Row],[Location Type 1]]="Village",WWWW[[#This Row],[Access to safe drinking water for Village]],WWWW[[#This Row],[Access to safe drinking water for Camp]])</f>
        <v>1</v>
      </c>
      <c r="CR386" s="927">
        <f>WWWW[[#This Row],[%Equitable and continuous access to sufficient quantity of safe drinking water]]*WWWW[[#This Row],[Total PoP ]]</f>
        <v>424</v>
      </c>
      <c r="CS386" s="929">
        <f>IF((WWWW[[#This Row],['#_Constructed/Existing protected/fenced ponds]]*250)/WWWW[[#This Row],[Total PoP ]]&gt;1,1,(WWWW[[#This Row],['#_Constructed/Existing protected/fenced ponds]]*250)/WWWW[[#This Row],[Total PoP ]])</f>
        <v>0</v>
      </c>
      <c r="CT386" s="927">
        <f>WWWW[[#This Row],[% Access to unimproved water points]]*WWWW[[#This Row],[Total PoP ]]</f>
        <v>0</v>
      </c>
      <c r="CU38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W386" s="927">
        <f>WWWW[[#This Row],[HRP1]]/500</f>
        <v>0.84799999999999998</v>
      </c>
      <c r="CX386" s="932">
        <f>1-WWWW[[#This Row],[% Equitable and continuous access to sufficient quantity of domestic water]]</f>
        <v>0</v>
      </c>
      <c r="CY386" s="927">
        <f>WWWW[[#This Row],[%equitable and continuous access to sufficient quantity of safe drinking and domestic water''s GAP]]*WWWW[[#This Row],[Total PoP ]]</f>
        <v>0</v>
      </c>
      <c r="CZ386" s="930">
        <f>IF(WWWW[[#This Row],[Total required water points]]-WWWW[[#This Row],['#Water points coverage]]&lt;0,0,WWWW[[#This Row],[Total required water points]]-WWWW[[#This Row],['#Water points coverage]])</f>
        <v>0.15200000000000002</v>
      </c>
      <c r="DA386" s="930">
        <f>ROUND(IF(WWWW[[#This Row],[Total PoP ]]&lt;500,1,WWWW[[#This Row],[Total PoP ]]/500),0)</f>
        <v>1</v>
      </c>
      <c r="DB386" s="930">
        <f>(WWWW[[#This Row],['#_Constructed latrines_by_WASHAgencies]]+WWWW[[#This Row],['#_Non Cluster partner latrines]])-WWWW[[#This Row],['#_Non-functional latrines]]</f>
        <v>6</v>
      </c>
      <c r="DC386" s="634">
        <f>WWWW[[#This Row],[HRP2]]/WWWW[[#This Row],[Total PoP ]]</f>
        <v>0.28301886792452829</v>
      </c>
      <c r="DD38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120</v>
      </c>
      <c r="DE38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F38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6" s="425">
        <f>IF(WWWW[[#This Row],['# of functional latrines in THF supported by WASH partners during the reporting period2]]="",0,WWWW[[#This Row],['# of functional latrines in THF supported by WASH partners during the reporting period2]]*50)</f>
        <v>0</v>
      </c>
      <c r="DH386" s="930">
        <f>ROUND(IF(WWWW[[#This Row],[Location Type 1]]="camp",WWWW[[#This Row],[Total PoP ]]/20,IF(WWWW[[#This Row],[Location Type 1]]="Temporary Location",WWWW[[#This Row],[Total PoP ]]/50,(WWWW[[#This Row],[Total PoP ]]/6))),0)</f>
        <v>21</v>
      </c>
      <c r="DI386" s="930">
        <f>IF(WWWW[[#This Row],[Total required Latrines]]-(WWWW[[#This Row],['#_Constructed latrines_by_WASHAgencies]]+WWWW[[#This Row],['#_Non Cluster partner latrines]])&lt;0,0,WWWW[[#This Row],[Total required Latrines]]-(WWWW[[#This Row],['#_Constructed latrines_by_WASHAgencies]]+WWWW[[#This Row],['#_Non Cluster partner latrines]]))</f>
        <v>15</v>
      </c>
      <c r="DJ386" s="932">
        <f>1-WWWW[[#This Row],[% people access to functioning Latrine]]</f>
        <v>0.71698113207547176</v>
      </c>
      <c r="DK386" s="931">
        <f>IF(OR(WWWW[[#This Row],['#_Non-functional latrines]]="",WWWW[[#This Row],['#_Non-functional latrines]]=0),0,WWWW[[#This Row],['#_Non-functional latrines]]/(WWWW[[#This Row],['#_Constructed latrines_by_WASHAgencies]]+WWWW[[#This Row],['#_Non Cluster partner latrines]]))</f>
        <v>0</v>
      </c>
      <c r="DL386" s="927">
        <f>IF(500*(WWWW[[#This Row],['#_male hygiene promoters]]+WWWW[[#This Row],['#_female hygiene promoters]])&gt;WWWW[[#This Row],[Total PoP ]],WWWW[[#This Row],[Total PoP ]],500*(WWWW[[#This Row],['#_male hygiene promoters]]+WWWW[[#This Row],['#_female hygiene promoters]]))</f>
        <v>0</v>
      </c>
      <c r="DM38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6" s="930">
        <f>IF(WWWW[[#This Row],['# People with access to soap]]&gt;WWWW[[#This Row],['# People with access to Sanity Pads]],WWWW[[#This Row],['# People with access to soap]],WWWW[[#This Row],['# People with access to Sanity Pads]])</f>
        <v>0</v>
      </c>
      <c r="DP38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6" s="932">
        <f>IF(WWWW[[#This Row],[HRP3]]/WWWW[[#This Row],[Total PoP ]]&gt;1,1,WWWW[[#This Row],[HRP3]]/WWWW[[#This Row],[Total PoP ]])</f>
        <v>0</v>
      </c>
      <c r="DR386" s="931">
        <f>1-WWWW[[#This Row],[Hygiene Coverage%]]</f>
        <v>1</v>
      </c>
      <c r="DS386" s="929">
        <f>WWWW[[#This Row],['# people reached by regular dedicated hygiene promotion_5]]/WWWW[[#This Row],[Total PoP ]]</f>
        <v>0</v>
      </c>
      <c r="DT38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6" s="930">
        <f>WWWW[[#This Row],['#_Constructed/Existing hand washing stations]]-WWWW[[#This Row],['#_Non-Functional_hand_washing_stations]]</f>
        <v>0</v>
      </c>
      <c r="DW386" s="927">
        <f>IF(WWWW[[#This Row],['# Functional hand washing stations during reporting period]]*20&gt;WWWW[[#This Row],[Total HH]],WWWW[[#This Row],[Total HH]],WWWW[[#This Row],['# Functional hand washing stations during reporting period]]*20)</f>
        <v>0</v>
      </c>
      <c r="DX386" s="927">
        <f>IF(WWWW[[#This Row],[Is sufficient soap available for TLS? (Yes/No)]]="yes",WWWW[[#This Row],['#_Constructed/Existing hand washing stations at TLS/CFS/THF]],0)</f>
        <v>0</v>
      </c>
      <c r="DY386" s="429">
        <f>IF(WWWW[[#This Row],['# Functional hand washing stations during reporting period]]*100&gt;WWWW[[#This Row],[Total PoP ]],WWWW[[#This Row],[Total PoP ]],WWWW[[#This Row],['# Functional hand washing stations during reporting period]]*100)</f>
        <v>0</v>
      </c>
      <c r="DZ386" s="429" t="str">
        <f>IF(OR(WWWW[[#This Row],['#_students at TLS_CFS]]="",WWWW[[#This Row],['#_students at TLS_CFS]]=0),"No","Yes")</f>
        <v>No</v>
      </c>
      <c r="EA38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7</v>
      </c>
      <c r="EC38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6" s="923" t="str">
        <f>VLOOKUP(WWWW[[#This Row],[Site Name]],SiteDB6[[Site Name]:[CCCM Management]],6,FALSE)</f>
        <v>Yes</v>
      </c>
      <c r="EF386" s="923" t="str">
        <f>VLOOKUP(WWWW[[#This Row],[Site Name]],SiteDB6[[Site Name]:[CCCM Focal Agency]],7,FALSE)</f>
        <v>KBC-BMO</v>
      </c>
      <c r="EG386" s="923" t="str">
        <f>VLOOKUP(WWWW[[#This Row],[Site Name]],SiteDB6[[Site Name]:[Location Type 1]],9,FALSE)</f>
        <v>Camp</v>
      </c>
      <c r="EH386" s="923" t="str">
        <f>VLOOKUP(WWWW[[#This Row],[Site Name]],SiteDB6[[Site Name]:[Type of Accommodation]],10,FALSE)</f>
        <v>Camp</v>
      </c>
      <c r="EI386" s="923" t="str">
        <f>VLOOKUP(WWWW[[#This Row],[Site Name]],SiteDB6[[Site Name]:[Ethnic or GCA/NGCA]],11,FALSE)</f>
        <v>GCA</v>
      </c>
      <c r="EJ386" s="923">
        <f>VLOOKUP(WWWW[[#This Row],[Site Name]],SiteDB6[[Site Name]:[Lat]],12,FALSE)</f>
        <v>24.250689999999999</v>
      </c>
      <c r="EK386" s="923">
        <f>VLOOKUP(WWWW[[#This Row],[Site Name]],SiteDB6[[Site Name]:[Long]],13,FALSE)</f>
        <v>97.344359999999995</v>
      </c>
      <c r="EL386" s="923" t="str">
        <f>VLOOKUP(WWWW[[#This Row],[Site Name]],SiteDB6[[Site Name]:[Pcode]],3,FALSE)</f>
        <v>MMR001CMP056</v>
      </c>
      <c r="EM386" s="928" t="str">
        <f t="shared" si="5"/>
        <v>Covered</v>
      </c>
      <c r="EN386" s="928"/>
      <c r="EO386" s="923">
        <f>VLOOKUP(WWWW[[#This Row],[Site Name]],SiteDB6[[Site Name]:[Pop
(Kachin/Shan-CCCM as of July 2021)]],16,FALSE)</f>
        <v>646</v>
      </c>
      <c r="EP386" s="923">
        <f>VLOOKUP(WWWW[[#This Row],[Site Name]],SiteDB6[[Site Name]:[Pop
(Kachin/Shan-CCCM as of July 2021)]],17,FALSE)</f>
        <v>2978</v>
      </c>
    </row>
    <row r="387" spans="1:146">
      <c r="A387" s="921" t="s">
        <v>2786</v>
      </c>
      <c r="B387" s="921" t="s">
        <v>276</v>
      </c>
      <c r="C387" s="922" t="s">
        <v>276</v>
      </c>
      <c r="D387" s="922" t="s">
        <v>3061</v>
      </c>
      <c r="E387" s="922" t="s">
        <v>37</v>
      </c>
      <c r="F387" s="922" t="s">
        <v>205</v>
      </c>
      <c r="G387" s="594" t="str">
        <f>VLOOKUP(WWWW[[#This Row],[Site Name]],SiteDB6[[Site Name]:[Location Type]],8,FALSE)</f>
        <v>Camp</v>
      </c>
      <c r="H387" s="922" t="s">
        <v>284</v>
      </c>
      <c r="I387" s="924">
        <v>47</v>
      </c>
      <c r="J387" s="924">
        <v>299</v>
      </c>
      <c r="K387" s="925">
        <v>44652</v>
      </c>
      <c r="L387" s="926">
        <v>44895</v>
      </c>
      <c r="M387" s="924"/>
      <c r="N387" s="924"/>
      <c r="O387" s="924"/>
      <c r="P387" s="924"/>
      <c r="Q387" s="927" t="s">
        <v>41</v>
      </c>
      <c r="R387" s="924">
        <v>3</v>
      </c>
      <c r="S387" s="924">
        <v>9</v>
      </c>
      <c r="T387" s="449">
        <v>3</v>
      </c>
      <c r="U387" s="924"/>
      <c r="V387" s="924"/>
      <c r="W387" s="924">
        <v>1</v>
      </c>
      <c r="X387" s="924"/>
      <c r="Y387" s="924"/>
      <c r="Z387" s="924"/>
      <c r="AA387" s="924"/>
      <c r="AB387" s="924"/>
      <c r="AC387" s="924"/>
      <c r="AD387" s="924"/>
      <c r="AE387" s="924"/>
      <c r="AF387" s="924"/>
      <c r="AG387" s="924"/>
      <c r="AH387" s="924"/>
      <c r="AI387" s="924"/>
      <c r="AJ387" s="924"/>
      <c r="AK387" s="924"/>
      <c r="AL387" s="924"/>
      <c r="AM387" s="924"/>
      <c r="AN387" s="924"/>
      <c r="AO387" s="449"/>
      <c r="AP387" s="928"/>
      <c r="AQ387" s="924">
        <v>13</v>
      </c>
      <c r="AR387" s="924"/>
      <c r="AS387" s="929"/>
      <c r="AT387" s="924"/>
      <c r="AU387" s="924"/>
      <c r="AV387" s="924">
        <v>15</v>
      </c>
      <c r="AW387" s="924">
        <v>26</v>
      </c>
      <c r="AX387" s="924"/>
      <c r="AY387" s="923" t="s">
        <v>41</v>
      </c>
      <c r="AZ387" s="928" t="s">
        <v>137</v>
      </c>
      <c r="BA387" s="924"/>
      <c r="BB387" s="924"/>
      <c r="BC387" s="924"/>
      <c r="BD387" s="449"/>
      <c r="BE387" s="449">
        <v>3</v>
      </c>
      <c r="BF387" s="923"/>
      <c r="BG387" s="924">
        <v>8</v>
      </c>
      <c r="BH387" s="924"/>
      <c r="BI387" s="924"/>
      <c r="BJ387" s="924">
        <v>3</v>
      </c>
      <c r="BK387" s="924"/>
      <c r="BL387" s="924"/>
      <c r="BM387" s="924">
        <v>1</v>
      </c>
      <c r="BN387" s="924">
        <v>46</v>
      </c>
      <c r="BO387" s="924"/>
      <c r="BP387" s="923"/>
      <c r="BQ387" s="930"/>
      <c r="BR387" s="929"/>
      <c r="BS387" s="923"/>
      <c r="BT387" s="424">
        <v>1</v>
      </c>
      <c r="BU387" s="424">
        <v>1</v>
      </c>
      <c r="BV387" s="426">
        <v>9</v>
      </c>
      <c r="BW387" s="424">
        <v>1</v>
      </c>
      <c r="BX387" s="449"/>
      <c r="BY387" s="449"/>
      <c r="BZ387" s="449"/>
      <c r="CA387" s="449"/>
      <c r="CB387" s="449"/>
      <c r="CC387" s="807"/>
      <c r="CD387" s="449"/>
      <c r="CE387" s="931" t="str">
        <f>IFERROR(WWWW[[#This Row],['#_Water sources passed]]/WWWW[[#This Row],['#_Water sources tested for fecal coliform ]],"no test")</f>
        <v>no test</v>
      </c>
      <c r="CF387" s="929" t="str">
        <f>IFERROR(WWWW[[#This Row],['#_Household passed]]/WWWW[[#This Row],['#_Household water samples tested for fecal coliform]],"no test")</f>
        <v>no test</v>
      </c>
      <c r="CG387" s="930" t="str">
        <f>IF(AND(WWWW[[#This Row],[% of water sources passed]]="no test",WWWW[[#This Row],[% Household passed]]="no test"),"No Test","Tested")</f>
        <v>No Test</v>
      </c>
      <c r="CH387" s="930">
        <f>WWWW[[#This Row],['#_Constructed/existing protected hand dug well]]-WWWW[[#This Row],['#_Non-functional protected hand dug well]]</f>
        <v>3</v>
      </c>
      <c r="CI387" s="930">
        <f>(WWWW[[#This Row],['#_Constructed/Existing tube wells/boreholes/handpumps_WASH_agency]]+WWWW[[#This Row],['#_Non-Cluster partner water tube-wells/boreholes/handpumps]])-WWWW[[#This Row],['#_Non-functional tube wells/boreholes/handpumps]]</f>
        <v>1</v>
      </c>
      <c r="CJ387" s="930">
        <f>WWWW[[#This Row],['#_Constructed/Existingwater storage tank with gravity fed reticulation system]]-WWWW[[#This Row],['#_Non-functional storage tank gravity fed reticulation system]]</f>
        <v>0</v>
      </c>
      <c r="CK387" s="930">
        <f>(WWWW[[#This Row],['#_Water_Liters_supplied_by_Water boating or water trucking]]/90)/15</f>
        <v>0</v>
      </c>
      <c r="CL387" s="930">
        <f>WWWW[[#This Row],['#_Water_Liters_from_Constructed/Existing water distribution system from river or natural spring]]/90/15</f>
        <v>0</v>
      </c>
      <c r="CM387" s="425">
        <f>IF(WWWW[[#This Row],['#_of water points in TLS/CFS]]*500&gt;WWWW[[#This Row],[Total PoP ]],WWWW[[#This Row],[Total PoP ]],WWWW[[#This Row],['#_of water points in TLS/CFS]]*500)</f>
        <v>0</v>
      </c>
      <c r="CN387" s="425">
        <f>IF(WWWW[[#This Row],['#_of water points in THF]]*500&gt;WWWW[[#This Row],[Total PoP ]],WWWW[[#This Row],[Total PoP ]],WWWW[[#This Row],['#_of water points in THF]]*500)</f>
        <v>0</v>
      </c>
      <c r="CO387"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7"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7" s="929">
        <f>IF(WWWW[[#This Row],[Location Type 1]]="Village",WWWW[[#This Row],[Access to safe drinking water for Village]],WWWW[[#This Row],[Access to safe drinking water for Camp]])</f>
        <v>1</v>
      </c>
      <c r="CR387" s="927">
        <f>WWWW[[#This Row],[%Equitable and continuous access to sufficient quantity of safe drinking water]]*WWWW[[#This Row],[Total PoP ]]</f>
        <v>299</v>
      </c>
      <c r="CS387" s="929">
        <f>IF((WWWW[[#This Row],['#_Constructed/Existing protected/fenced ponds]]*250)/WWWW[[#This Row],[Total PoP ]]&gt;1,1,(WWWW[[#This Row],['#_Constructed/Existing protected/fenced ponds]]*250)/WWWW[[#This Row],[Total PoP ]])</f>
        <v>0</v>
      </c>
      <c r="CT387" s="927">
        <f>WWWW[[#This Row],[% Access to unimproved water points]]*WWWW[[#This Row],[Total PoP ]]</f>
        <v>0</v>
      </c>
      <c r="CU387"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7"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299</v>
      </c>
      <c r="CW387" s="927">
        <f>WWWW[[#This Row],[HRP1]]/500</f>
        <v>0.59799999999999998</v>
      </c>
      <c r="CX387" s="932">
        <f>1-WWWW[[#This Row],[% Equitable and continuous access to sufficient quantity of domestic water]]</f>
        <v>0</v>
      </c>
      <c r="CY387" s="927">
        <f>WWWW[[#This Row],[%equitable and continuous access to sufficient quantity of safe drinking and domestic water''s GAP]]*WWWW[[#This Row],[Total PoP ]]</f>
        <v>0</v>
      </c>
      <c r="CZ387" s="930">
        <f>IF(WWWW[[#This Row],[Total required water points]]-WWWW[[#This Row],['#Water points coverage]]&lt;0,0,WWWW[[#This Row],[Total required water points]]-WWWW[[#This Row],['#Water points coverage]])</f>
        <v>0.40200000000000002</v>
      </c>
      <c r="DA387" s="930">
        <f>ROUND(IF(WWWW[[#This Row],[Total PoP ]]&lt;500,1,WWWW[[#This Row],[Total PoP ]]/500),0)</f>
        <v>1</v>
      </c>
      <c r="DB387" s="930">
        <f>(WWWW[[#This Row],['#_Constructed latrines_by_WASHAgencies]]+WWWW[[#This Row],['#_Non Cluster partner latrines]])-WWWW[[#This Row],['#_Non-functional latrines]]</f>
        <v>13</v>
      </c>
      <c r="DC387" s="634">
        <f>WWWW[[#This Row],[HRP2]]/WWWW[[#This Row],[Total PoP ]]</f>
        <v>0.87959866220735783</v>
      </c>
      <c r="DD387"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263</v>
      </c>
      <c r="DE387"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299</v>
      </c>
      <c r="DF387"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7" s="425">
        <f>IF(WWWW[[#This Row],['# of functional latrines in THF supported by WASH partners during the reporting period2]]="",0,WWWW[[#This Row],['# of functional latrines in THF supported by WASH partners during the reporting period2]]*50)</f>
        <v>0</v>
      </c>
      <c r="DH387" s="930">
        <f>ROUND(IF(WWWW[[#This Row],[Location Type 1]]="camp",WWWW[[#This Row],[Total PoP ]]/20,IF(WWWW[[#This Row],[Location Type 1]]="Temporary Location",WWWW[[#This Row],[Total PoP ]]/50,(WWWW[[#This Row],[Total PoP ]]/6))),0)</f>
        <v>15</v>
      </c>
      <c r="DI387" s="930">
        <f>IF(WWWW[[#This Row],[Total required Latrines]]-(WWWW[[#This Row],['#_Constructed latrines_by_WASHAgencies]]+WWWW[[#This Row],['#_Non Cluster partner latrines]])&lt;0,0,WWWW[[#This Row],[Total required Latrines]]-(WWWW[[#This Row],['#_Constructed latrines_by_WASHAgencies]]+WWWW[[#This Row],['#_Non Cluster partner latrines]]))</f>
        <v>2</v>
      </c>
      <c r="DJ387" s="932">
        <f>1-WWWW[[#This Row],[% people access to functioning Latrine]]</f>
        <v>0.12040133779264217</v>
      </c>
      <c r="DK387" s="931">
        <f>IF(OR(WWWW[[#This Row],['#_Non-functional latrines]]="",WWWW[[#This Row],['#_Non-functional latrines]]=0),0,WWWW[[#This Row],['#_Non-functional latrines]]/(WWWW[[#This Row],['#_Constructed latrines_by_WASHAgencies]]+WWWW[[#This Row],['#_Non Cluster partner latrines]]))</f>
        <v>0</v>
      </c>
      <c r="DL387" s="927">
        <f>IF(500*(WWWW[[#This Row],['#_male hygiene promoters]]+WWWW[[#This Row],['#_female hygiene promoters]])&gt;WWWW[[#This Row],[Total PoP ]],WWWW[[#This Row],[Total PoP ]],500*(WWWW[[#This Row],['#_male hygiene promoters]]+WWWW[[#This Row],['#_female hygiene promoters]]))</f>
        <v>299</v>
      </c>
      <c r="DM387"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N387"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7" s="930">
        <f>IF(WWWW[[#This Row],['# People with access to soap]]&gt;WWWW[[#This Row],['# People with access to Sanity Pads]],WWWW[[#This Row],['# People with access to soap]],WWWW[[#This Row],['# People with access to Sanity Pads]])</f>
        <v>230</v>
      </c>
      <c r="DP387" s="930">
        <f>IF(WWWW[[#This Row],['# people reached by regular dedicated hygiene promotion_5]]&gt;WWWW[[#This Row],['# People received regular supply of hygiene items_6]],WWWW[[#This Row],['# people reached by regular dedicated hygiene promotion_5]],WWWW[[#This Row],['# People received regular supply of hygiene items_6]])</f>
        <v>299</v>
      </c>
      <c r="DQ387" s="932">
        <f>IF(WWWW[[#This Row],[HRP3]]/WWWW[[#This Row],[Total PoP ]]&gt;1,1,WWWW[[#This Row],[HRP3]]/WWWW[[#This Row],[Total PoP ]])</f>
        <v>1</v>
      </c>
      <c r="DR387" s="931">
        <f>1-WWWW[[#This Row],[Hygiene Coverage%]]</f>
        <v>0</v>
      </c>
      <c r="DS387" s="929">
        <f>WWWW[[#This Row],['# people reached by regular dedicated hygiene promotion_5]]/WWWW[[#This Row],[Total PoP ]]</f>
        <v>1</v>
      </c>
      <c r="DT387"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7"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7" s="930">
        <f>WWWW[[#This Row],['#_Constructed/Existing hand washing stations]]-WWWW[[#This Row],['#_Non-Functional_hand_washing_stations]]</f>
        <v>8</v>
      </c>
      <c r="DW387" s="927">
        <f>IF(WWWW[[#This Row],['# Functional hand washing stations during reporting period]]*20&gt;WWWW[[#This Row],[Total HH]],WWWW[[#This Row],[Total HH]],WWWW[[#This Row],['# Functional hand washing stations during reporting period]]*20)</f>
        <v>47</v>
      </c>
      <c r="DX387" s="927">
        <f>IF(WWWW[[#This Row],[Is sufficient soap available for TLS? (Yes/No)]]="yes",WWWW[[#This Row],['#_Constructed/Existing hand washing stations at TLS/CFS/THF]],0)</f>
        <v>0</v>
      </c>
      <c r="DY387" s="429">
        <f>IF(WWWW[[#This Row],['# Functional hand washing stations during reporting period]]*100&gt;WWWW[[#This Row],[Total PoP ]],WWWW[[#This Row],[Total PoP ]],WWWW[[#This Row],['# Functional hand washing stations during reporting period]]*100)</f>
        <v>299</v>
      </c>
      <c r="DZ387" s="429" t="str">
        <f>IF(OR(WWWW[[#This Row],['#_students at TLS_CFS]]="",WWWW[[#This Row],['#_students at TLS_CFS]]=0),"No","Yes")</f>
        <v>No</v>
      </c>
      <c r="EA387" s="634">
        <f>IF(WWWW[[#This Row],['#_of_affected_people_surveyed_who_report_feeling_informed_about_the_different_WASH_services_available_to_them]]="","",WWWW[[#This Row],['#_of_affected_people_surveyed_who_report_feeling_informed_about_the_different_WASH_services_available_to_them]]/WWWW[[#This Row],[Total PoP ]])</f>
        <v>3.0100334448160536E-2</v>
      </c>
      <c r="EB387"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87"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7"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7" s="923" t="str">
        <f>VLOOKUP(WWWW[[#This Row],[Site Name]],SiteDB6[[Site Name]:[CCCM Management]],6,FALSE)</f>
        <v>Yes</v>
      </c>
      <c r="EF387" s="923" t="str">
        <f>VLOOKUP(WWWW[[#This Row],[Site Name]],SiteDB6[[Site Name]:[CCCM Focal Agency]],7,FALSE)</f>
        <v>KBC-BMO</v>
      </c>
      <c r="EG387" s="923" t="str">
        <f>VLOOKUP(WWWW[[#This Row],[Site Name]],SiteDB6[[Site Name]:[Location Type 1]],9,FALSE)</f>
        <v>Camp</v>
      </c>
      <c r="EH387" s="923" t="str">
        <f>VLOOKUP(WWWW[[#This Row],[Site Name]],SiteDB6[[Site Name]:[Type of Accommodation]],10,FALSE)</f>
        <v>Camp</v>
      </c>
      <c r="EI387" s="923" t="str">
        <f>VLOOKUP(WWWW[[#This Row],[Site Name]],SiteDB6[[Site Name]:[Ethnic or GCA/NGCA]],11,FALSE)</f>
        <v>GCA</v>
      </c>
      <c r="EJ387" s="923">
        <f>VLOOKUP(WWWW[[#This Row],[Site Name]],SiteDB6[[Site Name]:[Lat]],12,FALSE)</f>
        <v>24.205417000000001</v>
      </c>
      <c r="EK387" s="923">
        <f>VLOOKUP(WWWW[[#This Row],[Site Name]],SiteDB6[[Site Name]:[Long]],13,FALSE)</f>
        <v>97.724483000000006</v>
      </c>
      <c r="EL387" s="923" t="str">
        <f>VLOOKUP(WWWW[[#This Row],[Site Name]],SiteDB6[[Site Name]:[Pcode]],3,FALSE)</f>
        <v>MMR001CMP072</v>
      </c>
      <c r="EM387" s="928" t="str">
        <f t="shared" si="5"/>
        <v>Covered</v>
      </c>
      <c r="EN387" s="928"/>
      <c r="EO387" s="923">
        <f>VLOOKUP(WWWW[[#This Row],[Site Name]],SiteDB6[[Site Name]:[Pop
(Kachin/Shan-CCCM as of July 2021)]],16,FALSE)</f>
        <v>47</v>
      </c>
      <c r="EP387" s="923">
        <f>VLOOKUP(WWWW[[#This Row],[Site Name]],SiteDB6[[Site Name]:[Pop
(Kachin/Shan-CCCM as of July 2021)]],17,FALSE)</f>
        <v>291</v>
      </c>
    </row>
    <row r="388" spans="1:146">
      <c r="A388" s="921" t="s">
        <v>2786</v>
      </c>
      <c r="B388" s="921" t="s">
        <v>276</v>
      </c>
      <c r="C388" s="922" t="s">
        <v>276</v>
      </c>
      <c r="D388" s="922" t="s">
        <v>3061</v>
      </c>
      <c r="E388" s="922" t="s">
        <v>37</v>
      </c>
      <c r="F388" s="922" t="s">
        <v>205</v>
      </c>
      <c r="G388" s="594" t="str">
        <f>VLOOKUP(WWWW[[#This Row],[Site Name]],SiteDB6[[Site Name]:[Location Type]],8,FALSE)</f>
        <v>Camp</v>
      </c>
      <c r="H388" s="922" t="s">
        <v>286</v>
      </c>
      <c r="I388" s="924">
        <v>40</v>
      </c>
      <c r="J388" s="924">
        <v>255</v>
      </c>
      <c r="K388" s="925">
        <v>44652</v>
      </c>
      <c r="L388" s="926">
        <v>44895</v>
      </c>
      <c r="M388" s="924"/>
      <c r="N388" s="924"/>
      <c r="O388" s="924"/>
      <c r="P388" s="924"/>
      <c r="Q388" s="927" t="s">
        <v>41</v>
      </c>
      <c r="R388" s="924">
        <v>3</v>
      </c>
      <c r="S388" s="924">
        <v>10</v>
      </c>
      <c r="T388" s="449">
        <v>2</v>
      </c>
      <c r="U388" s="924"/>
      <c r="V388" s="924"/>
      <c r="W388" s="924">
        <v>1</v>
      </c>
      <c r="X388" s="924"/>
      <c r="Y388" s="924"/>
      <c r="Z388" s="924"/>
      <c r="AA388" s="924">
        <v>1</v>
      </c>
      <c r="AB388" s="924"/>
      <c r="AC388" s="924"/>
      <c r="AD388" s="924"/>
      <c r="AE388" s="924"/>
      <c r="AF388" s="924"/>
      <c r="AG388" s="924"/>
      <c r="AH388" s="924"/>
      <c r="AI388" s="924">
        <v>3</v>
      </c>
      <c r="AJ388" s="924">
        <v>3</v>
      </c>
      <c r="AK388" s="924">
        <v>6</v>
      </c>
      <c r="AL388" s="924">
        <v>6</v>
      </c>
      <c r="AM388" s="924"/>
      <c r="AN388" s="924"/>
      <c r="AO388" s="449"/>
      <c r="AP388" s="928"/>
      <c r="AQ388" s="924">
        <v>16</v>
      </c>
      <c r="AR388" s="924"/>
      <c r="AS388" s="929"/>
      <c r="AT388" s="924"/>
      <c r="AU388" s="924"/>
      <c r="AV388" s="924">
        <v>13</v>
      </c>
      <c r="AW388" s="924">
        <v>23</v>
      </c>
      <c r="AX388" s="924"/>
      <c r="AY388" s="923" t="s">
        <v>41</v>
      </c>
      <c r="AZ388" s="928" t="s">
        <v>137</v>
      </c>
      <c r="BA388" s="924"/>
      <c r="BB388" s="924"/>
      <c r="BC388" s="924"/>
      <c r="BD388" s="449"/>
      <c r="BE388" s="449"/>
      <c r="BF388" s="923"/>
      <c r="BG388" s="924">
        <v>3</v>
      </c>
      <c r="BH388" s="924"/>
      <c r="BI388" s="924"/>
      <c r="BJ388" s="924">
        <v>2</v>
      </c>
      <c r="BK388" s="924"/>
      <c r="BL388" s="924">
        <v>1</v>
      </c>
      <c r="BM388" s="924">
        <v>1</v>
      </c>
      <c r="BN388" s="924">
        <v>41</v>
      </c>
      <c r="BO388" s="924"/>
      <c r="BP388" s="923"/>
      <c r="BQ388" s="930"/>
      <c r="BR388" s="929"/>
      <c r="BS388" s="923"/>
      <c r="BT388" s="424">
        <v>0.78</v>
      </c>
      <c r="BU388" s="424">
        <v>1</v>
      </c>
      <c r="BV388" s="426">
        <v>9</v>
      </c>
      <c r="BW388" s="424">
        <v>0</v>
      </c>
      <c r="BX388" s="449"/>
      <c r="BY388" s="449">
        <v>16</v>
      </c>
      <c r="BZ388" s="449">
        <v>2</v>
      </c>
      <c r="CA388" s="449"/>
      <c r="CB388" s="449"/>
      <c r="CC388" s="807"/>
      <c r="CD388" s="449"/>
      <c r="CE388" s="931">
        <f>IFERROR(WWWW[[#This Row],['#_Water sources passed]]/WWWW[[#This Row],['#_Water sources tested for fecal coliform ]],"no test")</f>
        <v>1</v>
      </c>
      <c r="CF388" s="929">
        <f>IFERROR(WWWW[[#This Row],['#_Household passed]]/WWWW[[#This Row],['#_Household water samples tested for fecal coliform]],"no test")</f>
        <v>1</v>
      </c>
      <c r="CG388" s="930" t="str">
        <f>IF(AND(WWWW[[#This Row],[% of water sources passed]]="no test",WWWW[[#This Row],[% Household passed]]="no test"),"No Test","Tested")</f>
        <v>Tested</v>
      </c>
      <c r="CH388" s="930">
        <f>WWWW[[#This Row],['#_Constructed/existing protected hand dug well]]-WWWW[[#This Row],['#_Non-functional protected hand dug well]]</f>
        <v>2</v>
      </c>
      <c r="CI388" s="930">
        <f>(WWWW[[#This Row],['#_Constructed/Existing tube wells/boreholes/handpumps_WASH_agency]]+WWWW[[#This Row],['#_Non-Cluster partner water tube-wells/boreholes/handpumps]])-WWWW[[#This Row],['#_Non-functional tube wells/boreholes/handpumps]]</f>
        <v>1</v>
      </c>
      <c r="CJ388" s="930">
        <f>WWWW[[#This Row],['#_Constructed/Existingwater storage tank with gravity fed reticulation system]]-WWWW[[#This Row],['#_Non-functional storage tank gravity fed reticulation system]]</f>
        <v>1</v>
      </c>
      <c r="CK388" s="930">
        <f>(WWWW[[#This Row],['#_Water_Liters_supplied_by_Water boating or water trucking]]/90)/15</f>
        <v>0</v>
      </c>
      <c r="CL388" s="930">
        <f>WWWW[[#This Row],['#_Water_Liters_from_Constructed/Existing water distribution system from river or natural spring]]/90/15</f>
        <v>0</v>
      </c>
      <c r="CM388" s="425">
        <f>IF(WWWW[[#This Row],['#_of water points in TLS/CFS]]*500&gt;WWWW[[#This Row],[Total PoP ]],WWWW[[#This Row],[Total PoP ]],WWWW[[#This Row],['#_of water points in TLS/CFS]]*500)</f>
        <v>0</v>
      </c>
      <c r="CN388" s="425">
        <f>IF(WWWW[[#This Row],['#_of water points in THF]]*500&gt;WWWW[[#This Row],[Total PoP ]],WWWW[[#This Row],[Total PoP ]],WWWW[[#This Row],['#_of water points in THF]]*500)</f>
        <v>0</v>
      </c>
      <c r="CO388"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8"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8" s="929">
        <f>IF(WWWW[[#This Row],[Location Type 1]]="Village",WWWW[[#This Row],[Access to safe drinking water for Village]],WWWW[[#This Row],[Access to safe drinking water for Camp]])</f>
        <v>1</v>
      </c>
      <c r="CR388" s="927">
        <f>WWWW[[#This Row],[%Equitable and continuous access to sufficient quantity of safe drinking water]]*WWWW[[#This Row],[Total PoP ]]</f>
        <v>255</v>
      </c>
      <c r="CS388" s="929">
        <f>IF((WWWW[[#This Row],['#_Constructed/Existing protected/fenced ponds]]*250)/WWWW[[#This Row],[Total PoP ]]&gt;1,1,(WWWW[[#This Row],['#_Constructed/Existing protected/fenced ponds]]*250)/WWWW[[#This Row],[Total PoP ]])</f>
        <v>0</v>
      </c>
      <c r="CT388" s="927">
        <f>WWWW[[#This Row],[% Access to unimproved water points]]*WWWW[[#This Row],[Total PoP ]]</f>
        <v>0</v>
      </c>
      <c r="CU388"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8"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W388" s="927">
        <f>WWWW[[#This Row],[HRP1]]/500</f>
        <v>0.51</v>
      </c>
      <c r="CX388" s="932">
        <f>1-WWWW[[#This Row],[% Equitable and continuous access to sufficient quantity of domestic water]]</f>
        <v>0</v>
      </c>
      <c r="CY388" s="927">
        <f>WWWW[[#This Row],[%equitable and continuous access to sufficient quantity of safe drinking and domestic water''s GAP]]*WWWW[[#This Row],[Total PoP ]]</f>
        <v>0</v>
      </c>
      <c r="CZ388" s="930">
        <f>IF(WWWW[[#This Row],[Total required water points]]-WWWW[[#This Row],['#Water points coverage]]&lt;0,0,WWWW[[#This Row],[Total required water points]]-WWWW[[#This Row],['#Water points coverage]])</f>
        <v>0.49</v>
      </c>
      <c r="DA388" s="930">
        <f>ROUND(IF(WWWW[[#This Row],[Total PoP ]]&lt;500,1,WWWW[[#This Row],[Total PoP ]]/500),0)</f>
        <v>1</v>
      </c>
      <c r="DB388" s="930">
        <f>(WWWW[[#This Row],['#_Constructed latrines_by_WASHAgencies]]+WWWW[[#This Row],['#_Non Cluster partner latrines]])-WWWW[[#This Row],['#_Non-functional latrines]]</f>
        <v>16</v>
      </c>
      <c r="DC388" s="634">
        <f>WWWW[[#This Row],[HRP2]]/WWWW[[#This Row],[Total PoP ]]</f>
        <v>1</v>
      </c>
      <c r="DD388"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255</v>
      </c>
      <c r="DE388"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255</v>
      </c>
      <c r="DF388"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8" s="425">
        <f>IF(WWWW[[#This Row],['# of functional latrines in THF supported by WASH partners during the reporting period2]]="",0,WWWW[[#This Row],['# of functional latrines in THF supported by WASH partners during the reporting period2]]*50)</f>
        <v>0</v>
      </c>
      <c r="DH388" s="930">
        <f>ROUND(IF(WWWW[[#This Row],[Location Type 1]]="camp",WWWW[[#This Row],[Total PoP ]]/20,IF(WWWW[[#This Row],[Location Type 1]]="Temporary Location",WWWW[[#This Row],[Total PoP ]]/50,(WWWW[[#This Row],[Total PoP ]]/6))),0)</f>
        <v>13</v>
      </c>
      <c r="DI388" s="930">
        <f>IF(WWWW[[#This Row],[Total required Latrines]]-(WWWW[[#This Row],['#_Constructed latrines_by_WASHAgencies]]+WWWW[[#This Row],['#_Non Cluster partner latrines]])&lt;0,0,WWWW[[#This Row],[Total required Latrines]]-(WWWW[[#This Row],['#_Constructed latrines_by_WASHAgencies]]+WWWW[[#This Row],['#_Non Cluster partner latrines]]))</f>
        <v>0</v>
      </c>
      <c r="DJ388" s="932">
        <f>1-WWWW[[#This Row],[% people access to functioning Latrine]]</f>
        <v>0</v>
      </c>
      <c r="DK388" s="931">
        <f>IF(OR(WWWW[[#This Row],['#_Non-functional latrines]]="",WWWW[[#This Row],['#_Non-functional latrines]]=0),0,WWWW[[#This Row],['#_Non-functional latrines]]/(WWWW[[#This Row],['#_Constructed latrines_by_WASHAgencies]]+WWWW[[#This Row],['#_Non Cluster partner latrines]]))</f>
        <v>0</v>
      </c>
      <c r="DL388" s="927">
        <f>IF(500*(WWWW[[#This Row],['#_male hygiene promoters]]+WWWW[[#This Row],['#_female hygiene promoters]])&gt;WWWW[[#This Row],[Total PoP ]],WWWW[[#This Row],[Total PoP ]],500*(WWWW[[#This Row],['#_male hygiene promoters]]+WWWW[[#This Row],['#_female hygiene promoters]]))</f>
        <v>255</v>
      </c>
      <c r="DM388"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205</v>
      </c>
      <c r="DN388"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8" s="930">
        <f>IF(WWWW[[#This Row],['# People with access to soap]]&gt;WWWW[[#This Row],['# People with access to Sanity Pads]],WWWW[[#This Row],['# People with access to soap]],WWWW[[#This Row],['# People with access to Sanity Pads]])</f>
        <v>205</v>
      </c>
      <c r="DP388" s="930">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Q388" s="932">
        <f>IF(WWWW[[#This Row],[HRP3]]/WWWW[[#This Row],[Total PoP ]]&gt;1,1,WWWW[[#This Row],[HRP3]]/WWWW[[#This Row],[Total PoP ]])</f>
        <v>1</v>
      </c>
      <c r="DR388" s="931">
        <f>1-WWWW[[#This Row],[Hygiene Coverage%]]</f>
        <v>0</v>
      </c>
      <c r="DS388" s="929">
        <f>WWWW[[#This Row],['# people reached by regular dedicated hygiene promotion_5]]/WWWW[[#This Row],[Total PoP ]]</f>
        <v>1</v>
      </c>
      <c r="DT388"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88"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8" s="930">
        <f>WWWW[[#This Row],['#_Constructed/Existing hand washing stations]]-WWWW[[#This Row],['#_Non-Functional_hand_washing_stations]]</f>
        <v>3</v>
      </c>
      <c r="DW388" s="927">
        <f>IF(WWWW[[#This Row],['# Functional hand washing stations during reporting period]]*20&gt;WWWW[[#This Row],[Total HH]],WWWW[[#This Row],[Total HH]],WWWW[[#This Row],['# Functional hand washing stations during reporting period]]*20)</f>
        <v>40</v>
      </c>
      <c r="DX388" s="927">
        <f>IF(WWWW[[#This Row],[Is sufficient soap available for TLS? (Yes/No)]]="yes",WWWW[[#This Row],['#_Constructed/Existing hand washing stations at TLS/CFS/THF]],0)</f>
        <v>0</v>
      </c>
      <c r="DY388" s="429">
        <f>IF(WWWW[[#This Row],['# Functional hand washing stations during reporting period]]*100&gt;WWWW[[#This Row],[Total PoP ]],WWWW[[#This Row],[Total PoP ]],WWWW[[#This Row],['# Functional hand washing stations during reporting period]]*100)</f>
        <v>255</v>
      </c>
      <c r="DZ388" s="429" t="str">
        <f>IF(OR(WWWW[[#This Row],['#_students at TLS_CFS]]="",WWWW[[#This Row],['#_students at TLS_CFS]]=0),"No","Yes")</f>
        <v>No</v>
      </c>
      <c r="EA388" s="634">
        <f>IF(WWWW[[#This Row],['#_of_affected_people_surveyed_who_report_feeling_informed_about_the_different_WASH_services_available_to_them]]="","",WWWW[[#This Row],['#_of_affected_people_surveyed_who_report_feeling_informed_about_the_different_WASH_services_available_to_them]]/WWWW[[#This Row],[Total PoP ]])</f>
        <v>3.5294117647058823E-2</v>
      </c>
      <c r="EB388"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18</v>
      </c>
      <c r="EC388"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8"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8" s="923" t="str">
        <f>VLOOKUP(WWWW[[#This Row],[Site Name]],SiteDB6[[Site Name]:[CCCM Management]],6,FALSE)</f>
        <v>Yes</v>
      </c>
      <c r="EF388" s="923" t="str">
        <f>VLOOKUP(WWWW[[#This Row],[Site Name]],SiteDB6[[Site Name]:[CCCM Focal Agency]],7,FALSE)</f>
        <v>KBC-BMO</v>
      </c>
      <c r="EG388" s="923" t="str">
        <f>VLOOKUP(WWWW[[#This Row],[Site Name]],SiteDB6[[Site Name]:[Location Type 1]],9,FALSE)</f>
        <v>Camp</v>
      </c>
      <c r="EH388" s="923" t="str">
        <f>VLOOKUP(WWWW[[#This Row],[Site Name]],SiteDB6[[Site Name]:[Type of Accommodation]],10,FALSE)</f>
        <v>Camp</v>
      </c>
      <c r="EI388" s="923" t="str">
        <f>VLOOKUP(WWWW[[#This Row],[Site Name]],SiteDB6[[Site Name]:[Ethnic or GCA/NGCA]],11,FALSE)</f>
        <v>GCA</v>
      </c>
      <c r="EJ388" s="923">
        <f>VLOOKUP(WWWW[[#This Row],[Site Name]],SiteDB6[[Site Name]:[Lat]],12,FALSE)</f>
        <v>24.207332999999998</v>
      </c>
      <c r="EK388" s="923">
        <f>VLOOKUP(WWWW[[#This Row],[Site Name]],SiteDB6[[Site Name]:[Long]],13,FALSE)</f>
        <v>97.710864000000001</v>
      </c>
      <c r="EL388" s="923" t="str">
        <f>VLOOKUP(WWWW[[#This Row],[Site Name]],SiteDB6[[Site Name]:[Pcode]],3,FALSE)</f>
        <v>MMR001CMP073</v>
      </c>
      <c r="EM388" s="928" t="str">
        <f t="shared" si="5"/>
        <v>Covered</v>
      </c>
      <c r="EN388" s="928"/>
      <c r="EO388" s="923">
        <f>VLOOKUP(WWWW[[#This Row],[Site Name]],SiteDB6[[Site Name]:[Pop
(Kachin/Shan-CCCM as of July 2021)]],16,FALSE)</f>
        <v>47</v>
      </c>
      <c r="EP388" s="923">
        <f>VLOOKUP(WWWW[[#This Row],[Site Name]],SiteDB6[[Site Name]:[Pop
(Kachin/Shan-CCCM as of July 2021)]],17,FALSE)</f>
        <v>279</v>
      </c>
    </row>
    <row r="389" spans="1:146">
      <c r="A389" s="921" t="s">
        <v>2786</v>
      </c>
      <c r="B389" s="921" t="s">
        <v>276</v>
      </c>
      <c r="C389" s="922" t="s">
        <v>276</v>
      </c>
      <c r="D389" s="922" t="s">
        <v>3061</v>
      </c>
      <c r="E389" s="922" t="s">
        <v>37</v>
      </c>
      <c r="F389" s="922" t="s">
        <v>214</v>
      </c>
      <c r="G389" s="594" t="str">
        <f>VLOOKUP(WWWW[[#This Row],[Site Name]],SiteDB6[[Site Name]:[Location Type]],8,FALSE)</f>
        <v>Camp</v>
      </c>
      <c r="H389" s="922" t="s">
        <v>216</v>
      </c>
      <c r="I389" s="924">
        <v>43</v>
      </c>
      <c r="J389" s="924">
        <v>182</v>
      </c>
      <c r="K389" s="591">
        <v>44652</v>
      </c>
      <c r="L389" s="592">
        <v>44895</v>
      </c>
      <c r="M389" s="924"/>
      <c r="N389" s="924"/>
      <c r="O389" s="924"/>
      <c r="P389" s="924"/>
      <c r="Q389" s="927" t="s">
        <v>41</v>
      </c>
      <c r="R389" s="924">
        <v>1</v>
      </c>
      <c r="S389" s="924">
        <v>3</v>
      </c>
      <c r="T389" s="449"/>
      <c r="U389" s="924"/>
      <c r="V389" s="924"/>
      <c r="W389" s="924">
        <v>2</v>
      </c>
      <c r="X389" s="924"/>
      <c r="Y389" s="924"/>
      <c r="Z389" s="924"/>
      <c r="AA389" s="924"/>
      <c r="AB389" s="924"/>
      <c r="AC389" s="924"/>
      <c r="AD389" s="924"/>
      <c r="AE389" s="924"/>
      <c r="AF389" s="924"/>
      <c r="AG389" s="924"/>
      <c r="AH389" s="924"/>
      <c r="AI389" s="449">
        <v>1</v>
      </c>
      <c r="AJ389" s="449">
        <v>1</v>
      </c>
      <c r="AK389" s="449"/>
      <c r="AL389" s="449"/>
      <c r="AM389" s="449"/>
      <c r="AN389" s="924"/>
      <c r="AO389" s="449"/>
      <c r="AP389" s="928"/>
      <c r="AQ389" s="924">
        <v>9</v>
      </c>
      <c r="AR389" s="924"/>
      <c r="AS389" s="929"/>
      <c r="AT389" s="924"/>
      <c r="AU389" s="924"/>
      <c r="AV389" s="924"/>
      <c r="AW389" s="924"/>
      <c r="AX389" s="924"/>
      <c r="AY389" s="923" t="s">
        <v>41</v>
      </c>
      <c r="AZ389" s="928" t="s">
        <v>137</v>
      </c>
      <c r="BA389" s="924"/>
      <c r="BB389" s="924"/>
      <c r="BC389" s="924"/>
      <c r="BD389" s="449"/>
      <c r="BE389" s="449"/>
      <c r="BF389" s="923"/>
      <c r="BG389" s="924">
        <v>3</v>
      </c>
      <c r="BH389" s="924"/>
      <c r="BI389" s="924"/>
      <c r="BJ389" s="924">
        <v>2</v>
      </c>
      <c r="BK389" s="924"/>
      <c r="BL389" s="924"/>
      <c r="BM389" s="924"/>
      <c r="BN389" s="924"/>
      <c r="BO389" s="924"/>
      <c r="BP389" s="923"/>
      <c r="BQ389" s="930"/>
      <c r="BR389" s="929"/>
      <c r="BS389" s="923"/>
      <c r="BT389" s="424"/>
      <c r="BU389" s="424"/>
      <c r="BV389" s="426"/>
      <c r="BW389" s="424"/>
      <c r="BX389" s="449"/>
      <c r="BY389" s="449">
        <v>9</v>
      </c>
      <c r="BZ389" s="449">
        <v>2</v>
      </c>
      <c r="CA389" s="449"/>
      <c r="CB389" s="449"/>
      <c r="CC389" s="807"/>
      <c r="CD389" s="449"/>
      <c r="CE389" s="931">
        <f>IFERROR(WWWW[[#This Row],['#_Water sources passed]]/WWWW[[#This Row],['#_Water sources tested for fecal coliform ]],"no test")</f>
        <v>1</v>
      </c>
      <c r="CF389" s="929" t="str">
        <f>IFERROR(WWWW[[#This Row],['#_Household passed]]/WWWW[[#This Row],['#_Household water samples tested for fecal coliform]],"no test")</f>
        <v>no test</v>
      </c>
      <c r="CG389" s="930" t="str">
        <f>IF(AND(WWWW[[#This Row],[% of water sources passed]]="no test",WWWW[[#This Row],[% Household passed]]="no test"),"No Test","Tested")</f>
        <v>Tested</v>
      </c>
      <c r="CH389" s="930">
        <f>WWWW[[#This Row],['#_Constructed/existing protected hand dug well]]-WWWW[[#This Row],['#_Non-functional protected hand dug well]]</f>
        <v>0</v>
      </c>
      <c r="CI389" s="930">
        <f>(WWWW[[#This Row],['#_Constructed/Existing tube wells/boreholes/handpumps_WASH_agency]]+WWWW[[#This Row],['#_Non-Cluster partner water tube-wells/boreholes/handpumps]])-WWWW[[#This Row],['#_Non-functional tube wells/boreholes/handpumps]]</f>
        <v>2</v>
      </c>
      <c r="CJ389" s="930">
        <f>WWWW[[#This Row],['#_Constructed/Existingwater storage tank with gravity fed reticulation system]]-WWWW[[#This Row],['#_Non-functional storage tank gravity fed reticulation system]]</f>
        <v>0</v>
      </c>
      <c r="CK389" s="930">
        <f>(WWWW[[#This Row],['#_Water_Liters_supplied_by_Water boating or water trucking]]/90)/15</f>
        <v>0</v>
      </c>
      <c r="CL389" s="930">
        <f>WWWW[[#This Row],['#_Water_Liters_from_Constructed/Existing water distribution system from river or natural spring]]/90/15</f>
        <v>0</v>
      </c>
      <c r="CM389" s="425">
        <f>IF(WWWW[[#This Row],['#_of water points in TLS/CFS]]*500&gt;WWWW[[#This Row],[Total PoP ]],WWWW[[#This Row],[Total PoP ]],WWWW[[#This Row],['#_of water points in TLS/CFS]]*500)</f>
        <v>0</v>
      </c>
      <c r="CN389" s="425">
        <f>IF(WWWW[[#This Row],['#_of water points in THF]]*500&gt;WWWW[[#This Row],[Total PoP ]],WWWW[[#This Row],[Total PoP ]],WWWW[[#This Row],['#_of water points in THF]]*500)</f>
        <v>0</v>
      </c>
      <c r="CO389"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89"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89" s="929">
        <f>IF(WWWW[[#This Row],[Location Type 1]]="Village",WWWW[[#This Row],[Access to safe drinking water for Village]],WWWW[[#This Row],[Access to safe drinking water for Camp]])</f>
        <v>1</v>
      </c>
      <c r="CR389" s="927">
        <f>WWWW[[#This Row],[%Equitable and continuous access to sufficient quantity of safe drinking water]]*WWWW[[#This Row],[Total PoP ]]</f>
        <v>182</v>
      </c>
      <c r="CS389" s="929">
        <f>IF((WWWW[[#This Row],['#_Constructed/Existing protected/fenced ponds]]*250)/WWWW[[#This Row],[Total PoP ]]&gt;1,1,(WWWW[[#This Row],['#_Constructed/Existing protected/fenced ponds]]*250)/WWWW[[#This Row],[Total PoP ]])</f>
        <v>0</v>
      </c>
      <c r="CT389" s="927">
        <f>WWWW[[#This Row],[% Access to unimproved water points]]*WWWW[[#This Row],[Total PoP ]]</f>
        <v>0</v>
      </c>
      <c r="CU389"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89"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W389" s="927">
        <f>WWWW[[#This Row],[HRP1]]/500</f>
        <v>0.36399999999999999</v>
      </c>
      <c r="CX389" s="932">
        <f>1-WWWW[[#This Row],[% Equitable and continuous access to sufficient quantity of domestic water]]</f>
        <v>0</v>
      </c>
      <c r="CY389" s="927">
        <f>WWWW[[#This Row],[%equitable and continuous access to sufficient quantity of safe drinking and domestic water''s GAP]]*WWWW[[#This Row],[Total PoP ]]</f>
        <v>0</v>
      </c>
      <c r="CZ389" s="930">
        <f>IF(WWWW[[#This Row],[Total required water points]]-WWWW[[#This Row],['#Water points coverage]]&lt;0,0,WWWW[[#This Row],[Total required water points]]-WWWW[[#This Row],['#Water points coverage]])</f>
        <v>0.63600000000000001</v>
      </c>
      <c r="DA389" s="930">
        <f>ROUND(IF(WWWW[[#This Row],[Total PoP ]]&lt;500,1,WWWW[[#This Row],[Total PoP ]]/500),0)</f>
        <v>1</v>
      </c>
      <c r="DB389" s="930">
        <f>(WWWW[[#This Row],['#_Constructed latrines_by_WASHAgencies]]+WWWW[[#This Row],['#_Non Cluster partner latrines]])-WWWW[[#This Row],['#_Non-functional latrines]]</f>
        <v>9</v>
      </c>
      <c r="DC389" s="634">
        <f>WWWW[[#This Row],[HRP2]]/WWWW[[#This Row],[Total PoP ]]</f>
        <v>0.98901098901098905</v>
      </c>
      <c r="DD389"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180</v>
      </c>
      <c r="DE389"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89"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89" s="425">
        <f>IF(WWWW[[#This Row],['# of functional latrines in THF supported by WASH partners during the reporting period2]]="",0,WWWW[[#This Row],['# of functional latrines in THF supported by WASH partners during the reporting period2]]*50)</f>
        <v>0</v>
      </c>
      <c r="DH389" s="930">
        <f>ROUND(IF(WWWW[[#This Row],[Location Type 1]]="camp",WWWW[[#This Row],[Total PoP ]]/20,IF(WWWW[[#This Row],[Location Type 1]]="Temporary Location",WWWW[[#This Row],[Total PoP ]]/50,(WWWW[[#This Row],[Total PoP ]]/6))),0)</f>
        <v>9</v>
      </c>
      <c r="DI389" s="930">
        <f>IF(WWWW[[#This Row],[Total required Latrines]]-(WWWW[[#This Row],['#_Constructed latrines_by_WASHAgencies]]+WWWW[[#This Row],['#_Non Cluster partner latrines]])&lt;0,0,WWWW[[#This Row],[Total required Latrines]]-(WWWW[[#This Row],['#_Constructed latrines_by_WASHAgencies]]+WWWW[[#This Row],['#_Non Cluster partner latrines]]))</f>
        <v>0</v>
      </c>
      <c r="DJ389" s="932">
        <f>1-WWWW[[#This Row],[% people access to functioning Latrine]]</f>
        <v>1.098901098901095E-2</v>
      </c>
      <c r="DK389" s="931">
        <f>IF(OR(WWWW[[#This Row],['#_Non-functional latrines]]="",WWWW[[#This Row],['#_Non-functional latrines]]=0),0,WWWW[[#This Row],['#_Non-functional latrines]]/(WWWW[[#This Row],['#_Constructed latrines_by_WASHAgencies]]+WWWW[[#This Row],['#_Non Cluster partner latrines]]))</f>
        <v>0</v>
      </c>
      <c r="DL389" s="927">
        <f>IF(500*(WWWW[[#This Row],['#_male hygiene promoters]]+WWWW[[#This Row],['#_female hygiene promoters]])&gt;WWWW[[#This Row],[Total PoP ]],WWWW[[#This Row],[Total PoP ]],500*(WWWW[[#This Row],['#_male hygiene promoters]]+WWWW[[#This Row],['#_female hygiene promoters]]))</f>
        <v>0</v>
      </c>
      <c r="DM389"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89"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89" s="930">
        <f>IF(WWWW[[#This Row],['# People with access to soap]]&gt;WWWW[[#This Row],['# People with access to Sanity Pads]],WWWW[[#This Row],['# People with access to soap]],WWWW[[#This Row],['# People with access to Sanity Pads]])</f>
        <v>0</v>
      </c>
      <c r="DP389"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89" s="932">
        <f>IF(WWWW[[#This Row],[HRP3]]/WWWW[[#This Row],[Total PoP ]]&gt;1,1,WWWW[[#This Row],[HRP3]]/WWWW[[#This Row],[Total PoP ]])</f>
        <v>0</v>
      </c>
      <c r="DR389" s="931">
        <f>1-WWWW[[#This Row],[Hygiene Coverage%]]</f>
        <v>1</v>
      </c>
      <c r="DS389" s="929">
        <f>WWWW[[#This Row],['# people reached by regular dedicated hygiene promotion_5]]/WWWW[[#This Row],[Total PoP ]]</f>
        <v>0</v>
      </c>
      <c r="DT389"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89"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89" s="930">
        <f>WWWW[[#This Row],['#_Constructed/Existing hand washing stations]]-WWWW[[#This Row],['#_Non-Functional_hand_washing_stations]]</f>
        <v>3</v>
      </c>
      <c r="DW389" s="927">
        <f>IF(WWWW[[#This Row],['# Functional hand washing stations during reporting period]]*20&gt;WWWW[[#This Row],[Total HH]],WWWW[[#This Row],[Total HH]],WWWW[[#This Row],['# Functional hand washing stations during reporting period]]*20)</f>
        <v>43</v>
      </c>
      <c r="DX389" s="927">
        <f>IF(WWWW[[#This Row],[Is sufficient soap available for TLS? (Yes/No)]]="yes",WWWW[[#This Row],['#_Constructed/Existing hand washing stations at TLS/CFS/THF]],0)</f>
        <v>0</v>
      </c>
      <c r="DY389" s="429">
        <f>IF(WWWW[[#This Row],['# Functional hand washing stations during reporting period]]*100&gt;WWWW[[#This Row],[Total PoP ]],WWWW[[#This Row],[Total PoP ]],WWWW[[#This Row],['# Functional hand washing stations during reporting period]]*100)</f>
        <v>182</v>
      </c>
      <c r="DZ389" s="429" t="str">
        <f>IF(OR(WWWW[[#This Row],['#_students at TLS_CFS]]="",WWWW[[#This Row],['#_students at TLS_CFS]]=0),"No","Yes")</f>
        <v>No</v>
      </c>
      <c r="EA389"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89"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11</v>
      </c>
      <c r="EC389"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89"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89" s="923" t="str">
        <f>VLOOKUP(WWWW[[#This Row],[Site Name]],SiteDB6[[Site Name]:[CCCM Management]],6,FALSE)</f>
        <v>Yes</v>
      </c>
      <c r="EF389" s="923" t="str">
        <f>VLOOKUP(WWWW[[#This Row],[Site Name]],SiteDB6[[Site Name]:[CCCM Focal Agency]],7,FALSE)</f>
        <v>KMSS-BMO</v>
      </c>
      <c r="EG389" s="923" t="str">
        <f>VLOOKUP(WWWW[[#This Row],[Site Name]],SiteDB6[[Site Name]:[Location Type 1]],9,FALSE)</f>
        <v>Camp</v>
      </c>
      <c r="EH389" s="923" t="str">
        <f>VLOOKUP(WWWW[[#This Row],[Site Name]],SiteDB6[[Site Name]:[Type of Accommodation]],10,FALSE)</f>
        <v>Camp</v>
      </c>
      <c r="EI389" s="923" t="str">
        <f>VLOOKUP(WWWW[[#This Row],[Site Name]],SiteDB6[[Site Name]:[Ethnic or GCA/NGCA]],11,FALSE)</f>
        <v>GCA</v>
      </c>
      <c r="EJ389" s="923">
        <f>VLOOKUP(WWWW[[#This Row],[Site Name]],SiteDB6[[Site Name]:[Lat]],12,FALSE)</f>
        <v>24.200367</v>
      </c>
      <c r="EK389" s="923">
        <f>VLOOKUP(WWWW[[#This Row],[Site Name]],SiteDB6[[Site Name]:[Long]],13,FALSE)</f>
        <v>96.807353000000006</v>
      </c>
      <c r="EL389" s="923" t="str">
        <f>VLOOKUP(WWWW[[#This Row],[Site Name]],SiteDB6[[Site Name]:[Pcode]],3,FALSE)</f>
        <v>MMR001CMP068</v>
      </c>
      <c r="EM389" s="928" t="str">
        <f t="shared" ref="EM389:EM396" si="6">IF(C389="none","Notcovered","Covered")</f>
        <v>Covered</v>
      </c>
      <c r="EN389" s="928"/>
      <c r="EO389" s="923">
        <f>VLOOKUP(WWWW[[#This Row],[Site Name]],SiteDB6[[Site Name]:[Pop
(Kachin/Shan-CCCM as of July 2021)]],16,FALSE)</f>
        <v>35</v>
      </c>
      <c r="EP389" s="923">
        <f>VLOOKUP(WWWW[[#This Row],[Site Name]],SiteDB6[[Site Name]:[Pop
(Kachin/Shan-CCCM as of July 2021)]],17,FALSE)</f>
        <v>170</v>
      </c>
    </row>
    <row r="390" spans="1:146">
      <c r="A390" s="921" t="s">
        <v>2786</v>
      </c>
      <c r="B390" s="921" t="s">
        <v>2697</v>
      </c>
      <c r="C390" s="922" t="s">
        <v>2697</v>
      </c>
      <c r="D390" s="922" t="s">
        <v>2741</v>
      </c>
      <c r="E390" s="922" t="s">
        <v>37</v>
      </c>
      <c r="F390" s="922" t="s">
        <v>587</v>
      </c>
      <c r="G390" s="594" t="str">
        <f>VLOOKUP(WWWW[[#This Row],[Site Name]],SiteDB6[[Site Name]:[Location Type]],8,FALSE)</f>
        <v>Camp</v>
      </c>
      <c r="H390" s="922" t="s">
        <v>2715</v>
      </c>
      <c r="I390" s="924">
        <v>126</v>
      </c>
      <c r="J390" s="924">
        <v>591</v>
      </c>
      <c r="K390" s="925">
        <v>44562</v>
      </c>
      <c r="L390" s="926">
        <v>44926</v>
      </c>
      <c r="M390" s="924"/>
      <c r="N390" s="924"/>
      <c r="O390" s="924"/>
      <c r="P390" s="924"/>
      <c r="Q390" s="927" t="s">
        <v>41</v>
      </c>
      <c r="R390" s="924">
        <v>4</v>
      </c>
      <c r="S390" s="924">
        <v>3</v>
      </c>
      <c r="T390" s="449">
        <v>1</v>
      </c>
      <c r="U390" s="924"/>
      <c r="V390" s="924"/>
      <c r="W390" s="924">
        <v>2</v>
      </c>
      <c r="X390" s="924"/>
      <c r="Y390" s="924"/>
      <c r="Z390" s="924"/>
      <c r="AA390" s="924">
        <v>1</v>
      </c>
      <c r="AB390" s="924"/>
      <c r="AC390" s="924"/>
      <c r="AD390" s="924"/>
      <c r="AE390" s="924"/>
      <c r="AF390" s="924"/>
      <c r="AG390" s="924"/>
      <c r="AH390" s="924"/>
      <c r="AI390" s="924"/>
      <c r="AJ390" s="924"/>
      <c r="AK390" s="924"/>
      <c r="AL390" s="924"/>
      <c r="AM390" s="924"/>
      <c r="AN390" s="924"/>
      <c r="AO390" s="449"/>
      <c r="AP390" s="928" t="s">
        <v>3070</v>
      </c>
      <c r="AQ390" s="924">
        <v>48</v>
      </c>
      <c r="AR390" s="924">
        <v>12</v>
      </c>
      <c r="AS390" s="929" t="s">
        <v>192</v>
      </c>
      <c r="AT390" s="924"/>
      <c r="AU390" s="924"/>
      <c r="AV390" s="924"/>
      <c r="AW390" s="924"/>
      <c r="AX390" s="924"/>
      <c r="AY390" s="923" t="s">
        <v>41</v>
      </c>
      <c r="AZ390" s="928" t="s">
        <v>137</v>
      </c>
      <c r="BA390" s="924"/>
      <c r="BB390" s="924"/>
      <c r="BC390" s="924"/>
      <c r="BD390" s="449"/>
      <c r="BE390" s="449"/>
      <c r="BF390" s="923" t="s">
        <v>3071</v>
      </c>
      <c r="BG390" s="924">
        <v>60</v>
      </c>
      <c r="BH390" s="924"/>
      <c r="BI390" s="924">
        <v>108</v>
      </c>
      <c r="BJ390" s="924">
        <v>1</v>
      </c>
      <c r="BK390" s="924"/>
      <c r="BL390" s="924">
        <v>1</v>
      </c>
      <c r="BM390" s="924">
        <v>1</v>
      </c>
      <c r="BN390" s="924">
        <v>126</v>
      </c>
      <c r="BO390" s="924">
        <v>489</v>
      </c>
      <c r="BP390" s="923" t="s">
        <v>136</v>
      </c>
      <c r="BQ390" s="930"/>
      <c r="BR390" s="929">
        <v>0.4</v>
      </c>
      <c r="BS390" s="923" t="s">
        <v>3073</v>
      </c>
      <c r="BT390" s="424"/>
      <c r="BU390" s="424">
        <v>0.5</v>
      </c>
      <c r="BV390" s="426">
        <v>7</v>
      </c>
      <c r="BW390" s="424">
        <v>0.2</v>
      </c>
      <c r="BX390" s="449">
        <v>48</v>
      </c>
      <c r="BY390" s="449">
        <v>9</v>
      </c>
      <c r="BZ390" s="449">
        <v>1</v>
      </c>
      <c r="CA390" s="449"/>
      <c r="CB390" s="449"/>
      <c r="CC390" s="807"/>
      <c r="CD390" s="449"/>
      <c r="CE390" s="931" t="str">
        <f>IFERROR(WWWW[[#This Row],['#_Water sources passed]]/WWWW[[#This Row],['#_Water sources tested for fecal coliform ]],"no test")</f>
        <v>no test</v>
      </c>
      <c r="CF390" s="929" t="str">
        <f>IFERROR(WWWW[[#This Row],['#_Household passed]]/WWWW[[#This Row],['#_Household water samples tested for fecal coliform]],"no test")</f>
        <v>no test</v>
      </c>
      <c r="CG390" s="930" t="str">
        <f>IF(AND(WWWW[[#This Row],[% of water sources passed]]="no test",WWWW[[#This Row],[% Household passed]]="no test"),"No Test","Tested")</f>
        <v>No Test</v>
      </c>
      <c r="CH390" s="930">
        <f>WWWW[[#This Row],['#_Constructed/existing protected hand dug well]]-WWWW[[#This Row],['#_Non-functional protected hand dug well]]</f>
        <v>1</v>
      </c>
      <c r="CI390" s="930">
        <f>(WWWW[[#This Row],['#_Constructed/Existing tube wells/boreholes/handpumps_WASH_agency]]+WWWW[[#This Row],['#_Non-Cluster partner water tube-wells/boreholes/handpumps]])-WWWW[[#This Row],['#_Non-functional tube wells/boreholes/handpumps]]</f>
        <v>2</v>
      </c>
      <c r="CJ390" s="930">
        <f>WWWW[[#This Row],['#_Constructed/Existingwater storage tank with gravity fed reticulation system]]-WWWW[[#This Row],['#_Non-functional storage tank gravity fed reticulation system]]</f>
        <v>1</v>
      </c>
      <c r="CK390" s="930">
        <f>(WWWW[[#This Row],['#_Water_Liters_supplied_by_Water boating or water trucking]]/90)/15</f>
        <v>0</v>
      </c>
      <c r="CL390" s="930">
        <f>WWWW[[#This Row],['#_Water_Liters_from_Constructed/Existing water distribution system from river or natural spring]]/90/15</f>
        <v>0</v>
      </c>
      <c r="CM390" s="425">
        <f>IF(WWWW[[#This Row],['#_of water points in TLS/CFS]]*500&gt;WWWW[[#This Row],[Total PoP ]],WWWW[[#This Row],[Total PoP ]],WWWW[[#This Row],['#_of water points in TLS/CFS]]*500)</f>
        <v>0</v>
      </c>
      <c r="CN390" s="425">
        <f>IF(WWWW[[#This Row],['#_of water points in THF]]*500&gt;WWWW[[#This Row],[Total PoP ]],WWWW[[#This Row],[Total PoP ]],WWWW[[#This Row],['#_of water points in THF]]*500)</f>
        <v>0</v>
      </c>
      <c r="CO390"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0"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0" s="929">
        <f>IF(WWWW[[#This Row],[Location Type 1]]="Village",WWWW[[#This Row],[Access to safe drinking water for Village]],WWWW[[#This Row],[Access to safe drinking water for Camp]])</f>
        <v>1</v>
      </c>
      <c r="CR390" s="927">
        <f>WWWW[[#This Row],[%Equitable and continuous access to sufficient quantity of safe drinking water]]*WWWW[[#This Row],[Total PoP ]]</f>
        <v>591</v>
      </c>
      <c r="CS390" s="929">
        <f>IF((WWWW[[#This Row],['#_Constructed/Existing protected/fenced ponds]]*250)/WWWW[[#This Row],[Total PoP ]]&gt;1,1,(WWWW[[#This Row],['#_Constructed/Existing protected/fenced ponds]]*250)/WWWW[[#This Row],[Total PoP ]])</f>
        <v>0</v>
      </c>
      <c r="CT390" s="927">
        <f>WWWW[[#This Row],[% Access to unimproved water points]]*WWWW[[#This Row],[Total PoP ]]</f>
        <v>0</v>
      </c>
      <c r="CU390"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0"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W390" s="927">
        <f>WWWW[[#This Row],[HRP1]]/500</f>
        <v>1.1819999999999999</v>
      </c>
      <c r="CX390" s="932">
        <f>1-WWWW[[#This Row],[% Equitable and continuous access to sufficient quantity of domestic water]]</f>
        <v>0</v>
      </c>
      <c r="CY390" s="927">
        <f>WWWW[[#This Row],[%equitable and continuous access to sufficient quantity of safe drinking and domestic water''s GAP]]*WWWW[[#This Row],[Total PoP ]]</f>
        <v>0</v>
      </c>
      <c r="CZ390" s="930">
        <f>IF(WWWW[[#This Row],[Total required water points]]-WWWW[[#This Row],['#Water points coverage]]&lt;0,0,WWWW[[#This Row],[Total required water points]]-WWWW[[#This Row],['#Water points coverage]])</f>
        <v>0</v>
      </c>
      <c r="DA390" s="930">
        <f>ROUND(IF(WWWW[[#This Row],[Total PoP ]]&lt;500,1,WWWW[[#This Row],[Total PoP ]]/500),0)</f>
        <v>1</v>
      </c>
      <c r="DB390" s="930">
        <f>(WWWW[[#This Row],['#_Constructed latrines_by_WASHAgencies]]+WWWW[[#This Row],['#_Non Cluster partner latrines]])-WWWW[[#This Row],['#_Non-functional latrines]]</f>
        <v>60</v>
      </c>
      <c r="DC390" s="634">
        <f>WWWW[[#This Row],[HRP2]]/WWWW[[#This Row],[Total PoP ]]</f>
        <v>1</v>
      </c>
      <c r="DD390"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591</v>
      </c>
      <c r="DE390"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0"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0" s="425">
        <f>IF(WWWW[[#This Row],['# of functional latrines in THF supported by WASH partners during the reporting period2]]="",0,WWWW[[#This Row],['# of functional latrines in THF supported by WASH partners during the reporting period2]]*50)</f>
        <v>0</v>
      </c>
      <c r="DH390" s="930">
        <f>ROUND(IF(WWWW[[#This Row],[Location Type 1]]="camp",WWWW[[#This Row],[Total PoP ]]/20,IF(WWWW[[#This Row],[Location Type 1]]="Temporary Location",WWWW[[#This Row],[Total PoP ]]/50,(WWWW[[#This Row],[Total PoP ]]/6))),0)</f>
        <v>30</v>
      </c>
      <c r="DI390" s="930">
        <f>IF(WWWW[[#This Row],[Total required Latrines]]-(WWWW[[#This Row],['#_Constructed latrines_by_WASHAgencies]]+WWWW[[#This Row],['#_Non Cluster partner latrines]])&lt;0,0,WWWW[[#This Row],[Total required Latrines]]-(WWWW[[#This Row],['#_Constructed latrines_by_WASHAgencies]]+WWWW[[#This Row],['#_Non Cluster partner latrines]]))</f>
        <v>0</v>
      </c>
      <c r="DJ390" s="932">
        <f>1-WWWW[[#This Row],[% people access to functioning Latrine]]</f>
        <v>0</v>
      </c>
      <c r="DK390" s="931">
        <f>IF(OR(WWWW[[#This Row],['#_Non-functional latrines]]="",WWWW[[#This Row],['#_Non-functional latrines]]=0),0,WWWW[[#This Row],['#_Non-functional latrines]]/(WWWW[[#This Row],['#_Constructed latrines_by_WASHAgencies]]+WWWW[[#This Row],['#_Non Cluster partner latrines]]))</f>
        <v>0</v>
      </c>
      <c r="DL390" s="927">
        <f>IF(500*(WWWW[[#This Row],['#_male hygiene promoters]]+WWWW[[#This Row],['#_female hygiene promoters]])&gt;WWWW[[#This Row],[Total PoP ]],WWWW[[#This Row],[Total PoP ]],500*(WWWW[[#This Row],['#_male hygiene promoters]]+WWWW[[#This Row],['#_female hygiene promoters]]))</f>
        <v>591</v>
      </c>
      <c r="DM390"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591</v>
      </c>
      <c r="DN390"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489</v>
      </c>
      <c r="DO390" s="930">
        <f>IF(WWWW[[#This Row],['# People with access to soap]]&gt;WWWW[[#This Row],['# People with access to Sanity Pads]],WWWW[[#This Row],['# People with access to soap]],WWWW[[#This Row],['# People with access to Sanity Pads]])</f>
        <v>591</v>
      </c>
      <c r="DP390" s="930">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Q390" s="932">
        <f>IF(WWWW[[#This Row],[HRP3]]/WWWW[[#This Row],[Total PoP ]]&gt;1,1,WWWW[[#This Row],[HRP3]]/WWWW[[#This Row],[Total PoP ]])</f>
        <v>1</v>
      </c>
      <c r="DR390" s="931">
        <f>1-WWWW[[#This Row],[Hygiene Coverage%]]</f>
        <v>0</v>
      </c>
      <c r="DS390" s="929">
        <f>WWWW[[#This Row],['# people reached by regular dedicated hygiene promotion_5]]/WWWW[[#This Row],[Total PoP ]]</f>
        <v>1</v>
      </c>
      <c r="DT390"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90"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90" s="930">
        <f>WWWW[[#This Row],['#_Constructed/Existing hand washing stations]]-WWWW[[#This Row],['#_Non-Functional_hand_washing_stations]]</f>
        <v>60</v>
      </c>
      <c r="DW390" s="927">
        <f>IF(WWWW[[#This Row],['# Functional hand washing stations during reporting period]]*20&gt;WWWW[[#This Row],[Total HH]],WWWW[[#This Row],[Total HH]],WWWW[[#This Row],['# Functional hand washing stations during reporting period]]*20)</f>
        <v>126</v>
      </c>
      <c r="DX390" s="927">
        <f>IF(WWWW[[#This Row],[Is sufficient soap available for TLS? (Yes/No)]]="yes",WWWW[[#This Row],['#_Constructed/Existing hand washing stations at TLS/CFS/THF]],0)</f>
        <v>0</v>
      </c>
      <c r="DY390" s="429">
        <f>IF(WWWW[[#This Row],['# Functional hand washing stations during reporting period]]*100&gt;WWWW[[#This Row],[Total PoP ]],WWWW[[#This Row],[Total PoP ]],WWWW[[#This Row],['# Functional hand washing stations during reporting period]]*100)</f>
        <v>591</v>
      </c>
      <c r="DZ390" s="429" t="str">
        <f>IF(OR(WWWW[[#This Row],['#_students at TLS_CFS]]="",WWWW[[#This Row],['#_students at TLS_CFS]]=0),"No","Yes")</f>
        <v>No</v>
      </c>
      <c r="EA390" s="634">
        <f>IF(WWWW[[#This Row],['#_of_affected_people_surveyed_who_report_feeling_informed_about_the_different_WASH_services_available_to_them]]="","",WWWW[[#This Row],['#_of_affected_people_surveyed_who_report_feeling_informed_about_the_different_WASH_services_available_to_them]]/WWWW[[#This Row],[Total PoP ]])</f>
        <v>1.1844331641285956E-2</v>
      </c>
      <c r="EB390"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58</v>
      </c>
      <c r="EC390"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0"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0" s="923" t="str">
        <f>VLOOKUP(WWWW[[#This Row],[Site Name]],SiteDB6[[Site Name]:[CCCM Management]],6,FALSE)</f>
        <v>Yes</v>
      </c>
      <c r="EF390" s="923" t="str">
        <f>VLOOKUP(WWWW[[#This Row],[Site Name]],SiteDB6[[Site Name]:[CCCM Focal Agency]],7,FALSE)</f>
        <v>STW/KMSS-MYT</v>
      </c>
      <c r="EG390" s="923" t="str">
        <f>VLOOKUP(WWWW[[#This Row],[Site Name]],SiteDB6[[Site Name]:[Location Type 1]],9,FALSE)</f>
        <v>Camp</v>
      </c>
      <c r="EH390" s="923" t="str">
        <f>VLOOKUP(WWWW[[#This Row],[Site Name]],SiteDB6[[Site Name]:[Type of Accommodation]],10,FALSE)</f>
        <v>Camp</v>
      </c>
      <c r="EI390" s="923" t="str">
        <f>VLOOKUP(WWWW[[#This Row],[Site Name]],SiteDB6[[Site Name]:[Ethnic or GCA/NGCA]],11,FALSE)</f>
        <v>NGCA</v>
      </c>
      <c r="EJ390" s="923">
        <f>VLOOKUP(WWWW[[#This Row],[Site Name]],SiteDB6[[Site Name]:[Lat]],12,FALSE)</f>
        <v>26.007408000000002</v>
      </c>
      <c r="EK390" s="923">
        <f>VLOOKUP(WWWW[[#This Row],[Site Name]],SiteDB6[[Site Name]:[Long]],13,FALSE)</f>
        <v>97.823777000000007</v>
      </c>
      <c r="EL390" s="923" t="str">
        <f>VLOOKUP(WWWW[[#This Row],[Site Name]],SiteDB6[[Site Name]:[Pcode]],3,FALSE)</f>
        <v>MMR001CMP280</v>
      </c>
      <c r="EM390" s="928" t="str">
        <f t="shared" si="6"/>
        <v>Covered</v>
      </c>
      <c r="EN390" s="928"/>
      <c r="EO390" s="923">
        <f>VLOOKUP(WWWW[[#This Row],[Site Name]],SiteDB6[[Site Name]:[Pop
(Kachin/Shan-CCCM as of July 2021)]],16,FALSE)</f>
        <v>140</v>
      </c>
      <c r="EP390" s="923">
        <f>VLOOKUP(WWWW[[#This Row],[Site Name]],SiteDB6[[Site Name]:[Pop
(Kachin/Shan-CCCM as of July 2021)]],17,FALSE)</f>
        <v>659</v>
      </c>
    </row>
    <row r="391" spans="1:146">
      <c r="A391" s="921" t="s">
        <v>2786</v>
      </c>
      <c r="B391" s="921" t="s">
        <v>2697</v>
      </c>
      <c r="C391" s="922" t="s">
        <v>2697</v>
      </c>
      <c r="D391" s="922" t="s">
        <v>2708</v>
      </c>
      <c r="E391" s="922" t="s">
        <v>37</v>
      </c>
      <c r="F391" s="922" t="s">
        <v>142</v>
      </c>
      <c r="G391" s="594" t="str">
        <f>VLOOKUP(WWWW[[#This Row],[Site Name]],SiteDB6[[Site Name]:[Location Type]],8,FALSE)</f>
        <v>Camp</v>
      </c>
      <c r="H391" s="922" t="s">
        <v>771</v>
      </c>
      <c r="I391" s="924">
        <v>64</v>
      </c>
      <c r="J391" s="924">
        <v>381</v>
      </c>
      <c r="K391" s="925">
        <v>44562</v>
      </c>
      <c r="L391" s="926">
        <v>44926</v>
      </c>
      <c r="M391" s="924"/>
      <c r="N391" s="924"/>
      <c r="O391" s="924"/>
      <c r="P391" s="924"/>
      <c r="Q391" s="927" t="s">
        <v>41</v>
      </c>
      <c r="R391" s="924">
        <v>3</v>
      </c>
      <c r="S391" s="924">
        <v>8</v>
      </c>
      <c r="T391" s="449">
        <v>2</v>
      </c>
      <c r="U391" s="924"/>
      <c r="V391" s="924"/>
      <c r="W391" s="924">
        <v>1</v>
      </c>
      <c r="X391" s="924"/>
      <c r="Y391" s="924"/>
      <c r="Z391" s="924"/>
      <c r="AA391" s="924">
        <v>1</v>
      </c>
      <c r="AB391" s="924"/>
      <c r="AC391" s="924"/>
      <c r="AD391" s="924"/>
      <c r="AE391" s="924"/>
      <c r="AF391" s="924"/>
      <c r="AG391" s="924"/>
      <c r="AH391" s="924"/>
      <c r="AI391" s="924"/>
      <c r="AJ391" s="924"/>
      <c r="AK391" s="924"/>
      <c r="AL391" s="924"/>
      <c r="AM391" s="924"/>
      <c r="AN391" s="924"/>
      <c r="AO391" s="449"/>
      <c r="AP391" s="928" t="s">
        <v>3070</v>
      </c>
      <c r="AQ391" s="924">
        <v>8</v>
      </c>
      <c r="AR391" s="924"/>
      <c r="AS391" s="929"/>
      <c r="AT391" s="924"/>
      <c r="AU391" s="924">
        <v>2</v>
      </c>
      <c r="AV391" s="924"/>
      <c r="AW391" s="924"/>
      <c r="AX391" s="924"/>
      <c r="AY391" s="923" t="s">
        <v>41</v>
      </c>
      <c r="AZ391" s="928" t="s">
        <v>137</v>
      </c>
      <c r="BA391" s="924"/>
      <c r="BB391" s="924">
        <v>2</v>
      </c>
      <c r="BC391" s="924"/>
      <c r="BD391" s="449"/>
      <c r="BE391" s="449"/>
      <c r="BF391" s="923" t="s">
        <v>3072</v>
      </c>
      <c r="BG391" s="924">
        <v>3</v>
      </c>
      <c r="BH391" s="924"/>
      <c r="BI391" s="924"/>
      <c r="BJ391" s="924">
        <v>2</v>
      </c>
      <c r="BK391" s="924">
        <v>1</v>
      </c>
      <c r="BL391" s="924"/>
      <c r="BM391" s="924">
        <v>1</v>
      </c>
      <c r="BN391" s="924">
        <v>64</v>
      </c>
      <c r="BO391" s="924">
        <v>336</v>
      </c>
      <c r="BP391" s="923" t="s">
        <v>136</v>
      </c>
      <c r="BQ391" s="930"/>
      <c r="BR391" s="929">
        <v>0.3</v>
      </c>
      <c r="BS391" s="923" t="s">
        <v>3073</v>
      </c>
      <c r="BT391" s="424">
        <v>0.7</v>
      </c>
      <c r="BU391" s="424">
        <v>0.4</v>
      </c>
      <c r="BV391" s="426">
        <v>9</v>
      </c>
      <c r="BW391" s="424">
        <v>0.2</v>
      </c>
      <c r="BX391" s="449">
        <v>8</v>
      </c>
      <c r="BY391" s="449">
        <v>16</v>
      </c>
      <c r="BZ391" s="449">
        <v>2</v>
      </c>
      <c r="CA391" s="449"/>
      <c r="CB391" s="449"/>
      <c r="CC391" s="807"/>
      <c r="CD391" s="449"/>
      <c r="CE391" s="931" t="str">
        <f>IFERROR(WWWW[[#This Row],['#_Water sources passed]]/WWWW[[#This Row],['#_Water sources tested for fecal coliform ]],"no test")</f>
        <v>no test</v>
      </c>
      <c r="CF391" s="929" t="str">
        <f>IFERROR(WWWW[[#This Row],['#_Household passed]]/WWWW[[#This Row],['#_Household water samples tested for fecal coliform]],"no test")</f>
        <v>no test</v>
      </c>
      <c r="CG391" s="930" t="str">
        <f>IF(AND(WWWW[[#This Row],[% of water sources passed]]="no test",WWWW[[#This Row],[% Household passed]]="no test"),"No Test","Tested")</f>
        <v>No Test</v>
      </c>
      <c r="CH391" s="930">
        <f>WWWW[[#This Row],['#_Constructed/existing protected hand dug well]]-WWWW[[#This Row],['#_Non-functional protected hand dug well]]</f>
        <v>2</v>
      </c>
      <c r="CI391" s="930">
        <f>(WWWW[[#This Row],['#_Constructed/Existing tube wells/boreholes/handpumps_WASH_agency]]+WWWW[[#This Row],['#_Non-Cluster partner water tube-wells/boreholes/handpumps]])-WWWW[[#This Row],['#_Non-functional tube wells/boreholes/handpumps]]</f>
        <v>1</v>
      </c>
      <c r="CJ391" s="930">
        <f>WWWW[[#This Row],['#_Constructed/Existingwater storage tank with gravity fed reticulation system]]-WWWW[[#This Row],['#_Non-functional storage tank gravity fed reticulation system]]</f>
        <v>1</v>
      </c>
      <c r="CK391" s="930">
        <f>(WWWW[[#This Row],['#_Water_Liters_supplied_by_Water boating or water trucking]]/90)/15</f>
        <v>0</v>
      </c>
      <c r="CL391" s="930">
        <f>WWWW[[#This Row],['#_Water_Liters_from_Constructed/Existing water distribution system from river or natural spring]]/90/15</f>
        <v>0</v>
      </c>
      <c r="CM391" s="425">
        <f>IF(WWWW[[#This Row],['#_of water points in TLS/CFS]]*500&gt;WWWW[[#This Row],[Total PoP ]],WWWW[[#This Row],[Total PoP ]],WWWW[[#This Row],['#_of water points in TLS/CFS]]*500)</f>
        <v>0</v>
      </c>
      <c r="CN391" s="425">
        <f>IF(WWWW[[#This Row],['#_of water points in THF]]*500&gt;WWWW[[#This Row],[Total PoP ]],WWWW[[#This Row],[Total PoP ]],WWWW[[#This Row],['#_of water points in THF]]*500)</f>
        <v>0</v>
      </c>
      <c r="CO391"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1"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1" s="929">
        <f>IF(WWWW[[#This Row],[Location Type 1]]="Village",WWWW[[#This Row],[Access to safe drinking water for Village]],WWWW[[#This Row],[Access to safe drinking water for Camp]])</f>
        <v>1</v>
      </c>
      <c r="CR391" s="927">
        <f>WWWW[[#This Row],[%Equitable and continuous access to sufficient quantity of safe drinking water]]*WWWW[[#This Row],[Total PoP ]]</f>
        <v>381</v>
      </c>
      <c r="CS391" s="929">
        <f>IF((WWWW[[#This Row],['#_Constructed/Existing protected/fenced ponds]]*250)/WWWW[[#This Row],[Total PoP ]]&gt;1,1,(WWWW[[#This Row],['#_Constructed/Existing protected/fenced ponds]]*250)/WWWW[[#This Row],[Total PoP ]])</f>
        <v>0</v>
      </c>
      <c r="CT391" s="927">
        <f>WWWW[[#This Row],[% Access to unimproved water points]]*WWWW[[#This Row],[Total PoP ]]</f>
        <v>0</v>
      </c>
      <c r="CU391"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1"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W391" s="927">
        <f>WWWW[[#This Row],[HRP1]]/500</f>
        <v>0.76200000000000001</v>
      </c>
      <c r="CX391" s="932">
        <f>1-WWWW[[#This Row],[% Equitable and continuous access to sufficient quantity of domestic water]]</f>
        <v>0</v>
      </c>
      <c r="CY391" s="927">
        <f>WWWW[[#This Row],[%equitable and continuous access to sufficient quantity of safe drinking and domestic water''s GAP]]*WWWW[[#This Row],[Total PoP ]]</f>
        <v>0</v>
      </c>
      <c r="CZ391" s="930">
        <f>IF(WWWW[[#This Row],[Total required water points]]-WWWW[[#This Row],['#Water points coverage]]&lt;0,0,WWWW[[#This Row],[Total required water points]]-WWWW[[#This Row],['#Water points coverage]])</f>
        <v>0.23799999999999999</v>
      </c>
      <c r="DA391" s="930">
        <f>ROUND(IF(WWWW[[#This Row],[Total PoP ]]&lt;500,1,WWWW[[#This Row],[Total PoP ]]/500),0)</f>
        <v>1</v>
      </c>
      <c r="DB391" s="930">
        <f>(WWWW[[#This Row],['#_Constructed latrines_by_WASHAgencies]]+WWWW[[#This Row],['#_Non Cluster partner latrines]])-WWWW[[#This Row],['#_Non-functional latrines]]</f>
        <v>8</v>
      </c>
      <c r="DC391" s="634">
        <f>WWWW[[#This Row],[HRP2]]/WWWW[[#This Row],[Total PoP ]]</f>
        <v>0.41994750656167978</v>
      </c>
      <c r="DD391"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160</v>
      </c>
      <c r="DE391"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1"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1" s="425">
        <f>IF(WWWW[[#This Row],['# of functional latrines in THF supported by WASH partners during the reporting period2]]="",0,WWWW[[#This Row],['# of functional latrines in THF supported by WASH partners during the reporting period2]]*50)</f>
        <v>0</v>
      </c>
      <c r="DH391" s="930">
        <f>ROUND(IF(WWWW[[#This Row],[Location Type 1]]="camp",WWWW[[#This Row],[Total PoP ]]/20,IF(WWWW[[#This Row],[Location Type 1]]="Temporary Location",WWWW[[#This Row],[Total PoP ]]/50,(WWWW[[#This Row],[Total PoP ]]/6))),0)</f>
        <v>19</v>
      </c>
      <c r="DI391" s="930">
        <f>IF(WWWW[[#This Row],[Total required Latrines]]-(WWWW[[#This Row],['#_Constructed latrines_by_WASHAgencies]]+WWWW[[#This Row],['#_Non Cluster partner latrines]])&lt;0,0,WWWW[[#This Row],[Total required Latrines]]-(WWWW[[#This Row],['#_Constructed latrines_by_WASHAgencies]]+WWWW[[#This Row],['#_Non Cluster partner latrines]]))</f>
        <v>11</v>
      </c>
      <c r="DJ391" s="932">
        <f>1-WWWW[[#This Row],[% people access to functioning Latrine]]</f>
        <v>0.58005249343832022</v>
      </c>
      <c r="DK391" s="931">
        <f>IF(OR(WWWW[[#This Row],['#_Non-functional latrines]]="",WWWW[[#This Row],['#_Non-functional latrines]]=0),0,WWWW[[#This Row],['#_Non-functional latrines]]/(WWWW[[#This Row],['#_Constructed latrines_by_WASHAgencies]]+WWWW[[#This Row],['#_Non Cluster partner latrines]]))</f>
        <v>0</v>
      </c>
      <c r="DL391" s="927">
        <f>IF(500*(WWWW[[#This Row],['#_male hygiene promoters]]+WWWW[[#This Row],['#_female hygiene promoters]])&gt;WWWW[[#This Row],[Total PoP ]],WWWW[[#This Row],[Total PoP ]],500*(WWWW[[#This Row],['#_male hygiene promoters]]+WWWW[[#This Row],['#_female hygiene promoters]]))</f>
        <v>381</v>
      </c>
      <c r="DM391"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381</v>
      </c>
      <c r="DN391"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336</v>
      </c>
      <c r="DO391" s="930">
        <f>IF(WWWW[[#This Row],['# People with access to soap]]&gt;WWWW[[#This Row],['# People with access to Sanity Pads]],WWWW[[#This Row],['# People with access to soap]],WWWW[[#This Row],['# People with access to Sanity Pads]])</f>
        <v>381</v>
      </c>
      <c r="DP391" s="930">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Q391" s="932">
        <f>IF(WWWW[[#This Row],[HRP3]]/WWWW[[#This Row],[Total PoP ]]&gt;1,1,WWWW[[#This Row],[HRP3]]/WWWW[[#This Row],[Total PoP ]])</f>
        <v>1</v>
      </c>
      <c r="DR391" s="931">
        <f>1-WWWW[[#This Row],[Hygiene Coverage%]]</f>
        <v>0</v>
      </c>
      <c r="DS391" s="929">
        <f>WWWW[[#This Row],['# people reached by regular dedicated hygiene promotion_5]]/WWWW[[#This Row],[Total PoP ]]</f>
        <v>1</v>
      </c>
      <c r="DT391"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U391"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V391" s="930">
        <f>WWWW[[#This Row],['#_Constructed/Existing hand washing stations]]-WWWW[[#This Row],['#_Non-Functional_hand_washing_stations]]</f>
        <v>3</v>
      </c>
      <c r="DW391" s="927">
        <f>IF(WWWW[[#This Row],['# Functional hand washing stations during reporting period]]*20&gt;WWWW[[#This Row],[Total HH]],WWWW[[#This Row],[Total HH]],WWWW[[#This Row],['# Functional hand washing stations during reporting period]]*20)</f>
        <v>60</v>
      </c>
      <c r="DX391" s="927">
        <f>IF(WWWW[[#This Row],[Is sufficient soap available for TLS? (Yes/No)]]="yes",WWWW[[#This Row],['#_Constructed/Existing hand washing stations at TLS/CFS/THF]],0)</f>
        <v>0</v>
      </c>
      <c r="DY391" s="429">
        <f>IF(WWWW[[#This Row],['# Functional hand washing stations during reporting period]]*100&gt;WWWW[[#This Row],[Total PoP ]],WWWW[[#This Row],[Total PoP ]],WWWW[[#This Row],['# Functional hand washing stations during reporting period]]*100)</f>
        <v>300</v>
      </c>
      <c r="DZ391" s="429" t="str">
        <f>IF(OR(WWWW[[#This Row],['#_students at TLS_CFS]]="",WWWW[[#This Row],['#_students at TLS_CFS]]=0),"No","Yes")</f>
        <v>No</v>
      </c>
      <c r="EA391" s="634">
        <f>IF(WWWW[[#This Row],['#_of_affected_people_surveyed_who_report_feeling_informed_about_the_different_WASH_services_available_to_them]]="","",WWWW[[#This Row],['#_of_affected_people_surveyed_who_report_feeling_informed_about_the_different_WASH_services_available_to_them]]/WWWW[[#This Row],[Total PoP ]])</f>
        <v>2.3622047244094488E-2</v>
      </c>
      <c r="EB391"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26</v>
      </c>
      <c r="EC391"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1"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1" s="923">
        <f>VLOOKUP(WWWW[[#This Row],[Site Name]],SiteDB6[[Site Name]:[CCCM Management]],6,FALSE)</f>
        <v>0</v>
      </c>
      <c r="EF391" s="923" t="str">
        <f>VLOOKUP(WWWW[[#This Row],[Site Name]],SiteDB6[[Site Name]:[CCCM Focal Agency]],7,FALSE)</f>
        <v>uncovered</v>
      </c>
      <c r="EG391" s="923" t="str">
        <f>VLOOKUP(WWWW[[#This Row],[Site Name]],SiteDB6[[Site Name]:[Location Type 1]],9,FALSE)</f>
        <v>Camp</v>
      </c>
      <c r="EH391" s="923" t="str">
        <f>VLOOKUP(WWWW[[#This Row],[Site Name]],SiteDB6[[Site Name]:[Type of Accommodation]],10,FALSE)</f>
        <v>Camp like setting</v>
      </c>
      <c r="EI391" s="923" t="str">
        <f>VLOOKUP(WWWW[[#This Row],[Site Name]],SiteDB6[[Site Name]:[Ethnic or GCA/NGCA]],11,FALSE)</f>
        <v>GCA</v>
      </c>
      <c r="EJ391" s="923">
        <f>VLOOKUP(WWWW[[#This Row],[Site Name]],SiteDB6[[Site Name]:[Lat]],12,FALSE)</f>
        <v>25.305008999999998</v>
      </c>
      <c r="EK391" s="923">
        <f>VLOOKUP(WWWW[[#This Row],[Site Name]],SiteDB6[[Site Name]:[Long]],13,FALSE)</f>
        <v>97.430321000000006</v>
      </c>
      <c r="EL391" s="923" t="str">
        <f>VLOOKUP(WWWW[[#This Row],[Site Name]],SiteDB6[[Site Name]:[Pcode]],3,FALSE)</f>
        <v>MMR001CMP248</v>
      </c>
      <c r="EM391" s="928" t="str">
        <f t="shared" si="6"/>
        <v>Covered</v>
      </c>
      <c r="EN391" s="928"/>
      <c r="EO391" s="923">
        <f>VLOOKUP(WWWW[[#This Row],[Site Name]],SiteDB6[[Site Name]:[Pop
(Kachin/Shan-CCCM as of July 2021)]],16,FALSE)</f>
        <v>60</v>
      </c>
      <c r="EP391" s="923">
        <f>VLOOKUP(WWWW[[#This Row],[Site Name]],SiteDB6[[Site Name]:[Pop
(Kachin/Shan-CCCM as of July 2021)]],17,FALSE)</f>
        <v>371</v>
      </c>
    </row>
    <row r="392" spans="1:146">
      <c r="A392" s="921" t="s">
        <v>2786</v>
      </c>
      <c r="B392" s="921" t="s">
        <v>291</v>
      </c>
      <c r="C392" s="922" t="s">
        <v>291</v>
      </c>
      <c r="D392" s="922" t="s">
        <v>2648</v>
      </c>
      <c r="E392" s="922" t="s">
        <v>37</v>
      </c>
      <c r="F392" s="922" t="s">
        <v>38</v>
      </c>
      <c r="G392" s="594" t="str">
        <f>VLOOKUP(WWWW[[#This Row],[Site Name]],SiteDB6[[Site Name]:[Location Type]],8,FALSE)</f>
        <v>Camp</v>
      </c>
      <c r="H392" s="922" t="s">
        <v>1490</v>
      </c>
      <c r="I392" s="924">
        <v>388</v>
      </c>
      <c r="J392" s="924">
        <v>1900</v>
      </c>
      <c r="K392" s="925">
        <v>44652</v>
      </c>
      <c r="L392" s="926">
        <v>44926</v>
      </c>
      <c r="M392" s="924"/>
      <c r="N392" s="924"/>
      <c r="O392" s="924"/>
      <c r="P392" s="924"/>
      <c r="Q392" s="927" t="s">
        <v>41</v>
      </c>
      <c r="R392" s="924">
        <v>5</v>
      </c>
      <c r="S392" s="924">
        <v>6</v>
      </c>
      <c r="T392" s="449">
        <v>4</v>
      </c>
      <c r="U392" s="924"/>
      <c r="V392" s="924"/>
      <c r="W392" s="924">
        <v>1</v>
      </c>
      <c r="X392" s="924"/>
      <c r="Y392" s="924"/>
      <c r="Z392" s="924"/>
      <c r="AA392" s="924">
        <v>1</v>
      </c>
      <c r="AB392" s="924"/>
      <c r="AC392" s="924"/>
      <c r="AD392" s="924"/>
      <c r="AE392" s="924">
        <v>5</v>
      </c>
      <c r="AF392" s="924"/>
      <c r="AG392" s="924"/>
      <c r="AH392" s="924">
        <v>5</v>
      </c>
      <c r="AI392" s="924"/>
      <c r="AJ392" s="924"/>
      <c r="AK392" s="924"/>
      <c r="AL392" s="924"/>
      <c r="AM392" s="924">
        <v>0</v>
      </c>
      <c r="AN392" s="924">
        <v>5</v>
      </c>
      <c r="AO392" s="449"/>
      <c r="AP392" s="928"/>
      <c r="AQ392" s="924">
        <v>185</v>
      </c>
      <c r="AR392" s="924"/>
      <c r="AS392" s="929"/>
      <c r="AT392" s="924"/>
      <c r="AU392" s="924"/>
      <c r="AV392" s="924"/>
      <c r="AW392" s="924"/>
      <c r="AX392" s="924">
        <v>73</v>
      </c>
      <c r="AY392" s="923" t="s">
        <v>136</v>
      </c>
      <c r="AZ392" s="928" t="s">
        <v>137</v>
      </c>
      <c r="BA392" s="924">
        <v>4</v>
      </c>
      <c r="BB392" s="924">
        <v>60</v>
      </c>
      <c r="BC392" s="924">
        <v>15</v>
      </c>
      <c r="BD392" s="449">
        <v>2</v>
      </c>
      <c r="BE392" s="449">
        <v>6</v>
      </c>
      <c r="BF392" s="923"/>
      <c r="BG392" s="924">
        <v>3</v>
      </c>
      <c r="BH392" s="924"/>
      <c r="BI392" s="924">
        <v>60</v>
      </c>
      <c r="BJ392" s="924">
        <v>2</v>
      </c>
      <c r="BK392" s="924"/>
      <c r="BL392" s="924"/>
      <c r="BM392" s="924">
        <v>6</v>
      </c>
      <c r="BN392" s="924"/>
      <c r="BO392" s="924"/>
      <c r="BP392" s="923"/>
      <c r="BQ392" s="930"/>
      <c r="BR392" s="929"/>
      <c r="BS392" s="923"/>
      <c r="BT392" s="424"/>
      <c r="BU392" s="424"/>
      <c r="BV392" s="426"/>
      <c r="BW392" s="424"/>
      <c r="BX392" s="449"/>
      <c r="BY392" s="449"/>
      <c r="BZ392" s="449"/>
      <c r="CA392" s="449"/>
      <c r="CB392" s="449"/>
      <c r="CC392" s="807"/>
      <c r="CD392" s="449"/>
      <c r="CE392" s="931" t="str">
        <f>IFERROR(WWWW[[#This Row],['#_Water sources passed]]/WWWW[[#This Row],['#_Water sources tested for fecal coliform ]],"no test")</f>
        <v>no test</v>
      </c>
      <c r="CF392" s="929" t="str">
        <f>IFERROR(WWWW[[#This Row],['#_Household passed]]/WWWW[[#This Row],['#_Household water samples tested for fecal coliform]],"no test")</f>
        <v>no test</v>
      </c>
      <c r="CG392" s="930" t="str">
        <f>IF(AND(WWWW[[#This Row],[% of water sources passed]]="no test",WWWW[[#This Row],[% Household passed]]="no test"),"No Test","Tested")</f>
        <v>No Test</v>
      </c>
      <c r="CH392" s="930">
        <f>WWWW[[#This Row],['#_Constructed/existing protected hand dug well]]-WWWW[[#This Row],['#_Non-functional protected hand dug well]]</f>
        <v>4</v>
      </c>
      <c r="CI392" s="930">
        <f>(WWWW[[#This Row],['#_Constructed/Existing tube wells/boreholes/handpumps_WASH_agency]]+WWWW[[#This Row],['#_Non-Cluster partner water tube-wells/boreholes/handpumps]])-WWWW[[#This Row],['#_Non-functional tube wells/boreholes/handpumps]]</f>
        <v>1</v>
      </c>
      <c r="CJ392" s="930">
        <f>WWWW[[#This Row],['#_Constructed/Existingwater storage tank with gravity fed reticulation system]]-WWWW[[#This Row],['#_Non-functional storage tank gravity fed reticulation system]]</f>
        <v>1</v>
      </c>
      <c r="CK392" s="930">
        <f>(WWWW[[#This Row],['#_Water_Liters_supplied_by_Water boating or water trucking]]/90)/15</f>
        <v>0</v>
      </c>
      <c r="CL392" s="930">
        <f>WWWW[[#This Row],['#_Water_Liters_from_Constructed/Existing water distribution system from river or natural spring]]/90/15</f>
        <v>0</v>
      </c>
      <c r="CM392" s="425">
        <f>IF(WWWW[[#This Row],['#_of water points in TLS/CFS]]*500&gt;WWWW[[#This Row],[Total PoP ]],WWWW[[#This Row],[Total PoP ]],WWWW[[#This Row],['#_of water points in TLS/CFS]]*500)</f>
        <v>1900</v>
      </c>
      <c r="CN392" s="425">
        <f>IF(WWWW[[#This Row],['#_of water points in THF]]*500&gt;WWWW[[#This Row],[Total PoP ]],WWWW[[#This Row],[Total PoP ]],WWWW[[#This Row],['#_of water points in THF]]*500)</f>
        <v>0</v>
      </c>
      <c r="CO392"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2"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Q392" s="929">
        <f>IF(WWWW[[#This Row],[Location Type 1]]="Village",WWWW[[#This Row],[Access to safe drinking water for Village]],WWWW[[#This Row],[Access to safe drinking water for Camp]])</f>
        <v>1</v>
      </c>
      <c r="CR392" s="927">
        <f>WWWW[[#This Row],[%Equitable and continuous access to sufficient quantity of safe drinking water]]*WWWW[[#This Row],[Total PoP ]]</f>
        <v>1900</v>
      </c>
      <c r="CS392" s="929">
        <f>IF((WWWW[[#This Row],['#_Constructed/Existing protected/fenced ponds]]*250)/WWWW[[#This Row],[Total PoP ]]&gt;1,1,(WWWW[[#This Row],['#_Constructed/Existing protected/fenced ponds]]*250)/WWWW[[#This Row],[Total PoP ]])</f>
        <v>0.65789473684210531</v>
      </c>
      <c r="CT392" s="927">
        <f>WWWW[[#This Row],[% Access to unimproved water points]]*WWWW[[#This Row],[Total PoP ]]</f>
        <v>1250</v>
      </c>
      <c r="CU392"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2"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W392" s="927">
        <f>WWWW[[#This Row],[HRP1]]/500</f>
        <v>3.8</v>
      </c>
      <c r="CX392" s="932">
        <f>1-WWWW[[#This Row],[% Equitable and continuous access to sufficient quantity of domestic water]]</f>
        <v>0</v>
      </c>
      <c r="CY392" s="927">
        <f>WWWW[[#This Row],[%equitable and continuous access to sufficient quantity of safe drinking and domestic water''s GAP]]*WWWW[[#This Row],[Total PoP ]]</f>
        <v>0</v>
      </c>
      <c r="CZ392" s="930">
        <f>IF(WWWW[[#This Row],[Total required water points]]-WWWW[[#This Row],['#Water points coverage]]&lt;0,0,WWWW[[#This Row],[Total required water points]]-WWWW[[#This Row],['#Water points coverage]])</f>
        <v>0.20000000000000018</v>
      </c>
      <c r="DA392" s="930">
        <f>ROUND(IF(WWWW[[#This Row],[Total PoP ]]&lt;500,1,WWWW[[#This Row],[Total PoP ]]/500),0)</f>
        <v>4</v>
      </c>
      <c r="DB392" s="930">
        <f>(WWWW[[#This Row],['#_Constructed latrines_by_WASHAgencies]]+WWWW[[#This Row],['#_Non Cluster partner latrines]])-WWWW[[#This Row],['#_Non-functional latrines]]</f>
        <v>185</v>
      </c>
      <c r="DC392" s="634">
        <f>WWWW[[#This Row],[HRP2]]/WWWW[[#This Row],[Total PoP ]]</f>
        <v>1</v>
      </c>
      <c r="DD392"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1900</v>
      </c>
      <c r="DE392"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2"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2" s="425">
        <f>IF(WWWW[[#This Row],['# of functional latrines in THF supported by WASH partners during the reporting period2]]="",0,WWWW[[#This Row],['# of functional latrines in THF supported by WASH partners during the reporting period2]]*50)</f>
        <v>100</v>
      </c>
      <c r="DH392" s="930">
        <f>ROUND(IF(WWWW[[#This Row],[Location Type 1]]="camp",WWWW[[#This Row],[Total PoP ]]/20,IF(WWWW[[#This Row],[Location Type 1]]="Temporary Location",WWWW[[#This Row],[Total PoP ]]/50,(WWWW[[#This Row],[Total PoP ]]/6))),0)</f>
        <v>95</v>
      </c>
      <c r="DI392" s="930">
        <f>IF(WWWW[[#This Row],[Total required Latrines]]-(WWWW[[#This Row],['#_Constructed latrines_by_WASHAgencies]]+WWWW[[#This Row],['#_Non Cluster partner latrines]])&lt;0,0,WWWW[[#This Row],[Total required Latrines]]-(WWWW[[#This Row],['#_Constructed latrines_by_WASHAgencies]]+WWWW[[#This Row],['#_Non Cluster partner latrines]]))</f>
        <v>0</v>
      </c>
      <c r="DJ392" s="932">
        <f>1-WWWW[[#This Row],[% people access to functioning Latrine]]</f>
        <v>0</v>
      </c>
      <c r="DK392" s="931">
        <f>IF(OR(WWWW[[#This Row],['#_Non-functional latrines]]="",WWWW[[#This Row],['#_Non-functional latrines]]=0),0,WWWW[[#This Row],['#_Non-functional latrines]]/(WWWW[[#This Row],['#_Constructed latrines_by_WASHAgencies]]+WWWW[[#This Row],['#_Non Cluster partner latrines]]))</f>
        <v>0</v>
      </c>
      <c r="DL392" s="927">
        <f>IF(500*(WWWW[[#This Row],['#_male hygiene promoters]]+WWWW[[#This Row],['#_female hygiene promoters]])&gt;WWWW[[#This Row],[Total PoP ]],WWWW[[#This Row],[Total PoP ]],500*(WWWW[[#This Row],['#_male hygiene promoters]]+WWWW[[#This Row],['#_female hygiene promoters]]))</f>
        <v>1900</v>
      </c>
      <c r="DM392"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2"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2" s="930">
        <f>IF(WWWW[[#This Row],['# People with access to soap]]&gt;WWWW[[#This Row],['# People with access to Sanity Pads]],WWWW[[#This Row],['# People with access to soap]],WWWW[[#This Row],['# People with access to Sanity Pads]])</f>
        <v>0</v>
      </c>
      <c r="DP392" s="930">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Q392" s="932">
        <f>IF(WWWW[[#This Row],[HRP3]]/WWWW[[#This Row],[Total PoP ]]&gt;1,1,WWWW[[#This Row],[HRP3]]/WWWW[[#This Row],[Total PoP ]])</f>
        <v>1</v>
      </c>
      <c r="DR392" s="931">
        <f>1-WWWW[[#This Row],[Hygiene Coverage%]]</f>
        <v>0</v>
      </c>
      <c r="DS392" s="929">
        <f>WWWW[[#This Row],['# people reached by regular dedicated hygiene promotion_5]]/WWWW[[#This Row],[Total PoP ]]</f>
        <v>1</v>
      </c>
      <c r="DT392"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2"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2" s="930">
        <f>WWWW[[#This Row],['#_Constructed/Existing hand washing stations]]-WWWW[[#This Row],['#_Non-Functional_hand_washing_stations]]</f>
        <v>3</v>
      </c>
      <c r="DW392" s="927">
        <f>IF(WWWW[[#This Row],['# Functional hand washing stations during reporting period]]*20&gt;WWWW[[#This Row],[Total HH]],WWWW[[#This Row],[Total HH]],WWWW[[#This Row],['# Functional hand washing stations during reporting period]]*20)</f>
        <v>60</v>
      </c>
      <c r="DX392" s="927">
        <f>IF(WWWW[[#This Row],[Is sufficient soap available for TLS? (Yes/No)]]="yes",WWWW[[#This Row],['#_Constructed/Existing hand washing stations at TLS/CFS/THF]],0)</f>
        <v>0</v>
      </c>
      <c r="DY392" s="429">
        <f>IF(WWWW[[#This Row],['# Functional hand washing stations during reporting period]]*100&gt;WWWW[[#This Row],[Total PoP ]],WWWW[[#This Row],[Total PoP ]],WWWW[[#This Row],['# Functional hand washing stations during reporting period]]*100)</f>
        <v>300</v>
      </c>
      <c r="DZ392" s="429" t="str">
        <f>IF(OR(WWWW[[#This Row],['#_students at TLS_CFS]]="",WWWW[[#This Row],['#_students at TLS_CFS]]=0),"No","Yes")</f>
        <v>No</v>
      </c>
      <c r="EA392"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2"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2"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D392"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92" s="923" t="str">
        <f>VLOOKUP(WWWW[[#This Row],[Site Name]],SiteDB6[[Site Name]:[CCCM Management]],6,FALSE)</f>
        <v>Yes</v>
      </c>
      <c r="EF392" s="923" t="str">
        <f>VLOOKUP(WWWW[[#This Row],[Site Name]],SiteDB6[[Site Name]:[CCCM Focal Agency]],7,FALSE)</f>
        <v>KMSS-BMO</v>
      </c>
      <c r="EG392" s="923" t="str">
        <f>VLOOKUP(WWWW[[#This Row],[Site Name]],SiteDB6[[Site Name]:[Location Type 1]],9,FALSE)</f>
        <v>Camp</v>
      </c>
      <c r="EH392" s="923" t="str">
        <f>VLOOKUP(WWWW[[#This Row],[Site Name]],SiteDB6[[Site Name]:[Type of Accommodation]],10,FALSE)</f>
        <v>Camp</v>
      </c>
      <c r="EI392" s="923" t="str">
        <f>VLOOKUP(WWWW[[#This Row],[Site Name]],SiteDB6[[Site Name]:[Ethnic or GCA/NGCA]],11,FALSE)</f>
        <v>NGCA</v>
      </c>
      <c r="EJ392" s="923">
        <f>VLOOKUP(WWWW[[#This Row],[Site Name]],SiteDB6[[Site Name]:[Lat]],12,FALSE)</f>
        <v>24.002433</v>
      </c>
      <c r="EK392" s="923">
        <f>VLOOKUP(WWWW[[#This Row],[Site Name]],SiteDB6[[Site Name]:[Long]],13,FALSE)</f>
        <v>97.609832999999995</v>
      </c>
      <c r="EL392" s="923" t="str">
        <f>VLOOKUP(WWWW[[#This Row],[Site Name]],SiteDB6[[Site Name]:[Pcode]],3,FALSE)</f>
        <v>MMR001CMP129</v>
      </c>
      <c r="EM392" s="928" t="str">
        <f t="shared" si="6"/>
        <v>Covered</v>
      </c>
      <c r="EN392" s="928"/>
      <c r="EO392" s="923">
        <f>VLOOKUP(WWWW[[#This Row],[Site Name]],SiteDB6[[Site Name]:[Pop
(Kachin/Shan-CCCM as of July 2021)]],16,FALSE)</f>
        <v>388</v>
      </c>
      <c r="EP392" s="923">
        <f>VLOOKUP(WWWW[[#This Row],[Site Name]],SiteDB6[[Site Name]:[Pop
(Kachin/Shan-CCCM as of July 2021)]],17,FALSE)</f>
        <v>1900</v>
      </c>
    </row>
    <row r="393" spans="1:146">
      <c r="A393" s="921" t="s">
        <v>2786</v>
      </c>
      <c r="B393" s="921" t="s">
        <v>291</v>
      </c>
      <c r="C393" s="922" t="s">
        <v>291</v>
      </c>
      <c r="D393" s="922" t="s">
        <v>2648</v>
      </c>
      <c r="E393" s="922" t="s">
        <v>37</v>
      </c>
      <c r="F393" s="922" t="s">
        <v>38</v>
      </c>
      <c r="G393" s="594" t="str">
        <f>VLOOKUP(WWWW[[#This Row],[Site Name]],SiteDB6[[Site Name]:[Location Type]],8,FALSE)</f>
        <v>Camp</v>
      </c>
      <c r="H393" s="922" t="s">
        <v>294</v>
      </c>
      <c r="I393" s="924">
        <v>542</v>
      </c>
      <c r="J393" s="924">
        <v>2503</v>
      </c>
      <c r="K393" s="925">
        <v>44652</v>
      </c>
      <c r="L393" s="926">
        <v>44926</v>
      </c>
      <c r="M393" s="924"/>
      <c r="N393" s="924"/>
      <c r="O393" s="924"/>
      <c r="P393" s="924"/>
      <c r="Q393" s="927" t="s">
        <v>41</v>
      </c>
      <c r="R393" s="924"/>
      <c r="S393" s="924"/>
      <c r="T393" s="449">
        <v>4</v>
      </c>
      <c r="U393" s="924"/>
      <c r="V393" s="924"/>
      <c r="W393" s="924"/>
      <c r="X393" s="924"/>
      <c r="Y393" s="924"/>
      <c r="Z393" s="924"/>
      <c r="AA393" s="924"/>
      <c r="AB393" s="924"/>
      <c r="AC393" s="924"/>
      <c r="AD393" s="924"/>
      <c r="AE393" s="924">
        <v>1</v>
      </c>
      <c r="AF393" s="924"/>
      <c r="AG393" s="924"/>
      <c r="AH393" s="924">
        <v>1</v>
      </c>
      <c r="AI393" s="924"/>
      <c r="AJ393" s="924"/>
      <c r="AK393" s="924"/>
      <c r="AL393" s="924"/>
      <c r="AM393" s="924">
        <v>5</v>
      </c>
      <c r="AN393" s="924">
        <v>2</v>
      </c>
      <c r="AO393" s="449"/>
      <c r="AP393" s="928"/>
      <c r="AQ393" s="924">
        <v>438</v>
      </c>
      <c r="AR393" s="924"/>
      <c r="AS393" s="929"/>
      <c r="AT393" s="924"/>
      <c r="AU393" s="924"/>
      <c r="AV393" s="924"/>
      <c r="AW393" s="924"/>
      <c r="AX393" s="924">
        <v>266</v>
      </c>
      <c r="AY393" s="923" t="s">
        <v>136</v>
      </c>
      <c r="AZ393" s="928" t="s">
        <v>137</v>
      </c>
      <c r="BA393" s="924">
        <v>6</v>
      </c>
      <c r="BB393" s="924">
        <v>274</v>
      </c>
      <c r="BC393" s="924">
        <v>62</v>
      </c>
      <c r="BD393" s="449">
        <v>2</v>
      </c>
      <c r="BE393" s="449"/>
      <c r="BF393" s="923"/>
      <c r="BG393" s="924">
        <v>7</v>
      </c>
      <c r="BH393" s="924"/>
      <c r="BI393" s="924">
        <v>266</v>
      </c>
      <c r="BJ393" s="924">
        <v>4</v>
      </c>
      <c r="BK393" s="924"/>
      <c r="BL393" s="924"/>
      <c r="BM393" s="924">
        <v>7</v>
      </c>
      <c r="BN393" s="924"/>
      <c r="BO393" s="924"/>
      <c r="BP393" s="923"/>
      <c r="BQ393" s="930"/>
      <c r="BR393" s="929"/>
      <c r="BS393" s="923"/>
      <c r="BT393" s="424"/>
      <c r="BU393" s="424"/>
      <c r="BV393" s="426"/>
      <c r="BW393" s="424"/>
      <c r="BX393" s="449"/>
      <c r="BY393" s="449"/>
      <c r="BZ393" s="449"/>
      <c r="CA393" s="449"/>
      <c r="CB393" s="449"/>
      <c r="CC393" s="807"/>
      <c r="CD393" s="449"/>
      <c r="CE393" s="931" t="str">
        <f>IFERROR(WWWW[[#This Row],['#_Water sources passed]]/WWWW[[#This Row],['#_Water sources tested for fecal coliform ]],"no test")</f>
        <v>no test</v>
      </c>
      <c r="CF393" s="929" t="str">
        <f>IFERROR(WWWW[[#This Row],['#_Household passed]]/WWWW[[#This Row],['#_Household water samples tested for fecal coliform]],"no test")</f>
        <v>no test</v>
      </c>
      <c r="CG393" s="930" t="str">
        <f>IF(AND(WWWW[[#This Row],[% of water sources passed]]="no test",WWWW[[#This Row],[% Household passed]]="no test"),"No Test","Tested")</f>
        <v>No Test</v>
      </c>
      <c r="CH393" s="930">
        <f>WWWW[[#This Row],['#_Constructed/existing protected hand dug well]]-WWWW[[#This Row],['#_Non-functional protected hand dug well]]</f>
        <v>4</v>
      </c>
      <c r="CI393" s="930">
        <f>(WWWW[[#This Row],['#_Constructed/Existing tube wells/boreholes/handpumps_WASH_agency]]+WWWW[[#This Row],['#_Non-Cluster partner water tube-wells/boreholes/handpumps]])-WWWW[[#This Row],['#_Non-functional tube wells/boreholes/handpumps]]</f>
        <v>0</v>
      </c>
      <c r="CJ393" s="930">
        <f>WWWW[[#This Row],['#_Constructed/Existingwater storage tank with gravity fed reticulation system]]-WWWW[[#This Row],['#_Non-functional storage tank gravity fed reticulation system]]</f>
        <v>0</v>
      </c>
      <c r="CK393" s="930">
        <f>(WWWW[[#This Row],['#_Water_Liters_supplied_by_Water boating or water trucking]]/90)/15</f>
        <v>0</v>
      </c>
      <c r="CL393" s="930">
        <f>WWWW[[#This Row],['#_Water_Liters_from_Constructed/Existing water distribution system from river or natural spring]]/90/15</f>
        <v>0</v>
      </c>
      <c r="CM393" s="425">
        <f>IF(WWWW[[#This Row],['#_of water points in TLS/CFS]]*500&gt;WWWW[[#This Row],[Total PoP ]],WWWW[[#This Row],[Total PoP ]],WWWW[[#This Row],['#_of water points in TLS/CFS]]*500)</f>
        <v>1000</v>
      </c>
      <c r="CN393" s="425">
        <f>IF(WWWW[[#This Row],['#_of water points in THF]]*500&gt;WWWW[[#This Row],[Total PoP ]],WWWW[[#This Row],[Total PoP ]],WWWW[[#This Row],['#_of water points in THF]]*500)</f>
        <v>0</v>
      </c>
      <c r="CO393"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P393"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Q393" s="929">
        <f>IF(WWWW[[#This Row],[Location Type 1]]="Village",WWWW[[#This Row],[Access to safe drinking water for Village]],WWWW[[#This Row],[Access to safe drinking water for Camp]])</f>
        <v>0.63923292049540548</v>
      </c>
      <c r="CR393" s="927">
        <f>WWWW[[#This Row],[%Equitable and continuous access to sufficient quantity of safe drinking water]]*WWWW[[#This Row],[Total PoP ]]</f>
        <v>1600</v>
      </c>
      <c r="CS393" s="929">
        <f>IF((WWWW[[#This Row],['#_Constructed/Existing protected/fenced ponds]]*250)/WWWW[[#This Row],[Total PoP ]]&gt;1,1,(WWWW[[#This Row],['#_Constructed/Existing protected/fenced ponds]]*250)/WWWW[[#This Row],[Total PoP ]])</f>
        <v>9.9880143827407106E-2</v>
      </c>
      <c r="CT393" s="927">
        <f>WWWW[[#This Row],[% Access to unimproved water points]]*WWWW[[#This Row],[Total PoP ]]</f>
        <v>249.99999999999997</v>
      </c>
      <c r="CU393"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V393"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W393" s="927">
        <f>WWWW[[#This Row],[HRP1]]/500</f>
        <v>3.7</v>
      </c>
      <c r="CX393" s="932">
        <f>1-WWWW[[#This Row],[% Equitable and continuous access to sufficient quantity of domestic water]]</f>
        <v>0.26088693567718746</v>
      </c>
      <c r="CY393" s="927">
        <f>WWWW[[#This Row],[%equitable and continuous access to sufficient quantity of safe drinking and domestic water''s GAP]]*WWWW[[#This Row],[Total PoP ]]</f>
        <v>653.00000000000023</v>
      </c>
      <c r="CZ393" s="930">
        <f>IF(WWWW[[#This Row],[Total required water points]]-WWWW[[#This Row],['#Water points coverage]]&lt;0,0,WWWW[[#This Row],[Total required water points]]-WWWW[[#This Row],['#Water points coverage]])</f>
        <v>1.2999999999999998</v>
      </c>
      <c r="DA393" s="930">
        <f>ROUND(IF(WWWW[[#This Row],[Total PoP ]]&lt;500,1,WWWW[[#This Row],[Total PoP ]]/500),0)</f>
        <v>5</v>
      </c>
      <c r="DB393" s="930">
        <f>(WWWW[[#This Row],['#_Constructed latrines_by_WASHAgencies]]+WWWW[[#This Row],['#_Non Cluster partner latrines]])-WWWW[[#This Row],['#_Non-functional latrines]]</f>
        <v>438</v>
      </c>
      <c r="DC393" s="634">
        <f>WWWW[[#This Row],[HRP2]]/WWWW[[#This Row],[Total PoP ]]</f>
        <v>1</v>
      </c>
      <c r="DD393"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2503</v>
      </c>
      <c r="DE393"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3"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3" s="425">
        <f>IF(WWWW[[#This Row],['# of functional latrines in THF supported by WASH partners during the reporting period2]]="",0,WWWW[[#This Row],['# of functional latrines in THF supported by WASH partners during the reporting period2]]*50)</f>
        <v>100</v>
      </c>
      <c r="DH393" s="930">
        <f>ROUND(IF(WWWW[[#This Row],[Location Type 1]]="camp",WWWW[[#This Row],[Total PoP ]]/20,IF(WWWW[[#This Row],[Location Type 1]]="Temporary Location",WWWW[[#This Row],[Total PoP ]]/50,(WWWW[[#This Row],[Total PoP ]]/6))),0)</f>
        <v>125</v>
      </c>
      <c r="DI393" s="930">
        <f>IF(WWWW[[#This Row],[Total required Latrines]]-(WWWW[[#This Row],['#_Constructed latrines_by_WASHAgencies]]+WWWW[[#This Row],['#_Non Cluster partner latrines]])&lt;0,0,WWWW[[#This Row],[Total required Latrines]]-(WWWW[[#This Row],['#_Constructed latrines_by_WASHAgencies]]+WWWW[[#This Row],['#_Non Cluster partner latrines]]))</f>
        <v>0</v>
      </c>
      <c r="DJ393" s="932">
        <f>1-WWWW[[#This Row],[% people access to functioning Latrine]]</f>
        <v>0</v>
      </c>
      <c r="DK393" s="931">
        <f>IF(OR(WWWW[[#This Row],['#_Non-functional latrines]]="",WWWW[[#This Row],['#_Non-functional latrines]]=0),0,WWWW[[#This Row],['#_Non-functional latrines]]/(WWWW[[#This Row],['#_Constructed latrines_by_WASHAgencies]]+WWWW[[#This Row],['#_Non Cluster partner latrines]]))</f>
        <v>0</v>
      </c>
      <c r="DL393" s="927">
        <f>IF(500*(WWWW[[#This Row],['#_male hygiene promoters]]+WWWW[[#This Row],['#_female hygiene promoters]])&gt;WWWW[[#This Row],[Total PoP ]],WWWW[[#This Row],[Total PoP ]],500*(WWWW[[#This Row],['#_male hygiene promoters]]+WWWW[[#This Row],['#_female hygiene promoters]]))</f>
        <v>2503</v>
      </c>
      <c r="DM393"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3"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3" s="930">
        <f>IF(WWWW[[#This Row],['# People with access to soap]]&gt;WWWW[[#This Row],['# People with access to Sanity Pads]],WWWW[[#This Row],['# People with access to soap]],WWWW[[#This Row],['# People with access to Sanity Pads]])</f>
        <v>0</v>
      </c>
      <c r="DP393" s="930">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Q393" s="932">
        <f>IF(WWWW[[#This Row],[HRP3]]/WWWW[[#This Row],[Total PoP ]]&gt;1,1,WWWW[[#This Row],[HRP3]]/WWWW[[#This Row],[Total PoP ]])</f>
        <v>1</v>
      </c>
      <c r="DR393" s="931">
        <f>1-WWWW[[#This Row],[Hygiene Coverage%]]</f>
        <v>0</v>
      </c>
      <c r="DS393" s="929">
        <f>WWWW[[#This Row],['# people reached by regular dedicated hygiene promotion_5]]/WWWW[[#This Row],[Total PoP ]]</f>
        <v>1</v>
      </c>
      <c r="DT393"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3"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3" s="930">
        <f>WWWW[[#This Row],['#_Constructed/Existing hand washing stations]]-WWWW[[#This Row],['#_Non-Functional_hand_washing_stations]]</f>
        <v>7</v>
      </c>
      <c r="DW393" s="927">
        <f>IF(WWWW[[#This Row],['# Functional hand washing stations during reporting period]]*20&gt;WWWW[[#This Row],[Total HH]],WWWW[[#This Row],[Total HH]],WWWW[[#This Row],['# Functional hand washing stations during reporting period]]*20)</f>
        <v>140</v>
      </c>
      <c r="DX393" s="927">
        <f>IF(WWWW[[#This Row],[Is sufficient soap available for TLS? (Yes/No)]]="yes",WWWW[[#This Row],['#_Constructed/Existing hand washing stations at TLS/CFS/THF]],0)</f>
        <v>0</v>
      </c>
      <c r="DY393" s="429">
        <f>IF(WWWW[[#This Row],['# Functional hand washing stations during reporting period]]*100&gt;WWWW[[#This Row],[Total PoP ]],WWWW[[#This Row],[Total PoP ]],WWWW[[#This Row],['# Functional hand washing stations during reporting period]]*100)</f>
        <v>700</v>
      </c>
      <c r="DZ393" s="429" t="str">
        <f>IF(OR(WWWW[[#This Row],['#_students at TLS_CFS]]="",WWWW[[#This Row],['#_students at TLS_CFS]]=0),"No","Yes")</f>
        <v>No</v>
      </c>
      <c r="EA393"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3"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3"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393"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93" s="923" t="str">
        <f>VLOOKUP(WWWW[[#This Row],[Site Name]],SiteDB6[[Site Name]:[CCCM Management]],6,FALSE)</f>
        <v>Yes</v>
      </c>
      <c r="EF393" s="923" t="str">
        <f>VLOOKUP(WWWW[[#This Row],[Site Name]],SiteDB6[[Site Name]:[CCCM Focal Agency]],7,FALSE)</f>
        <v>KMSS-BMO</v>
      </c>
      <c r="EG393" s="923" t="str">
        <f>VLOOKUP(WWWW[[#This Row],[Site Name]],SiteDB6[[Site Name]:[Location Type 1]],9,FALSE)</f>
        <v>Camp</v>
      </c>
      <c r="EH393" s="923" t="str">
        <f>VLOOKUP(WWWW[[#This Row],[Site Name]],SiteDB6[[Site Name]:[Type of Accommodation]],10,FALSE)</f>
        <v>Camp</v>
      </c>
      <c r="EI393" s="923" t="str">
        <f>VLOOKUP(WWWW[[#This Row],[Site Name]],SiteDB6[[Site Name]:[Ethnic or GCA/NGCA]],11,FALSE)</f>
        <v>NGCA</v>
      </c>
      <c r="EJ393" s="923">
        <f>VLOOKUP(WWWW[[#This Row],[Site Name]],SiteDB6[[Site Name]:[Lat]],12,FALSE)</f>
        <v>24.056132999999999</v>
      </c>
      <c r="EK393" s="923">
        <f>VLOOKUP(WWWW[[#This Row],[Site Name]],SiteDB6[[Site Name]:[Long]],13,FALSE)</f>
        <v>97.625617000000005</v>
      </c>
      <c r="EL393" s="923" t="str">
        <f>VLOOKUP(WWWW[[#This Row],[Site Name]],SiteDB6[[Site Name]:[Pcode]],3,FALSE)</f>
        <v>MMR001CMP128</v>
      </c>
      <c r="EM393" s="928" t="str">
        <f t="shared" si="6"/>
        <v>Covered</v>
      </c>
      <c r="EN393" s="928"/>
      <c r="EO393" s="923">
        <f>VLOOKUP(WWWW[[#This Row],[Site Name]],SiteDB6[[Site Name]:[Pop
(Kachin/Shan-CCCM as of July 2021)]],16,FALSE)</f>
        <v>542</v>
      </c>
      <c r="EP393" s="923">
        <f>VLOOKUP(WWWW[[#This Row],[Site Name]],SiteDB6[[Site Name]:[Pop
(Kachin/Shan-CCCM as of July 2021)]],17,FALSE)</f>
        <v>2503</v>
      </c>
    </row>
    <row r="394" spans="1:146">
      <c r="A394" s="921" t="s">
        <v>2786</v>
      </c>
      <c r="B394" s="921" t="s">
        <v>291</v>
      </c>
      <c r="C394" s="922" t="s">
        <v>291</v>
      </c>
      <c r="D394" s="922" t="s">
        <v>2648</v>
      </c>
      <c r="E394" s="922" t="s">
        <v>37</v>
      </c>
      <c r="F394" s="922" t="s">
        <v>205</v>
      </c>
      <c r="G394" s="594" t="str">
        <f>VLOOKUP(WWWW[[#This Row],[Site Name]],SiteDB6[[Site Name]:[Location Type]],8,FALSE)</f>
        <v>Camp</v>
      </c>
      <c r="H394" s="922" t="s">
        <v>295</v>
      </c>
      <c r="I394" s="924">
        <v>349</v>
      </c>
      <c r="J394" s="924">
        <v>1570</v>
      </c>
      <c r="K394" s="925">
        <v>44652</v>
      </c>
      <c r="L394" s="926">
        <v>44926</v>
      </c>
      <c r="M394" s="924"/>
      <c r="N394" s="924"/>
      <c r="O394" s="924"/>
      <c r="P394" s="924"/>
      <c r="Q394" s="927" t="s">
        <v>41</v>
      </c>
      <c r="R394" s="924"/>
      <c r="S394" s="924"/>
      <c r="T394" s="449"/>
      <c r="U394" s="924"/>
      <c r="V394" s="924"/>
      <c r="W394" s="924"/>
      <c r="X394" s="924"/>
      <c r="Y394" s="924"/>
      <c r="Z394" s="924"/>
      <c r="AA394" s="924"/>
      <c r="AB394" s="924"/>
      <c r="AC394" s="924"/>
      <c r="AD394" s="924"/>
      <c r="AE394" s="924">
        <v>6</v>
      </c>
      <c r="AF394" s="924"/>
      <c r="AG394" s="924"/>
      <c r="AH394" s="924">
        <v>6</v>
      </c>
      <c r="AI394" s="924"/>
      <c r="AJ394" s="924"/>
      <c r="AK394" s="924"/>
      <c r="AL394" s="924"/>
      <c r="AM394" s="924">
        <v>4</v>
      </c>
      <c r="AN394" s="924">
        <v>2</v>
      </c>
      <c r="AO394" s="449"/>
      <c r="AP394" s="928"/>
      <c r="AQ394" s="924">
        <v>181</v>
      </c>
      <c r="AR394" s="924"/>
      <c r="AS394" s="929"/>
      <c r="AT394" s="924"/>
      <c r="AU394" s="924"/>
      <c r="AV394" s="924"/>
      <c r="AW394" s="924"/>
      <c r="AX394" s="924">
        <v>71</v>
      </c>
      <c r="AY394" s="923" t="s">
        <v>136</v>
      </c>
      <c r="AZ394" s="928" t="s">
        <v>137</v>
      </c>
      <c r="BA394" s="924">
        <v>2</v>
      </c>
      <c r="BB394" s="924"/>
      <c r="BC394" s="924">
        <v>16</v>
      </c>
      <c r="BD394" s="449">
        <v>2</v>
      </c>
      <c r="BE394" s="449"/>
      <c r="BF394" s="923"/>
      <c r="BG394" s="924">
        <v>8</v>
      </c>
      <c r="BH394" s="924"/>
      <c r="BI394" s="924">
        <v>30</v>
      </c>
      <c r="BJ394" s="924">
        <v>3</v>
      </c>
      <c r="BK394" s="924"/>
      <c r="BL394" s="924"/>
      <c r="BM394" s="924">
        <v>6</v>
      </c>
      <c r="BN394" s="924"/>
      <c r="BO394" s="924"/>
      <c r="BP394" s="923"/>
      <c r="BQ394" s="930"/>
      <c r="BR394" s="929"/>
      <c r="BS394" s="923"/>
      <c r="BT394" s="424"/>
      <c r="BU394" s="424"/>
      <c r="BV394" s="426"/>
      <c r="BW394" s="424"/>
      <c r="BX394" s="449"/>
      <c r="BY394" s="449"/>
      <c r="BZ394" s="449"/>
      <c r="CA394" s="449"/>
      <c r="CB394" s="449"/>
      <c r="CC394" s="807"/>
      <c r="CD394" s="449"/>
      <c r="CE394" s="931" t="str">
        <f>IFERROR(WWWW[[#This Row],['#_Water sources passed]]/WWWW[[#This Row],['#_Water sources tested for fecal coliform ]],"no test")</f>
        <v>no test</v>
      </c>
      <c r="CF394" s="929" t="str">
        <f>IFERROR(WWWW[[#This Row],['#_Household passed]]/WWWW[[#This Row],['#_Household water samples tested for fecal coliform]],"no test")</f>
        <v>no test</v>
      </c>
      <c r="CG394" s="930" t="str">
        <f>IF(AND(WWWW[[#This Row],[% of water sources passed]]="no test",WWWW[[#This Row],[% Household passed]]="no test"),"No Test","Tested")</f>
        <v>No Test</v>
      </c>
      <c r="CH394" s="930">
        <f>WWWW[[#This Row],['#_Constructed/existing protected hand dug well]]-WWWW[[#This Row],['#_Non-functional protected hand dug well]]</f>
        <v>0</v>
      </c>
      <c r="CI394" s="930">
        <f>(WWWW[[#This Row],['#_Constructed/Existing tube wells/boreholes/handpumps_WASH_agency]]+WWWW[[#This Row],['#_Non-Cluster partner water tube-wells/boreholes/handpumps]])-WWWW[[#This Row],['#_Non-functional tube wells/boreholes/handpumps]]</f>
        <v>0</v>
      </c>
      <c r="CJ394" s="930">
        <f>WWWW[[#This Row],['#_Constructed/Existingwater storage tank with gravity fed reticulation system]]-WWWW[[#This Row],['#_Non-functional storage tank gravity fed reticulation system]]</f>
        <v>0</v>
      </c>
      <c r="CK394" s="930">
        <f>(WWWW[[#This Row],['#_Water_Liters_supplied_by_Water boating or water trucking]]/90)/15</f>
        <v>0</v>
      </c>
      <c r="CL394" s="930">
        <f>WWWW[[#This Row],['#_Water_Liters_from_Constructed/Existing water distribution system from river or natural spring]]/90/15</f>
        <v>0</v>
      </c>
      <c r="CM394" s="425">
        <f>IF(WWWW[[#This Row],['#_of water points in TLS/CFS]]*500&gt;WWWW[[#This Row],[Total PoP ]],WWWW[[#This Row],[Total PoP ]],WWWW[[#This Row],['#_of water points in TLS/CFS]]*500)</f>
        <v>1000</v>
      </c>
      <c r="CN394" s="425">
        <f>IF(WWWW[[#This Row],['#_of water points in THF]]*500&gt;WWWW[[#This Row],[Total PoP ]],WWWW[[#This Row],[Total PoP ]],WWWW[[#This Row],['#_of water points in THF]]*500)</f>
        <v>0</v>
      </c>
      <c r="CO394"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4"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4" s="929">
        <f>IF(WWWW[[#This Row],[Location Type 1]]="Village",WWWW[[#This Row],[Access to safe drinking water for Village]],WWWW[[#This Row],[Access to safe drinking water for Camp]])</f>
        <v>0</v>
      </c>
      <c r="CR394" s="927">
        <f>WWWW[[#This Row],[%Equitable and continuous access to sufficient quantity of safe drinking water]]*WWWW[[#This Row],[Total PoP ]]</f>
        <v>0</v>
      </c>
      <c r="CS394" s="929">
        <f>IF((WWWW[[#This Row],['#_Constructed/Existing protected/fenced ponds]]*250)/WWWW[[#This Row],[Total PoP ]]&gt;1,1,(WWWW[[#This Row],['#_Constructed/Existing protected/fenced ponds]]*250)/WWWW[[#This Row],[Total PoP ]])</f>
        <v>0.95541401273885351</v>
      </c>
      <c r="CT394" s="927">
        <f>WWWW[[#This Row],[% Access to unimproved water points]]*WWWW[[#This Row],[Total PoP ]]</f>
        <v>1500</v>
      </c>
      <c r="CU394"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V394"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W394" s="927">
        <f>WWWW[[#This Row],[HRP1]]/500</f>
        <v>3</v>
      </c>
      <c r="CX394" s="932">
        <f>1-WWWW[[#This Row],[% Equitable and continuous access to sufficient quantity of domestic water]]</f>
        <v>4.4585987261146487E-2</v>
      </c>
      <c r="CY394" s="927">
        <f>WWWW[[#This Row],[%equitable and continuous access to sufficient quantity of safe drinking and domestic water''s GAP]]*WWWW[[#This Row],[Total PoP ]]</f>
        <v>69.999999999999986</v>
      </c>
      <c r="CZ394" s="930">
        <f>IF(WWWW[[#This Row],[Total required water points]]-WWWW[[#This Row],['#Water points coverage]]&lt;0,0,WWWW[[#This Row],[Total required water points]]-WWWW[[#This Row],['#Water points coverage]])</f>
        <v>0</v>
      </c>
      <c r="DA394" s="930">
        <f>ROUND(IF(WWWW[[#This Row],[Total PoP ]]&lt;500,1,WWWW[[#This Row],[Total PoP ]]/500),0)</f>
        <v>3</v>
      </c>
      <c r="DB394" s="930">
        <f>(WWWW[[#This Row],['#_Constructed latrines_by_WASHAgencies]]+WWWW[[#This Row],['#_Non Cluster partner latrines]])-WWWW[[#This Row],['#_Non-functional latrines]]</f>
        <v>181</v>
      </c>
      <c r="DC394" s="634">
        <f>WWWW[[#This Row],[HRP2]]/WWWW[[#This Row],[Total PoP ]]</f>
        <v>1</v>
      </c>
      <c r="DD394"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1570</v>
      </c>
      <c r="DE394"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4"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4" s="425">
        <f>IF(WWWW[[#This Row],['# of functional latrines in THF supported by WASH partners during the reporting period2]]="",0,WWWW[[#This Row],['# of functional latrines in THF supported by WASH partners during the reporting period2]]*50)</f>
        <v>100</v>
      </c>
      <c r="DH394" s="930">
        <f>ROUND(IF(WWWW[[#This Row],[Location Type 1]]="camp",WWWW[[#This Row],[Total PoP ]]/20,IF(WWWW[[#This Row],[Location Type 1]]="Temporary Location",WWWW[[#This Row],[Total PoP ]]/50,(WWWW[[#This Row],[Total PoP ]]/6))),0)</f>
        <v>79</v>
      </c>
      <c r="DI394" s="930">
        <f>IF(WWWW[[#This Row],[Total required Latrines]]-(WWWW[[#This Row],['#_Constructed latrines_by_WASHAgencies]]+WWWW[[#This Row],['#_Non Cluster partner latrines]])&lt;0,0,WWWW[[#This Row],[Total required Latrines]]-(WWWW[[#This Row],['#_Constructed latrines_by_WASHAgencies]]+WWWW[[#This Row],['#_Non Cluster partner latrines]]))</f>
        <v>0</v>
      </c>
      <c r="DJ394" s="932">
        <f>1-WWWW[[#This Row],[% people access to functioning Latrine]]</f>
        <v>0</v>
      </c>
      <c r="DK394" s="931">
        <f>IF(OR(WWWW[[#This Row],['#_Non-functional latrines]]="",WWWW[[#This Row],['#_Non-functional latrines]]=0),0,WWWW[[#This Row],['#_Non-functional latrines]]/(WWWW[[#This Row],['#_Constructed latrines_by_WASHAgencies]]+WWWW[[#This Row],['#_Non Cluster partner latrines]]))</f>
        <v>0</v>
      </c>
      <c r="DL394" s="927">
        <f>IF(500*(WWWW[[#This Row],['#_male hygiene promoters]]+WWWW[[#This Row],['#_female hygiene promoters]])&gt;WWWW[[#This Row],[Total PoP ]],WWWW[[#This Row],[Total PoP ]],500*(WWWW[[#This Row],['#_male hygiene promoters]]+WWWW[[#This Row],['#_female hygiene promoters]]))</f>
        <v>1570</v>
      </c>
      <c r="DM394"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4"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4" s="930">
        <f>IF(WWWW[[#This Row],['# People with access to soap]]&gt;WWWW[[#This Row],['# People with access to Sanity Pads]],WWWW[[#This Row],['# People with access to soap]],WWWW[[#This Row],['# People with access to Sanity Pads]])</f>
        <v>0</v>
      </c>
      <c r="DP394" s="930">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Q394" s="932">
        <f>IF(WWWW[[#This Row],[HRP3]]/WWWW[[#This Row],[Total PoP ]]&gt;1,1,WWWW[[#This Row],[HRP3]]/WWWW[[#This Row],[Total PoP ]])</f>
        <v>1</v>
      </c>
      <c r="DR394" s="931">
        <f>1-WWWW[[#This Row],[Hygiene Coverage%]]</f>
        <v>0</v>
      </c>
      <c r="DS394" s="929">
        <f>WWWW[[#This Row],['# people reached by regular dedicated hygiene promotion_5]]/WWWW[[#This Row],[Total PoP ]]</f>
        <v>1</v>
      </c>
      <c r="DT394"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4"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4" s="930">
        <f>WWWW[[#This Row],['#_Constructed/Existing hand washing stations]]-WWWW[[#This Row],['#_Non-Functional_hand_washing_stations]]</f>
        <v>8</v>
      </c>
      <c r="DW394" s="927">
        <f>IF(WWWW[[#This Row],['# Functional hand washing stations during reporting period]]*20&gt;WWWW[[#This Row],[Total HH]],WWWW[[#This Row],[Total HH]],WWWW[[#This Row],['# Functional hand washing stations during reporting period]]*20)</f>
        <v>160</v>
      </c>
      <c r="DX394" s="927">
        <f>IF(WWWW[[#This Row],[Is sufficient soap available for TLS? (Yes/No)]]="yes",WWWW[[#This Row],['#_Constructed/Existing hand washing stations at TLS/CFS/THF]],0)</f>
        <v>0</v>
      </c>
      <c r="DY394" s="429">
        <f>IF(WWWW[[#This Row],['# Functional hand washing stations during reporting period]]*100&gt;WWWW[[#This Row],[Total PoP ]],WWWW[[#This Row],[Total PoP ]],WWWW[[#This Row],['# Functional hand washing stations during reporting period]]*100)</f>
        <v>800</v>
      </c>
      <c r="DZ394" s="429" t="str">
        <f>IF(OR(WWWW[[#This Row],['#_students at TLS_CFS]]="",WWWW[[#This Row],['#_students at TLS_CFS]]=0),"No","Yes")</f>
        <v>No</v>
      </c>
      <c r="EA394"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4"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4"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D394"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94" s="923" t="str">
        <f>VLOOKUP(WWWW[[#This Row],[Site Name]],SiteDB6[[Site Name]:[CCCM Management]],6,FALSE)</f>
        <v>Yes</v>
      </c>
      <c r="EF394" s="923" t="str">
        <f>VLOOKUP(WWWW[[#This Row],[Site Name]],SiteDB6[[Site Name]:[CCCM Focal Agency]],7,FALSE)</f>
        <v>KMSS-BMO</v>
      </c>
      <c r="EG394" s="923" t="str">
        <f>VLOOKUP(WWWW[[#This Row],[Site Name]],SiteDB6[[Site Name]:[Location Type 1]],9,FALSE)</f>
        <v>Camp</v>
      </c>
      <c r="EH394" s="923" t="str">
        <f>VLOOKUP(WWWW[[#This Row],[Site Name]],SiteDB6[[Site Name]:[Type of Accommodation]],10,FALSE)</f>
        <v>Camp</v>
      </c>
      <c r="EI394" s="923" t="str">
        <f>VLOOKUP(WWWW[[#This Row],[Site Name]],SiteDB6[[Site Name]:[Ethnic or GCA/NGCA]],11,FALSE)</f>
        <v>NGCA</v>
      </c>
      <c r="EJ394" s="923">
        <f>VLOOKUP(WWWW[[#This Row],[Site Name]],SiteDB6[[Site Name]:[Lat]],12,FALSE)</f>
        <v>24.378167000000001</v>
      </c>
      <c r="EK394" s="923">
        <f>VLOOKUP(WWWW[[#This Row],[Site Name]],SiteDB6[[Site Name]:[Long]],13,FALSE)</f>
        <v>97.669366999999994</v>
      </c>
      <c r="EL394" s="923" t="str">
        <f>VLOOKUP(WWWW[[#This Row],[Site Name]],SiteDB6[[Site Name]:[Pcode]],3,FALSE)</f>
        <v>MMR001CMP131</v>
      </c>
      <c r="EM394" s="928" t="str">
        <f t="shared" si="6"/>
        <v>Covered</v>
      </c>
      <c r="EN394" s="928"/>
      <c r="EO394" s="923">
        <f>VLOOKUP(WWWW[[#This Row],[Site Name]],SiteDB6[[Site Name]:[Pop
(Kachin/Shan-CCCM as of July 2021)]],16,FALSE)</f>
        <v>349</v>
      </c>
      <c r="EP394" s="923">
        <f>VLOOKUP(WWWW[[#This Row],[Site Name]],SiteDB6[[Site Name]:[Pop
(Kachin/Shan-CCCM as of July 2021)]],17,FALSE)</f>
        <v>1570</v>
      </c>
    </row>
    <row r="395" spans="1:146">
      <c r="A395" s="921" t="s">
        <v>2786</v>
      </c>
      <c r="B395" s="921" t="s">
        <v>291</v>
      </c>
      <c r="C395" s="922" t="s">
        <v>291</v>
      </c>
      <c r="D395" s="922" t="s">
        <v>2648</v>
      </c>
      <c r="E395" s="922" t="s">
        <v>37</v>
      </c>
      <c r="F395" s="922" t="s">
        <v>205</v>
      </c>
      <c r="G395" s="594" t="str">
        <f>VLOOKUP(WWWW[[#This Row],[Site Name]],SiteDB6[[Site Name]:[Location Type]],8,FALSE)</f>
        <v>Camp</v>
      </c>
      <c r="H395" s="922" t="s">
        <v>296</v>
      </c>
      <c r="I395" s="924">
        <v>616</v>
      </c>
      <c r="J395" s="924">
        <v>3682</v>
      </c>
      <c r="K395" s="925">
        <v>44652</v>
      </c>
      <c r="L395" s="926">
        <v>44926</v>
      </c>
      <c r="M395" s="924"/>
      <c r="N395" s="924"/>
      <c r="O395" s="924"/>
      <c r="P395" s="924"/>
      <c r="Q395" s="927" t="s">
        <v>41</v>
      </c>
      <c r="R395" s="924"/>
      <c r="S395" s="924"/>
      <c r="T395" s="449"/>
      <c r="U395" s="924"/>
      <c r="V395" s="924"/>
      <c r="W395" s="924"/>
      <c r="X395" s="924"/>
      <c r="Y395" s="924"/>
      <c r="Z395" s="924"/>
      <c r="AA395" s="924"/>
      <c r="AB395" s="924"/>
      <c r="AC395" s="924"/>
      <c r="AD395" s="924"/>
      <c r="AE395" s="924">
        <v>1</v>
      </c>
      <c r="AF395" s="924"/>
      <c r="AG395" s="924"/>
      <c r="AH395" s="924">
        <v>1</v>
      </c>
      <c r="AI395" s="924"/>
      <c r="AJ395" s="924"/>
      <c r="AK395" s="924"/>
      <c r="AL395" s="924"/>
      <c r="AM395" s="924">
        <v>21</v>
      </c>
      <c r="AN395" s="924">
        <v>6</v>
      </c>
      <c r="AO395" s="449"/>
      <c r="AP395" s="928"/>
      <c r="AQ395" s="924">
        <v>152</v>
      </c>
      <c r="AR395" s="924"/>
      <c r="AS395" s="929"/>
      <c r="AT395" s="924"/>
      <c r="AU395" s="924"/>
      <c r="AV395" s="924"/>
      <c r="AW395" s="924"/>
      <c r="AX395" s="924"/>
      <c r="AY395" s="923" t="s">
        <v>136</v>
      </c>
      <c r="AZ395" s="928" t="s">
        <v>137</v>
      </c>
      <c r="BA395" s="924">
        <v>4</v>
      </c>
      <c r="BB395" s="924"/>
      <c r="BC395" s="924">
        <v>16</v>
      </c>
      <c r="BD395" s="449">
        <v>2</v>
      </c>
      <c r="BE395" s="449"/>
      <c r="BF395" s="923"/>
      <c r="BG395" s="924">
        <v>7</v>
      </c>
      <c r="BH395" s="924"/>
      <c r="BI395" s="924"/>
      <c r="BJ395" s="924">
        <v>7</v>
      </c>
      <c r="BK395" s="924"/>
      <c r="BL395" s="924"/>
      <c r="BM395" s="924">
        <v>6</v>
      </c>
      <c r="BN395" s="924"/>
      <c r="BO395" s="924"/>
      <c r="BP395" s="923"/>
      <c r="BQ395" s="930"/>
      <c r="BR395" s="929"/>
      <c r="BS395" s="923"/>
      <c r="BT395" s="424"/>
      <c r="BU395" s="424"/>
      <c r="BV395" s="426"/>
      <c r="BW395" s="424"/>
      <c r="BX395" s="449"/>
      <c r="BY395" s="449"/>
      <c r="BZ395" s="449"/>
      <c r="CA395" s="449"/>
      <c r="CB395" s="449"/>
      <c r="CC395" s="807"/>
      <c r="CD395" s="449"/>
      <c r="CE395" s="931" t="str">
        <f>IFERROR(WWWW[[#This Row],['#_Water sources passed]]/WWWW[[#This Row],['#_Water sources tested for fecal coliform ]],"no test")</f>
        <v>no test</v>
      </c>
      <c r="CF395" s="929" t="str">
        <f>IFERROR(WWWW[[#This Row],['#_Household passed]]/WWWW[[#This Row],['#_Household water samples tested for fecal coliform]],"no test")</f>
        <v>no test</v>
      </c>
      <c r="CG395" s="930" t="str">
        <f>IF(AND(WWWW[[#This Row],[% of water sources passed]]="no test",WWWW[[#This Row],[% Household passed]]="no test"),"No Test","Tested")</f>
        <v>No Test</v>
      </c>
      <c r="CH395" s="930">
        <f>WWWW[[#This Row],['#_Constructed/existing protected hand dug well]]-WWWW[[#This Row],['#_Non-functional protected hand dug well]]</f>
        <v>0</v>
      </c>
      <c r="CI395" s="930">
        <f>(WWWW[[#This Row],['#_Constructed/Existing tube wells/boreholes/handpumps_WASH_agency]]+WWWW[[#This Row],['#_Non-Cluster partner water tube-wells/boreholes/handpumps]])-WWWW[[#This Row],['#_Non-functional tube wells/boreholes/handpumps]]</f>
        <v>0</v>
      </c>
      <c r="CJ395" s="930">
        <f>WWWW[[#This Row],['#_Constructed/Existingwater storage tank with gravity fed reticulation system]]-WWWW[[#This Row],['#_Non-functional storage tank gravity fed reticulation system]]</f>
        <v>0</v>
      </c>
      <c r="CK395" s="930">
        <f>(WWWW[[#This Row],['#_Water_Liters_supplied_by_Water boating or water trucking]]/90)/15</f>
        <v>0</v>
      </c>
      <c r="CL395" s="930">
        <f>WWWW[[#This Row],['#_Water_Liters_from_Constructed/Existing water distribution system from river or natural spring]]/90/15</f>
        <v>0</v>
      </c>
      <c r="CM395" s="425">
        <f>IF(WWWW[[#This Row],['#_of water points in TLS/CFS]]*500&gt;WWWW[[#This Row],[Total PoP ]],WWWW[[#This Row],[Total PoP ]],WWWW[[#This Row],['#_of water points in TLS/CFS]]*500)</f>
        <v>3000</v>
      </c>
      <c r="CN395" s="425">
        <f>IF(WWWW[[#This Row],['#_of water points in THF]]*500&gt;WWWW[[#This Row],[Total PoP ]],WWWW[[#This Row],[Total PoP ]],WWWW[[#This Row],['#_of water points in THF]]*500)</f>
        <v>0</v>
      </c>
      <c r="CO395"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P395"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Q395" s="929">
        <f>IF(WWWW[[#This Row],[Location Type 1]]="Village",WWWW[[#This Row],[Access to safe drinking water for Village]],WWWW[[#This Row],[Access to safe drinking water for Camp]])</f>
        <v>0</v>
      </c>
      <c r="CR395" s="927">
        <f>WWWW[[#This Row],[%Equitable and continuous access to sufficient quantity of safe drinking water]]*WWWW[[#This Row],[Total PoP ]]</f>
        <v>0</v>
      </c>
      <c r="CS395" s="929">
        <f>IF((WWWW[[#This Row],['#_Constructed/Existing protected/fenced ponds]]*250)/WWWW[[#This Row],[Total PoP ]]&gt;1,1,(WWWW[[#This Row],['#_Constructed/Existing protected/fenced ponds]]*250)/WWWW[[#This Row],[Total PoP ]])</f>
        <v>6.7897881586094513E-2</v>
      </c>
      <c r="CT395" s="927">
        <f>WWWW[[#This Row],[% Access to unimproved water points]]*WWWW[[#This Row],[Total PoP ]]</f>
        <v>250</v>
      </c>
      <c r="CU395"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V395"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W395" s="927">
        <f>WWWW[[#This Row],[HRP1]]/500</f>
        <v>0.5</v>
      </c>
      <c r="CX395" s="932">
        <f>1-WWWW[[#This Row],[% Equitable and continuous access to sufficient quantity of domestic water]]</f>
        <v>0.93210211841390544</v>
      </c>
      <c r="CY395" s="927">
        <f>WWWW[[#This Row],[%equitable and continuous access to sufficient quantity of safe drinking and domestic water''s GAP]]*WWWW[[#This Row],[Total PoP ]]</f>
        <v>3432</v>
      </c>
      <c r="CZ395" s="930">
        <f>IF(WWWW[[#This Row],[Total required water points]]-WWWW[[#This Row],['#Water points coverage]]&lt;0,0,WWWW[[#This Row],[Total required water points]]-WWWW[[#This Row],['#Water points coverage]])</f>
        <v>6.5</v>
      </c>
      <c r="DA395" s="930">
        <f>ROUND(IF(WWWW[[#This Row],[Total PoP ]]&lt;500,1,WWWW[[#This Row],[Total PoP ]]/500),0)</f>
        <v>7</v>
      </c>
      <c r="DB395" s="930">
        <f>(WWWW[[#This Row],['#_Constructed latrines_by_WASHAgencies]]+WWWW[[#This Row],['#_Non Cluster partner latrines]])-WWWW[[#This Row],['#_Non-functional latrines]]</f>
        <v>152</v>
      </c>
      <c r="DC395" s="634">
        <f>WWWW[[#This Row],[HRP2]]/WWWW[[#This Row],[Total PoP ]]</f>
        <v>0.84736556219445958</v>
      </c>
      <c r="DD395"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3120</v>
      </c>
      <c r="DE395"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5"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5" s="425">
        <f>IF(WWWW[[#This Row],['# of functional latrines in THF supported by WASH partners during the reporting period2]]="",0,WWWW[[#This Row],['# of functional latrines in THF supported by WASH partners during the reporting period2]]*50)</f>
        <v>100</v>
      </c>
      <c r="DH395" s="930">
        <f>ROUND(IF(WWWW[[#This Row],[Location Type 1]]="camp",WWWW[[#This Row],[Total PoP ]]/20,IF(WWWW[[#This Row],[Location Type 1]]="Temporary Location",WWWW[[#This Row],[Total PoP ]]/50,(WWWW[[#This Row],[Total PoP ]]/6))),0)</f>
        <v>184</v>
      </c>
      <c r="DI395" s="930">
        <f>IF(WWWW[[#This Row],[Total required Latrines]]-(WWWW[[#This Row],['#_Constructed latrines_by_WASHAgencies]]+WWWW[[#This Row],['#_Non Cluster partner latrines]])&lt;0,0,WWWW[[#This Row],[Total required Latrines]]-(WWWW[[#This Row],['#_Constructed latrines_by_WASHAgencies]]+WWWW[[#This Row],['#_Non Cluster partner latrines]]))</f>
        <v>32</v>
      </c>
      <c r="DJ395" s="932">
        <f>1-WWWW[[#This Row],[% people access to functioning Latrine]]</f>
        <v>0.15263443780554042</v>
      </c>
      <c r="DK395" s="931">
        <f>IF(OR(WWWW[[#This Row],['#_Non-functional latrines]]="",WWWW[[#This Row],['#_Non-functional latrines]]=0),0,WWWW[[#This Row],['#_Non-functional latrines]]/(WWWW[[#This Row],['#_Constructed latrines_by_WASHAgencies]]+WWWW[[#This Row],['#_Non Cluster partner latrines]]))</f>
        <v>0</v>
      </c>
      <c r="DL395" s="927">
        <f>IF(500*(WWWW[[#This Row],['#_male hygiene promoters]]+WWWW[[#This Row],['#_female hygiene promoters]])&gt;WWWW[[#This Row],[Total PoP ]],WWWW[[#This Row],[Total PoP ]],500*(WWWW[[#This Row],['#_male hygiene promoters]]+WWWW[[#This Row],['#_female hygiene promoters]]))</f>
        <v>3000</v>
      </c>
      <c r="DM395"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5"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5" s="930">
        <f>IF(WWWW[[#This Row],['# People with access to soap]]&gt;WWWW[[#This Row],['# People with access to Sanity Pads]],WWWW[[#This Row],['# People with access to soap]],WWWW[[#This Row],['# People with access to Sanity Pads]])</f>
        <v>0</v>
      </c>
      <c r="DP395" s="930">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Q395" s="932">
        <f>IF(WWWW[[#This Row],[HRP3]]/WWWW[[#This Row],[Total PoP ]]&gt;1,1,WWWW[[#This Row],[HRP3]]/WWWW[[#This Row],[Total PoP ]])</f>
        <v>0.81477457903313422</v>
      </c>
      <c r="DR395" s="931">
        <f>1-WWWW[[#This Row],[Hygiene Coverage%]]</f>
        <v>0.18522542096686578</v>
      </c>
      <c r="DS395" s="929">
        <f>WWWW[[#This Row],['# people reached by regular dedicated hygiene promotion_5]]/WWWW[[#This Row],[Total PoP ]]</f>
        <v>0.81477457903313422</v>
      </c>
      <c r="DT395"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5"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5" s="930">
        <f>WWWW[[#This Row],['#_Constructed/Existing hand washing stations]]-WWWW[[#This Row],['#_Non-Functional_hand_washing_stations]]</f>
        <v>7</v>
      </c>
      <c r="DW395" s="927">
        <f>IF(WWWW[[#This Row],['# Functional hand washing stations during reporting period]]*20&gt;WWWW[[#This Row],[Total HH]],WWWW[[#This Row],[Total HH]],WWWW[[#This Row],['# Functional hand washing stations during reporting period]]*20)</f>
        <v>140</v>
      </c>
      <c r="DX395" s="927">
        <f>IF(WWWW[[#This Row],[Is sufficient soap available for TLS? (Yes/No)]]="yes",WWWW[[#This Row],['#_Constructed/Existing hand washing stations at TLS/CFS/THF]],0)</f>
        <v>0</v>
      </c>
      <c r="DY395" s="429">
        <f>IF(WWWW[[#This Row],['# Functional hand washing stations during reporting period]]*100&gt;WWWW[[#This Row],[Total PoP ]],WWWW[[#This Row],[Total PoP ]],WWWW[[#This Row],['# Functional hand washing stations during reporting period]]*100)</f>
        <v>700</v>
      </c>
      <c r="DZ395" s="429" t="str">
        <f>IF(OR(WWWW[[#This Row],['#_students at TLS_CFS]]="",WWWW[[#This Row],['#_students at TLS_CFS]]=0),"No","Yes")</f>
        <v>No</v>
      </c>
      <c r="EA395"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5"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5"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D395"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E395" s="923" t="str">
        <f>VLOOKUP(WWWW[[#This Row],[Site Name]],SiteDB6[[Site Name]:[CCCM Management]],6,FALSE)</f>
        <v>Yes</v>
      </c>
      <c r="EF395" s="923" t="str">
        <f>VLOOKUP(WWWW[[#This Row],[Site Name]],SiteDB6[[Site Name]:[CCCM Focal Agency]],7,FALSE)</f>
        <v>KMSS-BMO</v>
      </c>
      <c r="EG395" s="923" t="str">
        <f>VLOOKUP(WWWW[[#This Row],[Site Name]],SiteDB6[[Site Name]:[Location Type 1]],9,FALSE)</f>
        <v>Camp</v>
      </c>
      <c r="EH395" s="923" t="str">
        <f>VLOOKUP(WWWW[[#This Row],[Site Name]],SiteDB6[[Site Name]:[Type of Accommodation]],10,FALSE)</f>
        <v>Camp</v>
      </c>
      <c r="EI395" s="923" t="str">
        <f>VLOOKUP(WWWW[[#This Row],[Site Name]],SiteDB6[[Site Name]:[Ethnic or GCA/NGCA]],11,FALSE)</f>
        <v>NGCA</v>
      </c>
      <c r="EJ395" s="923">
        <f>VLOOKUP(WWWW[[#This Row],[Site Name]],SiteDB6[[Site Name]:[Lat]],12,FALSE)</f>
        <v>24.2744</v>
      </c>
      <c r="EK395" s="923">
        <f>VLOOKUP(WWWW[[#This Row],[Site Name]],SiteDB6[[Site Name]:[Long]],13,FALSE)</f>
        <v>97.752667000000002</v>
      </c>
      <c r="EL395" s="923" t="str">
        <f>VLOOKUP(WWWW[[#This Row],[Site Name]],SiteDB6[[Site Name]:[Pcode]],3,FALSE)</f>
        <v>MMR001CMP126</v>
      </c>
      <c r="EM395" s="928" t="str">
        <f t="shared" si="6"/>
        <v>Covered</v>
      </c>
      <c r="EN395" s="928"/>
      <c r="EO395" s="923">
        <f>VLOOKUP(WWWW[[#This Row],[Site Name]],SiteDB6[[Site Name]:[Pop
(Kachin/Shan-CCCM as of July 2021)]],16,FALSE)</f>
        <v>616</v>
      </c>
      <c r="EP395" s="923">
        <f>VLOOKUP(WWWW[[#This Row],[Site Name]],SiteDB6[[Site Name]:[Pop
(Kachin/Shan-CCCM as of July 2021)]],17,FALSE)</f>
        <v>3682</v>
      </c>
    </row>
    <row r="396" spans="1:146">
      <c r="A396" s="921" t="s">
        <v>2786</v>
      </c>
      <c r="B396" s="921" t="s">
        <v>192</v>
      </c>
      <c r="C396" s="921" t="s">
        <v>192</v>
      </c>
      <c r="D396" s="922" t="s">
        <v>2695</v>
      </c>
      <c r="E396" s="922" t="s">
        <v>37</v>
      </c>
      <c r="F396" s="922" t="s">
        <v>38</v>
      </c>
      <c r="G396" s="594" t="str">
        <f>VLOOKUP(WWWW[[#This Row],[Site Name]],SiteDB6[[Site Name]:[Location Type]],8,FALSE)</f>
        <v>Camp</v>
      </c>
      <c r="H396" s="753" t="s">
        <v>3048</v>
      </c>
      <c r="I396" s="924">
        <v>97</v>
      </c>
      <c r="J396" s="924">
        <v>544</v>
      </c>
      <c r="K396" s="925" t="s">
        <v>2689</v>
      </c>
      <c r="L396" s="926" t="s">
        <v>2696</v>
      </c>
      <c r="M396" s="924"/>
      <c r="N396" s="924"/>
      <c r="O396" s="924"/>
      <c r="P396" s="924"/>
      <c r="Q396" s="927"/>
      <c r="R396" s="924"/>
      <c r="S396" s="924"/>
      <c r="T396" s="449">
        <v>3</v>
      </c>
      <c r="U396" s="924"/>
      <c r="V396" s="924"/>
      <c r="W396" s="924"/>
      <c r="X396" s="924"/>
      <c r="Y396" s="924"/>
      <c r="Z396" s="924"/>
      <c r="AA396" s="924"/>
      <c r="AB396" s="924"/>
      <c r="AC396" s="924"/>
      <c r="AD396" s="924"/>
      <c r="AE396" s="924"/>
      <c r="AF396" s="924"/>
      <c r="AG396" s="924"/>
      <c r="AH396" s="924"/>
      <c r="AI396" s="924"/>
      <c r="AJ396" s="924"/>
      <c r="AK396" s="924"/>
      <c r="AL396" s="924"/>
      <c r="AM396" s="924"/>
      <c r="AN396" s="924"/>
      <c r="AO396" s="449"/>
      <c r="AP396" s="928"/>
      <c r="AQ396" s="924"/>
      <c r="AR396" s="924"/>
      <c r="AS396" s="929"/>
      <c r="AT396" s="924"/>
      <c r="AU396" s="924"/>
      <c r="AV396" s="924"/>
      <c r="AW396" s="924"/>
      <c r="AX396" s="924"/>
      <c r="AY396" s="923" t="s">
        <v>140</v>
      </c>
      <c r="AZ396" s="928" t="s">
        <v>140</v>
      </c>
      <c r="BA396" s="924"/>
      <c r="BB396" s="924"/>
      <c r="BC396" s="924"/>
      <c r="BD396" s="449"/>
      <c r="BE396" s="449"/>
      <c r="BF396" s="923"/>
      <c r="BG396" s="924">
        <v>7</v>
      </c>
      <c r="BH396" s="924"/>
      <c r="BI396" s="924"/>
      <c r="BJ396" s="924">
        <v>7</v>
      </c>
      <c r="BK396" s="924"/>
      <c r="BL396" s="924"/>
      <c r="BM396" s="924"/>
      <c r="BN396" s="924"/>
      <c r="BO396" s="924"/>
      <c r="BP396" s="923"/>
      <c r="BQ396" s="930"/>
      <c r="BR396" s="929"/>
      <c r="BS396" s="923"/>
      <c r="BT396" s="424"/>
      <c r="BU396" s="424"/>
      <c r="BV396" s="426"/>
      <c r="BW396" s="424"/>
      <c r="BX396" s="449"/>
      <c r="BY396" s="449"/>
      <c r="BZ396" s="449"/>
      <c r="CA396" s="449"/>
      <c r="CB396" s="449"/>
      <c r="CC396" s="807"/>
      <c r="CD396" s="449"/>
      <c r="CE396" s="931" t="str">
        <f>IFERROR(WWWW[[#This Row],['#_Water sources passed]]/WWWW[[#This Row],['#_Water sources tested for fecal coliform ]],"no test")</f>
        <v>no test</v>
      </c>
      <c r="CF396" s="929" t="str">
        <f>IFERROR(WWWW[[#This Row],['#_Household passed]]/WWWW[[#This Row],['#_Household water samples tested for fecal coliform]],"no test")</f>
        <v>no test</v>
      </c>
      <c r="CG396" s="930" t="str">
        <f>IF(AND(WWWW[[#This Row],[% of water sources passed]]="no test",WWWW[[#This Row],[% Household passed]]="no test"),"No Test","Tested")</f>
        <v>No Test</v>
      </c>
      <c r="CH396" s="930">
        <f>WWWW[[#This Row],['#_Constructed/existing protected hand dug well]]-WWWW[[#This Row],['#_Non-functional protected hand dug well]]</f>
        <v>3</v>
      </c>
      <c r="CI396" s="930">
        <f>(WWWW[[#This Row],['#_Constructed/Existing tube wells/boreholes/handpumps_WASH_agency]]+WWWW[[#This Row],['#_Non-Cluster partner water tube-wells/boreholes/handpumps]])-WWWW[[#This Row],['#_Non-functional tube wells/boreholes/handpumps]]</f>
        <v>0</v>
      </c>
      <c r="CJ396" s="930">
        <f>WWWW[[#This Row],['#_Constructed/Existingwater storage tank with gravity fed reticulation system]]-WWWW[[#This Row],['#_Non-functional storage tank gravity fed reticulation system]]</f>
        <v>0</v>
      </c>
      <c r="CK396" s="930">
        <f>(WWWW[[#This Row],['#_Water_Liters_supplied_by_Water boating or water trucking]]/90)/15</f>
        <v>0</v>
      </c>
      <c r="CL396" s="930">
        <f>WWWW[[#This Row],['#_Water_Liters_from_Constructed/Existing water distribution system from river or natural spring]]/90/15</f>
        <v>0</v>
      </c>
      <c r="CM396" s="425">
        <f>IF(WWWW[[#This Row],['#_of water points in TLS/CFS]]*500&gt;WWWW[[#This Row],[Total PoP ]],WWWW[[#This Row],[Total PoP ]],WWWW[[#This Row],['#_of water points in TLS/CFS]]*500)</f>
        <v>0</v>
      </c>
      <c r="CN396" s="425">
        <f>IF(WWWW[[#This Row],['#_of water points in THF]]*500&gt;WWWW[[#This Row],[Total PoP ]],WWWW[[#This Row],[Total PoP ]],WWWW[[#This Row],['#_of water points in THF]]*500)</f>
        <v>0</v>
      </c>
      <c r="CO396" s="93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P396" s="93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Q396" s="929">
        <f>IF(WWWW[[#This Row],[Location Type 1]]="Village",WWWW[[#This Row],[Access to safe drinking water for Village]],WWWW[[#This Row],[Access to safe drinking water for Camp]])</f>
        <v>1</v>
      </c>
      <c r="CR396" s="927">
        <f>WWWW[[#This Row],[%Equitable and continuous access to sufficient quantity of safe drinking water]]*WWWW[[#This Row],[Total PoP ]]</f>
        <v>544</v>
      </c>
      <c r="CS396" s="929">
        <f>IF((WWWW[[#This Row],['#_Constructed/Existing protected/fenced ponds]]*250)/WWWW[[#This Row],[Total PoP ]]&gt;1,1,(WWWW[[#This Row],['#_Constructed/Existing protected/fenced ponds]]*250)/WWWW[[#This Row],[Total PoP ]])</f>
        <v>0</v>
      </c>
      <c r="CT396" s="927">
        <f>WWWW[[#This Row],[% Access to unimproved water points]]*WWWW[[#This Row],[Total PoP ]]</f>
        <v>0</v>
      </c>
      <c r="CU396" s="92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V396" s="92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W396" s="927">
        <f>WWWW[[#This Row],[HRP1]]/500</f>
        <v>1.0880000000000001</v>
      </c>
      <c r="CX396" s="932">
        <f>1-WWWW[[#This Row],[% Equitable and continuous access to sufficient quantity of domestic water]]</f>
        <v>0</v>
      </c>
      <c r="CY396" s="927">
        <f>WWWW[[#This Row],[%equitable and continuous access to sufficient quantity of safe drinking and domestic water''s GAP]]*WWWW[[#This Row],[Total PoP ]]</f>
        <v>0</v>
      </c>
      <c r="CZ396" s="930">
        <f>IF(WWWW[[#This Row],[Total required water points]]-WWWW[[#This Row],['#Water points coverage]]&lt;0,0,WWWW[[#This Row],[Total required water points]]-WWWW[[#This Row],['#Water points coverage]])</f>
        <v>0</v>
      </c>
      <c r="DA396" s="930">
        <f>ROUND(IF(WWWW[[#This Row],[Total PoP ]]&lt;500,1,WWWW[[#This Row],[Total PoP ]]/500),0)</f>
        <v>1</v>
      </c>
      <c r="DB396" s="930">
        <f>(WWWW[[#This Row],['#_Constructed latrines_by_WASHAgencies]]+WWWW[[#This Row],['#_Non Cluster partner latrines]])-WWWW[[#This Row],['#_Non-functional latrines]]</f>
        <v>0</v>
      </c>
      <c r="DC396" s="634">
        <f>WWWW[[#This Row],[HRP2]]/WWWW[[#This Row],[Total PoP ]]</f>
        <v>0</v>
      </c>
      <c r="DD396" s="92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latrine]]*5&gt;WWWW[[#This Row],[Total PoP ]],WWWW[[#This Row],[Total PoP ]],WWWW[[#This Row],['# of Functioning latrine]]*5))))</f>
        <v>0</v>
      </c>
      <c r="DE396" s="93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F396" s="93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G396" s="425">
        <f>IF(WWWW[[#This Row],['# of functional latrines in THF supported by WASH partners during the reporting period2]]="",0,WWWW[[#This Row],['# of functional latrines in THF supported by WASH partners during the reporting period2]]*50)</f>
        <v>0</v>
      </c>
      <c r="DH396" s="930">
        <f>ROUND(IF(WWWW[[#This Row],[Location Type 1]]="camp",WWWW[[#This Row],[Total PoP ]]/20,IF(WWWW[[#This Row],[Location Type 1]]="Temporary Location",WWWW[[#This Row],[Total PoP ]]/50,(WWWW[[#This Row],[Total PoP ]]/6))),0)</f>
        <v>27</v>
      </c>
      <c r="DI396" s="930">
        <f>IF(WWWW[[#This Row],[Total required Latrines]]-(WWWW[[#This Row],['#_Constructed latrines_by_WASHAgencies]]+WWWW[[#This Row],['#_Non Cluster partner latrines]])&lt;0,0,WWWW[[#This Row],[Total required Latrines]]-(WWWW[[#This Row],['#_Constructed latrines_by_WASHAgencies]]+WWWW[[#This Row],['#_Non Cluster partner latrines]]))</f>
        <v>27</v>
      </c>
      <c r="DJ396" s="932">
        <f>1-WWWW[[#This Row],[% people access to functioning Latrine]]</f>
        <v>1</v>
      </c>
      <c r="DK396" s="931">
        <f>IF(OR(WWWW[[#This Row],['#_Non-functional latrines]]="",WWWW[[#This Row],['#_Non-functional latrines]]=0),0,WWWW[[#This Row],['#_Non-functional latrines]]/(WWWW[[#This Row],['#_Constructed latrines_by_WASHAgencies]]+WWWW[[#This Row],['#_Non Cluster partner latrines]]))</f>
        <v>0</v>
      </c>
      <c r="DL396" s="927">
        <f>IF(500*(WWWW[[#This Row],['#_male hygiene promoters]]+WWWW[[#This Row],['#_female hygiene promoters]])&gt;WWWW[[#This Row],[Total PoP ]],WWWW[[#This Row],[Total PoP ]],500*(WWWW[[#This Row],['#_male hygiene promoters]]+WWWW[[#This Row],['#_female hygiene promoters]]))</f>
        <v>0</v>
      </c>
      <c r="DM396" s="93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N396" s="93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O396" s="930">
        <f>IF(WWWW[[#This Row],['# People with access to soap]]&gt;WWWW[[#This Row],['# People with access to Sanity Pads]],WWWW[[#This Row],['# People with access to soap]],WWWW[[#This Row],['# People with access to Sanity Pads]])</f>
        <v>0</v>
      </c>
      <c r="DP396" s="930">
        <f>IF(WWWW[[#This Row],['# people reached by regular dedicated hygiene promotion_5]]&gt;WWWW[[#This Row],['# People received regular supply of hygiene items_6]],WWWW[[#This Row],['# people reached by regular dedicated hygiene promotion_5]],WWWW[[#This Row],['# People received regular supply of hygiene items_6]])</f>
        <v>0</v>
      </c>
      <c r="DQ396" s="932">
        <f>IF(WWWW[[#This Row],[HRP3]]/WWWW[[#This Row],[Total PoP ]]&gt;1,1,WWWW[[#This Row],[HRP3]]/WWWW[[#This Row],[Total PoP ]])</f>
        <v>0</v>
      </c>
      <c r="DR396" s="931">
        <f>1-WWWW[[#This Row],[Hygiene Coverage%]]</f>
        <v>1</v>
      </c>
      <c r="DS396" s="929">
        <f>WWWW[[#This Row],['# people reached by regular dedicated hygiene promotion_5]]/WWWW[[#This Row],[Total PoP ]]</f>
        <v>0</v>
      </c>
      <c r="DT396" s="93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U396" s="92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V396" s="930">
        <f>WWWW[[#This Row],['#_Constructed/Existing hand washing stations]]-WWWW[[#This Row],['#_Non-Functional_hand_washing_stations]]</f>
        <v>7</v>
      </c>
      <c r="DW396" s="927">
        <f>IF(WWWW[[#This Row],['# Functional hand washing stations during reporting period]]*20&gt;WWWW[[#This Row],[Total HH]],WWWW[[#This Row],[Total HH]],WWWW[[#This Row],['# Functional hand washing stations during reporting period]]*20)</f>
        <v>97</v>
      </c>
      <c r="DX396" s="927">
        <f>IF(WWWW[[#This Row],[Is sufficient soap available for TLS? (Yes/No)]]="yes",WWWW[[#This Row],['#_Constructed/Existing hand washing stations at TLS/CFS/THF]],0)</f>
        <v>0</v>
      </c>
      <c r="DY396" s="429">
        <f>IF(WWWW[[#This Row],['# Functional hand washing stations during reporting period]]*100&gt;WWWW[[#This Row],[Total PoP ]],WWWW[[#This Row],[Total PoP ]],WWWW[[#This Row],['# Functional hand washing stations during reporting period]]*100)</f>
        <v>544</v>
      </c>
      <c r="DZ396" s="429" t="str">
        <f>IF(OR(WWWW[[#This Row],['#_students at TLS_CFS]]="",WWWW[[#This Row],['#_students at TLS_CFS]]=0),"No","Yes")</f>
        <v>No</v>
      </c>
      <c r="EA396" s="63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B396" s="576">
        <f>WWWW[[#This Row],['# of sanitation facilities (latrines) built/repaired/rehabilitated following risk-sensitive programming and consultation with communities and/or GBV risk-sensitive programming]]+WWWW[[#This Row],['# of sanitation facilities (HH sanitation devices) distributed following risk-sensitive programming and consultation with communities and/or GBV risk-sensitive programming]]+WWWW[[#This Row],['# of sanitation facilities (bathing spaces) built following risk-sensitive programming and consultation with communities]]</f>
        <v>0</v>
      </c>
      <c r="EC396" s="449">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D396" s="449">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E396" s="923">
        <f>VLOOKUP(WWWW[[#This Row],[Site Name]],SiteDB6[[Site Name]:[CCCM Management]],6,FALSE)</f>
        <v>0</v>
      </c>
      <c r="EF396" s="923" t="str">
        <f>VLOOKUP(WWWW[[#This Row],[Site Name]],SiteDB6[[Site Name]:[CCCM Focal Agency]],7,FALSE)</f>
        <v>uncovered</v>
      </c>
      <c r="EG396" s="923" t="str">
        <f>VLOOKUP(WWWW[[#This Row],[Site Name]],SiteDB6[[Site Name]:[Location Type 1]],9,FALSE)</f>
        <v>Camp</v>
      </c>
      <c r="EH396" s="923" t="str">
        <f>VLOOKUP(WWWW[[#This Row],[Site Name]],SiteDB6[[Site Name]:[Type of Accommodation]],10,FALSE)</f>
        <v>IDPs in host</v>
      </c>
      <c r="EI396" s="923" t="str">
        <f>VLOOKUP(WWWW[[#This Row],[Site Name]],SiteDB6[[Site Name]:[Ethnic or GCA/NGCA]],11,FALSE)</f>
        <v>GCA</v>
      </c>
      <c r="EJ396" s="923">
        <f>VLOOKUP(WWWW[[#This Row],[Site Name]],SiteDB6[[Site Name]:[Lat]],12,FALSE)</f>
        <v>23.827870999999998</v>
      </c>
      <c r="EK396" s="923">
        <f>VLOOKUP(WWWW[[#This Row],[Site Name]],SiteDB6[[Site Name]:[Long]],13,FALSE)</f>
        <v>97.588291999999996</v>
      </c>
      <c r="EL396" s="923" t="str">
        <f>VLOOKUP(WWWW[[#This Row],[Site Name]],SiteDB6[[Site Name]:[Pcode]],3,FALSE)</f>
        <v>MMR001CMP134</v>
      </c>
      <c r="EM396" s="928" t="str">
        <f t="shared" si="6"/>
        <v>Covered</v>
      </c>
      <c r="EN396" s="928"/>
      <c r="EO396" s="923">
        <f>VLOOKUP(WWWW[[#This Row],[Site Name]],SiteDB6[[Site Name]:[Pop
(Kachin/Shan-CCCM as of July 2021)]],16,FALSE)</f>
        <v>120</v>
      </c>
      <c r="EP396" s="923">
        <f>VLOOKUP(WWWW[[#This Row],[Site Name]],SiteDB6[[Site Name]:[Pop
(Kachin/Shan-CCCM as of July 2021)]],17,FALSE)</f>
        <v>664</v>
      </c>
    </row>
  </sheetData>
  <mergeCells count="22">
    <mergeCell ref="K1:L1"/>
    <mergeCell ref="CE2:CG3"/>
    <mergeCell ref="CH2:CQ3"/>
    <mergeCell ref="CR2:CR3"/>
    <mergeCell ref="CS2:CT3"/>
    <mergeCell ref="BT1:BW1"/>
    <mergeCell ref="BX1:BZ1"/>
    <mergeCell ref="EO5:EP5"/>
    <mergeCell ref="CU2:CU3"/>
    <mergeCell ref="CV2:CV3"/>
    <mergeCell ref="CE5:CG5"/>
    <mergeCell ref="CX5:CY5"/>
    <mergeCell ref="DK2:DK3"/>
    <mergeCell ref="DH2:DH3"/>
    <mergeCell ref="DI2:DJ3"/>
    <mergeCell ref="CZ2:DA3"/>
    <mergeCell ref="CW2:CW3"/>
    <mergeCell ref="DB2:DB3"/>
    <mergeCell ref="DF2:DF3"/>
    <mergeCell ref="DE2:DE3"/>
    <mergeCell ref="DD2:DD3"/>
    <mergeCell ref="CX2:CY3"/>
  </mergeCells>
  <phoneticPr fontId="148" type="noConversion"/>
  <conditionalFormatting sqref="DL5">
    <cfRule type="iconSet" priority="46">
      <iconSet reverse="1">
        <cfvo type="percent" val="0"/>
        <cfvo type="percent" val="0" gte="0"/>
        <cfvo type="percent" val="30"/>
      </iconSet>
    </cfRule>
  </conditionalFormatting>
  <conditionalFormatting sqref="DR4">
    <cfRule type="iconSet" priority="43">
      <iconSet reverse="1">
        <cfvo type="percent" val="0"/>
        <cfvo type="percent" val="0" gte="0"/>
        <cfvo type="percent" val="30"/>
      </iconSet>
    </cfRule>
  </conditionalFormatting>
  <conditionalFormatting sqref="CX4">
    <cfRule type="iconSet" priority="45">
      <iconSet reverse="1">
        <cfvo type="percent" val="0"/>
        <cfvo type="percent" val="0" gte="0"/>
        <cfvo type="percent" val="30"/>
      </iconSet>
    </cfRule>
  </conditionalFormatting>
  <conditionalFormatting sqref="DJ4">
    <cfRule type="iconSet" priority="11734">
      <iconSet reverse="1">
        <cfvo type="percent" val="0"/>
        <cfvo type="percent" val="0" gte="0"/>
        <cfvo type="percent" val="30"/>
      </iconSet>
    </cfRule>
  </conditionalFormatting>
  <conditionalFormatting sqref="DK5 DE5:DG5">
    <cfRule type="iconSet" priority="11754">
      <iconSet reverse="1">
        <cfvo type="percent" val="0"/>
        <cfvo type="percent" val="0" gte="0"/>
        <cfvo type="percent" val="10"/>
      </iconSet>
    </cfRule>
  </conditionalFormatting>
  <conditionalFormatting sqref="CY4">
    <cfRule type="iconSet" priority="36">
      <iconSet reverse="1">
        <cfvo type="percent" val="0"/>
        <cfvo type="percent" val="0" gte="0"/>
        <cfvo type="percent" val="30"/>
      </iconSet>
    </cfRule>
  </conditionalFormatting>
  <conditionalFormatting sqref="DR2 DL2">
    <cfRule type="iconSet" priority="12246">
      <iconSet reverse="1">
        <cfvo type="percent" val="0"/>
        <cfvo type="percent" val="0" gte="0"/>
        <cfvo type="percent" val="30"/>
      </iconSet>
    </cfRule>
  </conditionalFormatting>
  <conditionalFormatting sqref="DR3">
    <cfRule type="iconSet" priority="12249">
      <iconSet reverse="1">
        <cfvo type="percent" val="0"/>
        <cfvo type="percent" val="0" gte="0"/>
        <cfvo type="percent" val="30"/>
      </iconSet>
    </cfRule>
  </conditionalFormatting>
  <conditionalFormatting sqref="H193">
    <cfRule type="duplicateValues" dxfId="1188" priority="16"/>
  </conditionalFormatting>
  <conditionalFormatting sqref="H194:H200 H7:H58 H60:H124 H126:H136 H138:H184 H186:H192">
    <cfRule type="duplicateValues" dxfId="1187" priority="12570"/>
  </conditionalFormatting>
  <conditionalFormatting sqref="H307">
    <cfRule type="duplicateValues" dxfId="1186" priority="15"/>
  </conditionalFormatting>
  <conditionalFormatting sqref="H280">
    <cfRule type="duplicateValues" dxfId="1185" priority="14"/>
  </conditionalFormatting>
  <conditionalFormatting sqref="H206">
    <cfRule type="duplicateValues" dxfId="1184" priority="13"/>
  </conditionalFormatting>
  <conditionalFormatting sqref="H218">
    <cfRule type="duplicateValues" dxfId="1183" priority="12"/>
  </conditionalFormatting>
  <conditionalFormatting sqref="H279">
    <cfRule type="duplicateValues" dxfId="1182" priority="11"/>
  </conditionalFormatting>
  <conditionalFormatting sqref="H217">
    <cfRule type="duplicateValues" dxfId="1181" priority="10"/>
  </conditionalFormatting>
  <conditionalFormatting sqref="H247">
    <cfRule type="duplicateValues" dxfId="1180" priority="9"/>
  </conditionalFormatting>
  <conditionalFormatting sqref="H249">
    <cfRule type="duplicateValues" dxfId="1179" priority="8"/>
  </conditionalFormatting>
  <conditionalFormatting sqref="H259">
    <cfRule type="duplicateValues" dxfId="1178" priority="7"/>
  </conditionalFormatting>
  <conditionalFormatting sqref="H260">
    <cfRule type="duplicateValues" dxfId="1177" priority="6"/>
  </conditionalFormatting>
  <conditionalFormatting sqref="H254">
    <cfRule type="duplicateValues" dxfId="1176" priority="5"/>
  </conditionalFormatting>
  <conditionalFormatting sqref="H252">
    <cfRule type="duplicateValues" dxfId="1175" priority="4"/>
  </conditionalFormatting>
  <conditionalFormatting sqref="H202">
    <cfRule type="duplicateValues" dxfId="1174" priority="3"/>
  </conditionalFormatting>
  <conditionalFormatting sqref="H355">
    <cfRule type="duplicateValues" dxfId="1173" priority="2"/>
  </conditionalFormatting>
  <conditionalFormatting sqref="H360">
    <cfRule type="duplicateValues" dxfId="1172" priority="1"/>
  </conditionalFormatting>
  <conditionalFormatting sqref="CX7:CX396">
    <cfRule type="iconSet" priority="12660">
      <iconSet reverse="1">
        <cfvo type="percent" val="0"/>
        <cfvo type="percent" val="0" gte="0"/>
        <cfvo type="percent" val="30"/>
      </iconSet>
    </cfRule>
  </conditionalFormatting>
  <conditionalFormatting sqref="DR7:DR396">
    <cfRule type="iconSet" priority="12662">
      <iconSet reverse="1">
        <cfvo type="percent" val="0"/>
        <cfvo type="percent" val="0" gte="0"/>
        <cfvo type="percent" val="30"/>
      </iconSet>
    </cfRule>
  </conditionalFormatting>
  <conditionalFormatting sqref="DJ7:DJ396">
    <cfRule type="iconSet" priority="12664">
      <iconSet reverse="1">
        <cfvo type="percent" val="0"/>
        <cfvo type="percent" val="0" gte="0"/>
        <cfvo type="percent" val="30"/>
      </iconSet>
    </cfRule>
  </conditionalFormatting>
  <dataValidations count="10">
    <dataValidation operator="lessThanOrEqual" allowBlank="1" showInputMessage="1" showErrorMessage="1" sqref="AS314:AS396 AS7:AS312" xr:uid="{00000000-0002-0000-0200-000007000000}"/>
    <dataValidation type="whole" operator="lessThanOrEqual" allowBlank="1" showInputMessage="1" showErrorMessage="1" sqref="AQ298:AR396 AR243:AR296 AQ242:AQ297 AQ7:AR241" xr:uid="{00000000-0002-0000-0200-000006000000}">
      <formula1>9999999</formula1>
    </dataValidation>
    <dataValidation type="whole" operator="lessThan" allowBlank="1" showInputMessage="1" showErrorMessage="1" sqref="M7:P396" xr:uid="{00000000-0002-0000-0200-000005000000}">
      <formula1>999999</formula1>
    </dataValidation>
    <dataValidation type="list" allowBlank="1" showInputMessage="1" showErrorMessage="1" sqref="BP7:BP396" xr:uid="{00000000-0002-0000-0200-00000A000000}">
      <formula1>"Yes, No"</formula1>
    </dataValidation>
    <dataValidation type="list" allowBlank="1" showInputMessage="1" showErrorMessage="1" sqref="Q7:Q396" xr:uid="{00000000-0002-0000-0200-000003000000}">
      <formula1>"Yes,No"</formula1>
    </dataValidation>
    <dataValidation type="list" allowBlank="1" showInputMessage="1" showErrorMessage="1" sqref="E7:E396" xr:uid="{00000000-0002-0000-0200-000001000000}">
      <formula1>"Kachin, Central Rakhine, Northern Rakhine, Shan (North)"</formula1>
    </dataValidation>
    <dataValidation type="list" allowBlank="1" showInputMessage="1" showErrorMessage="1" sqref="F7:F396" xr:uid="{00000000-0002-0000-0200-00000B000000}">
      <formula1>OFFSET(Statestart_1,MATCH(E7, State_list, 0), 1,COUNTIF(State_list,E7),1)</formula1>
    </dataValidation>
    <dataValidation type="list" allowBlank="1" showInputMessage="1" showErrorMessage="1" sqref="H7:H396" xr:uid="{00000000-0002-0000-0200-000004000000}">
      <formula1>OFFSET(Township_start,MATCH(F7,Township_list, 0),1, COUNTIF(Township_list,F7),1)</formula1>
    </dataValidation>
    <dataValidation type="list" allowBlank="1" showInputMessage="1" showErrorMessage="1" sqref="AY7:AY396" xr:uid="{D0016B6D-1FEB-4632-97EA-443A5F593847}">
      <formula1>"Yes, No, NA"</formula1>
    </dataValidation>
    <dataValidation type="list" allowBlank="1" showInputMessage="1" showErrorMessage="1" sqref="AZ7:AZ396" xr:uid="{1D0713F1-C99E-42E7-AD96-8BB60B932351}">
      <formula1>"Functional,Not_Functional,No,NA"</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20E94CA-F408-4D77-A0AE-5A2D1CB7AB24}">
          <x14:formula1>
            <xm:f>Lookup!$B$4:$B$62</xm:f>
          </x14:formula1>
          <xm:sqref>B268:C396 B7:C266</xm:sqref>
        </x14:dataValidation>
        <x14:dataValidation type="list" allowBlank="1" showInputMessage="1" showErrorMessage="1" xr:uid="{00000000-0002-0000-0200-00000E000000}">
          <x14:formula1>
            <xm:f>Lookup!$A$4:$A$7</xm:f>
          </x14:formula1>
          <xm:sqref>A7:A396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412"/>
  <sheetViews>
    <sheetView zoomScale="110" zoomScaleNormal="110" workbookViewId="0">
      <pane xSplit="1" ySplit="2" topLeftCell="B3" activePane="bottomRight" state="frozen"/>
      <selection activeCell="E391" sqref="E391"/>
      <selection pane="topRight" activeCell="E391" sqref="E391"/>
      <selection pane="bottomLeft" activeCell="E391" sqref="E391"/>
      <selection pane="bottomRight" activeCell="B3" sqref="A3:X409"/>
    </sheetView>
  </sheetViews>
  <sheetFormatPr defaultColWidth="9" defaultRowHeight="14.25" customHeight="1"/>
  <cols>
    <col min="1" max="1" width="9.69921875" bestFit="1" customWidth="1"/>
    <col min="2" max="2" width="17" style="17" customWidth="1"/>
    <col min="3" max="3" width="29.19921875" customWidth="1"/>
    <col min="4" max="4" width="16.69921875" style="89" customWidth="1"/>
    <col min="5" max="5" width="13.59765625" style="44" customWidth="1"/>
    <col min="6" max="6" width="15.796875" customWidth="1"/>
    <col min="7" max="9" width="19.5" style="17" customWidth="1"/>
    <col min="10" max="10" width="13.19921875" style="17" customWidth="1"/>
    <col min="11" max="11" width="16.19921875" style="17" customWidth="1"/>
    <col min="12" max="12" width="14.796875" style="17" customWidth="1"/>
    <col min="13" max="13" width="11.796875" style="17" customWidth="1"/>
    <col min="14" max="15" width="12.69921875" style="17" customWidth="1"/>
    <col min="16" max="16" width="17.19921875" style="17" customWidth="1"/>
    <col min="17" max="18" width="9.8984375" style="17" customWidth="1"/>
    <col min="19" max="19" width="8.5" style="17" customWidth="1"/>
    <col min="20" max="20" width="7.69921875" style="17" customWidth="1"/>
    <col min="21" max="21" width="11.19921875" style="17" customWidth="1"/>
    <col min="22" max="22" width="15.69921875" style="17" customWidth="1"/>
    <col min="23" max="24" width="10.5" style="17" customWidth="1"/>
    <col min="25" max="25" width="16.5" style="44" customWidth="1"/>
    <col min="26" max="26" width="10.09765625" style="43" customWidth="1"/>
    <col min="27" max="27" width="8.59765625"/>
    <col min="28" max="28" width="12.09765625" style="91" customWidth="1"/>
    <col min="29" max="29" width="55" style="45" customWidth="1"/>
    <col min="30" max="30" width="16.59765625" style="17" customWidth="1"/>
    <col min="31" max="31" width="9" style="90"/>
    <col min="32" max="16384" width="9" style="17"/>
  </cols>
  <sheetData>
    <row r="1" spans="1:31" ht="14.25" customHeight="1">
      <c r="A1" s="17"/>
      <c r="C1" s="428"/>
      <c r="D1" s="17"/>
      <c r="E1" s="17"/>
      <c r="F1" s="17"/>
      <c r="T1" s="68"/>
      <c r="U1" s="68"/>
      <c r="V1" s="91"/>
      <c r="W1" s="45"/>
      <c r="Y1" s="17"/>
      <c r="Z1" s="17"/>
      <c r="AA1" s="17"/>
      <c r="AB1" s="17"/>
      <c r="AC1" s="17"/>
      <c r="AE1" s="17"/>
    </row>
    <row r="2" spans="1:31" ht="24" customHeight="1">
      <c r="A2" s="17" t="s">
        <v>21</v>
      </c>
      <c r="B2" s="17" t="s">
        <v>22</v>
      </c>
      <c r="C2" s="69" t="s">
        <v>23</v>
      </c>
      <c r="D2" s="17" t="s">
        <v>1296</v>
      </c>
      <c r="E2" s="17" t="s">
        <v>33</v>
      </c>
      <c r="F2" s="17" t="s">
        <v>1297</v>
      </c>
      <c r="G2" s="17" t="s">
        <v>1298</v>
      </c>
      <c r="H2" s="17" t="s">
        <v>27</v>
      </c>
      <c r="I2" s="17" t="s">
        <v>28</v>
      </c>
      <c r="J2" s="17" t="s">
        <v>134</v>
      </c>
      <c r="K2" s="17" t="s">
        <v>135</v>
      </c>
      <c r="L2" s="17" t="s">
        <v>566</v>
      </c>
      <c r="M2" s="17" t="s">
        <v>30</v>
      </c>
      <c r="N2" s="17" t="s">
        <v>31</v>
      </c>
      <c r="O2" s="17" t="s">
        <v>32</v>
      </c>
      <c r="P2" s="17" t="s">
        <v>567</v>
      </c>
      <c r="Q2" s="17" t="s">
        <v>568</v>
      </c>
      <c r="R2" s="68" t="s">
        <v>2699</v>
      </c>
      <c r="S2" s="68" t="s">
        <v>2700</v>
      </c>
      <c r="T2" s="91" t="s">
        <v>569</v>
      </c>
      <c r="U2" s="45" t="s">
        <v>35</v>
      </c>
      <c r="V2" s="17" t="s">
        <v>570</v>
      </c>
      <c r="W2" s="17" t="s">
        <v>1712</v>
      </c>
      <c r="X2" s="17" t="s">
        <v>2996</v>
      </c>
      <c r="Y2" s="17"/>
      <c r="Z2" s="17"/>
      <c r="AA2" s="17"/>
      <c r="AB2" s="17"/>
      <c r="AC2" s="17"/>
      <c r="AE2" s="17"/>
    </row>
    <row r="3" spans="1:31" s="69" customFormat="1" ht="14.25" customHeight="1">
      <c r="A3" s="437" t="s">
        <v>37</v>
      </c>
      <c r="B3" s="436" t="s">
        <v>195</v>
      </c>
      <c r="C3" s="442" t="s">
        <v>3054</v>
      </c>
      <c r="D3" s="431" t="s">
        <v>3023</v>
      </c>
      <c r="E3" s="430" t="s">
        <v>2719</v>
      </c>
      <c r="F3" s="430" t="s">
        <v>2720</v>
      </c>
      <c r="G3" s="430" t="s">
        <v>2721</v>
      </c>
      <c r="H3" s="430" t="s">
        <v>41</v>
      </c>
      <c r="I3" s="430" t="s">
        <v>242</v>
      </c>
      <c r="J3" s="430" t="s">
        <v>43</v>
      </c>
      <c r="K3" s="428" t="s">
        <v>43</v>
      </c>
      <c r="L3" s="428" t="s">
        <v>43</v>
      </c>
      <c r="M3" s="428" t="s">
        <v>44</v>
      </c>
      <c r="N3" s="430">
        <v>24.154199999999999</v>
      </c>
      <c r="O3" s="430">
        <v>97.160600000000002</v>
      </c>
      <c r="P3" s="428" t="s">
        <v>573</v>
      </c>
      <c r="Q3" s="430" t="s">
        <v>2722</v>
      </c>
      <c r="R3" s="440">
        <v>97</v>
      </c>
      <c r="S3" s="433">
        <v>480</v>
      </c>
      <c r="T3" s="446">
        <v>44544</v>
      </c>
      <c r="U3" s="438"/>
      <c r="V3" s="442" t="s">
        <v>2714</v>
      </c>
      <c r="W3" s="428" t="s">
        <v>2723</v>
      </c>
      <c r="X3" s="431"/>
    </row>
    <row r="4" spans="1:31" s="69" customFormat="1" ht="14.25" customHeight="1">
      <c r="A4" s="428" t="s">
        <v>37</v>
      </c>
      <c r="B4" s="428" t="s">
        <v>195</v>
      </c>
      <c r="C4" s="428" t="s">
        <v>2205</v>
      </c>
      <c r="D4" s="391"/>
      <c r="E4" s="428"/>
      <c r="F4" s="428"/>
      <c r="G4" s="428"/>
      <c r="H4" s="428"/>
      <c r="I4" s="428"/>
      <c r="J4" s="428" t="s">
        <v>1099</v>
      </c>
      <c r="K4" s="428" t="s">
        <v>43</v>
      </c>
      <c r="L4" s="428" t="s">
        <v>826</v>
      </c>
      <c r="M4" s="428" t="s">
        <v>44</v>
      </c>
      <c r="N4" s="428"/>
      <c r="O4" s="428"/>
      <c r="P4" s="428" t="s">
        <v>573</v>
      </c>
      <c r="Q4" s="428" t="s">
        <v>2177</v>
      </c>
      <c r="R4" s="432"/>
      <c r="S4" s="433"/>
      <c r="T4" s="445">
        <v>43749</v>
      </c>
      <c r="U4" s="434"/>
      <c r="V4" s="428"/>
      <c r="W4" s="428"/>
      <c r="X4" s="391"/>
    </row>
    <row r="5" spans="1:31" s="69" customFormat="1" ht="14.25" customHeight="1">
      <c r="A5" s="428" t="s">
        <v>37</v>
      </c>
      <c r="B5" s="428" t="s">
        <v>195</v>
      </c>
      <c r="C5" s="428" t="s">
        <v>814</v>
      </c>
      <c r="D5" s="391"/>
      <c r="E5" s="428"/>
      <c r="F5" s="428"/>
      <c r="G5" s="428"/>
      <c r="H5" s="428"/>
      <c r="I5" s="428"/>
      <c r="J5" s="428" t="s">
        <v>1099</v>
      </c>
      <c r="K5" s="428" t="s">
        <v>43</v>
      </c>
      <c r="L5" s="428" t="s">
        <v>815</v>
      </c>
      <c r="M5" s="428" t="s">
        <v>44</v>
      </c>
      <c r="N5" s="663"/>
      <c r="O5" s="663"/>
      <c r="P5" s="428" t="s">
        <v>573</v>
      </c>
      <c r="Q5" s="428"/>
      <c r="R5" s="432"/>
      <c r="S5" s="432"/>
      <c r="T5" s="445"/>
      <c r="U5" s="434"/>
      <c r="V5" s="428" t="s">
        <v>814</v>
      </c>
      <c r="W5" s="428"/>
      <c r="X5" s="391"/>
    </row>
    <row r="6" spans="1:31" s="69" customFormat="1" ht="14.25" customHeight="1">
      <c r="A6" s="428" t="s">
        <v>37</v>
      </c>
      <c r="B6" s="428" t="s">
        <v>195</v>
      </c>
      <c r="C6" s="428" t="s">
        <v>277</v>
      </c>
      <c r="D6" s="431" t="s">
        <v>3023</v>
      </c>
      <c r="E6" s="428" t="s">
        <v>1132</v>
      </c>
      <c r="F6" s="428" t="s">
        <v>1395</v>
      </c>
      <c r="G6" s="428" t="s">
        <v>1395</v>
      </c>
      <c r="H6" s="428" t="s">
        <v>41</v>
      </c>
      <c r="I6" s="428" t="s">
        <v>42</v>
      </c>
      <c r="J6" s="428" t="s">
        <v>43</v>
      </c>
      <c r="K6" s="428" t="s">
        <v>43</v>
      </c>
      <c r="L6" s="428" t="s">
        <v>43</v>
      </c>
      <c r="M6" s="428" t="s">
        <v>44</v>
      </c>
      <c r="N6" s="428">
        <v>24.260719999999999</v>
      </c>
      <c r="O6" s="428">
        <v>97.238829999999993</v>
      </c>
      <c r="P6" s="428" t="s">
        <v>573</v>
      </c>
      <c r="Q6" s="428" t="s">
        <v>592</v>
      </c>
      <c r="R6" s="440">
        <v>222</v>
      </c>
      <c r="S6" s="433">
        <v>1055</v>
      </c>
      <c r="T6" s="445"/>
      <c r="U6" s="434"/>
      <c r="V6" s="428" t="s">
        <v>277</v>
      </c>
      <c r="W6" s="428"/>
      <c r="X6" s="431"/>
    </row>
    <row r="7" spans="1:31" s="69" customFormat="1" ht="14.25" customHeight="1">
      <c r="A7" s="428" t="s">
        <v>37</v>
      </c>
      <c r="B7" s="430" t="s">
        <v>195</v>
      </c>
      <c r="C7" s="430" t="s">
        <v>196</v>
      </c>
      <c r="D7" s="431" t="s">
        <v>3023</v>
      </c>
      <c r="E7" s="428" t="s">
        <v>1131</v>
      </c>
      <c r="F7" s="430" t="s">
        <v>1394</v>
      </c>
      <c r="G7" s="428" t="s">
        <v>1394</v>
      </c>
      <c r="H7" s="428" t="s">
        <v>41</v>
      </c>
      <c r="I7" s="428" t="s">
        <v>2117</v>
      </c>
      <c r="J7" s="428" t="s">
        <v>43</v>
      </c>
      <c r="K7" s="428" t="s">
        <v>43</v>
      </c>
      <c r="L7" s="428" t="s">
        <v>43</v>
      </c>
      <c r="M7" s="428" t="s">
        <v>44</v>
      </c>
      <c r="N7" s="428">
        <v>24.260466999999998</v>
      </c>
      <c r="O7" s="428">
        <v>97.252650000000003</v>
      </c>
      <c r="P7" s="428" t="s">
        <v>573</v>
      </c>
      <c r="Q7" s="428" t="s">
        <v>592</v>
      </c>
      <c r="R7" s="440">
        <v>9</v>
      </c>
      <c r="S7" s="433">
        <v>37</v>
      </c>
      <c r="T7" s="445"/>
      <c r="U7" s="434"/>
      <c r="V7" s="428" t="s">
        <v>196</v>
      </c>
      <c r="W7" s="362"/>
      <c r="X7" s="431"/>
    </row>
    <row r="8" spans="1:31" s="69" customFormat="1" ht="14.25" customHeight="1">
      <c r="A8" s="428" t="s">
        <v>37</v>
      </c>
      <c r="B8" s="428" t="s">
        <v>195</v>
      </c>
      <c r="C8" s="428" t="s">
        <v>822</v>
      </c>
      <c r="D8" s="391" t="s">
        <v>1299</v>
      </c>
      <c r="E8" s="428"/>
      <c r="F8" s="428"/>
      <c r="G8" s="428"/>
      <c r="H8" s="428"/>
      <c r="I8" s="428"/>
      <c r="J8" s="428" t="s">
        <v>607</v>
      </c>
      <c r="K8" s="428" t="s">
        <v>607</v>
      </c>
      <c r="L8" s="428" t="s">
        <v>607</v>
      </c>
      <c r="M8" s="428" t="s">
        <v>44</v>
      </c>
      <c r="N8" s="428"/>
      <c r="O8" s="428"/>
      <c r="P8" s="428" t="s">
        <v>608</v>
      </c>
      <c r="Q8" s="428"/>
      <c r="R8" s="432"/>
      <c r="S8" s="432"/>
      <c r="T8" s="445"/>
      <c r="U8" s="434"/>
      <c r="V8" s="428"/>
      <c r="W8" s="428"/>
      <c r="X8" s="391"/>
    </row>
    <row r="9" spans="1:31" s="69" customFormat="1" ht="14.25" customHeight="1">
      <c r="A9" s="428" t="s">
        <v>37</v>
      </c>
      <c r="B9" s="428" t="s">
        <v>195</v>
      </c>
      <c r="C9" s="428" t="s">
        <v>3044</v>
      </c>
      <c r="D9" s="431" t="s">
        <v>3023</v>
      </c>
      <c r="E9" s="428" t="s">
        <v>1135</v>
      </c>
      <c r="F9" s="428"/>
      <c r="G9" s="428"/>
      <c r="H9" s="428"/>
      <c r="I9" s="428" t="s">
        <v>1620</v>
      </c>
      <c r="J9" s="428" t="s">
        <v>43</v>
      </c>
      <c r="K9" s="428" t="s">
        <v>43</v>
      </c>
      <c r="L9" s="428" t="s">
        <v>2630</v>
      </c>
      <c r="M9" s="428" t="s">
        <v>44</v>
      </c>
      <c r="N9" s="428">
        <v>24.263786</v>
      </c>
      <c r="O9" s="428">
        <v>97.228835000000004</v>
      </c>
      <c r="P9" s="428" t="s">
        <v>585</v>
      </c>
      <c r="Q9" s="428" t="s">
        <v>574</v>
      </c>
      <c r="R9" s="440">
        <v>65</v>
      </c>
      <c r="S9" s="433">
        <v>337</v>
      </c>
      <c r="T9" s="445"/>
      <c r="U9" s="434" t="s">
        <v>738</v>
      </c>
      <c r="V9" s="428" t="s">
        <v>737</v>
      </c>
      <c r="W9" s="428"/>
      <c r="X9" s="431"/>
    </row>
    <row r="10" spans="1:31" s="69" customFormat="1" ht="14.25" customHeight="1">
      <c r="A10" s="428" t="s">
        <v>37</v>
      </c>
      <c r="B10" s="428" t="s">
        <v>195</v>
      </c>
      <c r="C10" s="428" t="s">
        <v>580</v>
      </c>
      <c r="D10" s="391" t="s">
        <v>1300</v>
      </c>
      <c r="E10" s="428" t="s">
        <v>1033</v>
      </c>
      <c r="F10" s="428">
        <v>0</v>
      </c>
      <c r="G10" s="428">
        <v>0</v>
      </c>
      <c r="H10" s="428"/>
      <c r="I10" s="428">
        <v>0</v>
      </c>
      <c r="J10" s="428" t="s">
        <v>43</v>
      </c>
      <c r="K10" s="428" t="s">
        <v>43</v>
      </c>
      <c r="L10" s="428" t="s">
        <v>572</v>
      </c>
      <c r="M10" s="428" t="s">
        <v>44</v>
      </c>
      <c r="N10" s="428"/>
      <c r="O10" s="428"/>
      <c r="P10" s="428" t="s">
        <v>573</v>
      </c>
      <c r="Q10" s="428"/>
      <c r="R10" s="432">
        <v>0</v>
      </c>
      <c r="S10" s="432">
        <v>0</v>
      </c>
      <c r="T10" s="445"/>
      <c r="U10" s="434"/>
      <c r="V10" s="428" t="s">
        <v>580</v>
      </c>
      <c r="W10" s="428" t="s">
        <v>1621</v>
      </c>
      <c r="X10" s="391"/>
    </row>
    <row r="11" spans="1:31" s="69" customFormat="1" ht="14.25" customHeight="1">
      <c r="A11" s="428" t="s">
        <v>37</v>
      </c>
      <c r="B11" s="428" t="s">
        <v>195</v>
      </c>
      <c r="C11" s="428" t="s">
        <v>198</v>
      </c>
      <c r="D11" s="431" t="s">
        <v>3023</v>
      </c>
      <c r="E11" s="428" t="s">
        <v>1123</v>
      </c>
      <c r="F11" s="428" t="s">
        <v>1392</v>
      </c>
      <c r="G11" s="428" t="s">
        <v>1393</v>
      </c>
      <c r="H11" s="428" t="s">
        <v>41</v>
      </c>
      <c r="I11" s="428" t="s">
        <v>2117</v>
      </c>
      <c r="J11" s="428" t="s">
        <v>43</v>
      </c>
      <c r="K11" s="428" t="s">
        <v>43</v>
      </c>
      <c r="L11" s="428" t="s">
        <v>43</v>
      </c>
      <c r="M11" s="428" t="s">
        <v>44</v>
      </c>
      <c r="N11" s="428">
        <v>24.24766</v>
      </c>
      <c r="O11" s="428">
        <v>97.236919999999998</v>
      </c>
      <c r="P11" s="428" t="s">
        <v>573</v>
      </c>
      <c r="Q11" s="428" t="s">
        <v>592</v>
      </c>
      <c r="R11" s="440">
        <v>37</v>
      </c>
      <c r="S11" s="433">
        <v>226</v>
      </c>
      <c r="T11" s="445"/>
      <c r="U11" s="434"/>
      <c r="V11" s="428" t="s">
        <v>198</v>
      </c>
      <c r="W11" s="428"/>
      <c r="X11" s="431"/>
    </row>
    <row r="12" spans="1:31" s="69" customFormat="1" ht="14.25" customHeight="1">
      <c r="A12" s="428" t="s">
        <v>37</v>
      </c>
      <c r="B12" s="428" t="s">
        <v>195</v>
      </c>
      <c r="C12" s="428" t="s">
        <v>736</v>
      </c>
      <c r="D12" s="391" t="s">
        <v>1300</v>
      </c>
      <c r="E12" s="428" t="s">
        <v>1133</v>
      </c>
      <c r="F12" s="428">
        <v>0</v>
      </c>
      <c r="G12" s="428">
        <v>0</v>
      </c>
      <c r="H12" s="428"/>
      <c r="I12" s="428">
        <v>0</v>
      </c>
      <c r="J12" s="428" t="s">
        <v>43</v>
      </c>
      <c r="K12" s="428" t="s">
        <v>43</v>
      </c>
      <c r="L12" s="428" t="s">
        <v>572</v>
      </c>
      <c r="M12" s="428" t="s">
        <v>44</v>
      </c>
      <c r="N12" s="428">
        <v>24.262418019999998</v>
      </c>
      <c r="O12" s="428">
        <v>97.221556500000005</v>
      </c>
      <c r="P12" s="428" t="s">
        <v>573</v>
      </c>
      <c r="Q12" s="428"/>
      <c r="R12" s="432">
        <v>0</v>
      </c>
      <c r="S12" s="432">
        <v>0</v>
      </c>
      <c r="T12" s="445"/>
      <c r="U12" s="434"/>
      <c r="V12" s="428" t="s">
        <v>736</v>
      </c>
      <c r="W12" s="428" t="s">
        <v>1622</v>
      </c>
      <c r="X12" s="391"/>
    </row>
    <row r="13" spans="1:31" s="69" customFormat="1" ht="14.25" customHeight="1">
      <c r="A13" s="428" t="s">
        <v>37</v>
      </c>
      <c r="B13" s="428" t="s">
        <v>195</v>
      </c>
      <c r="C13" s="428" t="s">
        <v>200</v>
      </c>
      <c r="D13" s="431" t="s">
        <v>3023</v>
      </c>
      <c r="E13" s="428" t="s">
        <v>1134</v>
      </c>
      <c r="F13" s="428" t="s">
        <v>1395</v>
      </c>
      <c r="G13" s="428" t="s">
        <v>1395</v>
      </c>
      <c r="H13" s="428" t="s">
        <v>41</v>
      </c>
      <c r="I13" s="428" t="s">
        <v>242</v>
      </c>
      <c r="J13" s="428" t="s">
        <v>43</v>
      </c>
      <c r="K13" s="428" t="s">
        <v>43</v>
      </c>
      <c r="L13" s="428" t="s">
        <v>43</v>
      </c>
      <c r="M13" s="428" t="s">
        <v>44</v>
      </c>
      <c r="N13" s="428">
        <v>24.2631743589744</v>
      </c>
      <c r="O13" s="428">
        <v>97.240183461538507</v>
      </c>
      <c r="P13" s="428" t="s">
        <v>573</v>
      </c>
      <c r="Q13" s="428" t="s">
        <v>592</v>
      </c>
      <c r="R13" s="440">
        <v>134</v>
      </c>
      <c r="S13" s="433">
        <v>767</v>
      </c>
      <c r="T13" s="445"/>
      <c r="U13" s="434"/>
      <c r="V13" s="428" t="s">
        <v>200</v>
      </c>
      <c r="W13" s="428"/>
      <c r="X13" s="431"/>
    </row>
    <row r="14" spans="1:31" s="69" customFormat="1" ht="14.25" customHeight="1">
      <c r="A14" s="428" t="s">
        <v>37</v>
      </c>
      <c r="B14" s="428" t="s">
        <v>195</v>
      </c>
      <c r="C14" s="428" t="s">
        <v>2242</v>
      </c>
      <c r="D14" s="391"/>
      <c r="E14" s="428"/>
      <c r="F14" s="428"/>
      <c r="G14" s="428"/>
      <c r="H14" s="428"/>
      <c r="I14" s="428"/>
      <c r="J14" s="428" t="s">
        <v>1099</v>
      </c>
      <c r="K14" s="428" t="s">
        <v>43</v>
      </c>
      <c r="L14" s="428" t="s">
        <v>588</v>
      </c>
      <c r="M14" s="428" t="s">
        <v>44</v>
      </c>
      <c r="N14" s="428"/>
      <c r="O14" s="428"/>
      <c r="P14" s="428" t="s">
        <v>573</v>
      </c>
      <c r="Q14" s="428"/>
      <c r="R14" s="432"/>
      <c r="S14" s="432"/>
      <c r="T14" s="445">
        <v>43774</v>
      </c>
      <c r="U14" s="434" t="s">
        <v>2243</v>
      </c>
      <c r="V14" s="428" t="s">
        <v>1593</v>
      </c>
      <c r="W14" s="708"/>
      <c r="X14" s="391"/>
    </row>
    <row r="15" spans="1:31" s="69" customFormat="1" ht="14.25" customHeight="1">
      <c r="A15" s="428" t="s">
        <v>37</v>
      </c>
      <c r="B15" s="428" t="s">
        <v>195</v>
      </c>
      <c r="C15" s="428" t="s">
        <v>201</v>
      </c>
      <c r="D15" s="482" t="s">
        <v>2675</v>
      </c>
      <c r="E15" s="428" t="s">
        <v>1129</v>
      </c>
      <c r="F15" s="428" t="s">
        <v>1392</v>
      </c>
      <c r="G15" s="428" t="s">
        <v>1393</v>
      </c>
      <c r="H15" s="428" t="s">
        <v>41</v>
      </c>
      <c r="I15" s="428" t="s">
        <v>242</v>
      </c>
      <c r="J15" s="428" t="s">
        <v>43</v>
      </c>
      <c r="K15" s="428" t="s">
        <v>43</v>
      </c>
      <c r="L15" s="428" t="s">
        <v>572</v>
      </c>
      <c r="M15" s="428" t="s">
        <v>44</v>
      </c>
      <c r="N15" s="428">
        <v>24.253067000000001</v>
      </c>
      <c r="O15" s="428">
        <v>97.234200000000001</v>
      </c>
      <c r="P15" s="428" t="s">
        <v>573</v>
      </c>
      <c r="Q15" s="428" t="s">
        <v>592</v>
      </c>
      <c r="R15" s="432">
        <v>14</v>
      </c>
      <c r="S15" s="432">
        <v>55</v>
      </c>
      <c r="T15" s="445"/>
      <c r="U15" s="434"/>
      <c r="V15" s="428" t="s">
        <v>201</v>
      </c>
      <c r="W15" s="428" t="s">
        <v>2674</v>
      </c>
      <c r="X15" s="482"/>
    </row>
    <row r="16" spans="1:31" s="69" customFormat="1" ht="14.25" customHeight="1">
      <c r="A16" s="433" t="s">
        <v>37</v>
      </c>
      <c r="B16" s="436" t="s">
        <v>195</v>
      </c>
      <c r="C16" s="437" t="s">
        <v>2795</v>
      </c>
      <c r="D16" s="431" t="s">
        <v>3023</v>
      </c>
      <c r="E16" s="428" t="s">
        <v>2806</v>
      </c>
      <c r="F16" s="428" t="s">
        <v>1399</v>
      </c>
      <c r="G16" s="428" t="s">
        <v>2818</v>
      </c>
      <c r="H16" s="428"/>
      <c r="I16" s="428"/>
      <c r="J16" s="428" t="s">
        <v>43</v>
      </c>
      <c r="K16" s="428" t="s">
        <v>43</v>
      </c>
      <c r="L16" s="428" t="s">
        <v>43</v>
      </c>
      <c r="M16" s="428" t="s">
        <v>44</v>
      </c>
      <c r="N16" s="428">
        <v>24.314934000000001</v>
      </c>
      <c r="O16" s="428">
        <v>97.305190999999994</v>
      </c>
      <c r="P16" s="428"/>
      <c r="Q16" s="428" t="s">
        <v>2823</v>
      </c>
      <c r="R16" s="440">
        <v>40</v>
      </c>
      <c r="S16" s="433">
        <v>190</v>
      </c>
      <c r="T16" s="445">
        <v>44662</v>
      </c>
      <c r="U16" s="434">
        <v>44501</v>
      </c>
      <c r="V16" s="432"/>
      <c r="W16" s="742" t="s">
        <v>2825</v>
      </c>
      <c r="X16" s="431"/>
    </row>
    <row r="17" spans="1:24" s="69" customFormat="1" ht="14.25" customHeight="1">
      <c r="A17" s="428" t="s">
        <v>37</v>
      </c>
      <c r="B17" s="428" t="s">
        <v>195</v>
      </c>
      <c r="C17" s="428" t="s">
        <v>203</v>
      </c>
      <c r="D17" s="391" t="s">
        <v>2267</v>
      </c>
      <c r="E17" s="428" t="s">
        <v>1139</v>
      </c>
      <c r="F17" s="428" t="s">
        <v>1399</v>
      </c>
      <c r="G17" s="428" t="s">
        <v>1399</v>
      </c>
      <c r="H17" s="428" t="s">
        <v>41</v>
      </c>
      <c r="I17" s="428" t="s">
        <v>42</v>
      </c>
      <c r="J17" s="428" t="s">
        <v>43</v>
      </c>
      <c r="K17" s="428" t="s">
        <v>43</v>
      </c>
      <c r="L17" s="428" t="s">
        <v>43</v>
      </c>
      <c r="M17" s="428" t="s">
        <v>44</v>
      </c>
      <c r="N17" s="428">
        <v>24.32638</v>
      </c>
      <c r="O17" s="428">
        <v>97.315860000000001</v>
      </c>
      <c r="P17" s="428" t="s">
        <v>573</v>
      </c>
      <c r="Q17" s="428" t="s">
        <v>592</v>
      </c>
      <c r="R17" s="432">
        <v>17</v>
      </c>
      <c r="S17" s="432">
        <v>75</v>
      </c>
      <c r="T17" s="445"/>
      <c r="U17" s="434"/>
      <c r="V17" s="428" t="s">
        <v>203</v>
      </c>
      <c r="W17" s="428"/>
      <c r="X17" s="391"/>
    </row>
    <row r="18" spans="1:24" s="428" customFormat="1" ht="14.25" customHeight="1">
      <c r="A18" s="433" t="s">
        <v>37</v>
      </c>
      <c r="B18" s="428" t="s">
        <v>195</v>
      </c>
      <c r="C18" s="361" t="s">
        <v>279</v>
      </c>
      <c r="D18" s="431" t="s">
        <v>3023</v>
      </c>
      <c r="E18" s="428" t="s">
        <v>1120</v>
      </c>
      <c r="F18" s="428" t="s">
        <v>1389</v>
      </c>
      <c r="G18" s="428" t="s">
        <v>1390</v>
      </c>
      <c r="H18" s="428" t="s">
        <v>41</v>
      </c>
      <c r="I18" s="428" t="s">
        <v>2117</v>
      </c>
      <c r="J18" s="428" t="s">
        <v>43</v>
      </c>
      <c r="K18" s="428" t="s">
        <v>43</v>
      </c>
      <c r="L18" s="428" t="s">
        <v>43</v>
      </c>
      <c r="M18" s="428" t="s">
        <v>44</v>
      </c>
      <c r="N18" s="428">
        <v>24.222349999999999</v>
      </c>
      <c r="O18" s="428">
        <v>97.252650000000003</v>
      </c>
      <c r="P18" s="428" t="s">
        <v>573</v>
      </c>
      <c r="Q18" s="428" t="s">
        <v>592</v>
      </c>
      <c r="R18" s="440">
        <v>64</v>
      </c>
      <c r="S18" s="433">
        <v>339</v>
      </c>
      <c r="T18" s="445"/>
      <c r="U18" s="434"/>
      <c r="V18" s="361" t="s">
        <v>279</v>
      </c>
      <c r="X18" s="431"/>
    </row>
    <row r="19" spans="1:24" s="69" customFormat="1" ht="14.25" customHeight="1">
      <c r="A19" s="433" t="s">
        <v>37</v>
      </c>
      <c r="B19" s="436" t="s">
        <v>195</v>
      </c>
      <c r="C19" s="437" t="s">
        <v>280</v>
      </c>
      <c r="D19" s="431" t="s">
        <v>3023</v>
      </c>
      <c r="E19" s="428" t="s">
        <v>1136</v>
      </c>
      <c r="F19" s="428" t="s">
        <v>1392</v>
      </c>
      <c r="G19" s="428" t="s">
        <v>1396</v>
      </c>
      <c r="H19" s="428" t="s">
        <v>41</v>
      </c>
      <c r="I19" s="428" t="s">
        <v>2117</v>
      </c>
      <c r="J19" s="430" t="s">
        <v>43</v>
      </c>
      <c r="K19" s="428" t="s">
        <v>43</v>
      </c>
      <c r="L19" s="428" t="s">
        <v>43</v>
      </c>
      <c r="M19" s="428" t="s">
        <v>44</v>
      </c>
      <c r="N19" s="428">
        <v>24.268292826086999</v>
      </c>
      <c r="O19" s="428">
        <v>97.229116811594196</v>
      </c>
      <c r="P19" s="428" t="s">
        <v>573</v>
      </c>
      <c r="Q19" s="428" t="s">
        <v>592</v>
      </c>
      <c r="R19" s="440">
        <v>597</v>
      </c>
      <c r="S19" s="433">
        <v>3765</v>
      </c>
      <c r="T19" s="445"/>
      <c r="U19" s="440"/>
      <c r="V19" s="428" t="s">
        <v>280</v>
      </c>
      <c r="W19" s="432" t="s">
        <v>1734</v>
      </c>
      <c r="X19" s="431"/>
    </row>
    <row r="20" spans="1:24" s="69" customFormat="1" ht="14.25" customHeight="1">
      <c r="A20" s="437" t="s">
        <v>37</v>
      </c>
      <c r="B20" s="436" t="s">
        <v>195</v>
      </c>
      <c r="C20" s="442" t="s">
        <v>2204</v>
      </c>
      <c r="D20" s="391"/>
      <c r="E20" s="430"/>
      <c r="F20" s="430"/>
      <c r="G20" s="430"/>
      <c r="H20" s="430" t="s">
        <v>136</v>
      </c>
      <c r="I20" s="430"/>
      <c r="J20" s="430" t="s">
        <v>1099</v>
      </c>
      <c r="K20" s="428" t="s">
        <v>43</v>
      </c>
      <c r="L20" s="428" t="s">
        <v>43</v>
      </c>
      <c r="M20" s="428" t="s">
        <v>44</v>
      </c>
      <c r="N20" s="430"/>
      <c r="O20" s="430"/>
      <c r="P20" s="428" t="s">
        <v>573</v>
      </c>
      <c r="Q20" s="430"/>
      <c r="R20" s="441"/>
      <c r="S20" s="437"/>
      <c r="T20" s="446">
        <v>43749</v>
      </c>
      <c r="U20" s="438"/>
      <c r="V20" s="430"/>
      <c r="W20" s="428"/>
      <c r="X20" s="391"/>
    </row>
    <row r="21" spans="1:24" s="69" customFormat="1" ht="14.25" customHeight="1">
      <c r="A21" s="428" t="s">
        <v>37</v>
      </c>
      <c r="B21" s="430" t="s">
        <v>195</v>
      </c>
      <c r="C21" s="430" t="s">
        <v>1292</v>
      </c>
      <c r="D21" s="391"/>
      <c r="E21" s="430"/>
      <c r="F21" s="428"/>
      <c r="G21" s="428"/>
      <c r="H21" s="428" t="s">
        <v>136</v>
      </c>
      <c r="I21" s="428"/>
      <c r="J21" s="428" t="s">
        <v>1099</v>
      </c>
      <c r="K21" s="428" t="s">
        <v>43</v>
      </c>
      <c r="L21" s="428" t="s">
        <v>43</v>
      </c>
      <c r="M21" s="428" t="s">
        <v>44</v>
      </c>
      <c r="N21" s="428"/>
      <c r="O21" s="428"/>
      <c r="P21" s="428" t="s">
        <v>573</v>
      </c>
      <c r="Q21" s="428"/>
      <c r="R21" s="432"/>
      <c r="S21" s="433"/>
      <c r="T21" s="445"/>
      <c r="U21" s="434"/>
      <c r="V21" s="428"/>
      <c r="W21" s="362"/>
      <c r="X21" s="391"/>
    </row>
    <row r="22" spans="1:24" s="69" customFormat="1" ht="14.25" customHeight="1">
      <c r="A22" s="428" t="s">
        <v>37</v>
      </c>
      <c r="B22" s="430" t="s">
        <v>195</v>
      </c>
      <c r="C22" s="430" t="s">
        <v>739</v>
      </c>
      <c r="D22" s="391" t="s">
        <v>1542</v>
      </c>
      <c r="E22" s="430" t="s">
        <v>1138</v>
      </c>
      <c r="F22" s="428" t="s">
        <v>1392</v>
      </c>
      <c r="G22" s="428" t="s">
        <v>1460</v>
      </c>
      <c r="H22" s="428" t="s">
        <v>41</v>
      </c>
      <c r="I22" s="428" t="s">
        <v>242</v>
      </c>
      <c r="J22" s="428" t="s">
        <v>43</v>
      </c>
      <c r="K22" s="428" t="s">
        <v>43</v>
      </c>
      <c r="L22" s="428" t="s">
        <v>572</v>
      </c>
      <c r="M22" s="428" t="s">
        <v>44</v>
      </c>
      <c r="N22" s="428">
        <v>24.29138</v>
      </c>
      <c r="O22" s="428">
        <v>97.227789999999999</v>
      </c>
      <c r="P22" s="428" t="s">
        <v>573</v>
      </c>
      <c r="Q22" s="428" t="s">
        <v>574</v>
      </c>
      <c r="R22" s="432">
        <v>20</v>
      </c>
      <c r="S22" s="433">
        <v>95</v>
      </c>
      <c r="T22" s="445">
        <v>43276</v>
      </c>
      <c r="U22" s="434" t="s">
        <v>1543</v>
      </c>
      <c r="V22" s="428" t="s">
        <v>739</v>
      </c>
      <c r="W22" s="428" t="s">
        <v>1623</v>
      </c>
      <c r="X22" s="391"/>
    </row>
    <row r="23" spans="1:24" s="69" customFormat="1" ht="14.25" customHeight="1">
      <c r="A23" s="428" t="s">
        <v>37</v>
      </c>
      <c r="B23" s="430" t="s">
        <v>195</v>
      </c>
      <c r="C23" s="430" t="s">
        <v>603</v>
      </c>
      <c r="D23" s="391" t="s">
        <v>1300</v>
      </c>
      <c r="E23" s="430" t="s">
        <v>1053</v>
      </c>
      <c r="F23" s="428">
        <v>0</v>
      </c>
      <c r="G23" s="428">
        <v>0</v>
      </c>
      <c r="H23" s="428"/>
      <c r="I23" s="428">
        <v>0</v>
      </c>
      <c r="J23" s="428" t="s">
        <v>43</v>
      </c>
      <c r="K23" s="428" t="s">
        <v>43</v>
      </c>
      <c r="L23" s="428" t="s">
        <v>572</v>
      </c>
      <c r="M23" s="428" t="s">
        <v>44</v>
      </c>
      <c r="N23" s="428"/>
      <c r="O23" s="428"/>
      <c r="P23" s="428" t="s">
        <v>573</v>
      </c>
      <c r="Q23" s="428"/>
      <c r="R23" s="432">
        <v>0</v>
      </c>
      <c r="S23" s="432">
        <v>0</v>
      </c>
      <c r="T23" s="445"/>
      <c r="U23" s="434"/>
      <c r="V23" s="428" t="s">
        <v>603</v>
      </c>
      <c r="W23" s="428" t="s">
        <v>1624</v>
      </c>
      <c r="X23" s="391"/>
    </row>
    <row r="24" spans="1:24" s="69" customFormat="1" ht="14.25" customHeight="1">
      <c r="A24" s="428" t="s">
        <v>37</v>
      </c>
      <c r="B24" s="428" t="s">
        <v>195</v>
      </c>
      <c r="C24" s="428" t="s">
        <v>204</v>
      </c>
      <c r="D24" s="391" t="s">
        <v>2114</v>
      </c>
      <c r="E24" s="428" t="s">
        <v>1124</v>
      </c>
      <c r="F24" s="428" t="s">
        <v>1389</v>
      </c>
      <c r="G24" s="428" t="s">
        <v>1389</v>
      </c>
      <c r="H24" s="428" t="s">
        <v>41</v>
      </c>
      <c r="I24" s="428" t="s">
        <v>242</v>
      </c>
      <c r="J24" s="428" t="s">
        <v>43</v>
      </c>
      <c r="K24" s="428" t="s">
        <v>43</v>
      </c>
      <c r="L24" s="428" t="s">
        <v>43</v>
      </c>
      <c r="M24" s="428" t="s">
        <v>44</v>
      </c>
      <c r="N24" s="428">
        <v>24.24953</v>
      </c>
      <c r="O24" s="428">
        <v>97.240639999999999</v>
      </c>
      <c r="P24" s="428" t="s">
        <v>573</v>
      </c>
      <c r="Q24" s="428" t="s">
        <v>592</v>
      </c>
      <c r="R24" s="432">
        <v>11</v>
      </c>
      <c r="S24" s="433">
        <v>63</v>
      </c>
      <c r="T24" s="445"/>
      <c r="U24" s="434"/>
      <c r="V24" s="428" t="s">
        <v>204</v>
      </c>
      <c r="W24" s="428"/>
      <c r="X24" s="391"/>
    </row>
    <row r="25" spans="1:24" s="69" customFormat="1" ht="14.25" customHeight="1">
      <c r="A25" s="428" t="s">
        <v>37</v>
      </c>
      <c r="B25" s="428" t="s">
        <v>146</v>
      </c>
      <c r="C25" s="428" t="s">
        <v>825</v>
      </c>
      <c r="D25" s="391" t="s">
        <v>1299</v>
      </c>
      <c r="E25" s="428"/>
      <c r="F25" s="428"/>
      <c r="G25" s="428"/>
      <c r="H25" s="428"/>
      <c r="I25" s="428"/>
      <c r="J25" s="428" t="s">
        <v>43</v>
      </c>
      <c r="K25" s="428" t="s">
        <v>43</v>
      </c>
      <c r="L25" s="428" t="s">
        <v>826</v>
      </c>
      <c r="M25" s="428" t="s">
        <v>44</v>
      </c>
      <c r="N25" s="428"/>
      <c r="O25" s="428"/>
      <c r="P25" s="428" t="s">
        <v>573</v>
      </c>
      <c r="Q25" s="428"/>
      <c r="R25" s="432"/>
      <c r="S25" s="432"/>
      <c r="T25" s="445"/>
      <c r="U25" s="434"/>
      <c r="V25" s="428" t="s">
        <v>825</v>
      </c>
      <c r="W25" s="428"/>
      <c r="X25" s="391"/>
    </row>
    <row r="26" spans="1:24" s="69" customFormat="1" ht="14.25" customHeight="1">
      <c r="A26" s="428" t="s">
        <v>37</v>
      </c>
      <c r="B26" s="428" t="s">
        <v>146</v>
      </c>
      <c r="C26" s="428" t="s">
        <v>245</v>
      </c>
      <c r="D26" s="431" t="s">
        <v>3023</v>
      </c>
      <c r="E26" s="428" t="s">
        <v>1244</v>
      </c>
      <c r="F26" s="428" t="s">
        <v>1453</v>
      </c>
      <c r="G26" s="428" t="s">
        <v>1454</v>
      </c>
      <c r="H26" s="428" t="s">
        <v>41</v>
      </c>
      <c r="I26" s="428" t="s">
        <v>242</v>
      </c>
      <c r="J26" s="428" t="s">
        <v>43</v>
      </c>
      <c r="K26" s="428" t="s">
        <v>43</v>
      </c>
      <c r="L26" s="428" t="s">
        <v>43</v>
      </c>
      <c r="M26" s="428" t="s">
        <v>44</v>
      </c>
      <c r="N26" s="428">
        <v>25.889410000000002</v>
      </c>
      <c r="O26" s="428">
        <v>98.131550000000004</v>
      </c>
      <c r="P26" s="428" t="s">
        <v>573</v>
      </c>
      <c r="Q26" s="428" t="s">
        <v>592</v>
      </c>
      <c r="R26" s="440">
        <v>138</v>
      </c>
      <c r="S26" s="433">
        <v>706</v>
      </c>
      <c r="T26" s="445"/>
      <c r="U26" s="434"/>
      <c r="V26" s="428" t="s">
        <v>245</v>
      </c>
      <c r="W26" s="362"/>
      <c r="X26" s="431"/>
    </row>
    <row r="27" spans="1:24" s="69" customFormat="1" ht="14.25" customHeight="1">
      <c r="A27" s="428" t="s">
        <v>37</v>
      </c>
      <c r="B27" s="430" t="s">
        <v>146</v>
      </c>
      <c r="C27" s="430" t="s">
        <v>3047</v>
      </c>
      <c r="D27" s="431" t="s">
        <v>3023</v>
      </c>
      <c r="E27" s="428" t="s">
        <v>1221</v>
      </c>
      <c r="F27" s="428" t="s">
        <v>1445</v>
      </c>
      <c r="G27" s="428" t="s">
        <v>1338</v>
      </c>
      <c r="H27" s="428" t="s">
        <v>41</v>
      </c>
      <c r="I27" s="428" t="s">
        <v>1035</v>
      </c>
      <c r="J27" s="428" t="s">
        <v>43</v>
      </c>
      <c r="K27" s="428" t="s">
        <v>43</v>
      </c>
      <c r="L27" s="428" t="s">
        <v>2630</v>
      </c>
      <c r="M27" s="428" t="s">
        <v>44</v>
      </c>
      <c r="N27" s="428">
        <v>25.60867</v>
      </c>
      <c r="O27" s="428">
        <v>98.377780000000001</v>
      </c>
      <c r="P27" s="428" t="s">
        <v>573</v>
      </c>
      <c r="Q27" s="428" t="s">
        <v>592</v>
      </c>
      <c r="R27" s="440">
        <v>4</v>
      </c>
      <c r="S27" s="433">
        <v>20</v>
      </c>
      <c r="T27" s="445"/>
      <c r="U27" s="434"/>
      <c r="V27" s="428" t="s">
        <v>225</v>
      </c>
      <c r="W27" s="428"/>
      <c r="X27" s="431"/>
    </row>
    <row r="28" spans="1:24" s="69" customFormat="1" ht="14.25" customHeight="1">
      <c r="A28" s="428" t="s">
        <v>37</v>
      </c>
      <c r="B28" s="428" t="s">
        <v>146</v>
      </c>
      <c r="C28" s="428" t="s">
        <v>581</v>
      </c>
      <c r="D28" s="391" t="s">
        <v>1300</v>
      </c>
      <c r="E28" s="428" t="s">
        <v>1034</v>
      </c>
      <c r="F28" s="428">
        <v>0</v>
      </c>
      <c r="G28" s="428">
        <v>0</v>
      </c>
      <c r="H28" s="428" t="s">
        <v>41</v>
      </c>
      <c r="I28" s="428" t="s">
        <v>1035</v>
      </c>
      <c r="J28" s="428" t="s">
        <v>43</v>
      </c>
      <c r="K28" s="428" t="s">
        <v>43</v>
      </c>
      <c r="L28" s="428" t="s">
        <v>572</v>
      </c>
      <c r="M28" s="428" t="s">
        <v>44</v>
      </c>
      <c r="N28" s="428"/>
      <c r="O28" s="428"/>
      <c r="P28" s="428" t="s">
        <v>573</v>
      </c>
      <c r="Q28" s="428"/>
      <c r="R28" s="432">
        <v>0</v>
      </c>
      <c r="S28" s="432">
        <v>0</v>
      </c>
      <c r="T28" s="445"/>
      <c r="U28" s="434"/>
      <c r="V28" s="428" t="s">
        <v>581</v>
      </c>
      <c r="W28" s="362" t="s">
        <v>1625</v>
      </c>
      <c r="X28" s="391"/>
    </row>
    <row r="29" spans="1:24" s="69" customFormat="1" ht="14.25" customHeight="1">
      <c r="A29" s="428" t="s">
        <v>37</v>
      </c>
      <c r="B29" s="428" t="s">
        <v>146</v>
      </c>
      <c r="C29" s="428" t="s">
        <v>147</v>
      </c>
      <c r="D29" s="431" t="s">
        <v>3023</v>
      </c>
      <c r="E29" s="428" t="s">
        <v>1240</v>
      </c>
      <c r="F29" s="428" t="s">
        <v>1450</v>
      </c>
      <c r="G29" s="428" t="s">
        <v>1451</v>
      </c>
      <c r="H29" s="428" t="s">
        <v>41</v>
      </c>
      <c r="I29" s="428" t="s">
        <v>2118</v>
      </c>
      <c r="J29" s="428" t="s">
        <v>43</v>
      </c>
      <c r="K29" s="428" t="s">
        <v>43</v>
      </c>
      <c r="L29" s="428" t="s">
        <v>43</v>
      </c>
      <c r="M29" s="428" t="s">
        <v>590</v>
      </c>
      <c r="N29" s="428">
        <v>25.754110000000001</v>
      </c>
      <c r="O29" s="428">
        <v>98.475719999999995</v>
      </c>
      <c r="P29" s="428" t="s">
        <v>573</v>
      </c>
      <c r="Q29" s="428" t="s">
        <v>592</v>
      </c>
      <c r="R29" s="440">
        <v>167</v>
      </c>
      <c r="S29" s="433">
        <v>936</v>
      </c>
      <c r="T29" s="445"/>
      <c r="U29" s="434"/>
      <c r="V29" s="428" t="s">
        <v>147</v>
      </c>
      <c r="W29" s="428" t="s">
        <v>1735</v>
      </c>
      <c r="X29" s="431"/>
    </row>
    <row r="30" spans="1:24" s="69" customFormat="1" ht="14.25" customHeight="1">
      <c r="A30" s="428" t="s">
        <v>37</v>
      </c>
      <c r="B30" s="428" t="s">
        <v>146</v>
      </c>
      <c r="C30" s="428" t="s">
        <v>790</v>
      </c>
      <c r="D30" s="391" t="s">
        <v>1300</v>
      </c>
      <c r="E30" s="428" t="s">
        <v>1238</v>
      </c>
      <c r="F30" s="428" t="s">
        <v>1354</v>
      </c>
      <c r="G30" s="428" t="s">
        <v>1355</v>
      </c>
      <c r="H30" s="428"/>
      <c r="I30" s="428">
        <v>0</v>
      </c>
      <c r="J30" s="428" t="s">
        <v>43</v>
      </c>
      <c r="K30" s="428" t="s">
        <v>43</v>
      </c>
      <c r="L30" s="428" t="s">
        <v>572</v>
      </c>
      <c r="M30" s="428" t="s">
        <v>44</v>
      </c>
      <c r="N30" s="428">
        <v>25.708763000000001</v>
      </c>
      <c r="O30" s="428">
        <v>98.354146999999998</v>
      </c>
      <c r="P30" s="428" t="s">
        <v>585</v>
      </c>
      <c r="Q30" s="428" t="s">
        <v>574</v>
      </c>
      <c r="R30" s="432">
        <v>0</v>
      </c>
      <c r="S30" s="432">
        <v>0</v>
      </c>
      <c r="T30" s="445">
        <v>42983</v>
      </c>
      <c r="U30" s="434" t="s">
        <v>791</v>
      </c>
      <c r="V30" s="428" t="s">
        <v>790</v>
      </c>
      <c r="W30" s="428" t="s">
        <v>1626</v>
      </c>
      <c r="X30" s="391"/>
    </row>
    <row r="31" spans="1:24" s="69" customFormat="1" ht="14.25" customHeight="1">
      <c r="A31" s="428" t="s">
        <v>37</v>
      </c>
      <c r="B31" s="428" t="s">
        <v>146</v>
      </c>
      <c r="C31" s="428" t="s">
        <v>247</v>
      </c>
      <c r="D31" s="431" t="s">
        <v>3023</v>
      </c>
      <c r="E31" s="428" t="s">
        <v>1243</v>
      </c>
      <c r="F31" s="428" t="s">
        <v>1321</v>
      </c>
      <c r="G31" s="428" t="s">
        <v>1452</v>
      </c>
      <c r="H31" s="428" t="s">
        <v>41</v>
      </c>
      <c r="I31" s="428" t="s">
        <v>242</v>
      </c>
      <c r="J31" s="428" t="s">
        <v>43</v>
      </c>
      <c r="K31" s="428" t="s">
        <v>43</v>
      </c>
      <c r="L31" s="428" t="s">
        <v>43</v>
      </c>
      <c r="M31" s="428" t="s">
        <v>44</v>
      </c>
      <c r="N31" s="428">
        <v>25.887339999999998</v>
      </c>
      <c r="O31" s="428">
        <v>98.129990000000006</v>
      </c>
      <c r="P31" s="428" t="s">
        <v>573</v>
      </c>
      <c r="Q31" s="428" t="s">
        <v>592</v>
      </c>
      <c r="R31" s="440">
        <v>195</v>
      </c>
      <c r="S31" s="433">
        <v>854</v>
      </c>
      <c r="T31" s="445"/>
      <c r="U31" s="434"/>
      <c r="V31" s="428" t="s">
        <v>247</v>
      </c>
      <c r="W31" s="428"/>
      <c r="X31" s="431"/>
    </row>
    <row r="32" spans="1:24" s="69" customFormat="1" ht="14.25" customHeight="1">
      <c r="A32" s="428" t="s">
        <v>37</v>
      </c>
      <c r="B32" s="428" t="s">
        <v>146</v>
      </c>
      <c r="C32" s="428" t="s">
        <v>227</v>
      </c>
      <c r="D32" s="391" t="s">
        <v>2642</v>
      </c>
      <c r="E32" s="428" t="s">
        <v>1231</v>
      </c>
      <c r="F32" s="428" t="s">
        <v>1355</v>
      </c>
      <c r="G32" s="428" t="s">
        <v>227</v>
      </c>
      <c r="H32" s="428" t="s">
        <v>41</v>
      </c>
      <c r="I32" s="428" t="s">
        <v>1035</v>
      </c>
      <c r="J32" s="428" t="s">
        <v>43</v>
      </c>
      <c r="K32" s="428" t="s">
        <v>43</v>
      </c>
      <c r="L32" s="428" t="s">
        <v>572</v>
      </c>
      <c r="M32" s="428" t="s">
        <v>44</v>
      </c>
      <c r="N32" s="428">
        <v>25.645959999999999</v>
      </c>
      <c r="O32" s="428">
        <v>98.356260000000006</v>
      </c>
      <c r="P32" s="428" t="s">
        <v>573</v>
      </c>
      <c r="Q32" s="428" t="s">
        <v>592</v>
      </c>
      <c r="R32" s="432">
        <v>27</v>
      </c>
      <c r="S32" s="433">
        <v>154</v>
      </c>
      <c r="T32" s="445"/>
      <c r="U32" s="434"/>
      <c r="V32" s="428" t="s">
        <v>785</v>
      </c>
      <c r="W32" s="362"/>
      <c r="X32" s="391"/>
    </row>
    <row r="33" spans="1:24" s="69" customFormat="1" ht="14.25" customHeight="1">
      <c r="A33" s="428" t="s">
        <v>37</v>
      </c>
      <c r="B33" s="428" t="s">
        <v>148</v>
      </c>
      <c r="C33" s="428" t="s">
        <v>786</v>
      </c>
      <c r="D33" s="391" t="s">
        <v>1300</v>
      </c>
      <c r="E33" s="428" t="s">
        <v>1234</v>
      </c>
      <c r="F33" s="428" t="s">
        <v>1352</v>
      </c>
      <c r="G33" s="428" t="s">
        <v>1352</v>
      </c>
      <c r="H33" s="428" t="s">
        <v>41</v>
      </c>
      <c r="I33" s="428" t="s">
        <v>141</v>
      </c>
      <c r="J33" s="428" t="s">
        <v>43</v>
      </c>
      <c r="K33" s="428" t="s">
        <v>43</v>
      </c>
      <c r="L33" s="428" t="s">
        <v>572</v>
      </c>
      <c r="M33" s="428" t="s">
        <v>44</v>
      </c>
      <c r="N33" s="428">
        <v>25.656130000000001</v>
      </c>
      <c r="O33" s="428">
        <v>96.355270000000004</v>
      </c>
      <c r="P33" s="428" t="s">
        <v>573</v>
      </c>
      <c r="Q33" s="428" t="s">
        <v>592</v>
      </c>
      <c r="R33" s="432">
        <v>0</v>
      </c>
      <c r="S33" s="432">
        <v>0</v>
      </c>
      <c r="T33" s="445">
        <v>42983</v>
      </c>
      <c r="U33" s="434" t="s">
        <v>787</v>
      </c>
      <c r="V33" s="428" t="s">
        <v>786</v>
      </c>
      <c r="W33" s="428" t="s">
        <v>1627</v>
      </c>
      <c r="X33" s="391"/>
    </row>
    <row r="34" spans="1:24" s="69" customFormat="1" ht="14.25" customHeight="1">
      <c r="A34" s="428" t="s">
        <v>37</v>
      </c>
      <c r="B34" s="428" t="s">
        <v>148</v>
      </c>
      <c r="C34" s="428" t="s">
        <v>796</v>
      </c>
      <c r="D34" s="391" t="s">
        <v>1300</v>
      </c>
      <c r="E34" s="428" t="s">
        <v>1245</v>
      </c>
      <c r="F34" s="428" t="s">
        <v>1359</v>
      </c>
      <c r="G34" s="428" t="s">
        <v>1360</v>
      </c>
      <c r="H34" s="428"/>
      <c r="I34" s="428">
        <v>0</v>
      </c>
      <c r="J34" s="428" t="s">
        <v>43</v>
      </c>
      <c r="K34" s="428" t="s">
        <v>43</v>
      </c>
      <c r="L34" s="428" t="s">
        <v>572</v>
      </c>
      <c r="M34" s="428" t="s">
        <v>44</v>
      </c>
      <c r="N34" s="428">
        <v>25.920006000000001</v>
      </c>
      <c r="O34" s="428">
        <v>96.662092000000001</v>
      </c>
      <c r="P34" s="428" t="s">
        <v>573</v>
      </c>
      <c r="Q34" s="428" t="s">
        <v>574</v>
      </c>
      <c r="R34" s="432">
        <v>0</v>
      </c>
      <c r="S34" s="432">
        <v>0</v>
      </c>
      <c r="T34" s="445"/>
      <c r="U34" s="434"/>
      <c r="V34" s="428"/>
      <c r="W34" s="428" t="s">
        <v>1628</v>
      </c>
      <c r="X34" s="391"/>
    </row>
    <row r="35" spans="1:24" s="69" customFormat="1" ht="14.25" customHeight="1">
      <c r="A35" s="428" t="s">
        <v>37</v>
      </c>
      <c r="B35" s="428" t="s">
        <v>148</v>
      </c>
      <c r="C35" s="428" t="s">
        <v>248</v>
      </c>
      <c r="D35" s="431" t="s">
        <v>3023</v>
      </c>
      <c r="E35" s="428" t="s">
        <v>1229</v>
      </c>
      <c r="F35" s="428" t="s">
        <v>1352</v>
      </c>
      <c r="G35" s="428" t="s">
        <v>1352</v>
      </c>
      <c r="H35" s="428" t="s">
        <v>41</v>
      </c>
      <c r="I35" s="428" t="s">
        <v>242</v>
      </c>
      <c r="J35" s="428" t="s">
        <v>43</v>
      </c>
      <c r="K35" s="428" t="s">
        <v>43</v>
      </c>
      <c r="L35" s="428" t="s">
        <v>43</v>
      </c>
      <c r="M35" s="428" t="s">
        <v>44</v>
      </c>
      <c r="N35" s="428">
        <v>25.635300000000001</v>
      </c>
      <c r="O35" s="428">
        <v>96.345569999999995</v>
      </c>
      <c r="P35" s="428" t="s">
        <v>573</v>
      </c>
      <c r="Q35" s="428" t="s">
        <v>592</v>
      </c>
      <c r="R35" s="440">
        <v>94</v>
      </c>
      <c r="S35" s="433">
        <v>438</v>
      </c>
      <c r="T35" s="445"/>
      <c r="U35" s="434"/>
      <c r="V35" s="428" t="s">
        <v>248</v>
      </c>
      <c r="W35" s="428"/>
      <c r="X35" s="431"/>
    </row>
    <row r="36" spans="1:24" s="69" customFormat="1" ht="14.25" customHeight="1">
      <c r="A36" s="428" t="s">
        <v>37</v>
      </c>
      <c r="B36" s="428" t="s">
        <v>148</v>
      </c>
      <c r="C36" s="428" t="s">
        <v>249</v>
      </c>
      <c r="D36" s="431" t="s">
        <v>3023</v>
      </c>
      <c r="E36" s="428" t="s">
        <v>1226</v>
      </c>
      <c r="F36" s="428" t="s">
        <v>1446</v>
      </c>
      <c r="G36" s="428" t="s">
        <v>1447</v>
      </c>
      <c r="H36" s="428" t="s">
        <v>41</v>
      </c>
      <c r="I36" s="428" t="s">
        <v>242</v>
      </c>
      <c r="J36" s="428" t="s">
        <v>43</v>
      </c>
      <c r="K36" s="428" t="s">
        <v>43</v>
      </c>
      <c r="L36" s="428" t="s">
        <v>43</v>
      </c>
      <c r="M36" s="428" t="s">
        <v>44</v>
      </c>
      <c r="N36" s="428">
        <v>25.616509000000001</v>
      </c>
      <c r="O36" s="428">
        <v>96.317350000000005</v>
      </c>
      <c r="P36" s="428" t="s">
        <v>573</v>
      </c>
      <c r="Q36" s="428" t="s">
        <v>592</v>
      </c>
      <c r="R36" s="440">
        <v>14</v>
      </c>
      <c r="S36" s="433">
        <v>72</v>
      </c>
      <c r="T36" s="445"/>
      <c r="U36" s="434"/>
      <c r="V36" s="428" t="s">
        <v>249</v>
      </c>
      <c r="W36" s="428"/>
      <c r="X36" s="431"/>
    </row>
    <row r="37" spans="1:24" s="69" customFormat="1" ht="14.25" customHeight="1">
      <c r="A37" s="428" t="s">
        <v>37</v>
      </c>
      <c r="B37" s="428" t="s">
        <v>148</v>
      </c>
      <c r="C37" s="428" t="s">
        <v>250</v>
      </c>
      <c r="D37" s="431" t="s">
        <v>3023</v>
      </c>
      <c r="E37" s="428" t="s">
        <v>1232</v>
      </c>
      <c r="F37" s="428" t="s">
        <v>1352</v>
      </c>
      <c r="G37" s="428" t="s">
        <v>1449</v>
      </c>
      <c r="H37" s="428" t="s">
        <v>41</v>
      </c>
      <c r="I37" s="428" t="s">
        <v>2118</v>
      </c>
      <c r="J37" s="428" t="s">
        <v>43</v>
      </c>
      <c r="K37" s="428" t="s">
        <v>43</v>
      </c>
      <c r="L37" s="428" t="s">
        <v>43</v>
      </c>
      <c r="M37" s="428" t="s">
        <v>44</v>
      </c>
      <c r="N37" s="428">
        <v>25.647649999999999</v>
      </c>
      <c r="O37" s="428">
        <v>96.346469999999997</v>
      </c>
      <c r="P37" s="428" t="s">
        <v>573</v>
      </c>
      <c r="Q37" s="428" t="s">
        <v>592</v>
      </c>
      <c r="R37" s="440">
        <v>41</v>
      </c>
      <c r="S37" s="433">
        <v>249</v>
      </c>
      <c r="T37" s="445"/>
      <c r="U37" s="434"/>
      <c r="V37" s="428" t="s">
        <v>250</v>
      </c>
      <c r="W37" s="362"/>
      <c r="X37" s="431"/>
    </row>
    <row r="38" spans="1:24" s="69" customFormat="1" ht="14.25" customHeight="1">
      <c r="A38" s="428" t="s">
        <v>37</v>
      </c>
      <c r="B38" s="428" t="s">
        <v>148</v>
      </c>
      <c r="C38" s="428" t="s">
        <v>792</v>
      </c>
      <c r="D38" s="391" t="s">
        <v>1300</v>
      </c>
      <c r="E38" s="428" t="s">
        <v>1239</v>
      </c>
      <c r="F38" s="428" t="s">
        <v>1356</v>
      </c>
      <c r="G38" s="428" t="s">
        <v>1357</v>
      </c>
      <c r="H38" s="428" t="s">
        <v>41</v>
      </c>
      <c r="I38" s="428" t="s">
        <v>242</v>
      </c>
      <c r="J38" s="428" t="s">
        <v>43</v>
      </c>
      <c r="K38" s="428" t="s">
        <v>43</v>
      </c>
      <c r="L38" s="428" t="s">
        <v>572</v>
      </c>
      <c r="M38" s="428" t="s">
        <v>44</v>
      </c>
      <c r="N38" s="428">
        <v>25.728653000000001</v>
      </c>
      <c r="O38" s="428">
        <v>96.673805000000002</v>
      </c>
      <c r="P38" s="428" t="s">
        <v>573</v>
      </c>
      <c r="Q38" s="428"/>
      <c r="R38" s="432">
        <v>0</v>
      </c>
      <c r="S38" s="433">
        <v>0</v>
      </c>
      <c r="T38" s="445"/>
      <c r="U38" s="434"/>
      <c r="V38" s="428" t="s">
        <v>792</v>
      </c>
      <c r="W38" s="428" t="s">
        <v>1629</v>
      </c>
      <c r="X38" s="391"/>
    </row>
    <row r="39" spans="1:24" s="69" customFormat="1" ht="14.25" customHeight="1">
      <c r="A39" s="428" t="s">
        <v>37</v>
      </c>
      <c r="B39" s="428" t="s">
        <v>148</v>
      </c>
      <c r="C39" s="428" t="s">
        <v>789</v>
      </c>
      <c r="D39" s="391" t="s">
        <v>1300</v>
      </c>
      <c r="E39" s="428" t="s">
        <v>1237</v>
      </c>
      <c r="F39" s="428" t="s">
        <v>1352</v>
      </c>
      <c r="G39" s="428" t="s">
        <v>1353</v>
      </c>
      <c r="H39" s="428"/>
      <c r="I39" s="428">
        <v>0</v>
      </c>
      <c r="J39" s="428" t="s">
        <v>43</v>
      </c>
      <c r="K39" s="428" t="s">
        <v>43</v>
      </c>
      <c r="L39" s="428" t="s">
        <v>572</v>
      </c>
      <c r="M39" s="428" t="s">
        <v>44</v>
      </c>
      <c r="N39" s="428">
        <v>25.668469999999999</v>
      </c>
      <c r="O39" s="428">
        <v>96.353070000000002</v>
      </c>
      <c r="P39" s="428" t="s">
        <v>573</v>
      </c>
      <c r="Q39" s="428"/>
      <c r="R39" s="432">
        <v>0</v>
      </c>
      <c r="S39" s="432">
        <v>0</v>
      </c>
      <c r="T39" s="445"/>
      <c r="U39" s="434"/>
      <c r="V39" s="428" t="s">
        <v>789</v>
      </c>
      <c r="W39" s="428" t="s">
        <v>1630</v>
      </c>
      <c r="X39" s="391"/>
    </row>
    <row r="40" spans="1:24" s="69" customFormat="1" ht="14.25" customHeight="1">
      <c r="A40" s="428" t="s">
        <v>37</v>
      </c>
      <c r="B40" s="428" t="s">
        <v>148</v>
      </c>
      <c r="C40" s="428" t="s">
        <v>251</v>
      </c>
      <c r="D40" s="431" t="s">
        <v>3023</v>
      </c>
      <c r="E40" s="428" t="s">
        <v>1219</v>
      </c>
      <c r="F40" s="428" t="s">
        <v>1309</v>
      </c>
      <c r="G40" s="428" t="s">
        <v>1309</v>
      </c>
      <c r="H40" s="428" t="s">
        <v>41</v>
      </c>
      <c r="I40" s="428" t="s">
        <v>242</v>
      </c>
      <c r="J40" s="428" t="s">
        <v>43</v>
      </c>
      <c r="K40" s="428" t="s">
        <v>43</v>
      </c>
      <c r="L40" s="428" t="s">
        <v>588</v>
      </c>
      <c r="M40" s="428" t="s">
        <v>44</v>
      </c>
      <c r="N40" s="428">
        <v>25.582065</v>
      </c>
      <c r="O40" s="428">
        <v>96.283377000000002</v>
      </c>
      <c r="P40" s="428" t="s">
        <v>573</v>
      </c>
      <c r="Q40" s="428" t="s">
        <v>592</v>
      </c>
      <c r="R40" s="440">
        <v>5</v>
      </c>
      <c r="S40" s="433">
        <v>24</v>
      </c>
      <c r="T40" s="445"/>
      <c r="U40" s="434"/>
      <c r="V40" s="428" t="s">
        <v>251</v>
      </c>
      <c r="W40" s="428"/>
      <c r="X40" s="431"/>
    </row>
    <row r="41" spans="1:24" s="69" customFormat="1" ht="14.25" customHeight="1">
      <c r="A41" s="428" t="s">
        <v>37</v>
      </c>
      <c r="B41" s="428" t="s">
        <v>148</v>
      </c>
      <c r="C41" s="428" t="s">
        <v>252</v>
      </c>
      <c r="D41" s="431" t="s">
        <v>3023</v>
      </c>
      <c r="E41" s="428" t="s">
        <v>1230</v>
      </c>
      <c r="F41" s="428" t="s">
        <v>1352</v>
      </c>
      <c r="G41" s="428" t="s">
        <v>1448</v>
      </c>
      <c r="H41" s="428" t="s">
        <v>41</v>
      </c>
      <c r="I41" s="428" t="s">
        <v>242</v>
      </c>
      <c r="J41" s="428" t="s">
        <v>43</v>
      </c>
      <c r="K41" s="428" t="s">
        <v>43</v>
      </c>
      <c r="L41" s="428" t="s">
        <v>43</v>
      </c>
      <c r="M41" s="428" t="s">
        <v>44</v>
      </c>
      <c r="N41" s="428">
        <v>25.637309999999999</v>
      </c>
      <c r="O41" s="428">
        <v>96.35257</v>
      </c>
      <c r="P41" s="428" t="s">
        <v>573</v>
      </c>
      <c r="Q41" s="428" t="s">
        <v>592</v>
      </c>
      <c r="R41" s="440">
        <v>91</v>
      </c>
      <c r="S41" s="433">
        <v>442</v>
      </c>
      <c r="T41" s="445"/>
      <c r="U41" s="434"/>
      <c r="V41" s="428" t="s">
        <v>252</v>
      </c>
      <c r="W41" s="428"/>
      <c r="X41" s="431"/>
    </row>
    <row r="42" spans="1:24" s="69" customFormat="1" ht="14.25" customHeight="1">
      <c r="A42" s="428" t="s">
        <v>37</v>
      </c>
      <c r="B42" s="428" t="s">
        <v>148</v>
      </c>
      <c r="C42" s="428" t="s">
        <v>149</v>
      </c>
      <c r="D42" s="431" t="s">
        <v>3023</v>
      </c>
      <c r="E42" s="428" t="s">
        <v>1214</v>
      </c>
      <c r="F42" s="428" t="s">
        <v>1441</v>
      </c>
      <c r="G42" s="428" t="s">
        <v>1442</v>
      </c>
      <c r="H42" s="428" t="s">
        <v>41</v>
      </c>
      <c r="I42" s="428" t="s">
        <v>2118</v>
      </c>
      <c r="J42" s="428" t="s">
        <v>43</v>
      </c>
      <c r="K42" s="428" t="s">
        <v>43</v>
      </c>
      <c r="L42" s="428" t="s">
        <v>43</v>
      </c>
      <c r="M42" s="428" t="s">
        <v>44</v>
      </c>
      <c r="N42" s="428">
        <v>25.51352</v>
      </c>
      <c r="O42" s="428">
        <v>96.705960000000005</v>
      </c>
      <c r="P42" s="428" t="s">
        <v>573</v>
      </c>
      <c r="Q42" s="428" t="s">
        <v>592</v>
      </c>
      <c r="R42" s="440">
        <v>26</v>
      </c>
      <c r="S42" s="433">
        <v>133</v>
      </c>
      <c r="T42" s="445"/>
      <c r="U42" s="434"/>
      <c r="V42" s="428" t="s">
        <v>149</v>
      </c>
      <c r="W42" s="428"/>
      <c r="X42" s="431"/>
    </row>
    <row r="43" spans="1:24" s="69" customFormat="1" ht="14.25" customHeight="1">
      <c r="A43" s="428" t="s">
        <v>37</v>
      </c>
      <c r="B43" s="428" t="s">
        <v>148</v>
      </c>
      <c r="C43" s="428" t="s">
        <v>253</v>
      </c>
      <c r="D43" s="391" t="s">
        <v>2675</v>
      </c>
      <c r="E43" s="428" t="s">
        <v>1225</v>
      </c>
      <c r="F43" s="428" t="s">
        <v>1446</v>
      </c>
      <c r="G43" s="428" t="s">
        <v>1447</v>
      </c>
      <c r="H43" s="428" t="s">
        <v>41</v>
      </c>
      <c r="I43" s="428" t="s">
        <v>242</v>
      </c>
      <c r="J43" s="428" t="s">
        <v>43</v>
      </c>
      <c r="K43" s="428" t="s">
        <v>43</v>
      </c>
      <c r="L43" s="428" t="s">
        <v>572</v>
      </c>
      <c r="M43" s="428" t="s">
        <v>44</v>
      </c>
      <c r="N43" s="428">
        <v>25.615960999999999</v>
      </c>
      <c r="O43" s="428">
        <v>96.316564</v>
      </c>
      <c r="P43" s="428" t="s">
        <v>573</v>
      </c>
      <c r="Q43" s="428" t="s">
        <v>592</v>
      </c>
      <c r="R43" s="432">
        <v>2</v>
      </c>
      <c r="S43" s="432">
        <v>14</v>
      </c>
      <c r="T43" s="445"/>
      <c r="U43" s="434"/>
      <c r="V43" s="428" t="s">
        <v>253</v>
      </c>
      <c r="W43" s="428"/>
      <c r="X43" s="391"/>
    </row>
    <row r="44" spans="1:24" s="69" customFormat="1" ht="14.25" customHeight="1">
      <c r="A44" s="437" t="s">
        <v>37</v>
      </c>
      <c r="B44" s="436" t="s">
        <v>148</v>
      </c>
      <c r="C44" s="430" t="s">
        <v>254</v>
      </c>
      <c r="D44" s="431" t="s">
        <v>3023</v>
      </c>
      <c r="E44" s="428" t="s">
        <v>1222</v>
      </c>
      <c r="F44" s="428" t="s">
        <v>1444</v>
      </c>
      <c r="G44" s="428" t="s">
        <v>1444</v>
      </c>
      <c r="H44" s="428" t="s">
        <v>41</v>
      </c>
      <c r="I44" s="428" t="s">
        <v>2118</v>
      </c>
      <c r="J44" s="428" t="s">
        <v>43</v>
      </c>
      <c r="K44" s="428" t="s">
        <v>43</v>
      </c>
      <c r="L44" s="428" t="s">
        <v>43</v>
      </c>
      <c r="M44" s="428" t="s">
        <v>44</v>
      </c>
      <c r="N44" s="428">
        <v>25.611160000000002</v>
      </c>
      <c r="O44" s="428">
        <v>96.312790000000007</v>
      </c>
      <c r="P44" s="428" t="s">
        <v>573</v>
      </c>
      <c r="Q44" s="428" t="s">
        <v>592</v>
      </c>
      <c r="R44" s="440">
        <v>97</v>
      </c>
      <c r="S44" s="433">
        <v>484</v>
      </c>
      <c r="T44" s="445"/>
      <c r="U44" s="434"/>
      <c r="V44" s="428" t="s">
        <v>254</v>
      </c>
      <c r="W44" s="428"/>
      <c r="X44" s="431"/>
    </row>
    <row r="45" spans="1:24" s="69" customFormat="1" ht="14.25" customHeight="1">
      <c r="A45" s="437" t="s">
        <v>37</v>
      </c>
      <c r="B45" s="436" t="s">
        <v>148</v>
      </c>
      <c r="C45" s="430" t="s">
        <v>1530</v>
      </c>
      <c r="D45" s="391"/>
      <c r="E45" s="430"/>
      <c r="F45" s="430"/>
      <c r="G45" s="430"/>
      <c r="H45" s="430"/>
      <c r="I45" s="428"/>
      <c r="J45" s="428" t="s">
        <v>1099</v>
      </c>
      <c r="K45" s="428" t="s">
        <v>43</v>
      </c>
      <c r="L45" s="430" t="s">
        <v>43</v>
      </c>
      <c r="M45" s="428" t="s">
        <v>44</v>
      </c>
      <c r="N45" s="428"/>
      <c r="O45" s="428"/>
      <c r="P45" s="430" t="s">
        <v>573</v>
      </c>
      <c r="Q45" s="428" t="s">
        <v>1531</v>
      </c>
      <c r="R45" s="432"/>
      <c r="S45" s="432"/>
      <c r="T45" s="445">
        <v>43270</v>
      </c>
      <c r="U45" s="438"/>
      <c r="V45" s="430"/>
      <c r="W45" s="362"/>
      <c r="X45" s="391"/>
    </row>
    <row r="46" spans="1:24" s="69" customFormat="1" ht="14.25" customHeight="1">
      <c r="A46" s="428" t="s">
        <v>37</v>
      </c>
      <c r="B46" s="428" t="s">
        <v>148</v>
      </c>
      <c r="C46" s="428" t="s">
        <v>1564</v>
      </c>
      <c r="D46" s="431" t="s">
        <v>3023</v>
      </c>
      <c r="E46" s="428" t="s">
        <v>1565</v>
      </c>
      <c r="F46" s="428"/>
      <c r="G46" s="428"/>
      <c r="H46" s="428"/>
      <c r="I46" s="428" t="s">
        <v>1035</v>
      </c>
      <c r="J46" s="428" t="s">
        <v>43</v>
      </c>
      <c r="K46" s="428" t="s">
        <v>43</v>
      </c>
      <c r="L46" s="428" t="s">
        <v>43</v>
      </c>
      <c r="M46" s="428" t="s">
        <v>44</v>
      </c>
      <c r="N46" s="428">
        <v>25.522594999999999</v>
      </c>
      <c r="O46" s="428">
        <v>96.711534</v>
      </c>
      <c r="P46" s="428" t="s">
        <v>573</v>
      </c>
      <c r="Q46" s="428" t="s">
        <v>1531</v>
      </c>
      <c r="R46" s="440">
        <v>14</v>
      </c>
      <c r="S46" s="433">
        <v>52</v>
      </c>
      <c r="T46" s="445">
        <v>43276</v>
      </c>
      <c r="U46" s="434" t="s">
        <v>1580</v>
      </c>
      <c r="V46" s="428"/>
      <c r="W46" s="362" t="s">
        <v>1736</v>
      </c>
      <c r="X46" s="431"/>
    </row>
    <row r="47" spans="1:24" s="69" customFormat="1" ht="14.25" customHeight="1">
      <c r="A47" s="437" t="s">
        <v>37</v>
      </c>
      <c r="B47" s="436" t="s">
        <v>148</v>
      </c>
      <c r="C47" s="430" t="s">
        <v>793</v>
      </c>
      <c r="D47" s="391" t="s">
        <v>1300</v>
      </c>
      <c r="E47" s="430" t="s">
        <v>1241</v>
      </c>
      <c r="F47" s="430" t="s">
        <v>1352</v>
      </c>
      <c r="G47" s="430" t="s">
        <v>1358</v>
      </c>
      <c r="H47" s="430" t="s">
        <v>41</v>
      </c>
      <c r="I47" s="428" t="s">
        <v>141</v>
      </c>
      <c r="J47" s="428" t="s">
        <v>43</v>
      </c>
      <c r="K47" s="428" t="s">
        <v>43</v>
      </c>
      <c r="L47" s="430" t="s">
        <v>572</v>
      </c>
      <c r="M47" s="428" t="s">
        <v>44</v>
      </c>
      <c r="N47" s="428">
        <v>25.806999999999999</v>
      </c>
      <c r="O47" s="428">
        <v>96.637</v>
      </c>
      <c r="P47" s="430" t="s">
        <v>573</v>
      </c>
      <c r="Q47" s="428" t="s">
        <v>592</v>
      </c>
      <c r="R47" s="432">
        <v>0</v>
      </c>
      <c r="S47" s="432">
        <v>0</v>
      </c>
      <c r="T47" s="445">
        <v>42983</v>
      </c>
      <c r="U47" s="438" t="s">
        <v>787</v>
      </c>
      <c r="V47" s="430" t="s">
        <v>793</v>
      </c>
      <c r="W47" s="362" t="s">
        <v>1632</v>
      </c>
      <c r="X47" s="391"/>
    </row>
    <row r="48" spans="1:24" s="69" customFormat="1" ht="14.25" customHeight="1">
      <c r="A48" s="437" t="s">
        <v>37</v>
      </c>
      <c r="B48" s="436" t="s">
        <v>148</v>
      </c>
      <c r="C48" s="430" t="s">
        <v>1562</v>
      </c>
      <c r="D48" s="431" t="s">
        <v>2997</v>
      </c>
      <c r="E48" s="428" t="s">
        <v>1563</v>
      </c>
      <c r="F48" s="428"/>
      <c r="G48" s="428"/>
      <c r="H48" s="428"/>
      <c r="I48" s="428" t="s">
        <v>1035</v>
      </c>
      <c r="J48" s="428" t="s">
        <v>43</v>
      </c>
      <c r="K48" s="428" t="s">
        <v>43</v>
      </c>
      <c r="L48" s="428" t="s">
        <v>572</v>
      </c>
      <c r="M48" s="428" t="s">
        <v>44</v>
      </c>
      <c r="N48" s="428">
        <v>25.54677963</v>
      </c>
      <c r="O48" s="428">
        <v>96.793539999999993</v>
      </c>
      <c r="P48" s="428" t="s">
        <v>573</v>
      </c>
      <c r="Q48" s="428" t="s">
        <v>1531</v>
      </c>
      <c r="R48" s="440">
        <v>50</v>
      </c>
      <c r="S48" s="433">
        <v>250</v>
      </c>
      <c r="T48" s="445">
        <v>43276</v>
      </c>
      <c r="U48" s="434" t="s">
        <v>1580</v>
      </c>
      <c r="V48" s="428"/>
      <c r="W48" s="428" t="s">
        <v>1737</v>
      </c>
      <c r="X48" s="431"/>
    </row>
    <row r="49" spans="1:24" s="69" customFormat="1" ht="14.25" customHeight="1">
      <c r="A49" s="428" t="s">
        <v>37</v>
      </c>
      <c r="B49" s="428" t="s">
        <v>148</v>
      </c>
      <c r="C49" s="428" t="s">
        <v>1532</v>
      </c>
      <c r="D49" s="391"/>
      <c r="E49" s="428"/>
      <c r="F49" s="428"/>
      <c r="G49" s="428"/>
      <c r="H49" s="428"/>
      <c r="I49" s="428"/>
      <c r="J49" s="428" t="s">
        <v>1099</v>
      </c>
      <c r="K49" s="428" t="s">
        <v>43</v>
      </c>
      <c r="L49" s="428" t="s">
        <v>43</v>
      </c>
      <c r="M49" s="428" t="s">
        <v>44</v>
      </c>
      <c r="N49" s="428"/>
      <c r="O49" s="428"/>
      <c r="P49" s="17" t="s">
        <v>573</v>
      </c>
      <c r="Q49" s="428" t="s">
        <v>1531</v>
      </c>
      <c r="R49" s="432"/>
      <c r="S49" s="432"/>
      <c r="T49" s="445">
        <v>43270</v>
      </c>
      <c r="U49" s="434"/>
      <c r="V49" s="428"/>
      <c r="W49" s="362"/>
      <c r="X49" s="391"/>
    </row>
    <row r="50" spans="1:24" s="69" customFormat="1" ht="14.25" customHeight="1">
      <c r="A50" s="428" t="s">
        <v>37</v>
      </c>
      <c r="B50" s="428" t="s">
        <v>148</v>
      </c>
      <c r="C50" s="428" t="s">
        <v>243</v>
      </c>
      <c r="D50" s="431" t="s">
        <v>3023</v>
      </c>
      <c r="E50" s="428" t="s">
        <v>1260</v>
      </c>
      <c r="F50" s="428" t="s">
        <v>1352</v>
      </c>
      <c r="G50" s="428" t="s">
        <v>1458</v>
      </c>
      <c r="H50" s="428" t="s">
        <v>41</v>
      </c>
      <c r="I50" s="428" t="s">
        <v>2118</v>
      </c>
      <c r="J50" s="428" t="s">
        <v>43</v>
      </c>
      <c r="K50" s="428" t="s">
        <v>43</v>
      </c>
      <c r="L50" s="428" t="s">
        <v>815</v>
      </c>
      <c r="M50" s="428" t="s">
        <v>44</v>
      </c>
      <c r="N50" s="428">
        <v>25.664000000000001</v>
      </c>
      <c r="O50" s="428">
        <v>96.34</v>
      </c>
      <c r="P50" s="428" t="s">
        <v>573</v>
      </c>
      <c r="Q50" s="428" t="s">
        <v>667</v>
      </c>
      <c r="R50" s="440">
        <v>124</v>
      </c>
      <c r="S50" s="433">
        <v>634</v>
      </c>
      <c r="T50" s="445">
        <v>42983</v>
      </c>
      <c r="U50" s="434" t="s">
        <v>831</v>
      </c>
      <c r="V50" s="428"/>
      <c r="W50" s="428" t="s">
        <v>2084</v>
      </c>
      <c r="X50" s="431"/>
    </row>
    <row r="51" spans="1:24" s="69" customFormat="1" ht="14.25" customHeight="1">
      <c r="A51" s="428" t="s">
        <v>37</v>
      </c>
      <c r="B51" s="428" t="s">
        <v>148</v>
      </c>
      <c r="C51" s="428" t="s">
        <v>255</v>
      </c>
      <c r="D51" s="431" t="s">
        <v>3023</v>
      </c>
      <c r="E51" s="428" t="s">
        <v>1216</v>
      </c>
      <c r="F51" s="428" t="s">
        <v>1309</v>
      </c>
      <c r="G51" s="428" t="s">
        <v>1310</v>
      </c>
      <c r="H51" s="428" t="s">
        <v>41</v>
      </c>
      <c r="I51" s="428" t="s">
        <v>242</v>
      </c>
      <c r="J51" s="428" t="s">
        <v>43</v>
      </c>
      <c r="K51" s="428" t="s">
        <v>43</v>
      </c>
      <c r="L51" s="428" t="s">
        <v>43</v>
      </c>
      <c r="M51" s="428" t="s">
        <v>44</v>
      </c>
      <c r="N51" s="428">
        <v>25.566510000000001</v>
      </c>
      <c r="O51" s="428">
        <v>96.269199999999998</v>
      </c>
      <c r="P51" s="428" t="s">
        <v>573</v>
      </c>
      <c r="Q51" s="428" t="s">
        <v>592</v>
      </c>
      <c r="R51" s="440">
        <v>19</v>
      </c>
      <c r="S51" s="433">
        <v>100</v>
      </c>
      <c r="T51" s="445"/>
      <c r="U51" s="434"/>
      <c r="V51" s="428" t="s">
        <v>255</v>
      </c>
      <c r="W51" s="428"/>
      <c r="X51" s="431"/>
    </row>
    <row r="52" spans="1:24" s="69" customFormat="1" ht="14.25" customHeight="1">
      <c r="A52" s="433" t="s">
        <v>37</v>
      </c>
      <c r="B52" s="436" t="s">
        <v>148</v>
      </c>
      <c r="C52" s="437" t="s">
        <v>256</v>
      </c>
      <c r="D52" s="431" t="s">
        <v>3023</v>
      </c>
      <c r="E52" s="428" t="s">
        <v>1228</v>
      </c>
      <c r="F52" s="428" t="s">
        <v>1446</v>
      </c>
      <c r="G52" s="428" t="s">
        <v>1447</v>
      </c>
      <c r="H52" s="428" t="s">
        <v>41</v>
      </c>
      <c r="I52" s="428" t="s">
        <v>242</v>
      </c>
      <c r="J52" s="428" t="s">
        <v>43</v>
      </c>
      <c r="K52" s="430" t="s">
        <v>43</v>
      </c>
      <c r="L52" s="430" t="s">
        <v>43</v>
      </c>
      <c r="M52" s="428" t="s">
        <v>44</v>
      </c>
      <c r="N52" s="428">
        <v>25.61842</v>
      </c>
      <c r="O52" s="428">
        <v>96.316400000000002</v>
      </c>
      <c r="P52" s="428" t="s">
        <v>573</v>
      </c>
      <c r="Q52" s="428" t="s">
        <v>592</v>
      </c>
      <c r="R52" s="440">
        <v>10</v>
      </c>
      <c r="S52" s="433">
        <v>54</v>
      </c>
      <c r="T52" s="445"/>
      <c r="U52" s="434"/>
      <c r="V52" s="428" t="s">
        <v>256</v>
      </c>
      <c r="W52" s="428"/>
      <c r="X52" s="431"/>
    </row>
    <row r="53" spans="1:24" s="69" customFormat="1" ht="14.25" customHeight="1">
      <c r="A53" s="428" t="s">
        <v>37</v>
      </c>
      <c r="B53" s="428" t="s">
        <v>148</v>
      </c>
      <c r="C53" s="428" t="s">
        <v>1592</v>
      </c>
      <c r="D53" s="391"/>
      <c r="E53" s="428"/>
      <c r="F53" s="428"/>
      <c r="G53" s="428"/>
      <c r="H53" s="428"/>
      <c r="I53" s="428"/>
      <c r="J53" s="428" t="s">
        <v>1099</v>
      </c>
      <c r="K53" s="428" t="s">
        <v>43</v>
      </c>
      <c r="L53" s="428" t="s">
        <v>588</v>
      </c>
      <c r="M53" s="428" t="s">
        <v>44</v>
      </c>
      <c r="N53" s="428"/>
      <c r="O53" s="428"/>
      <c r="P53" s="428" t="s">
        <v>573</v>
      </c>
      <c r="Q53" s="428"/>
      <c r="R53" s="432"/>
      <c r="S53" s="432"/>
      <c r="T53" s="445">
        <v>43297</v>
      </c>
      <c r="U53" s="434"/>
      <c r="V53" s="428"/>
      <c r="W53" s="428"/>
      <c r="X53" s="391"/>
    </row>
    <row r="54" spans="1:24" s="69" customFormat="1" ht="14.25" customHeight="1">
      <c r="A54" s="428" t="s">
        <v>37</v>
      </c>
      <c r="B54" s="428" t="s">
        <v>148</v>
      </c>
      <c r="C54" s="428" t="s">
        <v>257</v>
      </c>
      <c r="D54" s="431" t="s">
        <v>3023</v>
      </c>
      <c r="E54" s="428" t="s">
        <v>1224</v>
      </c>
      <c r="F54" s="428" t="s">
        <v>1446</v>
      </c>
      <c r="G54" s="428" t="s">
        <v>1447</v>
      </c>
      <c r="H54" s="428" t="s">
        <v>41</v>
      </c>
      <c r="I54" s="428" t="s">
        <v>242</v>
      </c>
      <c r="J54" s="428" t="s">
        <v>43</v>
      </c>
      <c r="K54" s="428" t="s">
        <v>43</v>
      </c>
      <c r="L54" s="428" t="s">
        <v>588</v>
      </c>
      <c r="M54" s="428" t="s">
        <v>44</v>
      </c>
      <c r="N54" s="428">
        <v>25.6145</v>
      </c>
      <c r="O54" s="428">
        <v>96.319829999999996</v>
      </c>
      <c r="P54" s="428" t="s">
        <v>573</v>
      </c>
      <c r="Q54" s="428" t="s">
        <v>592</v>
      </c>
      <c r="R54" s="440">
        <v>3</v>
      </c>
      <c r="S54" s="433">
        <v>14</v>
      </c>
      <c r="T54" s="445"/>
      <c r="U54" s="434"/>
      <c r="V54" s="428" t="s">
        <v>257</v>
      </c>
      <c r="W54" s="428"/>
      <c r="X54" s="431"/>
    </row>
    <row r="55" spans="1:24" s="69" customFormat="1" ht="14.25" customHeight="1">
      <c r="A55" s="428" t="s">
        <v>37</v>
      </c>
      <c r="B55" s="428" t="s">
        <v>148</v>
      </c>
      <c r="C55" s="428" t="s">
        <v>788</v>
      </c>
      <c r="D55" s="391" t="s">
        <v>1300</v>
      </c>
      <c r="E55" s="428" t="s">
        <v>1235</v>
      </c>
      <c r="F55" s="428" t="s">
        <v>1352</v>
      </c>
      <c r="G55" s="428" t="s">
        <v>1352</v>
      </c>
      <c r="H55" s="428"/>
      <c r="I55" s="428">
        <v>0</v>
      </c>
      <c r="J55" s="428" t="s">
        <v>43</v>
      </c>
      <c r="K55" s="428" t="s">
        <v>43</v>
      </c>
      <c r="L55" s="428" t="s">
        <v>572</v>
      </c>
      <c r="M55" s="428" t="s">
        <v>44</v>
      </c>
      <c r="N55" s="428">
        <v>25.658670000000001</v>
      </c>
      <c r="O55" s="428">
        <v>96.354159999999993</v>
      </c>
      <c r="P55" s="428" t="s">
        <v>573</v>
      </c>
      <c r="Q55" s="428"/>
      <c r="R55" s="432">
        <v>0</v>
      </c>
      <c r="S55" s="432">
        <v>0</v>
      </c>
      <c r="T55" s="445"/>
      <c r="U55" s="434"/>
      <c r="V55" s="428" t="s">
        <v>788</v>
      </c>
      <c r="W55" s="428" t="s">
        <v>1633</v>
      </c>
      <c r="X55" s="391"/>
    </row>
    <row r="56" spans="1:24" s="69" customFormat="1" ht="14.25" customHeight="1">
      <c r="A56" s="428" t="s">
        <v>37</v>
      </c>
      <c r="B56" s="428" t="s">
        <v>148</v>
      </c>
      <c r="C56" s="428" t="s">
        <v>190</v>
      </c>
      <c r="D56" s="431" t="s">
        <v>3023</v>
      </c>
      <c r="E56" s="430" t="s">
        <v>1246</v>
      </c>
      <c r="F56" s="428" t="s">
        <v>1359</v>
      </c>
      <c r="G56" s="428" t="s">
        <v>1360</v>
      </c>
      <c r="H56" s="428" t="s">
        <v>41</v>
      </c>
      <c r="I56" s="428" t="s">
        <v>1035</v>
      </c>
      <c r="J56" s="428" t="s">
        <v>43</v>
      </c>
      <c r="K56" s="428" t="s">
        <v>43</v>
      </c>
      <c r="L56" s="428" t="s">
        <v>43</v>
      </c>
      <c r="M56" s="428" t="s">
        <v>44</v>
      </c>
      <c r="N56" s="428">
        <v>25.920006000000001</v>
      </c>
      <c r="O56" s="428">
        <v>96.662092000000001</v>
      </c>
      <c r="P56" s="428" t="s">
        <v>573</v>
      </c>
      <c r="Q56" s="428" t="s">
        <v>574</v>
      </c>
      <c r="R56" s="440">
        <v>24</v>
      </c>
      <c r="S56" s="433">
        <v>101</v>
      </c>
      <c r="T56" s="445"/>
      <c r="U56" s="434"/>
      <c r="V56" s="428"/>
      <c r="W56" s="428"/>
      <c r="X56" s="431"/>
    </row>
    <row r="57" spans="1:24" s="69" customFormat="1" ht="14.25" customHeight="1">
      <c r="A57" s="428" t="s">
        <v>37</v>
      </c>
      <c r="B57" s="428" t="s">
        <v>148</v>
      </c>
      <c r="C57" s="428" t="s">
        <v>258</v>
      </c>
      <c r="D57" s="431" t="s">
        <v>3023</v>
      </c>
      <c r="E57" s="428" t="s">
        <v>1227</v>
      </c>
      <c r="F57" s="428" t="s">
        <v>1444</v>
      </c>
      <c r="G57" s="428" t="s">
        <v>1444</v>
      </c>
      <c r="H57" s="428" t="s">
        <v>41</v>
      </c>
      <c r="I57" s="428" t="s">
        <v>242</v>
      </c>
      <c r="J57" s="428" t="s">
        <v>43</v>
      </c>
      <c r="K57" s="428" t="s">
        <v>43</v>
      </c>
      <c r="L57" s="428" t="s">
        <v>588</v>
      </c>
      <c r="M57" s="428" t="s">
        <v>44</v>
      </c>
      <c r="N57" s="428">
        <v>25.617998</v>
      </c>
      <c r="O57" s="428">
        <v>96.339590000000001</v>
      </c>
      <c r="P57" s="428" t="s">
        <v>573</v>
      </c>
      <c r="Q57" s="428" t="s">
        <v>592</v>
      </c>
      <c r="R57" s="440">
        <v>7</v>
      </c>
      <c r="S57" s="433">
        <v>24</v>
      </c>
      <c r="T57" s="445"/>
      <c r="U57" s="434"/>
      <c r="V57" s="428" t="s">
        <v>258</v>
      </c>
      <c r="W57" s="428"/>
      <c r="X57" s="431"/>
    </row>
    <row r="58" spans="1:24" s="69" customFormat="1" ht="14.25" customHeight="1">
      <c r="A58" s="430" t="s">
        <v>37</v>
      </c>
      <c r="B58" s="430" t="s">
        <v>148</v>
      </c>
      <c r="C58" s="430" t="s">
        <v>231</v>
      </c>
      <c r="D58" s="431" t="s">
        <v>3023</v>
      </c>
      <c r="E58" s="428" t="s">
        <v>1223</v>
      </c>
      <c r="F58" s="428" t="s">
        <v>1444</v>
      </c>
      <c r="G58" s="428" t="s">
        <v>1444</v>
      </c>
      <c r="H58" s="428" t="s">
        <v>41</v>
      </c>
      <c r="I58" s="428" t="s">
        <v>1035</v>
      </c>
      <c r="J58" s="428" t="s">
        <v>43</v>
      </c>
      <c r="K58" s="428" t="s">
        <v>43</v>
      </c>
      <c r="L58" s="428" t="s">
        <v>43</v>
      </c>
      <c r="M58" s="428" t="s">
        <v>44</v>
      </c>
      <c r="N58" s="428">
        <v>25.613894999999999</v>
      </c>
      <c r="O58" s="428">
        <v>96.341352999999998</v>
      </c>
      <c r="P58" s="428" t="s">
        <v>573</v>
      </c>
      <c r="Q58" s="428" t="s">
        <v>592</v>
      </c>
      <c r="R58" s="440">
        <v>47</v>
      </c>
      <c r="S58" s="433">
        <v>226</v>
      </c>
      <c r="T58" s="445"/>
      <c r="U58" s="434"/>
      <c r="V58" s="428" t="s">
        <v>231</v>
      </c>
      <c r="W58" s="428"/>
      <c r="X58" s="431"/>
    </row>
    <row r="59" spans="1:24" s="69" customFormat="1" ht="14.25" customHeight="1">
      <c r="A59" s="428" t="s">
        <v>37</v>
      </c>
      <c r="B59" s="430" t="s">
        <v>148</v>
      </c>
      <c r="C59" s="430" t="s">
        <v>259</v>
      </c>
      <c r="D59" s="431" t="s">
        <v>3023</v>
      </c>
      <c r="E59" s="428" t="s">
        <v>1215</v>
      </c>
      <c r="F59" s="428" t="s">
        <v>1309</v>
      </c>
      <c r="G59" s="428" t="s">
        <v>1310</v>
      </c>
      <c r="H59" s="428" t="s">
        <v>41</v>
      </c>
      <c r="I59" s="428" t="s">
        <v>242</v>
      </c>
      <c r="J59" s="428" t="s">
        <v>43</v>
      </c>
      <c r="K59" s="428" t="s">
        <v>43</v>
      </c>
      <c r="L59" s="428" t="s">
        <v>588</v>
      </c>
      <c r="M59" s="428" t="s">
        <v>44</v>
      </c>
      <c r="N59" s="428">
        <v>25.56551</v>
      </c>
      <c r="O59" s="428">
        <v>96.279200000000003</v>
      </c>
      <c r="P59" s="428" t="s">
        <v>573</v>
      </c>
      <c r="Q59" s="428" t="s">
        <v>592</v>
      </c>
      <c r="R59" s="440">
        <v>16</v>
      </c>
      <c r="S59" s="433">
        <v>70</v>
      </c>
      <c r="T59" s="445"/>
      <c r="U59" s="434"/>
      <c r="V59" s="428" t="s">
        <v>259</v>
      </c>
      <c r="W59" s="362"/>
      <c r="X59" s="431"/>
    </row>
    <row r="60" spans="1:24" s="69" customFormat="1" ht="14.25" customHeight="1">
      <c r="A60" s="428" t="s">
        <v>37</v>
      </c>
      <c r="B60" s="430" t="s">
        <v>148</v>
      </c>
      <c r="C60" s="430" t="s">
        <v>260</v>
      </c>
      <c r="D60" s="391" t="s">
        <v>1300</v>
      </c>
      <c r="E60" s="428" t="s">
        <v>1236</v>
      </c>
      <c r="F60" s="428" t="s">
        <v>1309</v>
      </c>
      <c r="G60" s="428" t="s">
        <v>1310</v>
      </c>
      <c r="H60" s="428" t="s">
        <v>41</v>
      </c>
      <c r="I60" s="428" t="s">
        <v>141</v>
      </c>
      <c r="J60" s="428" t="s">
        <v>43</v>
      </c>
      <c r="K60" s="430" t="s">
        <v>43</v>
      </c>
      <c r="L60" s="430" t="s">
        <v>572</v>
      </c>
      <c r="M60" s="428" t="s">
        <v>44</v>
      </c>
      <c r="N60" s="428">
        <v>25.668399999999998</v>
      </c>
      <c r="O60" s="428">
        <v>96.353030000000004</v>
      </c>
      <c r="P60" s="428" t="s">
        <v>573</v>
      </c>
      <c r="Q60" s="428" t="s">
        <v>592</v>
      </c>
      <c r="R60" s="432">
        <v>8</v>
      </c>
      <c r="S60" s="432">
        <v>32</v>
      </c>
      <c r="T60" s="445"/>
      <c r="U60" s="434"/>
      <c r="V60" s="428" t="s">
        <v>260</v>
      </c>
      <c r="W60" s="428" t="s">
        <v>2085</v>
      </c>
      <c r="X60" s="391"/>
    </row>
    <row r="61" spans="1:24" s="69" customFormat="1" ht="14.25" customHeight="1">
      <c r="A61" s="430" t="s">
        <v>37</v>
      </c>
      <c r="B61" s="430" t="s">
        <v>148</v>
      </c>
      <c r="C61" s="430" t="s">
        <v>188</v>
      </c>
      <c r="D61" s="431" t="s">
        <v>3023</v>
      </c>
      <c r="E61" s="428" t="s">
        <v>1247</v>
      </c>
      <c r="F61" s="428" t="s">
        <v>1359</v>
      </c>
      <c r="G61" s="428" t="s">
        <v>1360</v>
      </c>
      <c r="H61" s="428" t="s">
        <v>41</v>
      </c>
      <c r="I61" s="428" t="s">
        <v>2118</v>
      </c>
      <c r="J61" s="428" t="s">
        <v>43</v>
      </c>
      <c r="K61" s="430" t="s">
        <v>43</v>
      </c>
      <c r="L61" s="428" t="s">
        <v>43</v>
      </c>
      <c r="M61" s="428" t="s">
        <v>44</v>
      </c>
      <c r="N61" s="428">
        <v>25.920006000000001</v>
      </c>
      <c r="O61" s="428">
        <v>96.662092000000001</v>
      </c>
      <c r="P61" s="428" t="s">
        <v>573</v>
      </c>
      <c r="Q61" s="428" t="s">
        <v>574</v>
      </c>
      <c r="R61" s="440">
        <v>24</v>
      </c>
      <c r="S61" s="433">
        <v>110</v>
      </c>
      <c r="T61" s="445"/>
      <c r="U61" s="434"/>
      <c r="V61" s="428"/>
      <c r="W61" s="428"/>
      <c r="X61" s="431"/>
    </row>
    <row r="62" spans="1:24" s="69" customFormat="1" ht="14.25" customHeight="1">
      <c r="A62" s="428" t="s">
        <v>37</v>
      </c>
      <c r="B62" s="428" t="s">
        <v>148</v>
      </c>
      <c r="C62" s="430" t="s">
        <v>189</v>
      </c>
      <c r="D62" s="391" t="s">
        <v>2642</v>
      </c>
      <c r="E62" s="428" t="s">
        <v>1248</v>
      </c>
      <c r="F62" s="428" t="s">
        <v>1359</v>
      </c>
      <c r="G62" s="428" t="s">
        <v>1360</v>
      </c>
      <c r="H62" s="428" t="s">
        <v>41</v>
      </c>
      <c r="I62" s="428" t="s">
        <v>1620</v>
      </c>
      <c r="J62" s="428" t="s">
        <v>43</v>
      </c>
      <c r="K62" s="430" t="s">
        <v>43</v>
      </c>
      <c r="L62" s="430" t="s">
        <v>572</v>
      </c>
      <c r="M62" s="428" t="s">
        <v>44</v>
      </c>
      <c r="N62" s="428">
        <v>25.920006000000001</v>
      </c>
      <c r="O62" s="428">
        <v>96.662092000000001</v>
      </c>
      <c r="P62" s="428" t="s">
        <v>573</v>
      </c>
      <c r="Q62" s="428" t="s">
        <v>574</v>
      </c>
      <c r="R62" s="432">
        <v>4</v>
      </c>
      <c r="S62" s="433">
        <v>11</v>
      </c>
      <c r="T62" s="445"/>
      <c r="U62" s="434" t="s">
        <v>2138</v>
      </c>
      <c r="V62" s="428"/>
      <c r="W62" s="428"/>
      <c r="X62" s="391"/>
    </row>
    <row r="63" spans="1:24" s="69" customFormat="1" ht="14.25" customHeight="1">
      <c r="A63" s="428" t="s">
        <v>37</v>
      </c>
      <c r="B63" s="430" t="s">
        <v>148</v>
      </c>
      <c r="C63" s="430" t="s">
        <v>191</v>
      </c>
      <c r="D63" s="391"/>
      <c r="E63" s="428"/>
      <c r="F63" s="428"/>
      <c r="G63" s="428"/>
      <c r="H63" s="428"/>
      <c r="I63" s="428"/>
      <c r="J63" s="428" t="s">
        <v>1099</v>
      </c>
      <c r="K63" s="428" t="s">
        <v>43</v>
      </c>
      <c r="L63" s="428" t="s">
        <v>43</v>
      </c>
      <c r="M63" s="428" t="s">
        <v>44</v>
      </c>
      <c r="N63" s="428"/>
      <c r="O63" s="428"/>
      <c r="P63" s="428" t="s">
        <v>573</v>
      </c>
      <c r="Q63" s="428" t="s">
        <v>574</v>
      </c>
      <c r="R63" s="432"/>
      <c r="S63" s="433"/>
      <c r="T63" s="445">
        <v>42824</v>
      </c>
      <c r="U63" s="434"/>
      <c r="V63" s="428"/>
      <c r="W63" s="362"/>
      <c r="X63" s="391"/>
    </row>
    <row r="64" spans="1:24" s="69" customFormat="1" ht="14.25" customHeight="1">
      <c r="A64" s="428" t="s">
        <v>37</v>
      </c>
      <c r="B64" s="428" t="s">
        <v>148</v>
      </c>
      <c r="C64" s="428" t="s">
        <v>3045</v>
      </c>
      <c r="D64" s="431" t="s">
        <v>3023</v>
      </c>
      <c r="E64" s="428" t="s">
        <v>1233</v>
      </c>
      <c r="F64" s="428" t="s">
        <v>1352</v>
      </c>
      <c r="G64" s="428" t="s">
        <v>1352</v>
      </c>
      <c r="H64" s="428" t="s">
        <v>41</v>
      </c>
      <c r="I64" s="428" t="s">
        <v>1035</v>
      </c>
      <c r="J64" s="428" t="s">
        <v>43</v>
      </c>
      <c r="K64" s="428" t="s">
        <v>43</v>
      </c>
      <c r="L64" s="428" t="s">
        <v>43</v>
      </c>
      <c r="M64" s="428" t="s">
        <v>44</v>
      </c>
      <c r="N64" s="428">
        <v>25.656009999999998</v>
      </c>
      <c r="O64" s="428">
        <v>96.361609999999999</v>
      </c>
      <c r="P64" s="428" t="s">
        <v>573</v>
      </c>
      <c r="Q64" s="428" t="s">
        <v>592</v>
      </c>
      <c r="R64" s="440">
        <v>90</v>
      </c>
      <c r="S64" s="433">
        <v>456</v>
      </c>
      <c r="T64" s="445"/>
      <c r="U64" s="434"/>
      <c r="V64" s="428" t="s">
        <v>230</v>
      </c>
      <c r="W64" s="362"/>
      <c r="X64" s="431"/>
    </row>
    <row r="65" spans="1:24" s="69" customFormat="1" ht="14.25" customHeight="1">
      <c r="A65" s="428" t="s">
        <v>37</v>
      </c>
      <c r="B65" s="430" t="s">
        <v>148</v>
      </c>
      <c r="C65" s="430" t="s">
        <v>797</v>
      </c>
      <c r="D65" s="391" t="s">
        <v>1300</v>
      </c>
      <c r="E65" s="430" t="s">
        <v>1249</v>
      </c>
      <c r="F65" s="428" t="s">
        <v>1359</v>
      </c>
      <c r="G65" s="428" t="s">
        <v>1360</v>
      </c>
      <c r="H65" s="428"/>
      <c r="I65" s="428">
        <v>0</v>
      </c>
      <c r="J65" s="428" t="s">
        <v>43</v>
      </c>
      <c r="K65" s="428" t="s">
        <v>43</v>
      </c>
      <c r="L65" s="428" t="s">
        <v>572</v>
      </c>
      <c r="M65" s="428" t="s">
        <v>44</v>
      </c>
      <c r="N65" s="428">
        <v>25.920006000000001</v>
      </c>
      <c r="O65" s="428">
        <v>96.662092000000001</v>
      </c>
      <c r="P65" s="428" t="s">
        <v>573</v>
      </c>
      <c r="Q65" s="428" t="s">
        <v>574</v>
      </c>
      <c r="R65" s="432">
        <v>0</v>
      </c>
      <c r="S65" s="433">
        <v>0</v>
      </c>
      <c r="T65" s="445"/>
      <c r="U65" s="434"/>
      <c r="V65" s="428"/>
      <c r="W65" s="362" t="s">
        <v>1628</v>
      </c>
      <c r="X65" s="391"/>
    </row>
    <row r="66" spans="1:24" s="69" customFormat="1" ht="14.25" customHeight="1">
      <c r="A66" s="428" t="s">
        <v>37</v>
      </c>
      <c r="B66" s="430" t="s">
        <v>148</v>
      </c>
      <c r="C66" s="430" t="s">
        <v>794</v>
      </c>
      <c r="D66" s="391" t="s">
        <v>1300</v>
      </c>
      <c r="E66" s="428" t="s">
        <v>1242</v>
      </c>
      <c r="F66" s="428" t="s">
        <v>1359</v>
      </c>
      <c r="G66" s="428" t="s">
        <v>1359</v>
      </c>
      <c r="H66" s="428"/>
      <c r="I66" s="428">
        <v>0</v>
      </c>
      <c r="J66" s="428" t="s">
        <v>43</v>
      </c>
      <c r="K66" s="428" t="s">
        <v>43</v>
      </c>
      <c r="L66" s="428" t="s">
        <v>572</v>
      </c>
      <c r="M66" s="428" t="s">
        <v>44</v>
      </c>
      <c r="N66" s="428">
        <v>25.806999999999999</v>
      </c>
      <c r="O66" s="428">
        <v>96.637</v>
      </c>
      <c r="P66" s="428" t="s">
        <v>573</v>
      </c>
      <c r="Q66" s="428" t="s">
        <v>574</v>
      </c>
      <c r="R66" s="432">
        <v>0</v>
      </c>
      <c r="S66" s="433">
        <v>0</v>
      </c>
      <c r="T66" s="445">
        <v>42983</v>
      </c>
      <c r="U66" s="434" t="s">
        <v>795</v>
      </c>
      <c r="V66" s="428"/>
      <c r="W66" s="428" t="s">
        <v>1634</v>
      </c>
      <c r="X66" s="391"/>
    </row>
    <row r="67" spans="1:24" s="69" customFormat="1" ht="14.25" customHeight="1">
      <c r="A67" s="428" t="s">
        <v>37</v>
      </c>
      <c r="B67" s="430" t="s">
        <v>148</v>
      </c>
      <c r="C67" s="430" t="s">
        <v>784</v>
      </c>
      <c r="D67" s="391" t="s">
        <v>1300</v>
      </c>
      <c r="E67" s="428" t="s">
        <v>1218</v>
      </c>
      <c r="F67" s="428" t="s">
        <v>1309</v>
      </c>
      <c r="G67" s="428" t="s">
        <v>1309</v>
      </c>
      <c r="H67" s="428" t="s">
        <v>41</v>
      </c>
      <c r="I67" s="428" t="s">
        <v>1035</v>
      </c>
      <c r="J67" s="428" t="s">
        <v>43</v>
      </c>
      <c r="K67" s="428" t="s">
        <v>43</v>
      </c>
      <c r="L67" s="428" t="s">
        <v>572</v>
      </c>
      <c r="M67" s="428" t="s">
        <v>44</v>
      </c>
      <c r="N67" s="428">
        <v>25.57921</v>
      </c>
      <c r="O67" s="428">
        <v>96.288250000000005</v>
      </c>
      <c r="P67" s="428" t="s">
        <v>573</v>
      </c>
      <c r="Q67" s="428"/>
      <c r="R67" s="432">
        <v>0</v>
      </c>
      <c r="S67" s="432">
        <v>0</v>
      </c>
      <c r="T67" s="445"/>
      <c r="U67" s="434"/>
      <c r="V67" s="428" t="s">
        <v>784</v>
      </c>
      <c r="W67" s="428" t="s">
        <v>1635</v>
      </c>
      <c r="X67" s="391"/>
    </row>
    <row r="68" spans="1:24" s="69" customFormat="1" ht="14.25" customHeight="1">
      <c r="A68" s="428" t="s">
        <v>37</v>
      </c>
      <c r="B68" s="430" t="s">
        <v>148</v>
      </c>
      <c r="C68" s="430" t="s">
        <v>261</v>
      </c>
      <c r="D68" s="431" t="s">
        <v>3023</v>
      </c>
      <c r="E68" s="428" t="s">
        <v>1217</v>
      </c>
      <c r="F68" s="428" t="s">
        <v>1309</v>
      </c>
      <c r="G68" s="428" t="s">
        <v>1443</v>
      </c>
      <c r="H68" s="428" t="s">
        <v>41</v>
      </c>
      <c r="I68" s="428" t="s">
        <v>2118</v>
      </c>
      <c r="J68" s="428" t="s">
        <v>43</v>
      </c>
      <c r="K68" s="428" t="s">
        <v>43</v>
      </c>
      <c r="L68" s="428" t="s">
        <v>43</v>
      </c>
      <c r="M68" s="428" t="s">
        <v>44</v>
      </c>
      <c r="N68" s="428">
        <v>25.577559999999998</v>
      </c>
      <c r="O68" s="428">
        <v>96.286680000000004</v>
      </c>
      <c r="P68" s="428" t="s">
        <v>573</v>
      </c>
      <c r="Q68" s="428" t="s">
        <v>592</v>
      </c>
      <c r="R68" s="440">
        <v>25</v>
      </c>
      <c r="S68" s="433">
        <v>133</v>
      </c>
      <c r="T68" s="445"/>
      <c r="U68" s="434"/>
      <c r="V68" s="428" t="s">
        <v>261</v>
      </c>
      <c r="W68" s="428"/>
      <c r="X68" s="431"/>
    </row>
    <row r="69" spans="1:24" s="69" customFormat="1" ht="14.25" customHeight="1">
      <c r="A69" s="433" t="s">
        <v>37</v>
      </c>
      <c r="B69" s="436" t="s">
        <v>148</v>
      </c>
      <c r="C69" s="437" t="s">
        <v>262</v>
      </c>
      <c r="D69" s="431" t="s">
        <v>3023</v>
      </c>
      <c r="E69" s="428" t="s">
        <v>1220</v>
      </c>
      <c r="F69" s="428" t="s">
        <v>1444</v>
      </c>
      <c r="G69" s="428" t="s">
        <v>1444</v>
      </c>
      <c r="H69" s="428" t="s">
        <v>41</v>
      </c>
      <c r="I69" s="428" t="s">
        <v>2118</v>
      </c>
      <c r="J69" s="428" t="s">
        <v>43</v>
      </c>
      <c r="K69" s="428" t="s">
        <v>43</v>
      </c>
      <c r="L69" s="428" t="s">
        <v>43</v>
      </c>
      <c r="M69" s="428" t="s">
        <v>44</v>
      </c>
      <c r="N69" s="428">
        <v>25.599250000000001</v>
      </c>
      <c r="O69" s="428">
        <v>96.306910999999999</v>
      </c>
      <c r="P69" s="428" t="s">
        <v>573</v>
      </c>
      <c r="Q69" s="428" t="s">
        <v>592</v>
      </c>
      <c r="R69" s="440">
        <v>16</v>
      </c>
      <c r="S69" s="433">
        <v>64</v>
      </c>
      <c r="T69" s="445"/>
      <c r="U69" s="440"/>
      <c r="V69" s="428" t="s">
        <v>262</v>
      </c>
      <c r="W69" s="432"/>
      <c r="X69" s="431"/>
    </row>
    <row r="70" spans="1:24" s="69" customFormat="1" ht="14.25" customHeight="1">
      <c r="A70" s="428" t="s">
        <v>37</v>
      </c>
      <c r="B70" s="428" t="s">
        <v>587</v>
      </c>
      <c r="C70" s="428" t="s">
        <v>2715</v>
      </c>
      <c r="D70" s="431" t="s">
        <v>3023</v>
      </c>
      <c r="E70" s="428" t="s">
        <v>2724</v>
      </c>
      <c r="F70" s="428" t="s">
        <v>2725</v>
      </c>
      <c r="G70" s="428" t="s">
        <v>2726</v>
      </c>
      <c r="H70" s="428" t="s">
        <v>41</v>
      </c>
      <c r="I70" s="428" t="s">
        <v>2727</v>
      </c>
      <c r="J70" s="428" t="s">
        <v>43</v>
      </c>
      <c r="K70" s="428" t="s">
        <v>43</v>
      </c>
      <c r="L70" s="428" t="s">
        <v>43</v>
      </c>
      <c r="M70" s="428" t="s">
        <v>590</v>
      </c>
      <c r="N70" s="428">
        <v>26.007408000000002</v>
      </c>
      <c r="O70" s="428">
        <v>97.823777000000007</v>
      </c>
      <c r="P70" s="428"/>
      <c r="Q70" s="428" t="s">
        <v>2722</v>
      </c>
      <c r="R70" s="440">
        <v>140</v>
      </c>
      <c r="S70" s="433">
        <v>659</v>
      </c>
      <c r="T70" s="445">
        <v>44544</v>
      </c>
      <c r="U70" s="434"/>
      <c r="V70" s="428"/>
      <c r="W70" s="428"/>
      <c r="X70" s="431"/>
    </row>
    <row r="71" spans="1:24" s="69" customFormat="1" ht="14.25" customHeight="1">
      <c r="A71" s="433" t="s">
        <v>37</v>
      </c>
      <c r="B71" s="436" t="s">
        <v>587</v>
      </c>
      <c r="C71" s="437" t="s">
        <v>2254</v>
      </c>
      <c r="D71" s="431"/>
      <c r="E71" s="428"/>
      <c r="F71" s="428"/>
      <c r="G71" s="428"/>
      <c r="H71" s="428"/>
      <c r="I71" s="428"/>
      <c r="J71" s="428" t="s">
        <v>607</v>
      </c>
      <c r="K71" s="428" t="s">
        <v>607</v>
      </c>
      <c r="L71" s="428" t="s">
        <v>826</v>
      </c>
      <c r="M71" s="428" t="s">
        <v>590</v>
      </c>
      <c r="N71" s="428"/>
      <c r="O71" s="428"/>
      <c r="P71" s="428"/>
      <c r="Q71" s="428" t="s">
        <v>2248</v>
      </c>
      <c r="R71" s="440"/>
      <c r="S71" s="433"/>
      <c r="T71" s="445">
        <v>43851</v>
      </c>
      <c r="U71" s="440"/>
      <c r="V71" s="428"/>
      <c r="W71" s="432"/>
      <c r="X71" s="431"/>
    </row>
    <row r="72" spans="1:24" s="69" customFormat="1" ht="14.25" customHeight="1">
      <c r="A72" s="428" t="s">
        <v>37</v>
      </c>
      <c r="B72" s="428" t="s">
        <v>587</v>
      </c>
      <c r="C72" s="428" t="s">
        <v>586</v>
      </c>
      <c r="D72" s="391" t="s">
        <v>1300</v>
      </c>
      <c r="E72" s="430" t="s">
        <v>1039</v>
      </c>
      <c r="F72" s="428">
        <v>0</v>
      </c>
      <c r="G72" s="428">
        <v>0</v>
      </c>
      <c r="H72" s="428"/>
      <c r="I72" s="428">
        <v>0</v>
      </c>
      <c r="J72" s="428" t="s">
        <v>43</v>
      </c>
      <c r="K72" s="428" t="s">
        <v>43</v>
      </c>
      <c r="L72" s="428" t="s">
        <v>572</v>
      </c>
      <c r="M72" s="428" t="s">
        <v>44</v>
      </c>
      <c r="N72" s="428"/>
      <c r="O72" s="428"/>
      <c r="P72" s="428" t="s">
        <v>573</v>
      </c>
      <c r="Q72" s="428"/>
      <c r="R72" s="432">
        <v>0</v>
      </c>
      <c r="S72" s="433">
        <v>0</v>
      </c>
      <c r="T72" s="445"/>
      <c r="U72" s="434"/>
      <c r="V72" s="428" t="s">
        <v>586</v>
      </c>
      <c r="W72" s="362" t="s">
        <v>1636</v>
      </c>
      <c r="X72" s="391"/>
    </row>
    <row r="73" spans="1:24" s="69" customFormat="1" ht="14.25" customHeight="1">
      <c r="A73" s="428" t="s">
        <v>37</v>
      </c>
      <c r="B73" s="428" t="s">
        <v>587</v>
      </c>
      <c r="C73" s="428" t="s">
        <v>2255</v>
      </c>
      <c r="D73" s="391"/>
      <c r="E73" s="428"/>
      <c r="F73" s="428"/>
      <c r="G73" s="428"/>
      <c r="H73" s="428"/>
      <c r="I73" s="428"/>
      <c r="J73" s="428" t="s">
        <v>607</v>
      </c>
      <c r="K73" s="428" t="s">
        <v>607</v>
      </c>
      <c r="L73" s="428" t="s">
        <v>826</v>
      </c>
      <c r="M73" s="428" t="s">
        <v>590</v>
      </c>
      <c r="N73" s="428"/>
      <c r="O73" s="428"/>
      <c r="P73" s="428"/>
      <c r="Q73" s="428" t="s">
        <v>2248</v>
      </c>
      <c r="R73" s="432"/>
      <c r="S73" s="433"/>
      <c r="T73" s="445">
        <v>43851</v>
      </c>
      <c r="U73" s="434"/>
      <c r="V73" s="428"/>
      <c r="W73" s="362"/>
      <c r="X73" s="391"/>
    </row>
    <row r="74" spans="1:24" s="69" customFormat="1" ht="14.25" customHeight="1">
      <c r="A74" s="430" t="s">
        <v>37</v>
      </c>
      <c r="B74" s="430" t="s">
        <v>801</v>
      </c>
      <c r="C74" s="430" t="s">
        <v>800</v>
      </c>
      <c r="D74" s="431" t="s">
        <v>1300</v>
      </c>
      <c r="E74" s="439" t="s">
        <v>1253</v>
      </c>
      <c r="F74" s="439" t="s">
        <v>1361</v>
      </c>
      <c r="G74" s="439" t="s">
        <v>800</v>
      </c>
      <c r="H74" s="439"/>
      <c r="I74" s="439">
        <v>0</v>
      </c>
      <c r="J74" s="428" t="s">
        <v>43</v>
      </c>
      <c r="K74" s="430" t="s">
        <v>43</v>
      </c>
      <c r="L74" s="430" t="s">
        <v>572</v>
      </c>
      <c r="M74" s="428" t="s">
        <v>44</v>
      </c>
      <c r="N74" s="428">
        <v>26.890058</v>
      </c>
      <c r="O74" s="428">
        <v>98.144502500000002</v>
      </c>
      <c r="P74" s="428" t="s">
        <v>573</v>
      </c>
      <c r="Q74" s="428"/>
      <c r="R74" s="440">
        <v>0</v>
      </c>
      <c r="S74" s="433">
        <v>0</v>
      </c>
      <c r="T74" s="445"/>
      <c r="U74" s="434"/>
      <c r="V74" s="428" t="s">
        <v>800</v>
      </c>
      <c r="W74" s="428" t="s">
        <v>1637</v>
      </c>
      <c r="X74" s="431"/>
    </row>
    <row r="75" spans="1:24" s="69" customFormat="1" ht="14.25" customHeight="1">
      <c r="A75" s="430" t="s">
        <v>37</v>
      </c>
      <c r="B75" s="430" t="s">
        <v>806</v>
      </c>
      <c r="C75" s="430" t="s">
        <v>805</v>
      </c>
      <c r="D75" s="431" t="s">
        <v>1300</v>
      </c>
      <c r="E75" s="439" t="s">
        <v>1256</v>
      </c>
      <c r="F75" s="439">
        <v>0</v>
      </c>
      <c r="G75" s="439">
        <v>0</v>
      </c>
      <c r="H75" s="439"/>
      <c r="I75" s="439">
        <v>0</v>
      </c>
      <c r="J75" s="428" t="s">
        <v>43</v>
      </c>
      <c r="K75" s="430" t="s">
        <v>43</v>
      </c>
      <c r="L75" s="430" t="s">
        <v>572</v>
      </c>
      <c r="M75" s="430" t="s">
        <v>44</v>
      </c>
      <c r="N75" s="430">
        <v>27.274059999999999</v>
      </c>
      <c r="O75" s="430">
        <v>97.586470000000006</v>
      </c>
      <c r="P75" s="428" t="s">
        <v>573</v>
      </c>
      <c r="Q75" s="430"/>
      <c r="R75" s="441">
        <v>0</v>
      </c>
      <c r="S75" s="437">
        <v>0</v>
      </c>
      <c r="T75" s="446"/>
      <c r="U75" s="438"/>
      <c r="V75" s="430" t="s">
        <v>807</v>
      </c>
      <c r="W75" s="428" t="s">
        <v>1638</v>
      </c>
      <c r="X75" s="431"/>
    </row>
    <row r="76" spans="1:24" s="69" customFormat="1" ht="14.25" customHeight="1">
      <c r="A76" s="428" t="s">
        <v>37</v>
      </c>
      <c r="B76" s="428" t="s">
        <v>1025</v>
      </c>
      <c r="C76" s="428" t="s">
        <v>1472</v>
      </c>
      <c r="D76" s="391"/>
      <c r="E76" s="428"/>
      <c r="F76" s="428"/>
      <c r="G76" s="428"/>
      <c r="H76" s="428"/>
      <c r="I76" s="428"/>
      <c r="J76" s="428" t="s">
        <v>1099</v>
      </c>
      <c r="K76" s="428" t="s">
        <v>43</v>
      </c>
      <c r="L76" s="428" t="s">
        <v>43</v>
      </c>
      <c r="M76" s="428"/>
      <c r="N76" s="428"/>
      <c r="O76" s="428"/>
      <c r="P76" s="428" t="s">
        <v>573</v>
      </c>
      <c r="Q76" s="428"/>
      <c r="R76" s="432"/>
      <c r="S76" s="433"/>
      <c r="T76" s="445"/>
      <c r="U76" s="434"/>
      <c r="V76" s="428"/>
      <c r="W76" s="428"/>
      <c r="X76" s="391"/>
    </row>
    <row r="77" spans="1:24" s="69" customFormat="1" ht="14.25" customHeight="1">
      <c r="A77" s="428" t="s">
        <v>37</v>
      </c>
      <c r="B77" s="428" t="s">
        <v>1025</v>
      </c>
      <c r="C77" s="428" t="s">
        <v>1026</v>
      </c>
      <c r="D77" s="391"/>
      <c r="E77" s="428"/>
      <c r="F77" s="428"/>
      <c r="G77" s="428"/>
      <c r="H77" s="428"/>
      <c r="I77" s="428"/>
      <c r="J77" s="428" t="s">
        <v>1099</v>
      </c>
      <c r="K77" s="428" t="s">
        <v>43</v>
      </c>
      <c r="L77" s="428" t="s">
        <v>43</v>
      </c>
      <c r="M77" s="428"/>
      <c r="N77" s="428"/>
      <c r="O77" s="428"/>
      <c r="P77" s="428" t="s">
        <v>573</v>
      </c>
      <c r="Q77" s="428"/>
      <c r="R77" s="432"/>
      <c r="S77" s="433"/>
      <c r="T77" s="445"/>
      <c r="U77" s="434"/>
      <c r="V77" s="428"/>
      <c r="W77" s="362"/>
      <c r="X77" s="391"/>
    </row>
    <row r="78" spans="1:24" s="69" customFormat="1" ht="14.25" customHeight="1">
      <c r="A78" s="428" t="s">
        <v>37</v>
      </c>
      <c r="B78" s="428" t="s">
        <v>38</v>
      </c>
      <c r="C78" s="428" t="s">
        <v>577</v>
      </c>
      <c r="D78" s="391" t="s">
        <v>1300</v>
      </c>
      <c r="E78" s="428" t="s">
        <v>1030</v>
      </c>
      <c r="F78" s="428">
        <v>0</v>
      </c>
      <c r="G78" s="428">
        <v>0</v>
      </c>
      <c r="H78" s="428"/>
      <c r="I78" s="428">
        <v>0</v>
      </c>
      <c r="J78" s="428" t="s">
        <v>43</v>
      </c>
      <c r="K78" s="428" t="s">
        <v>43</v>
      </c>
      <c r="L78" s="428" t="s">
        <v>572</v>
      </c>
      <c r="M78" s="428" t="s">
        <v>44</v>
      </c>
      <c r="N78" s="428"/>
      <c r="O78" s="428"/>
      <c r="P78" s="428" t="s">
        <v>573</v>
      </c>
      <c r="Q78" s="428"/>
      <c r="R78" s="432">
        <v>0</v>
      </c>
      <c r="S78" s="433">
        <v>0</v>
      </c>
      <c r="T78" s="445"/>
      <c r="U78" s="434"/>
      <c r="V78" s="428" t="s">
        <v>577</v>
      </c>
      <c r="W78" s="428" t="s">
        <v>1639</v>
      </c>
      <c r="X78" s="391"/>
    </row>
    <row r="79" spans="1:24" s="69" customFormat="1" ht="14.25" customHeight="1">
      <c r="A79" s="428" t="s">
        <v>37</v>
      </c>
      <c r="B79" s="428" t="s">
        <v>38</v>
      </c>
      <c r="C79" s="428" t="s">
        <v>578</v>
      </c>
      <c r="D79" s="391" t="s">
        <v>1300</v>
      </c>
      <c r="E79" s="428" t="s">
        <v>1031</v>
      </c>
      <c r="F79" s="428">
        <v>0</v>
      </c>
      <c r="G79" s="428">
        <v>0</v>
      </c>
      <c r="H79" s="428"/>
      <c r="I79" s="428">
        <v>0</v>
      </c>
      <c r="J79" s="428" t="s">
        <v>43</v>
      </c>
      <c r="K79" s="428" t="s">
        <v>43</v>
      </c>
      <c r="L79" s="428" t="s">
        <v>572</v>
      </c>
      <c r="M79" s="428" t="s">
        <v>44</v>
      </c>
      <c r="N79" s="428"/>
      <c r="O79" s="428"/>
      <c r="P79" s="428" t="s">
        <v>573</v>
      </c>
      <c r="Q79" s="428"/>
      <c r="R79" s="432">
        <v>0</v>
      </c>
      <c r="S79" s="432">
        <v>0</v>
      </c>
      <c r="T79" s="445"/>
      <c r="U79" s="434"/>
      <c r="V79" s="428" t="s">
        <v>578</v>
      </c>
      <c r="W79" s="428" t="s">
        <v>1640</v>
      </c>
      <c r="X79" s="391"/>
    </row>
    <row r="80" spans="1:24" s="69" customFormat="1" ht="14.25" customHeight="1">
      <c r="A80" s="428" t="s">
        <v>37</v>
      </c>
      <c r="B80" s="428" t="s">
        <v>38</v>
      </c>
      <c r="C80" s="428" t="s">
        <v>579</v>
      </c>
      <c r="D80" s="391" t="s">
        <v>1300</v>
      </c>
      <c r="E80" s="428" t="s">
        <v>1032</v>
      </c>
      <c r="F80" s="428">
        <v>0</v>
      </c>
      <c r="G80" s="428">
        <v>0</v>
      </c>
      <c r="H80" s="428"/>
      <c r="I80" s="428">
        <v>0</v>
      </c>
      <c r="J80" s="428" t="s">
        <v>43</v>
      </c>
      <c r="K80" s="428" t="s">
        <v>43</v>
      </c>
      <c r="L80" s="428" t="s">
        <v>572</v>
      </c>
      <c r="M80" s="428" t="s">
        <v>44</v>
      </c>
      <c r="N80" s="428"/>
      <c r="O80" s="428"/>
      <c r="P80" s="428" t="s">
        <v>573</v>
      </c>
      <c r="Q80" s="428"/>
      <c r="R80" s="432">
        <v>0</v>
      </c>
      <c r="S80" s="433">
        <v>0</v>
      </c>
      <c r="T80" s="445"/>
      <c r="U80" s="434"/>
      <c r="V80" s="428" t="s">
        <v>579</v>
      </c>
      <c r="W80" s="428" t="s">
        <v>1639</v>
      </c>
      <c r="X80" s="391"/>
    </row>
    <row r="81" spans="1:24" s="69" customFormat="1" ht="14.25" customHeight="1">
      <c r="A81" s="428" t="s">
        <v>37</v>
      </c>
      <c r="B81" s="428" t="s">
        <v>38</v>
      </c>
      <c r="C81" s="428" t="s">
        <v>1490</v>
      </c>
      <c r="D81" s="431" t="s">
        <v>3023</v>
      </c>
      <c r="E81" s="428" t="s">
        <v>1101</v>
      </c>
      <c r="F81" s="428" t="s">
        <v>1329</v>
      </c>
      <c r="G81" s="428" t="s">
        <v>1329</v>
      </c>
      <c r="H81" s="428" t="s">
        <v>41</v>
      </c>
      <c r="I81" s="428" t="s">
        <v>42</v>
      </c>
      <c r="J81" s="428" t="s">
        <v>43</v>
      </c>
      <c r="K81" s="428" t="s">
        <v>43</v>
      </c>
      <c r="L81" s="428" t="s">
        <v>43</v>
      </c>
      <c r="M81" s="428" t="s">
        <v>590</v>
      </c>
      <c r="N81" s="428">
        <v>24.002433</v>
      </c>
      <c r="O81" s="428">
        <v>97.609832999999995</v>
      </c>
      <c r="P81" s="428" t="s">
        <v>573</v>
      </c>
      <c r="Q81" s="428" t="s">
        <v>574</v>
      </c>
      <c r="R81" s="440">
        <v>388</v>
      </c>
      <c r="S81" s="433">
        <v>1900</v>
      </c>
      <c r="T81" s="445"/>
      <c r="U81" s="434"/>
      <c r="V81" s="428"/>
      <c r="W81" s="362"/>
      <c r="X81" s="431"/>
    </row>
    <row r="82" spans="1:24" s="69" customFormat="1" ht="14.25" customHeight="1">
      <c r="A82" s="428" t="s">
        <v>37</v>
      </c>
      <c r="B82" s="428" t="s">
        <v>38</v>
      </c>
      <c r="C82" s="428" t="s">
        <v>1473</v>
      </c>
      <c r="D82" s="391"/>
      <c r="E82" s="428"/>
      <c r="F82" s="428"/>
      <c r="G82" s="428"/>
      <c r="H82" s="428"/>
      <c r="I82" s="428"/>
      <c r="J82" s="428" t="s">
        <v>1099</v>
      </c>
      <c r="K82" s="428" t="s">
        <v>43</v>
      </c>
      <c r="L82" s="428" t="s">
        <v>815</v>
      </c>
      <c r="M82" s="428" t="s">
        <v>590</v>
      </c>
      <c r="N82" s="428"/>
      <c r="O82" s="428"/>
      <c r="P82" s="428" t="s">
        <v>573</v>
      </c>
      <c r="Q82" s="428"/>
      <c r="R82" s="432"/>
      <c r="S82" s="433"/>
      <c r="T82" s="445"/>
      <c r="U82" s="434"/>
      <c r="V82" s="428" t="s">
        <v>824</v>
      </c>
      <c r="W82" s="428"/>
      <c r="X82" s="391"/>
    </row>
    <row r="83" spans="1:24" s="69" customFormat="1" ht="14.25" customHeight="1">
      <c r="A83" s="428" t="s">
        <v>37</v>
      </c>
      <c r="B83" s="428" t="s">
        <v>38</v>
      </c>
      <c r="C83" s="428" t="s">
        <v>1491</v>
      </c>
      <c r="D83" s="391" t="s">
        <v>1300</v>
      </c>
      <c r="E83" s="428" t="s">
        <v>1100</v>
      </c>
      <c r="F83" s="428" t="s">
        <v>1329</v>
      </c>
      <c r="G83" s="428" t="s">
        <v>1329</v>
      </c>
      <c r="H83" s="428" t="s">
        <v>41</v>
      </c>
      <c r="I83" s="428" t="s">
        <v>42</v>
      </c>
      <c r="J83" s="428" t="s">
        <v>43</v>
      </c>
      <c r="K83" s="428" t="s">
        <v>43</v>
      </c>
      <c r="L83" s="428" t="s">
        <v>572</v>
      </c>
      <c r="M83" s="428" t="s">
        <v>590</v>
      </c>
      <c r="N83" s="428">
        <v>24.000250000000001</v>
      </c>
      <c r="O83" s="428">
        <v>97.608249999999998</v>
      </c>
      <c r="P83" s="428" t="s">
        <v>573</v>
      </c>
      <c r="Q83" s="428"/>
      <c r="R83" s="432">
        <v>0</v>
      </c>
      <c r="S83" s="432">
        <v>0</v>
      </c>
      <c r="T83" s="445"/>
      <c r="U83" s="434"/>
      <c r="V83" s="428" t="s">
        <v>718</v>
      </c>
      <c r="W83" s="428" t="s">
        <v>1641</v>
      </c>
      <c r="X83" s="391"/>
    </row>
    <row r="84" spans="1:24" s="69" customFormat="1" ht="14.25" customHeight="1">
      <c r="A84" s="428" t="s">
        <v>37</v>
      </c>
      <c r="B84" s="428" t="s">
        <v>38</v>
      </c>
      <c r="C84" s="428" t="s">
        <v>712</v>
      </c>
      <c r="D84" s="391" t="s">
        <v>1300</v>
      </c>
      <c r="E84" s="428" t="s">
        <v>1093</v>
      </c>
      <c r="F84" s="428" t="s">
        <v>1323</v>
      </c>
      <c r="G84" s="428">
        <v>0</v>
      </c>
      <c r="H84" s="428" t="s">
        <v>41</v>
      </c>
      <c r="I84" s="428" t="s">
        <v>42</v>
      </c>
      <c r="J84" s="428" t="s">
        <v>43</v>
      </c>
      <c r="K84" s="428" t="s">
        <v>43</v>
      </c>
      <c r="L84" s="428" t="s">
        <v>572</v>
      </c>
      <c r="M84" s="428" t="s">
        <v>590</v>
      </c>
      <c r="N84" s="428">
        <v>23.867713999999999</v>
      </c>
      <c r="O84" s="428">
        <v>97.601243999999994</v>
      </c>
      <c r="P84" s="428" t="s">
        <v>573</v>
      </c>
      <c r="Q84" s="428"/>
      <c r="R84" s="432">
        <v>0</v>
      </c>
      <c r="S84" s="433">
        <v>0</v>
      </c>
      <c r="T84" s="445"/>
      <c r="U84" s="434"/>
      <c r="V84" s="428" t="s">
        <v>712</v>
      </c>
      <c r="W84" s="362" t="s">
        <v>1642</v>
      </c>
      <c r="X84" s="391"/>
    </row>
    <row r="85" spans="1:24" s="69" customFormat="1" ht="14.25" customHeight="1">
      <c r="A85" s="428" t="s">
        <v>37</v>
      </c>
      <c r="B85" s="428" t="s">
        <v>38</v>
      </c>
      <c r="C85" s="428" t="s">
        <v>294</v>
      </c>
      <c r="D85" s="431" t="s">
        <v>3023</v>
      </c>
      <c r="E85" s="428" t="s">
        <v>1105</v>
      </c>
      <c r="F85" s="428"/>
      <c r="G85" s="428"/>
      <c r="H85" s="428" t="s">
        <v>41</v>
      </c>
      <c r="I85" s="428" t="s">
        <v>42</v>
      </c>
      <c r="J85" s="428" t="s">
        <v>43</v>
      </c>
      <c r="K85" s="428" t="s">
        <v>43</v>
      </c>
      <c r="L85" s="428" t="s">
        <v>43</v>
      </c>
      <c r="M85" s="428" t="s">
        <v>590</v>
      </c>
      <c r="N85" s="428">
        <v>24.056132999999999</v>
      </c>
      <c r="O85" s="428">
        <v>97.625617000000005</v>
      </c>
      <c r="P85" s="428" t="s">
        <v>573</v>
      </c>
      <c r="Q85" s="428" t="s">
        <v>574</v>
      </c>
      <c r="R85" s="440">
        <v>542</v>
      </c>
      <c r="S85" s="433">
        <v>2503</v>
      </c>
      <c r="T85" s="445"/>
      <c r="U85" s="434"/>
      <c r="V85" s="428"/>
      <c r="W85" s="362"/>
      <c r="X85" s="431"/>
    </row>
    <row r="86" spans="1:24" s="69" customFormat="1" ht="14.25" customHeight="1">
      <c r="A86" s="428" t="s">
        <v>37</v>
      </c>
      <c r="B86" s="428" t="s">
        <v>38</v>
      </c>
      <c r="C86" s="428" t="s">
        <v>713</v>
      </c>
      <c r="D86" s="391" t="s">
        <v>1300</v>
      </c>
      <c r="E86" s="428" t="s">
        <v>1094</v>
      </c>
      <c r="F86" s="428" t="s">
        <v>1324</v>
      </c>
      <c r="G86" s="428">
        <v>0</v>
      </c>
      <c r="H86" s="428" t="s">
        <v>41</v>
      </c>
      <c r="I86" s="428" t="s">
        <v>42</v>
      </c>
      <c r="J86" s="428" t="s">
        <v>43</v>
      </c>
      <c r="K86" s="428" t="s">
        <v>43</v>
      </c>
      <c r="L86" s="428" t="s">
        <v>572</v>
      </c>
      <c r="M86" s="428" t="s">
        <v>590</v>
      </c>
      <c r="N86" s="428">
        <v>23.9055</v>
      </c>
      <c r="O86" s="428">
        <v>97.585667000000001</v>
      </c>
      <c r="P86" s="428" t="s">
        <v>573</v>
      </c>
      <c r="Q86" s="428"/>
      <c r="R86" s="432">
        <v>0</v>
      </c>
      <c r="S86" s="432">
        <v>0</v>
      </c>
      <c r="T86" s="445"/>
      <c r="U86" s="434"/>
      <c r="V86" s="428" t="s">
        <v>713</v>
      </c>
      <c r="W86" s="428" t="s">
        <v>1643</v>
      </c>
      <c r="X86" s="391"/>
    </row>
    <row r="87" spans="1:24" s="69" customFormat="1" ht="14.25" customHeight="1">
      <c r="A87" s="428" t="s">
        <v>37</v>
      </c>
      <c r="B87" s="428" t="s">
        <v>38</v>
      </c>
      <c r="C87" s="428" t="s">
        <v>183</v>
      </c>
      <c r="D87" s="431" t="s">
        <v>3023</v>
      </c>
      <c r="E87" s="428" t="s">
        <v>1096</v>
      </c>
      <c r="F87" s="428" t="s">
        <v>183</v>
      </c>
      <c r="G87" s="428" t="s">
        <v>183</v>
      </c>
      <c r="H87" s="428" t="s">
        <v>41</v>
      </c>
      <c r="I87" s="428" t="s">
        <v>2117</v>
      </c>
      <c r="J87" s="428" t="s">
        <v>43</v>
      </c>
      <c r="K87" s="428" t="s">
        <v>43</v>
      </c>
      <c r="L87" s="428" t="s">
        <v>43</v>
      </c>
      <c r="M87" s="428" t="s">
        <v>44</v>
      </c>
      <c r="N87" s="428">
        <v>23.972453000000002</v>
      </c>
      <c r="O87" s="428">
        <v>97.225881000000001</v>
      </c>
      <c r="P87" s="428" t="s">
        <v>573</v>
      </c>
      <c r="Q87" s="428" t="s">
        <v>592</v>
      </c>
      <c r="R87" s="440">
        <v>363</v>
      </c>
      <c r="S87" s="433">
        <v>1757</v>
      </c>
      <c r="T87" s="445"/>
      <c r="U87" s="434"/>
      <c r="V87" s="428" t="s">
        <v>183</v>
      </c>
      <c r="W87" s="428" t="s">
        <v>1738</v>
      </c>
      <c r="X87" s="431"/>
    </row>
    <row r="88" spans="1:24" s="69" customFormat="1" ht="14.25" customHeight="1">
      <c r="A88" s="428" t="s">
        <v>37</v>
      </c>
      <c r="B88" s="428" t="s">
        <v>38</v>
      </c>
      <c r="C88" s="428" t="s">
        <v>39</v>
      </c>
      <c r="D88" s="431" t="s">
        <v>3023</v>
      </c>
      <c r="E88" s="428" t="s">
        <v>1097</v>
      </c>
      <c r="F88" s="428" t="s">
        <v>183</v>
      </c>
      <c r="G88" s="428" t="s">
        <v>183</v>
      </c>
      <c r="H88" s="428" t="s">
        <v>41</v>
      </c>
      <c r="I88" s="428" t="s">
        <v>42</v>
      </c>
      <c r="J88" s="428" t="s">
        <v>43</v>
      </c>
      <c r="K88" s="428" t="s">
        <v>43</v>
      </c>
      <c r="L88" s="428" t="s">
        <v>43</v>
      </c>
      <c r="M88" s="428" t="s">
        <v>44</v>
      </c>
      <c r="N88" s="428">
        <v>23.976571</v>
      </c>
      <c r="O88" s="428">
        <v>97.227057000000002</v>
      </c>
      <c r="P88" s="428" t="s">
        <v>573</v>
      </c>
      <c r="Q88" s="428" t="s">
        <v>592</v>
      </c>
      <c r="R88" s="440">
        <v>151</v>
      </c>
      <c r="S88" s="433">
        <v>732</v>
      </c>
      <c r="T88" s="445"/>
      <c r="U88" s="434"/>
      <c r="V88" s="428" t="s">
        <v>39</v>
      </c>
      <c r="W88" s="428"/>
      <c r="X88" s="431"/>
    </row>
    <row r="89" spans="1:24" s="69" customFormat="1" ht="14.25" customHeight="1">
      <c r="A89" s="428" t="s">
        <v>37</v>
      </c>
      <c r="B89" s="428" t="s">
        <v>38</v>
      </c>
      <c r="C89" s="428" t="s">
        <v>716</v>
      </c>
      <c r="D89" s="391"/>
      <c r="E89" s="428"/>
      <c r="F89" s="428"/>
      <c r="G89" s="428"/>
      <c r="H89" s="428"/>
      <c r="I89" s="428"/>
      <c r="J89" s="428" t="s">
        <v>1099</v>
      </c>
      <c r="K89" s="428" t="s">
        <v>43</v>
      </c>
      <c r="L89" s="428" t="s">
        <v>43</v>
      </c>
      <c r="M89" s="428" t="s">
        <v>44</v>
      </c>
      <c r="N89" s="428">
        <v>23.989049999999999</v>
      </c>
      <c r="O89" s="428">
        <v>97.225311000000005</v>
      </c>
      <c r="P89" s="428" t="s">
        <v>573</v>
      </c>
      <c r="Q89" s="428" t="s">
        <v>574</v>
      </c>
      <c r="R89" s="432"/>
      <c r="S89" s="433"/>
      <c r="T89" s="445">
        <v>42849</v>
      </c>
      <c r="U89" s="434" t="s">
        <v>717</v>
      </c>
      <c r="V89" s="428"/>
      <c r="W89" s="428"/>
      <c r="X89" s="391"/>
    </row>
    <row r="90" spans="1:24" s="69" customFormat="1" ht="14.25" customHeight="1">
      <c r="A90" s="428" t="s">
        <v>37</v>
      </c>
      <c r="B90" s="428" t="s">
        <v>38</v>
      </c>
      <c r="C90" s="428" t="s">
        <v>726</v>
      </c>
      <c r="D90" s="391" t="s">
        <v>1300</v>
      </c>
      <c r="E90" s="428" t="s">
        <v>1110</v>
      </c>
      <c r="F90" s="428" t="s">
        <v>1330</v>
      </c>
      <c r="G90" s="428" t="s">
        <v>1331</v>
      </c>
      <c r="H90" s="428"/>
      <c r="I90" s="428">
        <v>0</v>
      </c>
      <c r="J90" s="428" t="s">
        <v>43</v>
      </c>
      <c r="K90" s="428" t="s">
        <v>43</v>
      </c>
      <c r="L90" s="428" t="s">
        <v>572</v>
      </c>
      <c r="M90" s="428" t="s">
        <v>44</v>
      </c>
      <c r="N90" s="428">
        <v>24.181640000000002</v>
      </c>
      <c r="O90" s="428">
        <v>97.710989999999995</v>
      </c>
      <c r="P90" s="428" t="s">
        <v>573</v>
      </c>
      <c r="Q90" s="428" t="s">
        <v>592</v>
      </c>
      <c r="R90" s="432">
        <v>0</v>
      </c>
      <c r="S90" s="432">
        <v>0</v>
      </c>
      <c r="T90" s="445"/>
      <c r="U90" s="434" t="s">
        <v>727</v>
      </c>
      <c r="V90" s="428" t="s">
        <v>726</v>
      </c>
      <c r="W90" s="428" t="s">
        <v>1644</v>
      </c>
      <c r="X90" s="391"/>
    </row>
    <row r="91" spans="1:24" s="69" customFormat="1" ht="14.25" customHeight="1">
      <c r="A91" s="428" t="s">
        <v>37</v>
      </c>
      <c r="B91" s="428" t="s">
        <v>38</v>
      </c>
      <c r="C91" s="428" t="s">
        <v>728</v>
      </c>
      <c r="D91" s="391" t="s">
        <v>1300</v>
      </c>
      <c r="E91" s="428" t="s">
        <v>1111</v>
      </c>
      <c r="F91" s="428" t="s">
        <v>1330</v>
      </c>
      <c r="G91" s="428" t="s">
        <v>1331</v>
      </c>
      <c r="H91" s="428"/>
      <c r="I91" s="428">
        <v>0</v>
      </c>
      <c r="J91" s="428" t="s">
        <v>43</v>
      </c>
      <c r="K91" s="428" t="s">
        <v>43</v>
      </c>
      <c r="L91" s="428" t="s">
        <v>572</v>
      </c>
      <c r="M91" s="428" t="s">
        <v>44</v>
      </c>
      <c r="N91" s="428">
        <v>24.181640000000002</v>
      </c>
      <c r="O91" s="428">
        <v>97.710989999999995</v>
      </c>
      <c r="P91" s="428" t="s">
        <v>573</v>
      </c>
      <c r="Q91" s="428"/>
      <c r="R91" s="432">
        <v>0</v>
      </c>
      <c r="S91" s="433">
        <v>0</v>
      </c>
      <c r="T91" s="445"/>
      <c r="U91" s="434"/>
      <c r="V91" s="428" t="s">
        <v>728</v>
      </c>
      <c r="W91" s="428" t="s">
        <v>1644</v>
      </c>
      <c r="X91" s="391"/>
    </row>
    <row r="92" spans="1:24" s="69" customFormat="1" ht="14.25" customHeight="1">
      <c r="A92" s="428" t="s">
        <v>37</v>
      </c>
      <c r="B92" s="428" t="s">
        <v>38</v>
      </c>
      <c r="C92" s="428" t="s">
        <v>298</v>
      </c>
      <c r="D92" s="431" t="s">
        <v>3023</v>
      </c>
      <c r="E92" s="428" t="s">
        <v>1087</v>
      </c>
      <c r="F92" s="428" t="s">
        <v>1314</v>
      </c>
      <c r="G92" s="428" t="s">
        <v>1314</v>
      </c>
      <c r="H92" s="428" t="s">
        <v>41</v>
      </c>
      <c r="I92" s="428" t="s">
        <v>2119</v>
      </c>
      <c r="J92" s="428" t="s">
        <v>43</v>
      </c>
      <c r="K92" s="428" t="s">
        <v>43</v>
      </c>
      <c r="L92" s="428" t="s">
        <v>43</v>
      </c>
      <c r="M92" s="428" t="s">
        <v>44</v>
      </c>
      <c r="N92" s="428">
        <v>23.83013</v>
      </c>
      <c r="O92" s="428">
        <v>97.589979999999997</v>
      </c>
      <c r="P92" s="428" t="s">
        <v>573</v>
      </c>
      <c r="Q92" s="428" t="s">
        <v>592</v>
      </c>
      <c r="R92" s="440">
        <v>132</v>
      </c>
      <c r="S92" s="433">
        <v>630</v>
      </c>
      <c r="T92" s="445"/>
      <c r="U92" s="434" t="s">
        <v>2649</v>
      </c>
      <c r="V92" s="428" t="s">
        <v>298</v>
      </c>
      <c r="W92" s="428"/>
      <c r="X92" s="431"/>
    </row>
    <row r="93" spans="1:24" s="69" customFormat="1" ht="14.25" customHeight="1">
      <c r="A93" s="428" t="s">
        <v>37</v>
      </c>
      <c r="B93" s="428" t="s">
        <v>38</v>
      </c>
      <c r="C93" s="428" t="s">
        <v>840</v>
      </c>
      <c r="D93" s="391" t="s">
        <v>2268</v>
      </c>
      <c r="E93" s="428"/>
      <c r="F93" s="428"/>
      <c r="G93" s="428"/>
      <c r="H93" s="428"/>
      <c r="I93" s="428"/>
      <c r="J93" s="428" t="s">
        <v>43</v>
      </c>
      <c r="K93" s="428" t="s">
        <v>43</v>
      </c>
      <c r="L93" s="428" t="s">
        <v>43</v>
      </c>
      <c r="M93" s="428" t="s">
        <v>44</v>
      </c>
      <c r="N93" s="428"/>
      <c r="O93" s="428"/>
      <c r="P93" s="428" t="s">
        <v>573</v>
      </c>
      <c r="Q93" s="428"/>
      <c r="R93" s="432"/>
      <c r="S93" s="432"/>
      <c r="T93" s="445"/>
      <c r="U93" s="434"/>
      <c r="V93" s="428"/>
      <c r="W93" s="428"/>
      <c r="X93" s="391"/>
    </row>
    <row r="94" spans="1:24" s="69" customFormat="1" ht="14.25" customHeight="1">
      <c r="A94" s="428" t="s">
        <v>37</v>
      </c>
      <c r="B94" s="428" t="s">
        <v>38</v>
      </c>
      <c r="C94" s="428" t="s">
        <v>300</v>
      </c>
      <c r="D94" s="431" t="s">
        <v>3023</v>
      </c>
      <c r="E94" s="428" t="s">
        <v>1086</v>
      </c>
      <c r="F94" s="428" t="s">
        <v>1314</v>
      </c>
      <c r="G94" s="428" t="s">
        <v>1314</v>
      </c>
      <c r="H94" s="428" t="s">
        <v>41</v>
      </c>
      <c r="I94" s="428" t="s">
        <v>2119</v>
      </c>
      <c r="J94" s="428" t="s">
        <v>43</v>
      </c>
      <c r="K94" s="428" t="s">
        <v>43</v>
      </c>
      <c r="L94" s="428" t="s">
        <v>43</v>
      </c>
      <c r="M94" s="428" t="s">
        <v>44</v>
      </c>
      <c r="N94" s="428">
        <v>23.829599000000002</v>
      </c>
      <c r="O94" s="428">
        <v>97.590767</v>
      </c>
      <c r="P94" s="428" t="s">
        <v>573</v>
      </c>
      <c r="Q94" s="428" t="s">
        <v>592</v>
      </c>
      <c r="R94" s="440">
        <v>155</v>
      </c>
      <c r="S94" s="433">
        <v>677</v>
      </c>
      <c r="T94" s="445"/>
      <c r="U94" s="434" t="s">
        <v>2649</v>
      </c>
      <c r="V94" s="428" t="s">
        <v>707</v>
      </c>
      <c r="W94" s="428"/>
      <c r="X94" s="431"/>
    </row>
    <row r="95" spans="1:24" s="69" customFormat="1" ht="14.25" customHeight="1">
      <c r="A95" s="428" t="s">
        <v>37</v>
      </c>
      <c r="B95" s="428" t="s">
        <v>38</v>
      </c>
      <c r="C95" s="428" t="s">
        <v>301</v>
      </c>
      <c r="D95" s="431" t="s">
        <v>3023</v>
      </c>
      <c r="E95" s="428" t="s">
        <v>1089</v>
      </c>
      <c r="F95" s="428" t="s">
        <v>1314</v>
      </c>
      <c r="G95" s="428" t="s">
        <v>1314</v>
      </c>
      <c r="H95" s="428" t="s">
        <v>41</v>
      </c>
      <c r="I95" s="428" t="s">
        <v>42</v>
      </c>
      <c r="J95" s="428" t="s">
        <v>43</v>
      </c>
      <c r="K95" s="428" t="s">
        <v>43</v>
      </c>
      <c r="L95" s="428" t="s">
        <v>43</v>
      </c>
      <c r="M95" s="428" t="s">
        <v>44</v>
      </c>
      <c r="N95" s="428">
        <v>23.835319999999999</v>
      </c>
      <c r="O95" s="428">
        <v>97.578490000000002</v>
      </c>
      <c r="P95" s="428" t="s">
        <v>573</v>
      </c>
      <c r="Q95" s="428" t="s">
        <v>592</v>
      </c>
      <c r="R95" s="440">
        <v>622</v>
      </c>
      <c r="S95" s="433">
        <v>3302</v>
      </c>
      <c r="T95" s="445"/>
      <c r="U95" s="434" t="s">
        <v>2649</v>
      </c>
      <c r="V95" s="428" t="s">
        <v>301</v>
      </c>
      <c r="W95" s="428"/>
      <c r="X95" s="431"/>
    </row>
    <row r="96" spans="1:24" s="69" customFormat="1" ht="14.25" customHeight="1">
      <c r="A96" s="428" t="s">
        <v>37</v>
      </c>
      <c r="B96" s="428" t="s">
        <v>38</v>
      </c>
      <c r="C96" s="428" t="s">
        <v>302</v>
      </c>
      <c r="D96" s="431" t="s">
        <v>3023</v>
      </c>
      <c r="E96" s="428" t="s">
        <v>1088</v>
      </c>
      <c r="F96" s="428" t="s">
        <v>1314</v>
      </c>
      <c r="G96" s="428" t="s">
        <v>1314</v>
      </c>
      <c r="H96" s="428" t="s">
        <v>41</v>
      </c>
      <c r="I96" s="428" t="s">
        <v>42</v>
      </c>
      <c r="J96" s="428" t="s">
        <v>43</v>
      </c>
      <c r="K96" s="428" t="s">
        <v>43</v>
      </c>
      <c r="L96" s="428" t="s">
        <v>43</v>
      </c>
      <c r="M96" s="428" t="s">
        <v>44</v>
      </c>
      <c r="N96" s="428">
        <v>23.833477999999999</v>
      </c>
      <c r="O96" s="428">
        <v>97.578367</v>
      </c>
      <c r="P96" s="428" t="s">
        <v>573</v>
      </c>
      <c r="Q96" s="428" t="s">
        <v>592</v>
      </c>
      <c r="R96" s="440">
        <v>142</v>
      </c>
      <c r="S96" s="433">
        <v>830</v>
      </c>
      <c r="T96" s="445"/>
      <c r="U96" s="434" t="s">
        <v>2649</v>
      </c>
      <c r="V96" s="428" t="s">
        <v>708</v>
      </c>
      <c r="W96" s="428"/>
      <c r="X96" s="431"/>
    </row>
    <row r="97" spans="1:24" s="69" customFormat="1" ht="14.25" customHeight="1">
      <c r="A97" s="428" t="s">
        <v>37</v>
      </c>
      <c r="B97" s="428" t="s">
        <v>38</v>
      </c>
      <c r="C97" s="428" t="s">
        <v>841</v>
      </c>
      <c r="D97" s="391"/>
      <c r="E97" s="428"/>
      <c r="F97" s="428"/>
      <c r="G97" s="428"/>
      <c r="H97" s="428"/>
      <c r="I97" s="428"/>
      <c r="J97" s="428" t="s">
        <v>1099</v>
      </c>
      <c r="K97" s="428" t="s">
        <v>43</v>
      </c>
      <c r="L97" s="428" t="s">
        <v>826</v>
      </c>
      <c r="M97" s="428" t="s">
        <v>44</v>
      </c>
      <c r="N97" s="428"/>
      <c r="O97" s="428"/>
      <c r="P97" s="428" t="s">
        <v>573</v>
      </c>
      <c r="Q97" s="428" t="s">
        <v>592</v>
      </c>
      <c r="R97" s="432"/>
      <c r="S97" s="432"/>
      <c r="T97" s="445"/>
      <c r="U97" s="434" t="s">
        <v>823</v>
      </c>
      <c r="V97" s="428" t="s">
        <v>841</v>
      </c>
      <c r="W97" s="428"/>
      <c r="X97" s="391"/>
    </row>
    <row r="98" spans="1:24" s="69" customFormat="1" ht="14.25" customHeight="1">
      <c r="A98" s="428" t="s">
        <v>37</v>
      </c>
      <c r="B98" s="428" t="s">
        <v>38</v>
      </c>
      <c r="C98" s="428" t="s">
        <v>3048</v>
      </c>
      <c r="D98" s="431" t="s">
        <v>3023</v>
      </c>
      <c r="E98" s="428" t="s">
        <v>1083</v>
      </c>
      <c r="F98" s="428" t="s">
        <v>1314</v>
      </c>
      <c r="G98" s="428" t="s">
        <v>1314</v>
      </c>
      <c r="H98" s="428"/>
      <c r="I98" s="428" t="s">
        <v>1620</v>
      </c>
      <c r="J98" s="428" t="s">
        <v>43</v>
      </c>
      <c r="K98" s="428" t="s">
        <v>43</v>
      </c>
      <c r="L98" s="428" t="s">
        <v>2630</v>
      </c>
      <c r="M98" s="428" t="s">
        <v>44</v>
      </c>
      <c r="N98" s="428">
        <v>23.827870999999998</v>
      </c>
      <c r="O98" s="428">
        <v>97.588291999999996</v>
      </c>
      <c r="P98" s="428" t="s">
        <v>585</v>
      </c>
      <c r="Q98" s="428" t="s">
        <v>574</v>
      </c>
      <c r="R98" s="440">
        <v>120</v>
      </c>
      <c r="S98" s="433">
        <v>664</v>
      </c>
      <c r="T98" s="445"/>
      <c r="U98" s="434" t="s">
        <v>2649</v>
      </c>
      <c r="V98" s="428" t="s">
        <v>706</v>
      </c>
      <c r="W98" s="428"/>
      <c r="X98" s="431"/>
    </row>
    <row r="99" spans="1:24" s="69" customFormat="1" ht="14.25" customHeight="1">
      <c r="A99" s="428" t="s">
        <v>37</v>
      </c>
      <c r="B99" s="428" t="s">
        <v>38</v>
      </c>
      <c r="C99" s="428" t="s">
        <v>193</v>
      </c>
      <c r="D99" s="431" t="s">
        <v>3023</v>
      </c>
      <c r="E99" s="428" t="s">
        <v>1109</v>
      </c>
      <c r="F99" s="428" t="s">
        <v>1382</v>
      </c>
      <c r="G99" s="428" t="s">
        <v>1383</v>
      </c>
      <c r="H99" s="428" t="s">
        <v>41</v>
      </c>
      <c r="I99" s="428" t="s">
        <v>2117</v>
      </c>
      <c r="J99" s="428" t="s">
        <v>43</v>
      </c>
      <c r="K99" s="428" t="s">
        <v>43</v>
      </c>
      <c r="L99" s="428" t="s">
        <v>43</v>
      </c>
      <c r="M99" s="428" t="s">
        <v>44</v>
      </c>
      <c r="N99" s="428">
        <v>24.129059999999999</v>
      </c>
      <c r="O99" s="428">
        <v>97.291820000000001</v>
      </c>
      <c r="P99" s="428" t="s">
        <v>573</v>
      </c>
      <c r="Q99" s="428" t="s">
        <v>592</v>
      </c>
      <c r="R99" s="440">
        <v>181</v>
      </c>
      <c r="S99" s="433">
        <v>815</v>
      </c>
      <c r="T99" s="445"/>
      <c r="U99" s="434"/>
      <c r="V99" s="428" t="s">
        <v>193</v>
      </c>
      <c r="W99" s="428"/>
      <c r="X99" s="431"/>
    </row>
    <row r="100" spans="1:24" s="69" customFormat="1" ht="14.25" customHeight="1">
      <c r="A100" s="428" t="s">
        <v>37</v>
      </c>
      <c r="B100" s="428" t="s">
        <v>38</v>
      </c>
      <c r="C100" s="428" t="s">
        <v>3049</v>
      </c>
      <c r="D100" s="431" t="s">
        <v>3023</v>
      </c>
      <c r="E100" s="428" t="s">
        <v>1108</v>
      </c>
      <c r="F100" s="428"/>
      <c r="G100" s="428"/>
      <c r="H100" s="428"/>
      <c r="I100" s="428" t="s">
        <v>1620</v>
      </c>
      <c r="J100" s="428" t="s">
        <v>43</v>
      </c>
      <c r="K100" s="428" t="s">
        <v>43</v>
      </c>
      <c r="L100" s="428" t="s">
        <v>2630</v>
      </c>
      <c r="M100" s="428" t="s">
        <v>44</v>
      </c>
      <c r="N100" s="428">
        <v>24.118618999999999</v>
      </c>
      <c r="O100" s="428">
        <v>97.298055000000005</v>
      </c>
      <c r="P100" s="428" t="s">
        <v>585</v>
      </c>
      <c r="Q100" s="428" t="s">
        <v>574</v>
      </c>
      <c r="R100" s="440">
        <v>70</v>
      </c>
      <c r="S100" s="433">
        <v>344</v>
      </c>
      <c r="T100" s="445"/>
      <c r="U100" s="434" t="s">
        <v>724</v>
      </c>
      <c r="V100" s="428" t="s">
        <v>725</v>
      </c>
      <c r="W100" s="428"/>
      <c r="X100" s="431"/>
    </row>
    <row r="101" spans="1:24" s="69" customFormat="1" ht="14.25" customHeight="1">
      <c r="A101" s="428" t="s">
        <v>37</v>
      </c>
      <c r="B101" s="428" t="s">
        <v>38</v>
      </c>
      <c r="C101" s="428" t="s">
        <v>729</v>
      </c>
      <c r="D101" s="391" t="s">
        <v>1300</v>
      </c>
      <c r="E101" s="428" t="s">
        <v>1118</v>
      </c>
      <c r="F101" s="428" t="s">
        <v>1332</v>
      </c>
      <c r="G101" s="428">
        <v>0</v>
      </c>
      <c r="H101" s="428"/>
      <c r="I101" s="428">
        <v>0</v>
      </c>
      <c r="J101" s="428" t="s">
        <v>43</v>
      </c>
      <c r="K101" s="428" t="s">
        <v>43</v>
      </c>
      <c r="L101" s="428" t="s">
        <v>572</v>
      </c>
      <c r="M101" s="428" t="s">
        <v>590</v>
      </c>
      <c r="N101" s="428">
        <v>24.20645</v>
      </c>
      <c r="O101" s="428">
        <v>96.808850000000007</v>
      </c>
      <c r="P101" s="428" t="s">
        <v>573</v>
      </c>
      <c r="Q101" s="428"/>
      <c r="R101" s="432">
        <v>0</v>
      </c>
      <c r="S101" s="433">
        <v>0</v>
      </c>
      <c r="T101" s="445"/>
      <c r="U101" s="434"/>
      <c r="V101" s="428" t="s">
        <v>729</v>
      </c>
      <c r="W101" s="428" t="s">
        <v>1622</v>
      </c>
      <c r="X101" s="391"/>
    </row>
    <row r="102" spans="1:24" s="69" customFormat="1" ht="14.25" customHeight="1">
      <c r="A102" s="428" t="s">
        <v>37</v>
      </c>
      <c r="B102" s="428" t="s">
        <v>38</v>
      </c>
      <c r="C102" s="428" t="s">
        <v>589</v>
      </c>
      <c r="D102" s="391" t="s">
        <v>1300</v>
      </c>
      <c r="E102" s="428" t="s">
        <v>1043</v>
      </c>
      <c r="F102" s="428" t="s">
        <v>1314</v>
      </c>
      <c r="G102" s="428">
        <v>0</v>
      </c>
      <c r="H102" s="428"/>
      <c r="I102" s="428">
        <v>0</v>
      </c>
      <c r="J102" s="428" t="s">
        <v>43</v>
      </c>
      <c r="K102" s="428" t="s">
        <v>43</v>
      </c>
      <c r="L102" s="428" t="s">
        <v>572</v>
      </c>
      <c r="M102" s="428" t="s">
        <v>590</v>
      </c>
      <c r="N102" s="428"/>
      <c r="O102" s="428"/>
      <c r="P102" s="428" t="s">
        <v>573</v>
      </c>
      <c r="Q102" s="428"/>
      <c r="R102" s="432">
        <v>0</v>
      </c>
      <c r="S102" s="433">
        <v>0</v>
      </c>
      <c r="T102" s="445"/>
      <c r="U102" s="434"/>
      <c r="V102" s="428" t="s">
        <v>589</v>
      </c>
      <c r="W102" s="428" t="s">
        <v>1645</v>
      </c>
      <c r="X102" s="391"/>
    </row>
    <row r="103" spans="1:24" s="69" customFormat="1" ht="14.25" customHeight="1">
      <c r="A103" s="428" t="s">
        <v>37</v>
      </c>
      <c r="B103" s="428" t="s">
        <v>38</v>
      </c>
      <c r="C103" s="428" t="s">
        <v>704</v>
      </c>
      <c r="D103" s="391" t="s">
        <v>1300</v>
      </c>
      <c r="E103" s="428" t="s">
        <v>1080</v>
      </c>
      <c r="F103" s="428" t="s">
        <v>1316</v>
      </c>
      <c r="G103" s="428">
        <v>0</v>
      </c>
      <c r="H103" s="428"/>
      <c r="I103" s="428">
        <v>0</v>
      </c>
      <c r="J103" s="428" t="s">
        <v>43</v>
      </c>
      <c r="K103" s="428" t="s">
        <v>43</v>
      </c>
      <c r="L103" s="428" t="s">
        <v>572</v>
      </c>
      <c r="M103" s="428" t="s">
        <v>590</v>
      </c>
      <c r="N103" s="428">
        <v>23.75817</v>
      </c>
      <c r="O103" s="428">
        <v>97.132339999999999</v>
      </c>
      <c r="P103" s="428" t="s">
        <v>573</v>
      </c>
      <c r="Q103" s="428"/>
      <c r="R103" s="432">
        <v>0</v>
      </c>
      <c r="S103" s="433">
        <v>0</v>
      </c>
      <c r="T103" s="445"/>
      <c r="U103" s="434"/>
      <c r="V103" s="428" t="s">
        <v>704</v>
      </c>
      <c r="W103" s="428" t="s">
        <v>1622</v>
      </c>
      <c r="X103" s="391"/>
    </row>
    <row r="104" spans="1:24" s="69" customFormat="1" ht="14.25" customHeight="1">
      <c r="A104" s="428" t="s">
        <v>37</v>
      </c>
      <c r="B104" s="430" t="s">
        <v>38</v>
      </c>
      <c r="C104" s="430" t="s">
        <v>593</v>
      </c>
      <c r="D104" s="391" t="s">
        <v>1300</v>
      </c>
      <c r="E104" s="428" t="s">
        <v>1046</v>
      </c>
      <c r="F104" s="428" t="s">
        <v>1316</v>
      </c>
      <c r="G104" s="428">
        <v>0</v>
      </c>
      <c r="H104" s="428"/>
      <c r="I104" s="428">
        <v>0</v>
      </c>
      <c r="J104" s="428" t="s">
        <v>43</v>
      </c>
      <c r="K104" s="428" t="s">
        <v>43</v>
      </c>
      <c r="L104" s="428" t="s">
        <v>572</v>
      </c>
      <c r="M104" s="428" t="s">
        <v>590</v>
      </c>
      <c r="N104" s="428"/>
      <c r="O104" s="428"/>
      <c r="P104" s="428" t="s">
        <v>573</v>
      </c>
      <c r="Q104" s="428"/>
      <c r="R104" s="432">
        <v>0</v>
      </c>
      <c r="S104" s="433">
        <v>0</v>
      </c>
      <c r="T104" s="445"/>
      <c r="U104" s="434"/>
      <c r="V104" s="428" t="s">
        <v>593</v>
      </c>
      <c r="W104" s="428" t="s">
        <v>1622</v>
      </c>
      <c r="X104" s="391"/>
    </row>
    <row r="105" spans="1:24" s="69" customFormat="1" ht="14.25" customHeight="1">
      <c r="A105" s="428" t="s">
        <v>37</v>
      </c>
      <c r="B105" s="430" t="s">
        <v>38</v>
      </c>
      <c r="C105" s="430" t="s">
        <v>705</v>
      </c>
      <c r="D105" s="391" t="s">
        <v>1300</v>
      </c>
      <c r="E105" s="428" t="s">
        <v>1081</v>
      </c>
      <c r="F105" s="428" t="s">
        <v>1316</v>
      </c>
      <c r="G105" s="428">
        <v>0</v>
      </c>
      <c r="H105" s="428"/>
      <c r="I105" s="428">
        <v>0</v>
      </c>
      <c r="J105" s="428" t="s">
        <v>43</v>
      </c>
      <c r="K105" s="428" t="s">
        <v>43</v>
      </c>
      <c r="L105" s="428" t="s">
        <v>572</v>
      </c>
      <c r="M105" s="428" t="s">
        <v>590</v>
      </c>
      <c r="N105" s="428">
        <v>23.75817</v>
      </c>
      <c r="O105" s="428">
        <v>97.132339999999999</v>
      </c>
      <c r="P105" s="428" t="s">
        <v>573</v>
      </c>
      <c r="Q105" s="428"/>
      <c r="R105" s="432">
        <v>0</v>
      </c>
      <c r="S105" s="433">
        <v>0</v>
      </c>
      <c r="T105" s="445"/>
      <c r="U105" s="434"/>
      <c r="V105" s="428" t="s">
        <v>705</v>
      </c>
      <c r="W105" s="428" t="s">
        <v>1646</v>
      </c>
      <c r="X105" s="391"/>
    </row>
    <row r="106" spans="1:24" s="69" customFormat="1" ht="14.25" customHeight="1">
      <c r="A106" s="433" t="s">
        <v>37</v>
      </c>
      <c r="B106" s="436" t="s">
        <v>38</v>
      </c>
      <c r="C106" s="437" t="s">
        <v>601</v>
      </c>
      <c r="D106" s="391" t="s">
        <v>1300</v>
      </c>
      <c r="E106" s="428" t="s">
        <v>1051</v>
      </c>
      <c r="F106" s="428">
        <v>0</v>
      </c>
      <c r="G106" s="428">
        <v>0</v>
      </c>
      <c r="H106" s="428"/>
      <c r="I106" s="428">
        <v>0</v>
      </c>
      <c r="J106" s="428" t="s">
        <v>43</v>
      </c>
      <c r="K106" s="428" t="s">
        <v>43</v>
      </c>
      <c r="L106" s="428" t="s">
        <v>572</v>
      </c>
      <c r="M106" s="428" t="s">
        <v>44</v>
      </c>
      <c r="N106" s="428"/>
      <c r="O106" s="428"/>
      <c r="P106" s="428" t="s">
        <v>573</v>
      </c>
      <c r="Q106" s="428"/>
      <c r="R106" s="432">
        <v>0</v>
      </c>
      <c r="S106" s="432">
        <v>0</v>
      </c>
      <c r="T106" s="445"/>
      <c r="U106" s="434"/>
      <c r="V106" s="432"/>
      <c r="W106" s="432" t="s">
        <v>1647</v>
      </c>
      <c r="X106" s="391"/>
    </row>
    <row r="107" spans="1:24" s="69" customFormat="1" ht="14.25" customHeight="1">
      <c r="A107" s="433" t="s">
        <v>37</v>
      </c>
      <c r="B107" s="436" t="s">
        <v>38</v>
      </c>
      <c r="C107" s="437" t="s">
        <v>139</v>
      </c>
      <c r="D107" s="431"/>
      <c r="E107" s="428"/>
      <c r="F107" s="428"/>
      <c r="G107" s="428"/>
      <c r="H107" s="428"/>
      <c r="I107" s="428"/>
      <c r="J107" s="428" t="s">
        <v>1099</v>
      </c>
      <c r="K107" s="428" t="s">
        <v>43</v>
      </c>
      <c r="L107" s="428" t="s">
        <v>43</v>
      </c>
      <c r="M107" s="428" t="s">
        <v>44</v>
      </c>
      <c r="N107" s="428"/>
      <c r="O107" s="428"/>
      <c r="P107" s="428" t="s">
        <v>573</v>
      </c>
      <c r="Q107" s="428" t="s">
        <v>592</v>
      </c>
      <c r="R107" s="440"/>
      <c r="S107" s="433"/>
      <c r="T107" s="445">
        <v>42747</v>
      </c>
      <c r="U107" s="440" t="s">
        <v>823</v>
      </c>
      <c r="V107" s="428"/>
      <c r="W107" s="432"/>
      <c r="X107" s="431"/>
    </row>
    <row r="108" spans="1:24" s="69" customFormat="1" ht="14.25" customHeight="1">
      <c r="A108" s="437" t="s">
        <v>37</v>
      </c>
      <c r="B108" s="436" t="s">
        <v>38</v>
      </c>
      <c r="C108" s="430" t="s">
        <v>2623</v>
      </c>
      <c r="D108" s="431" t="s">
        <v>3023</v>
      </c>
      <c r="E108" s="428" t="s">
        <v>2616</v>
      </c>
      <c r="F108" s="428" t="s">
        <v>2632</v>
      </c>
      <c r="G108" s="428" t="s">
        <v>2632</v>
      </c>
      <c r="H108" s="428"/>
      <c r="I108" s="428"/>
      <c r="J108" s="428" t="s">
        <v>620</v>
      </c>
      <c r="K108" s="428" t="s">
        <v>620</v>
      </c>
      <c r="L108" s="428" t="s">
        <v>3031</v>
      </c>
      <c r="M108" s="428" t="s">
        <v>44</v>
      </c>
      <c r="N108" s="428">
        <v>24.109690000000001</v>
      </c>
      <c r="O108" s="428">
        <v>97.241101</v>
      </c>
      <c r="P108" s="430"/>
      <c r="Q108" s="428" t="s">
        <v>2631</v>
      </c>
      <c r="R108" s="440">
        <v>86</v>
      </c>
      <c r="S108" s="433">
        <v>450</v>
      </c>
      <c r="T108" s="445">
        <v>44166</v>
      </c>
      <c r="U108" s="434"/>
      <c r="V108" s="428"/>
      <c r="W108" s="362"/>
      <c r="X108" s="431"/>
    </row>
    <row r="109" spans="1:24" s="69" customFormat="1" ht="14.25" customHeight="1">
      <c r="A109" s="428" t="s">
        <v>37</v>
      </c>
      <c r="B109" s="428" t="s">
        <v>38</v>
      </c>
      <c r="C109" s="428" t="s">
        <v>2206</v>
      </c>
      <c r="D109" s="391"/>
      <c r="E109" s="428"/>
      <c r="F109" s="428"/>
      <c r="G109" s="428"/>
      <c r="H109" s="428"/>
      <c r="I109" s="428"/>
      <c r="J109" s="428" t="s">
        <v>1099</v>
      </c>
      <c r="K109" s="428" t="s">
        <v>43</v>
      </c>
      <c r="L109" s="428" t="s">
        <v>826</v>
      </c>
      <c r="M109" s="428" t="s">
        <v>44</v>
      </c>
      <c r="N109" s="428"/>
      <c r="O109" s="428"/>
      <c r="P109" s="428" t="s">
        <v>573</v>
      </c>
      <c r="Q109" s="428" t="s">
        <v>2177</v>
      </c>
      <c r="R109" s="432"/>
      <c r="S109" s="432"/>
      <c r="T109" s="445">
        <v>43749</v>
      </c>
      <c r="U109" s="434"/>
      <c r="V109" s="428"/>
      <c r="W109" s="428"/>
      <c r="X109" s="391"/>
    </row>
    <row r="110" spans="1:24" s="69" customFormat="1" ht="14.25" customHeight="1">
      <c r="A110" s="437" t="s">
        <v>37</v>
      </c>
      <c r="B110" s="436" t="s">
        <v>152</v>
      </c>
      <c r="C110" s="437" t="s">
        <v>1547</v>
      </c>
      <c r="D110" s="431" t="s">
        <v>3023</v>
      </c>
      <c r="E110" s="428" t="s">
        <v>1553</v>
      </c>
      <c r="F110" s="428"/>
      <c r="G110" s="428"/>
      <c r="H110" s="428"/>
      <c r="I110" s="428" t="s">
        <v>1620</v>
      </c>
      <c r="J110" s="428" t="s">
        <v>43</v>
      </c>
      <c r="K110" s="430" t="s">
        <v>43</v>
      </c>
      <c r="L110" s="430" t="s">
        <v>588</v>
      </c>
      <c r="M110" s="428" t="s">
        <v>44</v>
      </c>
      <c r="N110" s="428">
        <v>25.30274</v>
      </c>
      <c r="O110" s="428">
        <v>96.940380000000005</v>
      </c>
      <c r="P110" s="428" t="s">
        <v>573</v>
      </c>
      <c r="Q110" s="428" t="s">
        <v>1531</v>
      </c>
      <c r="R110" s="440">
        <v>5</v>
      </c>
      <c r="S110" s="433">
        <v>32</v>
      </c>
      <c r="T110" s="445">
        <v>43276</v>
      </c>
      <c r="U110" s="434" t="s">
        <v>1579</v>
      </c>
      <c r="V110" s="428"/>
      <c r="W110" s="428" t="s">
        <v>1739</v>
      </c>
      <c r="X110" s="431"/>
    </row>
    <row r="111" spans="1:24" s="69" customFormat="1" ht="14.25" customHeight="1">
      <c r="A111" s="437" t="s">
        <v>37</v>
      </c>
      <c r="B111" s="436" t="s">
        <v>152</v>
      </c>
      <c r="C111" s="430" t="s">
        <v>153</v>
      </c>
      <c r="D111" s="431" t="s">
        <v>3023</v>
      </c>
      <c r="E111" s="428" t="s">
        <v>1173</v>
      </c>
      <c r="F111" s="428" t="s">
        <v>1365</v>
      </c>
      <c r="G111" s="428" t="s">
        <v>1417</v>
      </c>
      <c r="H111" s="428" t="s">
        <v>41</v>
      </c>
      <c r="I111" s="428" t="s">
        <v>2118</v>
      </c>
      <c r="J111" s="428" t="s">
        <v>43</v>
      </c>
      <c r="K111" s="428" t="s">
        <v>43</v>
      </c>
      <c r="L111" s="430" t="s">
        <v>43</v>
      </c>
      <c r="M111" s="428" t="s">
        <v>44</v>
      </c>
      <c r="N111" s="428">
        <v>25.305669999999999</v>
      </c>
      <c r="O111" s="428">
        <v>96.922619999999995</v>
      </c>
      <c r="P111" s="430" t="s">
        <v>573</v>
      </c>
      <c r="Q111" s="428" t="s">
        <v>592</v>
      </c>
      <c r="R111" s="440">
        <v>13</v>
      </c>
      <c r="S111" s="433">
        <v>76</v>
      </c>
      <c r="T111" s="445"/>
      <c r="U111" s="434"/>
      <c r="V111" s="428" t="s">
        <v>153</v>
      </c>
      <c r="W111" s="362"/>
      <c r="X111" s="431"/>
    </row>
    <row r="112" spans="1:24" s="69" customFormat="1" ht="14.25" customHeight="1">
      <c r="A112" s="437" t="s">
        <v>37</v>
      </c>
      <c r="B112" s="436" t="s">
        <v>152</v>
      </c>
      <c r="C112" s="430" t="s">
        <v>1576</v>
      </c>
      <c r="D112" s="431"/>
      <c r="E112" s="428"/>
      <c r="F112" s="428"/>
      <c r="G112" s="428"/>
      <c r="H112" s="428"/>
      <c r="I112" s="428"/>
      <c r="J112" s="428" t="s">
        <v>1099</v>
      </c>
      <c r="K112" s="428" t="s">
        <v>43</v>
      </c>
      <c r="L112" s="428" t="s">
        <v>588</v>
      </c>
      <c r="M112" s="428"/>
      <c r="N112" s="428"/>
      <c r="O112" s="428"/>
      <c r="P112" s="428" t="s">
        <v>573</v>
      </c>
      <c r="Q112" s="428" t="s">
        <v>1531</v>
      </c>
      <c r="R112" s="440"/>
      <c r="S112" s="433"/>
      <c r="T112" s="445">
        <v>43285</v>
      </c>
      <c r="U112" s="434" t="s">
        <v>1581</v>
      </c>
      <c r="V112" s="428"/>
      <c r="W112" s="428"/>
      <c r="X112" s="431"/>
    </row>
    <row r="113" spans="1:24" s="69" customFormat="1" ht="14.25" customHeight="1">
      <c r="A113" s="428" t="s">
        <v>37</v>
      </c>
      <c r="B113" s="428" t="s">
        <v>152</v>
      </c>
      <c r="C113" s="428" t="s">
        <v>1534</v>
      </c>
      <c r="D113" s="391"/>
      <c r="E113" s="428"/>
      <c r="F113" s="428"/>
      <c r="G113" s="428"/>
      <c r="H113" s="428"/>
      <c r="I113" s="428"/>
      <c r="J113" s="428" t="s">
        <v>1099</v>
      </c>
      <c r="K113" s="428" t="s">
        <v>43</v>
      </c>
      <c r="L113" s="428" t="s">
        <v>43</v>
      </c>
      <c r="M113" s="428" t="s">
        <v>44</v>
      </c>
      <c r="N113" s="428"/>
      <c r="O113" s="428"/>
      <c r="P113" s="428" t="s">
        <v>573</v>
      </c>
      <c r="Q113" s="428" t="s">
        <v>1531</v>
      </c>
      <c r="R113" s="432"/>
      <c r="S113" s="432"/>
      <c r="T113" s="445">
        <v>43270</v>
      </c>
      <c r="U113" s="434"/>
      <c r="V113" s="428"/>
      <c r="W113" s="428"/>
      <c r="X113" s="391"/>
    </row>
    <row r="114" spans="1:24" s="69" customFormat="1" ht="14.25" customHeight="1">
      <c r="A114" s="428" t="s">
        <v>37</v>
      </c>
      <c r="B114" s="428" t="s">
        <v>152</v>
      </c>
      <c r="C114" s="428" t="s">
        <v>1533</v>
      </c>
      <c r="D114" s="391"/>
      <c r="E114" s="428"/>
      <c r="F114" s="428"/>
      <c r="G114" s="428"/>
      <c r="H114" s="428"/>
      <c r="I114" s="428"/>
      <c r="J114" s="428" t="s">
        <v>1099</v>
      </c>
      <c r="K114" s="428" t="s">
        <v>43</v>
      </c>
      <c r="L114" s="428" t="s">
        <v>43</v>
      </c>
      <c r="M114" s="428" t="s">
        <v>44</v>
      </c>
      <c r="N114" s="428"/>
      <c r="O114" s="428"/>
      <c r="P114" s="428" t="s">
        <v>573</v>
      </c>
      <c r="Q114" s="428" t="s">
        <v>1531</v>
      </c>
      <c r="R114" s="432"/>
      <c r="S114" s="433"/>
      <c r="T114" s="445">
        <v>43270</v>
      </c>
      <c r="U114" s="434"/>
      <c r="V114" s="428"/>
      <c r="W114" s="362"/>
      <c r="X114" s="391"/>
    </row>
    <row r="115" spans="1:24" s="69" customFormat="1" ht="14.25" customHeight="1">
      <c r="A115" s="437" t="s">
        <v>37</v>
      </c>
      <c r="B115" s="436" t="s">
        <v>152</v>
      </c>
      <c r="C115" s="430" t="s">
        <v>1614</v>
      </c>
      <c r="D115" s="431" t="s">
        <v>3023</v>
      </c>
      <c r="E115" s="428" t="s">
        <v>1169</v>
      </c>
      <c r="F115" s="428"/>
      <c r="G115" s="428"/>
      <c r="H115" s="428" t="s">
        <v>41</v>
      </c>
      <c r="I115" s="428" t="s">
        <v>2118</v>
      </c>
      <c r="J115" s="428" t="s">
        <v>43</v>
      </c>
      <c r="K115" s="428" t="s">
        <v>43</v>
      </c>
      <c r="L115" s="430" t="s">
        <v>43</v>
      </c>
      <c r="M115" s="428" t="s">
        <v>44</v>
      </c>
      <c r="N115" s="428">
        <v>25.296579999999999</v>
      </c>
      <c r="O115" s="428">
        <v>96.942279999999997</v>
      </c>
      <c r="P115" s="430" t="s">
        <v>573</v>
      </c>
      <c r="Q115" s="428" t="s">
        <v>592</v>
      </c>
      <c r="R115" s="440">
        <v>16</v>
      </c>
      <c r="S115" s="433">
        <v>75</v>
      </c>
      <c r="T115" s="445"/>
      <c r="U115" s="438"/>
      <c r="V115" s="428" t="s">
        <v>154</v>
      </c>
      <c r="W115" s="362"/>
      <c r="X115" s="431"/>
    </row>
    <row r="116" spans="1:24" s="69" customFormat="1" ht="14.25" customHeight="1">
      <c r="A116" s="433" t="s">
        <v>37</v>
      </c>
      <c r="B116" s="436" t="s">
        <v>152</v>
      </c>
      <c r="C116" s="437" t="s">
        <v>240</v>
      </c>
      <c r="D116" s="431" t="s">
        <v>2268</v>
      </c>
      <c r="E116" s="428" t="s">
        <v>1170</v>
      </c>
      <c r="F116" s="428" t="s">
        <v>1414</v>
      </c>
      <c r="G116" s="428" t="s">
        <v>1415</v>
      </c>
      <c r="H116" s="428"/>
      <c r="I116" s="428">
        <v>0</v>
      </c>
      <c r="J116" s="428" t="s">
        <v>43</v>
      </c>
      <c r="K116" s="428" t="s">
        <v>43</v>
      </c>
      <c r="L116" s="428" t="s">
        <v>43</v>
      </c>
      <c r="M116" s="428" t="s">
        <v>44</v>
      </c>
      <c r="N116" s="428">
        <v>25.299679999999999</v>
      </c>
      <c r="O116" s="428">
        <v>96.942279999999997</v>
      </c>
      <c r="P116" s="428" t="s">
        <v>573</v>
      </c>
      <c r="Q116" s="428" t="s">
        <v>592</v>
      </c>
      <c r="R116" s="440">
        <v>6</v>
      </c>
      <c r="S116" s="433">
        <v>31</v>
      </c>
      <c r="T116" s="445">
        <v>42836</v>
      </c>
      <c r="U116" s="434" t="s">
        <v>2122</v>
      </c>
      <c r="V116" s="428" t="s">
        <v>240</v>
      </c>
      <c r="W116" s="428" t="s">
        <v>1648</v>
      </c>
      <c r="X116" s="431"/>
    </row>
    <row r="117" spans="1:24" s="69" customFormat="1" ht="14.25" customHeight="1">
      <c r="A117" s="437" t="s">
        <v>37</v>
      </c>
      <c r="B117" s="436" t="s">
        <v>152</v>
      </c>
      <c r="C117" s="430" t="s">
        <v>2646</v>
      </c>
      <c r="D117" s="391"/>
      <c r="E117" s="428"/>
      <c r="F117" s="428"/>
      <c r="G117" s="428"/>
      <c r="H117" s="428"/>
      <c r="I117" s="428"/>
      <c r="J117" s="428" t="s">
        <v>1099</v>
      </c>
      <c r="K117" s="428" t="s">
        <v>43</v>
      </c>
      <c r="L117" s="428" t="s">
        <v>588</v>
      </c>
      <c r="M117" s="428" t="s">
        <v>44</v>
      </c>
      <c r="N117" s="428"/>
      <c r="O117" s="428"/>
      <c r="P117" s="430" t="s">
        <v>573</v>
      </c>
      <c r="Q117" s="428"/>
      <c r="R117" s="432"/>
      <c r="S117" s="432"/>
      <c r="T117" s="445">
        <v>43298</v>
      </c>
      <c r="U117" s="438"/>
      <c r="V117" s="428"/>
      <c r="W117" s="362"/>
      <c r="X117" s="391"/>
    </row>
    <row r="118" spans="1:24" s="69" customFormat="1" ht="14.25" customHeight="1">
      <c r="A118" s="428" t="s">
        <v>37</v>
      </c>
      <c r="B118" s="428" t="s">
        <v>152</v>
      </c>
      <c r="C118" s="428" t="s">
        <v>848</v>
      </c>
      <c r="D118" s="391" t="s">
        <v>1300</v>
      </c>
      <c r="E118" s="428" t="s">
        <v>1560</v>
      </c>
      <c r="F118" s="428" t="s">
        <v>1365</v>
      </c>
      <c r="G118" s="428" t="s">
        <v>848</v>
      </c>
      <c r="H118" s="428"/>
      <c r="I118" s="428">
        <v>0</v>
      </c>
      <c r="J118" s="428" t="s">
        <v>43</v>
      </c>
      <c r="K118" s="428" t="s">
        <v>43</v>
      </c>
      <c r="L118" s="428" t="s">
        <v>572</v>
      </c>
      <c r="M118" s="428" t="s">
        <v>44</v>
      </c>
      <c r="N118" s="428"/>
      <c r="O118" s="428"/>
      <c r="P118" s="428" t="s">
        <v>573</v>
      </c>
      <c r="Q118" s="428" t="s">
        <v>667</v>
      </c>
      <c r="R118" s="432">
        <v>245</v>
      </c>
      <c r="S118" s="432">
        <v>1084</v>
      </c>
      <c r="T118" s="445"/>
      <c r="U118" s="434" t="s">
        <v>849</v>
      </c>
      <c r="V118" s="428"/>
      <c r="W118" s="428" t="s">
        <v>1649</v>
      </c>
      <c r="X118" s="391"/>
    </row>
    <row r="119" spans="1:24" s="69" customFormat="1" ht="14.25" customHeight="1">
      <c r="A119" s="428" t="s">
        <v>37</v>
      </c>
      <c r="B119" s="430" t="s">
        <v>152</v>
      </c>
      <c r="C119" s="430" t="s">
        <v>1613</v>
      </c>
      <c r="D119" s="431" t="s">
        <v>3023</v>
      </c>
      <c r="E119" s="428" t="s">
        <v>1552</v>
      </c>
      <c r="F119" s="428"/>
      <c r="G119" s="428"/>
      <c r="H119" s="428"/>
      <c r="I119" s="428" t="s">
        <v>2118</v>
      </c>
      <c r="J119" s="428" t="s">
        <v>43</v>
      </c>
      <c r="K119" s="428" t="s">
        <v>43</v>
      </c>
      <c r="L119" s="428" t="s">
        <v>43</v>
      </c>
      <c r="M119" s="428" t="s">
        <v>44</v>
      </c>
      <c r="N119" s="428">
        <v>25.2226</v>
      </c>
      <c r="O119" s="428">
        <v>97.012299999999996</v>
      </c>
      <c r="P119" s="428" t="s">
        <v>573</v>
      </c>
      <c r="Q119" s="428" t="s">
        <v>1531</v>
      </c>
      <c r="R119" s="440">
        <v>111</v>
      </c>
      <c r="S119" s="433">
        <v>599</v>
      </c>
      <c r="T119" s="445">
        <v>43276</v>
      </c>
      <c r="U119" s="434" t="s">
        <v>1580</v>
      </c>
      <c r="V119" s="430" t="s">
        <v>1613</v>
      </c>
      <c r="W119" s="362" t="s">
        <v>1741</v>
      </c>
      <c r="X119" s="431"/>
    </row>
    <row r="120" spans="1:24" s="69" customFormat="1" ht="14.25" customHeight="1">
      <c r="A120" s="428" t="s">
        <v>37</v>
      </c>
      <c r="B120" s="430" t="s">
        <v>152</v>
      </c>
      <c r="C120" s="430" t="s">
        <v>155</v>
      </c>
      <c r="D120" s="431" t="s">
        <v>3023</v>
      </c>
      <c r="E120" s="428" t="s">
        <v>1171</v>
      </c>
      <c r="F120" s="428" t="s">
        <v>1365</v>
      </c>
      <c r="G120" s="428" t="s">
        <v>1416</v>
      </c>
      <c r="H120" s="428" t="s">
        <v>41</v>
      </c>
      <c r="I120" s="428" t="s">
        <v>2118</v>
      </c>
      <c r="J120" s="428" t="s">
        <v>43</v>
      </c>
      <c r="K120" s="428" t="s">
        <v>43</v>
      </c>
      <c r="L120" s="428" t="s">
        <v>43</v>
      </c>
      <c r="M120" s="428" t="s">
        <v>44</v>
      </c>
      <c r="N120" s="428">
        <v>25.30442</v>
      </c>
      <c r="O120" s="428">
        <v>96.948740000000001</v>
      </c>
      <c r="P120" s="428" t="s">
        <v>573</v>
      </c>
      <c r="Q120" s="428" t="s">
        <v>592</v>
      </c>
      <c r="R120" s="440">
        <v>10</v>
      </c>
      <c r="S120" s="433">
        <v>48</v>
      </c>
      <c r="T120" s="445"/>
      <c r="U120" s="434"/>
      <c r="V120" s="428" t="s">
        <v>155</v>
      </c>
      <c r="W120" s="428"/>
      <c r="X120" s="431"/>
    </row>
    <row r="121" spans="1:24" s="69" customFormat="1" ht="14.25" customHeight="1">
      <c r="A121" s="428" t="s">
        <v>37</v>
      </c>
      <c r="B121" s="428" t="s">
        <v>152</v>
      </c>
      <c r="C121" s="428" t="s">
        <v>768</v>
      </c>
      <c r="D121" s="391" t="s">
        <v>1300</v>
      </c>
      <c r="E121" s="428" t="s">
        <v>1166</v>
      </c>
      <c r="F121" s="428" t="s">
        <v>1347</v>
      </c>
      <c r="G121" s="428" t="s">
        <v>1347</v>
      </c>
      <c r="H121" s="428"/>
      <c r="I121" s="428">
        <v>0</v>
      </c>
      <c r="J121" s="428" t="s">
        <v>43</v>
      </c>
      <c r="K121" s="428" t="s">
        <v>43</v>
      </c>
      <c r="L121" s="428" t="s">
        <v>572</v>
      </c>
      <c r="M121" s="428" t="s">
        <v>44</v>
      </c>
      <c r="N121" s="428">
        <v>25.225000000000001</v>
      </c>
      <c r="O121" s="428">
        <v>96.793999999999997</v>
      </c>
      <c r="P121" s="428" t="s">
        <v>585</v>
      </c>
      <c r="Q121" s="428" t="s">
        <v>592</v>
      </c>
      <c r="R121" s="432">
        <v>0</v>
      </c>
      <c r="S121" s="432">
        <v>0</v>
      </c>
      <c r="T121" s="445">
        <v>42983</v>
      </c>
      <c r="U121" s="434" t="s">
        <v>769</v>
      </c>
      <c r="V121" s="428" t="s">
        <v>770</v>
      </c>
      <c r="W121" s="428" t="s">
        <v>1650</v>
      </c>
      <c r="X121" s="391"/>
    </row>
    <row r="122" spans="1:24" s="69" customFormat="1" ht="14.25" customHeight="1">
      <c r="A122" s="428" t="s">
        <v>37</v>
      </c>
      <c r="B122" s="428" t="s">
        <v>152</v>
      </c>
      <c r="C122" s="428" t="s">
        <v>156</v>
      </c>
      <c r="D122" s="431" t="s">
        <v>3023</v>
      </c>
      <c r="E122" s="428" t="s">
        <v>1167</v>
      </c>
      <c r="F122" s="428" t="s">
        <v>1347</v>
      </c>
      <c r="G122" s="428" t="s">
        <v>1347</v>
      </c>
      <c r="H122" s="428" t="s">
        <v>41</v>
      </c>
      <c r="I122" s="428" t="s">
        <v>2118</v>
      </c>
      <c r="J122" s="428" t="s">
        <v>43</v>
      </c>
      <c r="K122" s="428" t="s">
        <v>43</v>
      </c>
      <c r="L122" s="428" t="s">
        <v>43</v>
      </c>
      <c r="M122" s="428" t="s">
        <v>44</v>
      </c>
      <c r="N122" s="428">
        <v>25.225000000000001</v>
      </c>
      <c r="O122" s="428">
        <v>96.793999999999997</v>
      </c>
      <c r="P122" s="428" t="s">
        <v>573</v>
      </c>
      <c r="Q122" s="428" t="s">
        <v>592</v>
      </c>
      <c r="R122" s="440">
        <v>27</v>
      </c>
      <c r="S122" s="433">
        <v>137</v>
      </c>
      <c r="T122" s="445"/>
      <c r="U122" s="434"/>
      <c r="V122" s="428" t="s">
        <v>156</v>
      </c>
      <c r="W122" s="428"/>
      <c r="X122" s="431"/>
    </row>
    <row r="123" spans="1:24" s="69" customFormat="1" ht="14.25" customHeight="1">
      <c r="A123" s="428" t="s">
        <v>37</v>
      </c>
      <c r="B123" s="428" t="s">
        <v>152</v>
      </c>
      <c r="C123" s="428" t="s">
        <v>3052</v>
      </c>
      <c r="D123" s="431" t="s">
        <v>3023</v>
      </c>
      <c r="E123" s="428" t="s">
        <v>1550</v>
      </c>
      <c r="F123" s="428"/>
      <c r="G123" s="428"/>
      <c r="H123" s="428"/>
      <c r="I123" s="428" t="s">
        <v>1035</v>
      </c>
      <c r="J123" s="428" t="s">
        <v>43</v>
      </c>
      <c r="K123" s="428" t="s">
        <v>43</v>
      </c>
      <c r="L123" s="428" t="s">
        <v>43</v>
      </c>
      <c r="M123" s="428" t="s">
        <v>44</v>
      </c>
      <c r="N123" s="428">
        <v>25.383058999999999</v>
      </c>
      <c r="O123" s="428">
        <v>97.014313000000001</v>
      </c>
      <c r="P123" s="428" t="s">
        <v>573</v>
      </c>
      <c r="Q123" s="428" t="s">
        <v>1531</v>
      </c>
      <c r="R123" s="440">
        <v>48</v>
      </c>
      <c r="S123" s="433">
        <v>268</v>
      </c>
      <c r="T123" s="445">
        <v>43276</v>
      </c>
      <c r="U123" s="434" t="s">
        <v>1580</v>
      </c>
      <c r="V123" s="428" t="s">
        <v>1545</v>
      </c>
      <c r="W123" s="428" t="s">
        <v>1740</v>
      </c>
      <c r="X123" s="431"/>
    </row>
    <row r="124" spans="1:24" s="69" customFormat="1" ht="14.25" customHeight="1">
      <c r="A124" s="437" t="s">
        <v>37</v>
      </c>
      <c r="B124" s="436" t="s">
        <v>152</v>
      </c>
      <c r="C124" s="430" t="s">
        <v>3053</v>
      </c>
      <c r="D124" s="431" t="s">
        <v>3023</v>
      </c>
      <c r="E124" s="428" t="s">
        <v>1551</v>
      </c>
      <c r="F124" s="428"/>
      <c r="G124" s="428"/>
      <c r="H124" s="428"/>
      <c r="I124" s="428" t="s">
        <v>1035</v>
      </c>
      <c r="J124" s="428" t="s">
        <v>43</v>
      </c>
      <c r="K124" s="428" t="s">
        <v>43</v>
      </c>
      <c r="L124" s="428" t="s">
        <v>43</v>
      </c>
      <c r="M124" s="428" t="s">
        <v>44</v>
      </c>
      <c r="N124" s="428">
        <v>25.383058999999999</v>
      </c>
      <c r="O124" s="428">
        <v>97.014313000000001</v>
      </c>
      <c r="P124" s="428" t="s">
        <v>573</v>
      </c>
      <c r="Q124" s="428" t="s">
        <v>1531</v>
      </c>
      <c r="R124" s="440">
        <v>83</v>
      </c>
      <c r="S124" s="433">
        <v>422</v>
      </c>
      <c r="T124" s="445">
        <v>43276</v>
      </c>
      <c r="U124" s="434" t="s">
        <v>1713</v>
      </c>
      <c r="V124" s="430" t="s">
        <v>1546</v>
      </c>
      <c r="W124" s="428" t="s">
        <v>1740</v>
      </c>
      <c r="X124" s="431"/>
    </row>
    <row r="125" spans="1:24" s="69" customFormat="1" ht="14.25" customHeight="1">
      <c r="A125" s="428" t="s">
        <v>37</v>
      </c>
      <c r="B125" s="428" t="s">
        <v>157</v>
      </c>
      <c r="C125" s="428" t="s">
        <v>3050</v>
      </c>
      <c r="D125" s="431" t="s">
        <v>3023</v>
      </c>
      <c r="E125" s="428" t="s">
        <v>1159</v>
      </c>
      <c r="F125" s="428" t="s">
        <v>1463</v>
      </c>
      <c r="G125" s="428" t="s">
        <v>1464</v>
      </c>
      <c r="H125" s="428"/>
      <c r="I125" s="428" t="s">
        <v>1620</v>
      </c>
      <c r="J125" s="428" t="s">
        <v>43</v>
      </c>
      <c r="K125" s="428" t="s">
        <v>43</v>
      </c>
      <c r="L125" s="428" t="s">
        <v>2630</v>
      </c>
      <c r="M125" s="428" t="s">
        <v>44</v>
      </c>
      <c r="N125" s="428">
        <v>24.996279999999999</v>
      </c>
      <c r="O125" s="428">
        <v>96.52534</v>
      </c>
      <c r="P125" s="428" t="s">
        <v>585</v>
      </c>
      <c r="Q125" s="428" t="s">
        <v>574</v>
      </c>
      <c r="R125" s="440">
        <v>26</v>
      </c>
      <c r="S125" s="433">
        <v>125</v>
      </c>
      <c r="T125" s="445"/>
      <c r="U125" s="434" t="s">
        <v>759</v>
      </c>
      <c r="V125" s="428" t="s">
        <v>762</v>
      </c>
      <c r="W125" s="428"/>
      <c r="X125" s="431"/>
    </row>
    <row r="126" spans="1:24" s="69" customFormat="1" ht="14.25" customHeight="1">
      <c r="A126" s="428" t="s">
        <v>37</v>
      </c>
      <c r="B126" s="428" t="s">
        <v>157</v>
      </c>
      <c r="C126" s="428" t="s">
        <v>3051</v>
      </c>
      <c r="D126" s="431" t="s">
        <v>3023</v>
      </c>
      <c r="E126" s="428" t="s">
        <v>1156</v>
      </c>
      <c r="F126" s="428" t="s">
        <v>1406</v>
      </c>
      <c r="G126" s="428">
        <v>0</v>
      </c>
      <c r="H126" s="428"/>
      <c r="I126" s="428" t="s">
        <v>1620</v>
      </c>
      <c r="J126" s="428" t="s">
        <v>43</v>
      </c>
      <c r="K126" s="428" t="s">
        <v>43</v>
      </c>
      <c r="L126" s="428" t="s">
        <v>2630</v>
      </c>
      <c r="M126" s="428" t="s">
        <v>44</v>
      </c>
      <c r="N126" s="428">
        <v>24.764959999999999</v>
      </c>
      <c r="O126" s="428">
        <v>96.366919999999993</v>
      </c>
      <c r="P126" s="428" t="s">
        <v>585</v>
      </c>
      <c r="Q126" s="428" t="s">
        <v>574</v>
      </c>
      <c r="R126" s="440">
        <v>7</v>
      </c>
      <c r="S126" s="433">
        <v>35</v>
      </c>
      <c r="T126" s="445"/>
      <c r="U126" s="434" t="s">
        <v>759</v>
      </c>
      <c r="V126" s="428" t="s">
        <v>758</v>
      </c>
      <c r="W126" s="428"/>
      <c r="X126" s="431"/>
    </row>
    <row r="127" spans="1:24" s="69" customFormat="1" ht="14.25" customHeight="1">
      <c r="A127" s="428" t="s">
        <v>37</v>
      </c>
      <c r="B127" s="428" t="s">
        <v>157</v>
      </c>
      <c r="C127" s="428" t="s">
        <v>157</v>
      </c>
      <c r="D127" s="391" t="s">
        <v>1299</v>
      </c>
      <c r="E127" s="428"/>
      <c r="F127" s="428"/>
      <c r="G127" s="428"/>
      <c r="H127" s="428"/>
      <c r="I127" s="428"/>
      <c r="J127" s="428" t="s">
        <v>607</v>
      </c>
      <c r="K127" s="428" t="s">
        <v>607</v>
      </c>
      <c r="L127" s="428" t="s">
        <v>607</v>
      </c>
      <c r="M127" s="428"/>
      <c r="N127" s="428"/>
      <c r="O127" s="428"/>
      <c r="P127" s="428" t="s">
        <v>608</v>
      </c>
      <c r="Q127" s="428"/>
      <c r="R127" s="432"/>
      <c r="S127" s="432"/>
      <c r="T127" s="445"/>
      <c r="U127" s="434"/>
      <c r="V127" s="428" t="s">
        <v>157</v>
      </c>
      <c r="W127" s="362"/>
      <c r="X127" s="391"/>
    </row>
    <row r="128" spans="1:24" s="69" customFormat="1" ht="14.25" customHeight="1">
      <c r="A128" s="428" t="s">
        <v>37</v>
      </c>
      <c r="B128" s="430" t="s">
        <v>157</v>
      </c>
      <c r="C128" s="430" t="s">
        <v>763</v>
      </c>
      <c r="D128" s="391" t="s">
        <v>1300</v>
      </c>
      <c r="E128" s="428" t="s">
        <v>1160</v>
      </c>
      <c r="F128" s="428" t="s">
        <v>1344</v>
      </c>
      <c r="G128" s="428" t="s">
        <v>1344</v>
      </c>
      <c r="H128" s="428" t="s">
        <v>41</v>
      </c>
      <c r="I128" s="428" t="s">
        <v>141</v>
      </c>
      <c r="J128" s="428" t="s">
        <v>43</v>
      </c>
      <c r="K128" s="428" t="s">
        <v>43</v>
      </c>
      <c r="L128" s="428" t="s">
        <v>572</v>
      </c>
      <c r="M128" s="428" t="s">
        <v>44</v>
      </c>
      <c r="N128" s="428">
        <v>24.998349999999999</v>
      </c>
      <c r="O128" s="428">
        <v>96.364949999999993</v>
      </c>
      <c r="P128" s="428" t="s">
        <v>573</v>
      </c>
      <c r="Q128" s="428"/>
      <c r="R128" s="432">
        <v>0</v>
      </c>
      <c r="S128" s="432">
        <v>0</v>
      </c>
      <c r="T128" s="445"/>
      <c r="U128" s="434"/>
      <c r="V128" s="428" t="s">
        <v>763</v>
      </c>
      <c r="W128" s="428" t="s">
        <v>1651</v>
      </c>
      <c r="X128" s="391"/>
    </row>
    <row r="129" spans="1:24" s="69" customFormat="1" ht="14.25" customHeight="1">
      <c r="A129" s="433" t="s">
        <v>37</v>
      </c>
      <c r="B129" s="436" t="s">
        <v>157</v>
      </c>
      <c r="C129" s="437" t="s">
        <v>158</v>
      </c>
      <c r="D129" s="431" t="s">
        <v>3023</v>
      </c>
      <c r="E129" s="428" t="s">
        <v>1161</v>
      </c>
      <c r="F129" s="428"/>
      <c r="G129" s="428"/>
      <c r="H129" s="428" t="s">
        <v>41</v>
      </c>
      <c r="I129" s="428" t="s">
        <v>2118</v>
      </c>
      <c r="J129" s="428" t="s">
        <v>43</v>
      </c>
      <c r="K129" s="430" t="s">
        <v>43</v>
      </c>
      <c r="L129" s="430" t="s">
        <v>43</v>
      </c>
      <c r="M129" s="428" t="s">
        <v>44</v>
      </c>
      <c r="N129" s="428">
        <v>24.998349999999999</v>
      </c>
      <c r="O129" s="428">
        <v>96.364949999999993</v>
      </c>
      <c r="P129" s="428" t="s">
        <v>573</v>
      </c>
      <c r="Q129" s="428" t="s">
        <v>592</v>
      </c>
      <c r="R129" s="440">
        <v>26</v>
      </c>
      <c r="S129" s="433">
        <v>127</v>
      </c>
      <c r="T129" s="445"/>
      <c r="U129" s="434"/>
      <c r="V129" s="428" t="s">
        <v>764</v>
      </c>
      <c r="W129" s="428" t="s">
        <v>1742</v>
      </c>
      <c r="X129" s="431"/>
    </row>
    <row r="130" spans="1:24" s="69" customFormat="1" ht="14.25" customHeight="1">
      <c r="A130" s="428" t="s">
        <v>37</v>
      </c>
      <c r="B130" s="428" t="s">
        <v>157</v>
      </c>
      <c r="C130" s="428" t="s">
        <v>239</v>
      </c>
      <c r="D130" s="431" t="s">
        <v>2997</v>
      </c>
      <c r="E130" s="428" t="s">
        <v>1155</v>
      </c>
      <c r="F130" s="428" t="s">
        <v>1406</v>
      </c>
      <c r="G130" s="428" t="s">
        <v>1407</v>
      </c>
      <c r="H130" s="428" t="s">
        <v>41</v>
      </c>
      <c r="I130" s="428" t="s">
        <v>1035</v>
      </c>
      <c r="J130" s="428" t="s">
        <v>43</v>
      </c>
      <c r="K130" s="428" t="s">
        <v>43</v>
      </c>
      <c r="L130" s="428" t="s">
        <v>572</v>
      </c>
      <c r="M130" s="428" t="s">
        <v>44</v>
      </c>
      <c r="N130" s="428">
        <v>24.764800000000001</v>
      </c>
      <c r="O130" s="428">
        <v>96.367059999999995</v>
      </c>
      <c r="P130" s="428" t="s">
        <v>573</v>
      </c>
      <c r="Q130" s="428" t="s">
        <v>592</v>
      </c>
      <c r="R130" s="440">
        <v>11</v>
      </c>
      <c r="S130" s="433">
        <v>68</v>
      </c>
      <c r="T130" s="445"/>
      <c r="U130" s="434"/>
      <c r="V130" s="428" t="s">
        <v>239</v>
      </c>
      <c r="W130" s="428"/>
      <c r="X130" s="431"/>
    </row>
    <row r="131" spans="1:24" s="69" customFormat="1" ht="14.25" customHeight="1">
      <c r="A131" s="428" t="s">
        <v>37</v>
      </c>
      <c r="B131" s="428" t="s">
        <v>1594</v>
      </c>
      <c r="C131" s="428" t="s">
        <v>1599</v>
      </c>
      <c r="D131" s="391"/>
      <c r="E131" s="428"/>
      <c r="F131" s="428"/>
      <c r="G131" s="428"/>
      <c r="H131" s="428"/>
      <c r="I131" s="428"/>
      <c r="J131" s="428" t="s">
        <v>1099</v>
      </c>
      <c r="K131" s="428" t="s">
        <v>43</v>
      </c>
      <c r="L131" s="428" t="s">
        <v>588</v>
      </c>
      <c r="M131" s="428" t="s">
        <v>590</v>
      </c>
      <c r="N131" s="428"/>
      <c r="O131" s="428"/>
      <c r="P131" s="428" t="s">
        <v>573</v>
      </c>
      <c r="Q131" s="428"/>
      <c r="R131" s="432"/>
      <c r="S131" s="433"/>
      <c r="T131" s="445">
        <v>43298</v>
      </c>
      <c r="U131" s="434"/>
      <c r="V131" s="428"/>
      <c r="W131" s="362"/>
      <c r="X131" s="391"/>
    </row>
    <row r="132" spans="1:24" s="69" customFormat="1" ht="14.25" customHeight="1">
      <c r="A132" s="428" t="s">
        <v>37</v>
      </c>
      <c r="B132" s="428" t="s">
        <v>205</v>
      </c>
      <c r="C132" s="428" t="s">
        <v>206</v>
      </c>
      <c r="D132" s="391"/>
      <c r="E132" s="428"/>
      <c r="F132" s="428"/>
      <c r="G132" s="428"/>
      <c r="H132" s="428"/>
      <c r="I132" s="428"/>
      <c r="J132" s="428" t="s">
        <v>1099</v>
      </c>
      <c r="K132" s="428" t="s">
        <v>43</v>
      </c>
      <c r="L132" s="428" t="s">
        <v>43</v>
      </c>
      <c r="M132" s="428" t="s">
        <v>44</v>
      </c>
      <c r="N132" s="428"/>
      <c r="O132" s="428"/>
      <c r="P132" s="428" t="s">
        <v>573</v>
      </c>
      <c r="Q132" s="428" t="s">
        <v>592</v>
      </c>
      <c r="R132" s="432"/>
      <c r="S132" s="432"/>
      <c r="T132" s="445"/>
      <c r="U132" s="434" t="s">
        <v>818</v>
      </c>
      <c r="V132" s="428" t="s">
        <v>206</v>
      </c>
      <c r="W132" s="428"/>
      <c r="X132" s="391"/>
    </row>
    <row r="133" spans="1:24" s="69" customFormat="1" ht="14.25" customHeight="1">
      <c r="A133" s="428" t="s">
        <v>37</v>
      </c>
      <c r="B133" s="430" t="s">
        <v>205</v>
      </c>
      <c r="C133" s="484" t="s">
        <v>749</v>
      </c>
      <c r="D133" s="391" t="s">
        <v>1300</v>
      </c>
      <c r="E133" s="428" t="s">
        <v>1147</v>
      </c>
      <c r="F133" s="428" t="s">
        <v>1337</v>
      </c>
      <c r="G133" s="428" t="s">
        <v>1338</v>
      </c>
      <c r="H133" s="428"/>
      <c r="I133" s="428">
        <v>0</v>
      </c>
      <c r="J133" s="428" t="s">
        <v>43</v>
      </c>
      <c r="K133" s="428" t="s">
        <v>43</v>
      </c>
      <c r="L133" s="428" t="s">
        <v>572</v>
      </c>
      <c r="M133" s="428" t="s">
        <v>44</v>
      </c>
      <c r="N133" s="428">
        <v>24.613976000000001</v>
      </c>
      <c r="O133" s="428">
        <v>97.461271999999994</v>
      </c>
      <c r="P133" s="428" t="s">
        <v>573</v>
      </c>
      <c r="Q133" s="428" t="s">
        <v>574</v>
      </c>
      <c r="R133" s="432">
        <v>0</v>
      </c>
      <c r="S133" s="432">
        <v>0</v>
      </c>
      <c r="T133" s="445">
        <v>42983</v>
      </c>
      <c r="U133" s="483" t="s">
        <v>750</v>
      </c>
      <c r="V133" s="428" t="s">
        <v>749</v>
      </c>
      <c r="W133" s="428" t="s">
        <v>1652</v>
      </c>
      <c r="X133" s="391"/>
    </row>
    <row r="134" spans="1:24" s="69" customFormat="1" ht="14.25" customHeight="1">
      <c r="A134" s="428" t="s">
        <v>37</v>
      </c>
      <c r="B134" s="428" t="s">
        <v>205</v>
      </c>
      <c r="C134" s="428" t="s">
        <v>232</v>
      </c>
      <c r="D134" s="431" t="s">
        <v>3023</v>
      </c>
      <c r="E134" s="428" t="s">
        <v>1145</v>
      </c>
      <c r="F134" s="428" t="s">
        <v>1402</v>
      </c>
      <c r="G134" s="428" t="s">
        <v>1403</v>
      </c>
      <c r="H134" s="428" t="s">
        <v>41</v>
      </c>
      <c r="I134" s="428" t="s">
        <v>1035</v>
      </c>
      <c r="J134" s="428" t="s">
        <v>43</v>
      </c>
      <c r="K134" s="428" t="s">
        <v>43</v>
      </c>
      <c r="L134" s="428" t="s">
        <v>43</v>
      </c>
      <c r="M134" s="428" t="s">
        <v>590</v>
      </c>
      <c r="N134" s="428">
        <v>24.461033</v>
      </c>
      <c r="O134" s="428">
        <v>97.537099999999995</v>
      </c>
      <c r="P134" s="17" t="s">
        <v>573</v>
      </c>
      <c r="Q134" s="428" t="s">
        <v>592</v>
      </c>
      <c r="R134" s="440">
        <v>72</v>
      </c>
      <c r="S134" s="433">
        <v>404</v>
      </c>
      <c r="T134" s="445"/>
      <c r="U134" s="434"/>
      <c r="V134" s="428" t="s">
        <v>232</v>
      </c>
      <c r="W134" s="428"/>
      <c r="X134" s="431"/>
    </row>
    <row r="135" spans="1:24" s="69" customFormat="1" ht="14.25" customHeight="1">
      <c r="A135" s="433" t="s">
        <v>37</v>
      </c>
      <c r="B135" s="436" t="s">
        <v>205</v>
      </c>
      <c r="C135" s="369" t="s">
        <v>2174</v>
      </c>
      <c r="D135" s="431" t="s">
        <v>2794</v>
      </c>
      <c r="E135" s="428" t="s">
        <v>2175</v>
      </c>
      <c r="F135" s="428" t="s">
        <v>205</v>
      </c>
      <c r="G135" s="428" t="s">
        <v>2176</v>
      </c>
      <c r="H135" s="428"/>
      <c r="I135" s="428" t="s">
        <v>1620</v>
      </c>
      <c r="J135" s="428" t="s">
        <v>43</v>
      </c>
      <c r="K135" s="428" t="s">
        <v>43</v>
      </c>
      <c r="L135" s="428" t="s">
        <v>572</v>
      </c>
      <c r="M135" s="428" t="s">
        <v>44</v>
      </c>
      <c r="N135" s="428">
        <v>24.613662999999999</v>
      </c>
      <c r="O135" s="428">
        <v>97.461727999999994</v>
      </c>
      <c r="P135" s="428" t="s">
        <v>573</v>
      </c>
      <c r="Q135" s="428" t="s">
        <v>2177</v>
      </c>
      <c r="R135" s="440">
        <v>0</v>
      </c>
      <c r="S135" s="433">
        <v>24</v>
      </c>
      <c r="T135" s="445">
        <v>43717</v>
      </c>
      <c r="U135" s="440"/>
      <c r="V135" s="428"/>
      <c r="W135" s="432" t="s">
        <v>2178</v>
      </c>
      <c r="X135" s="431"/>
    </row>
    <row r="136" spans="1:24" s="69" customFormat="1" ht="14.25" customHeight="1">
      <c r="A136" s="428" t="s">
        <v>37</v>
      </c>
      <c r="B136" s="428" t="s">
        <v>205</v>
      </c>
      <c r="C136" s="428" t="s">
        <v>217</v>
      </c>
      <c r="D136" s="431" t="s">
        <v>3023</v>
      </c>
      <c r="E136" s="428" t="s">
        <v>1149</v>
      </c>
      <c r="F136" s="428" t="s">
        <v>1404</v>
      </c>
      <c r="G136" s="428" t="s">
        <v>1405</v>
      </c>
      <c r="H136" s="428" t="s">
        <v>41</v>
      </c>
      <c r="I136" s="428" t="s">
        <v>1035</v>
      </c>
      <c r="J136" s="428" t="s">
        <v>43</v>
      </c>
      <c r="K136" s="428" t="s">
        <v>43</v>
      </c>
      <c r="L136" s="428" t="s">
        <v>43</v>
      </c>
      <c r="M136" s="428" t="s">
        <v>590</v>
      </c>
      <c r="N136" s="428">
        <v>24.661905999999998</v>
      </c>
      <c r="O136" s="428">
        <v>97.573126000000002</v>
      </c>
      <c r="P136" s="17" t="s">
        <v>573</v>
      </c>
      <c r="Q136" s="428" t="s">
        <v>592</v>
      </c>
      <c r="R136" s="440">
        <v>664</v>
      </c>
      <c r="S136" s="433">
        <v>3491</v>
      </c>
      <c r="T136" s="445"/>
      <c r="U136" s="434"/>
      <c r="V136" s="428" t="s">
        <v>217</v>
      </c>
      <c r="W136" s="428"/>
      <c r="X136" s="431"/>
    </row>
    <row r="137" spans="1:24" s="69" customFormat="1" ht="14.25" customHeight="1">
      <c r="A137" s="428" t="s">
        <v>37</v>
      </c>
      <c r="B137" s="428" t="s">
        <v>205</v>
      </c>
      <c r="C137" s="428" t="s">
        <v>2161</v>
      </c>
      <c r="D137" s="391"/>
      <c r="E137" s="428"/>
      <c r="F137" s="428"/>
      <c r="G137" s="428"/>
      <c r="H137" s="428"/>
      <c r="I137" s="428"/>
      <c r="J137" s="428" t="s">
        <v>1099</v>
      </c>
      <c r="K137" s="428" t="s">
        <v>43</v>
      </c>
      <c r="L137" s="428" t="s">
        <v>43</v>
      </c>
      <c r="M137" s="428" t="s">
        <v>44</v>
      </c>
      <c r="N137" s="428"/>
      <c r="O137" s="428"/>
      <c r="P137" s="428" t="s">
        <v>573</v>
      </c>
      <c r="Q137" s="428" t="s">
        <v>2159</v>
      </c>
      <c r="R137" s="432"/>
      <c r="S137" s="433"/>
      <c r="T137" s="445">
        <v>42554</v>
      </c>
      <c r="U137" s="434"/>
      <c r="V137" s="428"/>
      <c r="W137" s="428"/>
      <c r="X137" s="391"/>
    </row>
    <row r="138" spans="1:24" s="69" customFormat="1" ht="14.25" customHeight="1">
      <c r="A138" s="428" t="s">
        <v>37</v>
      </c>
      <c r="B138" s="428" t="s">
        <v>205</v>
      </c>
      <c r="C138" s="428" t="s">
        <v>290</v>
      </c>
      <c r="D138" s="431" t="s">
        <v>3023</v>
      </c>
      <c r="E138" s="428" t="s">
        <v>1150</v>
      </c>
      <c r="F138" s="428" t="s">
        <v>1404</v>
      </c>
      <c r="G138" s="428" t="s">
        <v>1405</v>
      </c>
      <c r="H138" s="428" t="s">
        <v>41</v>
      </c>
      <c r="I138" s="428" t="s">
        <v>1035</v>
      </c>
      <c r="J138" s="428" t="s">
        <v>43</v>
      </c>
      <c r="K138" s="428" t="s">
        <v>43</v>
      </c>
      <c r="L138" s="428" t="s">
        <v>43</v>
      </c>
      <c r="M138" s="428" t="s">
        <v>590</v>
      </c>
      <c r="N138" s="428">
        <v>24.688338999999999</v>
      </c>
      <c r="O138" s="428">
        <v>97.568331999999998</v>
      </c>
      <c r="P138" s="428" t="s">
        <v>573</v>
      </c>
      <c r="Q138" s="428" t="s">
        <v>592</v>
      </c>
      <c r="R138" s="440">
        <v>1592</v>
      </c>
      <c r="S138" s="433">
        <v>8220</v>
      </c>
      <c r="T138" s="445"/>
      <c r="U138" s="434"/>
      <c r="V138" s="428" t="s">
        <v>290</v>
      </c>
      <c r="W138" s="428"/>
      <c r="X138" s="431"/>
    </row>
    <row r="139" spans="1:24" s="69" customFormat="1" ht="14.25" customHeight="1">
      <c r="A139" s="428" t="s">
        <v>37</v>
      </c>
      <c r="B139" s="428" t="s">
        <v>205</v>
      </c>
      <c r="C139" s="428" t="s">
        <v>207</v>
      </c>
      <c r="D139" s="391"/>
      <c r="E139" s="428"/>
      <c r="F139" s="428"/>
      <c r="G139" s="428"/>
      <c r="H139" s="428"/>
      <c r="I139" s="428"/>
      <c r="J139" s="428" t="s">
        <v>1099</v>
      </c>
      <c r="K139" s="428" t="s">
        <v>43</v>
      </c>
      <c r="L139" s="428" t="s">
        <v>43</v>
      </c>
      <c r="M139" s="428" t="s">
        <v>44</v>
      </c>
      <c r="N139" s="428"/>
      <c r="O139" s="428"/>
      <c r="P139" s="428" t="s">
        <v>573</v>
      </c>
      <c r="Q139" s="428" t="s">
        <v>592</v>
      </c>
      <c r="R139" s="432"/>
      <c r="S139" s="432"/>
      <c r="T139" s="445"/>
      <c r="U139" s="434" t="s">
        <v>818</v>
      </c>
      <c r="V139" s="428" t="s">
        <v>207</v>
      </c>
      <c r="W139" s="428"/>
      <c r="X139" s="391"/>
    </row>
    <row r="140" spans="1:24" s="69" customFormat="1" ht="14.25" customHeight="1">
      <c r="A140" s="428" t="s">
        <v>37</v>
      </c>
      <c r="B140" s="428" t="s">
        <v>205</v>
      </c>
      <c r="C140" s="428" t="s">
        <v>209</v>
      </c>
      <c r="D140" s="391"/>
      <c r="E140" s="428"/>
      <c r="F140" s="428"/>
      <c r="G140" s="428"/>
      <c r="H140" s="428"/>
      <c r="I140" s="428"/>
      <c r="J140" s="428" t="s">
        <v>1099</v>
      </c>
      <c r="K140" s="428" t="s">
        <v>43</v>
      </c>
      <c r="L140" s="428" t="s">
        <v>43</v>
      </c>
      <c r="M140" s="428" t="s">
        <v>44</v>
      </c>
      <c r="N140" s="428"/>
      <c r="O140" s="428"/>
      <c r="P140" s="428" t="s">
        <v>573</v>
      </c>
      <c r="Q140" s="428" t="s">
        <v>592</v>
      </c>
      <c r="R140" s="432"/>
      <c r="S140" s="433"/>
      <c r="T140" s="445"/>
      <c r="U140" s="434" t="s">
        <v>818</v>
      </c>
      <c r="V140" s="428" t="s">
        <v>209</v>
      </c>
      <c r="W140" s="428"/>
      <c r="X140" s="391"/>
    </row>
    <row r="141" spans="1:24" s="69" customFormat="1" ht="14.25" customHeight="1">
      <c r="A141" s="428" t="s">
        <v>37</v>
      </c>
      <c r="B141" s="428" t="s">
        <v>205</v>
      </c>
      <c r="C141" s="428" t="s">
        <v>740</v>
      </c>
      <c r="D141" s="391" t="s">
        <v>2642</v>
      </c>
      <c r="E141" s="428" t="s">
        <v>1140</v>
      </c>
      <c r="F141" s="428" t="s">
        <v>1461</v>
      </c>
      <c r="G141" s="428" t="s">
        <v>1462</v>
      </c>
      <c r="H141" s="428"/>
      <c r="I141" s="428" t="s">
        <v>1620</v>
      </c>
      <c r="J141" s="428" t="s">
        <v>43</v>
      </c>
      <c r="K141" s="428" t="s">
        <v>43</v>
      </c>
      <c r="L141" s="428" t="s">
        <v>572</v>
      </c>
      <c r="M141" s="428" t="s">
        <v>44</v>
      </c>
      <c r="N141" s="428">
        <v>24.377054000000001</v>
      </c>
      <c r="O141" s="428">
        <v>97.343406999999999</v>
      </c>
      <c r="P141" s="428" t="s">
        <v>585</v>
      </c>
      <c r="Q141" s="428" t="s">
        <v>574</v>
      </c>
      <c r="R141" s="432">
        <v>3</v>
      </c>
      <c r="S141" s="432">
        <v>18</v>
      </c>
      <c r="T141" s="445"/>
      <c r="U141" s="434" t="s">
        <v>741</v>
      </c>
      <c r="V141" s="428" t="s">
        <v>740</v>
      </c>
      <c r="W141" s="428"/>
      <c r="X141" s="391"/>
    </row>
    <row r="142" spans="1:24" s="69" customFormat="1" ht="14.25" customHeight="1">
      <c r="A142" s="428" t="s">
        <v>37</v>
      </c>
      <c r="B142" s="428" t="s">
        <v>205</v>
      </c>
      <c r="C142" s="428" t="s">
        <v>289</v>
      </c>
      <c r="D142" s="391"/>
      <c r="E142" s="428"/>
      <c r="F142" s="428"/>
      <c r="G142" s="428"/>
      <c r="H142" s="428"/>
      <c r="I142" s="428"/>
      <c r="J142" s="428" t="s">
        <v>1099</v>
      </c>
      <c r="K142" s="428" t="s">
        <v>43</v>
      </c>
      <c r="L142" s="428" t="s">
        <v>826</v>
      </c>
      <c r="M142" s="428" t="s">
        <v>590</v>
      </c>
      <c r="N142" s="428"/>
      <c r="O142" s="428"/>
      <c r="P142" s="428" t="s">
        <v>573</v>
      </c>
      <c r="Q142" s="428" t="s">
        <v>574</v>
      </c>
      <c r="R142" s="432"/>
      <c r="S142" s="432"/>
      <c r="T142" s="445">
        <v>42849</v>
      </c>
      <c r="U142" s="434"/>
      <c r="V142" s="428"/>
      <c r="W142" s="428"/>
      <c r="X142" s="391"/>
    </row>
    <row r="143" spans="1:24" s="69" customFormat="1" ht="14.25" customHeight="1">
      <c r="A143" s="428" t="s">
        <v>37</v>
      </c>
      <c r="B143" s="428" t="s">
        <v>205</v>
      </c>
      <c r="C143" s="428" t="s">
        <v>281</v>
      </c>
      <c r="D143" s="431" t="s">
        <v>3023</v>
      </c>
      <c r="E143" s="428" t="s">
        <v>1115</v>
      </c>
      <c r="F143" s="428" t="s">
        <v>1385</v>
      </c>
      <c r="G143" s="428" t="s">
        <v>1387</v>
      </c>
      <c r="H143" s="428" t="s">
        <v>41</v>
      </c>
      <c r="I143" s="428" t="s">
        <v>2117</v>
      </c>
      <c r="J143" s="428" t="s">
        <v>43</v>
      </c>
      <c r="K143" s="428" t="s">
        <v>43</v>
      </c>
      <c r="L143" s="428" t="s">
        <v>43</v>
      </c>
      <c r="M143" s="428" t="s">
        <v>44</v>
      </c>
      <c r="N143" s="428">
        <v>24.200972</v>
      </c>
      <c r="O143" s="428">
        <v>97.718582999999995</v>
      </c>
      <c r="P143" s="428" t="s">
        <v>573</v>
      </c>
      <c r="Q143" s="428" t="s">
        <v>592</v>
      </c>
      <c r="R143" s="440">
        <v>40</v>
      </c>
      <c r="S143" s="433">
        <v>247</v>
      </c>
      <c r="T143" s="445"/>
      <c r="U143" s="434"/>
      <c r="V143" s="428" t="s">
        <v>281</v>
      </c>
      <c r="W143" s="428"/>
      <c r="X143" s="431"/>
    </row>
    <row r="144" spans="1:24" s="69" customFormat="1" ht="14.25" customHeight="1">
      <c r="A144" s="428" t="s">
        <v>37</v>
      </c>
      <c r="B144" s="428" t="s">
        <v>205</v>
      </c>
      <c r="C144" s="428" t="s">
        <v>282</v>
      </c>
      <c r="D144" s="431" t="s">
        <v>3023</v>
      </c>
      <c r="E144" s="428" t="s">
        <v>1116</v>
      </c>
      <c r="F144" s="428" t="s">
        <v>1385</v>
      </c>
      <c r="G144" s="428" t="s">
        <v>1387</v>
      </c>
      <c r="H144" s="428" t="s">
        <v>41</v>
      </c>
      <c r="I144" s="428" t="s">
        <v>42</v>
      </c>
      <c r="J144" s="428" t="s">
        <v>43</v>
      </c>
      <c r="K144" s="428" t="s">
        <v>43</v>
      </c>
      <c r="L144" s="428" t="s">
        <v>43</v>
      </c>
      <c r="M144" s="428" t="s">
        <v>44</v>
      </c>
      <c r="N144" s="428">
        <v>24.205417000000001</v>
      </c>
      <c r="O144" s="428">
        <v>97.724566999999993</v>
      </c>
      <c r="P144" s="428" t="s">
        <v>573</v>
      </c>
      <c r="Q144" s="428" t="s">
        <v>592</v>
      </c>
      <c r="R144" s="440">
        <v>79</v>
      </c>
      <c r="S144" s="433">
        <v>448</v>
      </c>
      <c r="T144" s="445"/>
      <c r="U144" s="434"/>
      <c r="V144" s="428" t="s">
        <v>282</v>
      </c>
      <c r="W144" s="428"/>
      <c r="X144" s="431"/>
    </row>
    <row r="145" spans="1:24" s="69" customFormat="1" ht="14.25" customHeight="1">
      <c r="A145" s="428" t="s">
        <v>37</v>
      </c>
      <c r="B145" s="428" t="s">
        <v>205</v>
      </c>
      <c r="C145" s="428" t="s">
        <v>833</v>
      </c>
      <c r="D145" s="391" t="s">
        <v>1299</v>
      </c>
      <c r="E145" s="428"/>
      <c r="F145" s="428"/>
      <c r="G145" s="428"/>
      <c r="H145" s="428"/>
      <c r="I145" s="428"/>
      <c r="J145" s="428" t="s">
        <v>43</v>
      </c>
      <c r="K145" s="428" t="s">
        <v>43</v>
      </c>
      <c r="L145" s="428" t="s">
        <v>815</v>
      </c>
      <c r="M145" s="428" t="s">
        <v>44</v>
      </c>
      <c r="N145" s="428"/>
      <c r="O145" s="428"/>
      <c r="P145" s="428" t="s">
        <v>573</v>
      </c>
      <c r="Q145" s="428"/>
      <c r="R145" s="432"/>
      <c r="S145" s="433"/>
      <c r="T145" s="445"/>
      <c r="U145" s="434"/>
      <c r="V145" s="428" t="s">
        <v>834</v>
      </c>
      <c r="W145" s="428"/>
      <c r="X145" s="391"/>
    </row>
    <row r="146" spans="1:24" s="69" customFormat="1" ht="14.25" customHeight="1">
      <c r="A146" s="428" t="s">
        <v>37</v>
      </c>
      <c r="B146" s="428" t="s">
        <v>205</v>
      </c>
      <c r="C146" s="428" t="s">
        <v>835</v>
      </c>
      <c r="D146" s="391" t="s">
        <v>1299</v>
      </c>
      <c r="E146" s="428"/>
      <c r="F146" s="428"/>
      <c r="G146" s="428"/>
      <c r="H146" s="428"/>
      <c r="I146" s="428"/>
      <c r="J146" s="428" t="s">
        <v>43</v>
      </c>
      <c r="K146" s="428" t="s">
        <v>43</v>
      </c>
      <c r="L146" s="428" t="s">
        <v>815</v>
      </c>
      <c r="M146" s="428" t="s">
        <v>44</v>
      </c>
      <c r="N146" s="428"/>
      <c r="O146" s="428"/>
      <c r="P146" s="428" t="s">
        <v>573</v>
      </c>
      <c r="Q146" s="428"/>
      <c r="R146" s="432"/>
      <c r="S146" s="432"/>
      <c r="T146" s="445"/>
      <c r="U146" s="434"/>
      <c r="V146" s="428" t="s">
        <v>836</v>
      </c>
      <c r="W146" s="428"/>
      <c r="X146" s="391"/>
    </row>
    <row r="147" spans="1:24" s="367" customFormat="1" ht="14.25" customHeight="1">
      <c r="A147" s="428" t="s">
        <v>37</v>
      </c>
      <c r="B147" s="428" t="s">
        <v>205</v>
      </c>
      <c r="C147" s="428" t="s">
        <v>837</v>
      </c>
      <c r="D147" s="391" t="s">
        <v>1299</v>
      </c>
      <c r="E147" s="428"/>
      <c r="F147" s="428"/>
      <c r="G147" s="428"/>
      <c r="H147" s="428"/>
      <c r="I147" s="428"/>
      <c r="J147" s="428" t="s">
        <v>43</v>
      </c>
      <c r="K147" s="428" t="s">
        <v>43</v>
      </c>
      <c r="L147" s="428" t="s">
        <v>815</v>
      </c>
      <c r="M147" s="428" t="s">
        <v>44</v>
      </c>
      <c r="N147" s="428"/>
      <c r="O147" s="428"/>
      <c r="P147" s="428" t="s">
        <v>573</v>
      </c>
      <c r="Q147" s="428"/>
      <c r="R147" s="432"/>
      <c r="S147" s="433"/>
      <c r="T147" s="445"/>
      <c r="U147" s="434"/>
      <c r="V147" s="428" t="s">
        <v>838</v>
      </c>
      <c r="W147" s="428"/>
      <c r="X147" s="391"/>
    </row>
    <row r="148" spans="1:24" s="69" customFormat="1" ht="14.25" customHeight="1">
      <c r="A148" s="428" t="s">
        <v>37</v>
      </c>
      <c r="B148" s="430" t="s">
        <v>205</v>
      </c>
      <c r="C148" s="484" t="s">
        <v>283</v>
      </c>
      <c r="D148" s="431" t="s">
        <v>3023</v>
      </c>
      <c r="E148" s="485" t="s">
        <v>1114</v>
      </c>
      <c r="F148" s="448" t="s">
        <v>1385</v>
      </c>
      <c r="G148" s="448" t="s">
        <v>1386</v>
      </c>
      <c r="H148" s="428" t="s">
        <v>41</v>
      </c>
      <c r="I148" s="428" t="s">
        <v>2117</v>
      </c>
      <c r="J148" s="428" t="s">
        <v>43</v>
      </c>
      <c r="K148" s="428" t="s">
        <v>43</v>
      </c>
      <c r="L148" s="428" t="s">
        <v>43</v>
      </c>
      <c r="M148" s="428" t="s">
        <v>44</v>
      </c>
      <c r="N148" s="428">
        <v>24.200433</v>
      </c>
      <c r="O148" s="428">
        <v>97.717133000000004</v>
      </c>
      <c r="P148" s="428" t="s">
        <v>573</v>
      </c>
      <c r="Q148" s="428" t="s">
        <v>592</v>
      </c>
      <c r="R148" s="440">
        <v>240</v>
      </c>
      <c r="S148" s="433">
        <v>1395</v>
      </c>
      <c r="T148" s="445"/>
      <c r="U148" s="483"/>
      <c r="V148" s="428" t="s">
        <v>283</v>
      </c>
      <c r="W148" s="428"/>
      <c r="X148" s="431"/>
    </row>
    <row r="149" spans="1:24" s="69" customFormat="1" ht="14.25" customHeight="1">
      <c r="A149" s="428" t="s">
        <v>37</v>
      </c>
      <c r="B149" s="428" t="s">
        <v>205</v>
      </c>
      <c r="C149" s="428" t="s">
        <v>839</v>
      </c>
      <c r="D149" s="391" t="s">
        <v>2268</v>
      </c>
      <c r="E149" s="428"/>
      <c r="F149" s="428"/>
      <c r="G149" s="428"/>
      <c r="H149" s="428"/>
      <c r="I149" s="428"/>
      <c r="J149" s="428" t="s">
        <v>826</v>
      </c>
      <c r="K149" s="428" t="s">
        <v>43</v>
      </c>
      <c r="L149" s="428" t="s">
        <v>826</v>
      </c>
      <c r="M149" s="428" t="s">
        <v>44</v>
      </c>
      <c r="N149" s="428"/>
      <c r="O149" s="428"/>
      <c r="P149" s="428" t="s">
        <v>573</v>
      </c>
      <c r="Q149" s="428"/>
      <c r="R149" s="432"/>
      <c r="S149" s="433"/>
      <c r="T149" s="445"/>
      <c r="U149" s="434"/>
      <c r="V149" s="428" t="s">
        <v>839</v>
      </c>
      <c r="W149" s="428"/>
      <c r="X149" s="391"/>
    </row>
    <row r="150" spans="1:24" s="69" customFormat="1" ht="14.25" customHeight="1">
      <c r="A150" s="428" t="s">
        <v>37</v>
      </c>
      <c r="B150" s="428" t="s">
        <v>205</v>
      </c>
      <c r="C150" s="428" t="s">
        <v>2179</v>
      </c>
      <c r="D150" s="431" t="s">
        <v>2794</v>
      </c>
      <c r="E150" s="428" t="s">
        <v>2180</v>
      </c>
      <c r="F150" s="428" t="s">
        <v>205</v>
      </c>
      <c r="G150" s="428" t="s">
        <v>2181</v>
      </c>
      <c r="H150" s="428"/>
      <c r="I150" s="428" t="s">
        <v>1620</v>
      </c>
      <c r="J150" s="428" t="s">
        <v>43</v>
      </c>
      <c r="K150" s="428" t="s">
        <v>43</v>
      </c>
      <c r="L150" s="428" t="s">
        <v>572</v>
      </c>
      <c r="M150" s="428" t="s">
        <v>44</v>
      </c>
      <c r="N150" s="428">
        <v>24.721878</v>
      </c>
      <c r="O150" s="428">
        <v>97.721878000000004</v>
      </c>
      <c r="P150" s="428" t="s">
        <v>573</v>
      </c>
      <c r="Q150" s="428"/>
      <c r="R150" s="440">
        <v>0</v>
      </c>
      <c r="S150" s="433">
        <v>36</v>
      </c>
      <c r="T150" s="445">
        <v>43717</v>
      </c>
      <c r="U150" s="434"/>
      <c r="V150" s="428"/>
      <c r="W150" s="362" t="s">
        <v>2178</v>
      </c>
      <c r="X150" s="431"/>
    </row>
    <row r="151" spans="1:24" s="69" customFormat="1" ht="14.25" customHeight="1">
      <c r="A151" s="428" t="s">
        <v>37</v>
      </c>
      <c r="B151" s="428" t="s">
        <v>205</v>
      </c>
      <c r="C151" s="428" t="s">
        <v>288</v>
      </c>
      <c r="D151" s="391"/>
      <c r="E151" s="428"/>
      <c r="F151" s="428"/>
      <c r="G151" s="428"/>
      <c r="H151" s="428"/>
      <c r="I151" s="428"/>
      <c r="J151" s="428" t="s">
        <v>1099</v>
      </c>
      <c r="K151" s="428" t="s">
        <v>43</v>
      </c>
      <c r="L151" s="428" t="s">
        <v>826</v>
      </c>
      <c r="M151" s="428" t="s">
        <v>44</v>
      </c>
      <c r="N151" s="428"/>
      <c r="O151" s="428"/>
      <c r="P151" s="428" t="s">
        <v>573</v>
      </c>
      <c r="Q151" s="428" t="s">
        <v>574</v>
      </c>
      <c r="R151" s="432"/>
      <c r="S151" s="432"/>
      <c r="T151" s="445">
        <v>42849</v>
      </c>
      <c r="U151" s="434"/>
      <c r="V151" s="428"/>
      <c r="W151" s="428"/>
      <c r="X151" s="391"/>
    </row>
    <row r="152" spans="1:24" s="69" customFormat="1" ht="14.25" customHeight="1">
      <c r="A152" s="428" t="s">
        <v>37</v>
      </c>
      <c r="B152" s="428" t="s">
        <v>205</v>
      </c>
      <c r="C152" s="428" t="s">
        <v>746</v>
      </c>
      <c r="D152" s="391" t="s">
        <v>1300</v>
      </c>
      <c r="E152" s="428" t="s">
        <v>1144</v>
      </c>
      <c r="F152" s="428" t="s">
        <v>1335</v>
      </c>
      <c r="G152" s="428" t="s">
        <v>1335</v>
      </c>
      <c r="H152" s="428"/>
      <c r="I152" s="428">
        <v>0</v>
      </c>
      <c r="J152" s="428" t="s">
        <v>43</v>
      </c>
      <c r="K152" s="428" t="s">
        <v>43</v>
      </c>
      <c r="L152" s="428" t="s">
        <v>572</v>
      </c>
      <c r="M152" s="428" t="s">
        <v>44</v>
      </c>
      <c r="N152" s="428">
        <v>24.441697000000001</v>
      </c>
      <c r="O152" s="428">
        <v>97.409474000000003</v>
      </c>
      <c r="P152" s="428" t="s">
        <v>585</v>
      </c>
      <c r="Q152" s="428" t="s">
        <v>574</v>
      </c>
      <c r="R152" s="432">
        <v>0</v>
      </c>
      <c r="S152" s="433">
        <v>0</v>
      </c>
      <c r="T152" s="445">
        <v>42983</v>
      </c>
      <c r="U152" s="434" t="s">
        <v>747</v>
      </c>
      <c r="V152" s="428" t="s">
        <v>746</v>
      </c>
      <c r="W152" s="428" t="s">
        <v>1653</v>
      </c>
      <c r="X152" s="391"/>
    </row>
    <row r="153" spans="1:24" s="69" customFormat="1" ht="14.25" customHeight="1">
      <c r="A153" s="428" t="s">
        <v>37</v>
      </c>
      <c r="B153" s="428" t="s">
        <v>205</v>
      </c>
      <c r="C153" s="428" t="s">
        <v>210</v>
      </c>
      <c r="D153" s="431" t="s">
        <v>3023</v>
      </c>
      <c r="E153" s="428" t="s">
        <v>1122</v>
      </c>
      <c r="F153" s="428" t="s">
        <v>1391</v>
      </c>
      <c r="G153" s="428" t="s">
        <v>1391</v>
      </c>
      <c r="H153" s="428" t="s">
        <v>41</v>
      </c>
      <c r="I153" s="428" t="s">
        <v>42</v>
      </c>
      <c r="J153" s="428" t="s">
        <v>43</v>
      </c>
      <c r="K153" s="428" t="s">
        <v>43</v>
      </c>
      <c r="L153" s="428" t="s">
        <v>43</v>
      </c>
      <c r="M153" s="428" t="s">
        <v>44</v>
      </c>
      <c r="N153" s="428">
        <v>24.245100000000001</v>
      </c>
      <c r="O153" s="428">
        <v>97.325019999999995</v>
      </c>
      <c r="P153" s="428" t="s">
        <v>573</v>
      </c>
      <c r="Q153" s="428" t="s">
        <v>592</v>
      </c>
      <c r="R153" s="440">
        <v>122</v>
      </c>
      <c r="S153" s="433">
        <v>571</v>
      </c>
      <c r="T153" s="445"/>
      <c r="U153" s="434"/>
      <c r="V153" s="428" t="s">
        <v>210</v>
      </c>
      <c r="W153" s="428"/>
      <c r="X153" s="431"/>
    </row>
    <row r="154" spans="1:24" s="69" customFormat="1" ht="14.25" customHeight="1">
      <c r="A154" s="428" t="s">
        <v>37</v>
      </c>
      <c r="B154" s="428" t="s">
        <v>205</v>
      </c>
      <c r="C154" s="428" t="s">
        <v>287</v>
      </c>
      <c r="D154" s="391"/>
      <c r="E154" s="428"/>
      <c r="F154" s="428"/>
      <c r="G154" s="428"/>
      <c r="H154" s="428"/>
      <c r="I154" s="428"/>
      <c r="J154" s="428" t="s">
        <v>1099</v>
      </c>
      <c r="K154" s="428" t="s">
        <v>43</v>
      </c>
      <c r="L154" s="428" t="s">
        <v>43</v>
      </c>
      <c r="M154" s="428" t="s">
        <v>44</v>
      </c>
      <c r="N154" s="428"/>
      <c r="O154" s="428"/>
      <c r="P154" s="428" t="s">
        <v>573</v>
      </c>
      <c r="Q154" s="428" t="s">
        <v>592</v>
      </c>
      <c r="R154" s="432"/>
      <c r="S154" s="433"/>
      <c r="T154" s="445"/>
      <c r="U154" s="434" t="s">
        <v>818</v>
      </c>
      <c r="V154" s="428" t="s">
        <v>287</v>
      </c>
      <c r="W154" s="362"/>
      <c r="X154" s="391"/>
    </row>
    <row r="155" spans="1:24" s="69" customFormat="1" ht="14.25" customHeight="1">
      <c r="A155" s="428" t="s">
        <v>37</v>
      </c>
      <c r="B155" s="428" t="s">
        <v>205</v>
      </c>
      <c r="C155" s="428" t="s">
        <v>744</v>
      </c>
      <c r="D155" s="391" t="s">
        <v>1300</v>
      </c>
      <c r="E155" s="428" t="s">
        <v>1143</v>
      </c>
      <c r="F155" s="428" t="s">
        <v>1334</v>
      </c>
      <c r="G155" s="428" t="s">
        <v>1334</v>
      </c>
      <c r="H155" s="428"/>
      <c r="I155" s="428">
        <v>0</v>
      </c>
      <c r="J155" s="428" t="s">
        <v>43</v>
      </c>
      <c r="K155" s="428" t="s">
        <v>43</v>
      </c>
      <c r="L155" s="428" t="s">
        <v>572</v>
      </c>
      <c r="M155" s="428" t="s">
        <v>44</v>
      </c>
      <c r="N155" s="428">
        <v>24.410008999999999</v>
      </c>
      <c r="O155" s="428">
        <v>97.321659999999994</v>
      </c>
      <c r="P155" s="428" t="s">
        <v>585</v>
      </c>
      <c r="Q155" s="428" t="s">
        <v>574</v>
      </c>
      <c r="R155" s="432">
        <v>0</v>
      </c>
      <c r="S155" s="433">
        <v>0</v>
      </c>
      <c r="T155" s="445">
        <v>42983</v>
      </c>
      <c r="U155" s="434" t="s">
        <v>745</v>
      </c>
      <c r="V155" s="428" t="s">
        <v>744</v>
      </c>
      <c r="W155" s="362" t="s">
        <v>1654</v>
      </c>
      <c r="X155" s="391"/>
    </row>
    <row r="156" spans="1:24" s="69" customFormat="1" ht="14.25" customHeight="1">
      <c r="A156" s="428" t="s">
        <v>37</v>
      </c>
      <c r="B156" s="428" t="s">
        <v>205</v>
      </c>
      <c r="C156" s="428" t="s">
        <v>756</v>
      </c>
      <c r="D156" s="391" t="s">
        <v>1300</v>
      </c>
      <c r="E156" s="428" t="s">
        <v>1154</v>
      </c>
      <c r="F156" s="428" t="s">
        <v>1342</v>
      </c>
      <c r="G156" s="428" t="s">
        <v>1343</v>
      </c>
      <c r="H156" s="428"/>
      <c r="I156" s="428">
        <v>0</v>
      </c>
      <c r="J156" s="428" t="s">
        <v>43</v>
      </c>
      <c r="K156" s="428" t="s">
        <v>43</v>
      </c>
      <c r="L156" s="428" t="s">
        <v>572</v>
      </c>
      <c r="M156" s="428" t="s">
        <v>44</v>
      </c>
      <c r="N156" s="428">
        <v>24.759551999999999</v>
      </c>
      <c r="O156" s="428">
        <v>97.276591999999994</v>
      </c>
      <c r="P156" s="428" t="s">
        <v>585</v>
      </c>
      <c r="Q156" s="428" t="s">
        <v>574</v>
      </c>
      <c r="R156" s="432">
        <v>0</v>
      </c>
      <c r="S156" s="432">
        <v>0</v>
      </c>
      <c r="T156" s="445">
        <v>42983</v>
      </c>
      <c r="U156" s="434" t="s">
        <v>757</v>
      </c>
      <c r="V156" s="428" t="s">
        <v>756</v>
      </c>
      <c r="W156" s="428" t="s">
        <v>1655</v>
      </c>
      <c r="X156" s="391"/>
    </row>
    <row r="157" spans="1:24" s="69" customFormat="1" ht="14.25" customHeight="1">
      <c r="A157" s="428" t="s">
        <v>37</v>
      </c>
      <c r="B157" s="428" t="s">
        <v>205</v>
      </c>
      <c r="C157" s="428" t="s">
        <v>211</v>
      </c>
      <c r="D157" s="391" t="s">
        <v>1300</v>
      </c>
      <c r="E157" s="428" t="s">
        <v>1128</v>
      </c>
      <c r="F157" s="428" t="s">
        <v>1307</v>
      </c>
      <c r="G157" s="428" t="s">
        <v>1308</v>
      </c>
      <c r="H157" s="428"/>
      <c r="I157" s="428">
        <v>0</v>
      </c>
      <c r="J157" s="428" t="s">
        <v>43</v>
      </c>
      <c r="K157" s="428" t="s">
        <v>43</v>
      </c>
      <c r="L157" s="428" t="s">
        <v>43</v>
      </c>
      <c r="M157" s="428" t="s">
        <v>44</v>
      </c>
      <c r="N157" s="428">
        <v>24.251860000000001</v>
      </c>
      <c r="O157" s="428">
        <v>97.346940000000004</v>
      </c>
      <c r="P157" s="428" t="s">
        <v>573</v>
      </c>
      <c r="Q157" s="428" t="s">
        <v>592</v>
      </c>
      <c r="R157" s="432">
        <v>0</v>
      </c>
      <c r="S157" s="433">
        <v>0</v>
      </c>
      <c r="T157" s="445"/>
      <c r="U157" s="434" t="s">
        <v>727</v>
      </c>
      <c r="V157" s="428" t="s">
        <v>211</v>
      </c>
      <c r="W157" s="428" t="s">
        <v>1656</v>
      </c>
      <c r="X157" s="391"/>
    </row>
    <row r="158" spans="1:24" s="69" customFormat="1" ht="14.25" customHeight="1">
      <c r="A158" s="437" t="s">
        <v>37</v>
      </c>
      <c r="B158" s="436" t="s">
        <v>205</v>
      </c>
      <c r="C158" s="430" t="s">
        <v>213</v>
      </c>
      <c r="D158" s="431" t="s">
        <v>3023</v>
      </c>
      <c r="E158" s="428" t="s">
        <v>1125</v>
      </c>
      <c r="F158" s="428" t="s">
        <v>1307</v>
      </c>
      <c r="G158" s="428" t="s">
        <v>1308</v>
      </c>
      <c r="H158" s="428" t="s">
        <v>41</v>
      </c>
      <c r="I158" s="428" t="s">
        <v>2117</v>
      </c>
      <c r="J158" s="428" t="s">
        <v>43</v>
      </c>
      <c r="K158" s="428" t="s">
        <v>43</v>
      </c>
      <c r="L158" s="428" t="s">
        <v>43</v>
      </c>
      <c r="M158" s="428" t="s">
        <v>44</v>
      </c>
      <c r="N158" s="428">
        <v>24.250689999999999</v>
      </c>
      <c r="O158" s="428">
        <v>97.344359999999995</v>
      </c>
      <c r="P158" s="428" t="s">
        <v>573</v>
      </c>
      <c r="Q158" s="428" t="s">
        <v>592</v>
      </c>
      <c r="R158" s="440">
        <v>646</v>
      </c>
      <c r="S158" s="433">
        <v>2978</v>
      </c>
      <c r="T158" s="445"/>
      <c r="U158" s="434"/>
      <c r="V158" s="428" t="s">
        <v>213</v>
      </c>
      <c r="W158" s="428"/>
      <c r="X158" s="431"/>
    </row>
    <row r="159" spans="1:24" s="69" customFormat="1" ht="14.25" customHeight="1">
      <c r="A159" s="428" t="s">
        <v>37</v>
      </c>
      <c r="B159" s="428" t="s">
        <v>205</v>
      </c>
      <c r="C159" s="428" t="s">
        <v>734</v>
      </c>
      <c r="D159" s="391" t="s">
        <v>1300</v>
      </c>
      <c r="E159" s="428" t="s">
        <v>1127</v>
      </c>
      <c r="F159" s="428" t="s">
        <v>1307</v>
      </c>
      <c r="G159" s="428" t="s">
        <v>1333</v>
      </c>
      <c r="H159" s="428" t="s">
        <v>41</v>
      </c>
      <c r="I159" s="428" t="s">
        <v>42</v>
      </c>
      <c r="J159" s="428" t="s">
        <v>43</v>
      </c>
      <c r="K159" s="428" t="s">
        <v>43</v>
      </c>
      <c r="L159" s="428" t="s">
        <v>572</v>
      </c>
      <c r="M159" s="428" t="s">
        <v>44</v>
      </c>
      <c r="N159" s="428">
        <v>24.25177</v>
      </c>
      <c r="O159" s="428">
        <v>97.346950000000007</v>
      </c>
      <c r="P159" s="428" t="s">
        <v>573</v>
      </c>
      <c r="Q159" s="428"/>
      <c r="R159" s="432">
        <v>0</v>
      </c>
      <c r="S159" s="432">
        <v>0</v>
      </c>
      <c r="T159" s="445"/>
      <c r="U159" s="434"/>
      <c r="V159" s="428" t="s">
        <v>734</v>
      </c>
      <c r="W159" s="428" t="s">
        <v>1657</v>
      </c>
      <c r="X159" s="391"/>
    </row>
    <row r="160" spans="1:24" s="69" customFormat="1" ht="14.25" customHeight="1">
      <c r="A160" s="428" t="s">
        <v>37</v>
      </c>
      <c r="B160" s="428" t="s">
        <v>205</v>
      </c>
      <c r="C160" s="428" t="s">
        <v>1535</v>
      </c>
      <c r="D160" s="391"/>
      <c r="E160" s="428"/>
      <c r="F160" s="428"/>
      <c r="G160" s="428"/>
      <c r="H160" s="428"/>
      <c r="I160" s="428"/>
      <c r="J160" s="428" t="s">
        <v>1099</v>
      </c>
      <c r="K160" s="428" t="s">
        <v>43</v>
      </c>
      <c r="L160" s="428" t="s">
        <v>43</v>
      </c>
      <c r="M160" s="428" t="s">
        <v>44</v>
      </c>
      <c r="N160" s="428"/>
      <c r="O160" s="428"/>
      <c r="P160" s="428" t="s">
        <v>573</v>
      </c>
      <c r="Q160" s="428" t="s">
        <v>1531</v>
      </c>
      <c r="R160" s="432"/>
      <c r="S160" s="432"/>
      <c r="T160" s="445">
        <v>43270</v>
      </c>
      <c r="U160" s="434"/>
      <c r="V160" s="428"/>
      <c r="W160" s="428"/>
      <c r="X160" s="391"/>
    </row>
    <row r="161" spans="1:24" s="69" customFormat="1" ht="14.25" customHeight="1">
      <c r="A161" s="428" t="s">
        <v>37</v>
      </c>
      <c r="B161" s="428" t="s">
        <v>205</v>
      </c>
      <c r="C161" s="428" t="s">
        <v>3046</v>
      </c>
      <c r="D161" s="431" t="s">
        <v>3023</v>
      </c>
      <c r="E161" s="428" t="s">
        <v>1126</v>
      </c>
      <c r="F161" s="428"/>
      <c r="G161" s="428"/>
      <c r="H161" s="428"/>
      <c r="I161" s="428" t="s">
        <v>1620</v>
      </c>
      <c r="J161" s="428" t="s">
        <v>43</v>
      </c>
      <c r="K161" s="428" t="s">
        <v>43</v>
      </c>
      <c r="L161" s="428" t="s">
        <v>2630</v>
      </c>
      <c r="M161" s="428" t="s">
        <v>44</v>
      </c>
      <c r="N161" s="428">
        <v>24.251232000000002</v>
      </c>
      <c r="O161" s="428">
        <v>97.348405</v>
      </c>
      <c r="P161" s="428" t="s">
        <v>585</v>
      </c>
      <c r="Q161" s="428" t="s">
        <v>574</v>
      </c>
      <c r="R161" s="440">
        <v>171</v>
      </c>
      <c r="S161" s="433">
        <v>882</v>
      </c>
      <c r="T161" s="445"/>
      <c r="U161" s="434" t="s">
        <v>724</v>
      </c>
      <c r="V161" s="428" t="s">
        <v>732</v>
      </c>
      <c r="W161" s="428"/>
      <c r="X161" s="431"/>
    </row>
    <row r="162" spans="1:24" s="69" customFormat="1" ht="14.25" customHeight="1">
      <c r="A162" s="428" t="s">
        <v>37</v>
      </c>
      <c r="B162" s="428" t="s">
        <v>205</v>
      </c>
      <c r="C162" s="428" t="s">
        <v>3043</v>
      </c>
      <c r="D162" s="431" t="s">
        <v>3023</v>
      </c>
      <c r="E162" s="428" t="s">
        <v>1142</v>
      </c>
      <c r="F162" s="428" t="s">
        <v>1461</v>
      </c>
      <c r="G162" s="428" t="s">
        <v>1461</v>
      </c>
      <c r="H162" s="428"/>
      <c r="I162" s="428" t="s">
        <v>1620</v>
      </c>
      <c r="J162" s="428" t="s">
        <v>43</v>
      </c>
      <c r="K162" s="428" t="s">
        <v>43</v>
      </c>
      <c r="L162" s="428" t="s">
        <v>2630</v>
      </c>
      <c r="M162" s="428" t="s">
        <v>44</v>
      </c>
      <c r="N162" s="428">
        <v>24.404876999999999</v>
      </c>
      <c r="O162" s="428">
        <v>97.407787999999996</v>
      </c>
      <c r="P162" s="428" t="s">
        <v>585</v>
      </c>
      <c r="Q162" s="428" t="s">
        <v>574</v>
      </c>
      <c r="R162" s="440">
        <v>15</v>
      </c>
      <c r="S162" s="433">
        <v>101</v>
      </c>
      <c r="T162" s="445"/>
      <c r="U162" s="434" t="s">
        <v>743</v>
      </c>
      <c r="V162" s="428" t="s">
        <v>742</v>
      </c>
      <c r="W162" s="362"/>
      <c r="X162" s="431"/>
    </row>
    <row r="163" spans="1:24" s="69" customFormat="1" ht="14.25" customHeight="1">
      <c r="A163" s="428" t="s">
        <v>37</v>
      </c>
      <c r="B163" s="428" t="s">
        <v>205</v>
      </c>
      <c r="C163" s="428" t="s">
        <v>295</v>
      </c>
      <c r="D163" s="431" t="s">
        <v>3023</v>
      </c>
      <c r="E163" s="428" t="s">
        <v>1141</v>
      </c>
      <c r="F163" s="428" t="s">
        <v>1400</v>
      </c>
      <c r="G163" s="428" t="s">
        <v>1401</v>
      </c>
      <c r="H163" s="428" t="s">
        <v>41</v>
      </c>
      <c r="I163" s="428" t="s">
        <v>42</v>
      </c>
      <c r="J163" s="428" t="s">
        <v>43</v>
      </c>
      <c r="K163" s="428" t="s">
        <v>43</v>
      </c>
      <c r="L163" s="428" t="s">
        <v>43</v>
      </c>
      <c r="M163" s="428" t="s">
        <v>590</v>
      </c>
      <c r="N163" s="428">
        <v>24.378167000000001</v>
      </c>
      <c r="O163" s="428">
        <v>97.669366999999994</v>
      </c>
      <c r="P163" s="428" t="s">
        <v>573</v>
      </c>
      <c r="Q163" s="428" t="s">
        <v>574</v>
      </c>
      <c r="R163" s="440">
        <v>349</v>
      </c>
      <c r="S163" s="433">
        <v>1570</v>
      </c>
      <c r="T163" s="445"/>
      <c r="U163" s="434"/>
      <c r="V163" s="428" t="s">
        <v>295</v>
      </c>
      <c r="W163" s="428"/>
      <c r="X163" s="431"/>
    </row>
    <row r="164" spans="1:24" s="69" customFormat="1" ht="14.25" customHeight="1">
      <c r="A164" s="428" t="s">
        <v>37</v>
      </c>
      <c r="B164" s="428" t="s">
        <v>205</v>
      </c>
      <c r="C164" s="428" t="s">
        <v>735</v>
      </c>
      <c r="D164" s="391" t="s">
        <v>1300</v>
      </c>
      <c r="E164" s="428" t="s">
        <v>1130</v>
      </c>
      <c r="F164" s="428" t="s">
        <v>1307</v>
      </c>
      <c r="G164" s="428" t="s">
        <v>1308</v>
      </c>
      <c r="H164" s="428" t="s">
        <v>41</v>
      </c>
      <c r="I164" s="428" t="s">
        <v>242</v>
      </c>
      <c r="J164" s="428" t="s">
        <v>43</v>
      </c>
      <c r="K164" s="428" t="s">
        <v>43</v>
      </c>
      <c r="L164" s="428" t="s">
        <v>572</v>
      </c>
      <c r="M164" s="428" t="s">
        <v>44</v>
      </c>
      <c r="N164" s="428">
        <v>24.253769999999999</v>
      </c>
      <c r="O164" s="428">
        <v>97.347740000000002</v>
      </c>
      <c r="P164" s="428" t="s">
        <v>573</v>
      </c>
      <c r="Q164" s="428"/>
      <c r="R164" s="432">
        <v>0</v>
      </c>
      <c r="S164" s="432">
        <v>0</v>
      </c>
      <c r="T164" s="445"/>
      <c r="U164" s="434"/>
      <c r="V164" s="428" t="s">
        <v>735</v>
      </c>
      <c r="W164" s="428" t="s">
        <v>1658</v>
      </c>
      <c r="X164" s="391"/>
    </row>
    <row r="165" spans="1:24" s="69" customFormat="1" ht="14.25" customHeight="1">
      <c r="A165" s="428" t="s">
        <v>37</v>
      </c>
      <c r="B165" s="428" t="s">
        <v>205</v>
      </c>
      <c r="C165" s="428" t="s">
        <v>284</v>
      </c>
      <c r="D165" s="431" t="s">
        <v>3023</v>
      </c>
      <c r="E165" s="428" t="s">
        <v>1117</v>
      </c>
      <c r="F165" s="428" t="s">
        <v>1385</v>
      </c>
      <c r="G165" s="428" t="s">
        <v>1386</v>
      </c>
      <c r="H165" s="428" t="s">
        <v>41</v>
      </c>
      <c r="I165" s="428" t="s">
        <v>2117</v>
      </c>
      <c r="J165" s="428" t="s">
        <v>43</v>
      </c>
      <c r="K165" s="428" t="s">
        <v>43</v>
      </c>
      <c r="L165" s="428" t="s">
        <v>43</v>
      </c>
      <c r="M165" s="428" t="s">
        <v>44</v>
      </c>
      <c r="N165" s="428">
        <v>24.205417000000001</v>
      </c>
      <c r="O165" s="428">
        <v>97.724483000000006</v>
      </c>
      <c r="P165" s="428" t="s">
        <v>573</v>
      </c>
      <c r="Q165" s="428" t="s">
        <v>592</v>
      </c>
      <c r="R165" s="440">
        <v>47</v>
      </c>
      <c r="S165" s="433">
        <v>291</v>
      </c>
      <c r="T165" s="445"/>
      <c r="U165" s="434"/>
      <c r="V165" s="428" t="s">
        <v>284</v>
      </c>
      <c r="W165" s="428"/>
      <c r="X165" s="431"/>
    </row>
    <row r="166" spans="1:24" s="69" customFormat="1" ht="14.25" customHeight="1">
      <c r="A166" s="428" t="s">
        <v>37</v>
      </c>
      <c r="B166" s="428" t="s">
        <v>205</v>
      </c>
      <c r="C166" s="428" t="s">
        <v>296</v>
      </c>
      <c r="D166" s="431" t="s">
        <v>3023</v>
      </c>
      <c r="E166" s="428" t="s">
        <v>1137</v>
      </c>
      <c r="F166" s="428" t="s">
        <v>1397</v>
      </c>
      <c r="G166" s="428" t="s">
        <v>1398</v>
      </c>
      <c r="H166" s="428" t="s">
        <v>41</v>
      </c>
      <c r="I166" s="428" t="s">
        <v>42</v>
      </c>
      <c r="J166" s="428" t="s">
        <v>43</v>
      </c>
      <c r="K166" s="428" t="s">
        <v>43</v>
      </c>
      <c r="L166" s="428" t="s">
        <v>43</v>
      </c>
      <c r="M166" s="428" t="s">
        <v>590</v>
      </c>
      <c r="N166" s="428">
        <v>24.2744</v>
      </c>
      <c r="O166" s="428">
        <v>97.752667000000002</v>
      </c>
      <c r="P166" s="428" t="s">
        <v>573</v>
      </c>
      <c r="Q166" s="428" t="s">
        <v>574</v>
      </c>
      <c r="R166" s="440">
        <v>616</v>
      </c>
      <c r="S166" s="433">
        <v>3682</v>
      </c>
      <c r="T166" s="445"/>
      <c r="U166" s="434"/>
      <c r="V166" s="428" t="s">
        <v>296</v>
      </c>
      <c r="W166" s="428"/>
      <c r="X166" s="431"/>
    </row>
    <row r="167" spans="1:24" s="69" customFormat="1" ht="14.25" customHeight="1">
      <c r="A167" s="428" t="s">
        <v>37</v>
      </c>
      <c r="B167" s="428" t="s">
        <v>205</v>
      </c>
      <c r="C167" s="428" t="s">
        <v>854</v>
      </c>
      <c r="D167" s="391" t="s">
        <v>1299</v>
      </c>
      <c r="E167" s="428"/>
      <c r="F167" s="428"/>
      <c r="G167" s="428"/>
      <c r="H167" s="428"/>
      <c r="I167" s="428"/>
      <c r="J167" s="428" t="s">
        <v>43</v>
      </c>
      <c r="K167" s="428" t="s">
        <v>43</v>
      </c>
      <c r="L167" s="428" t="s">
        <v>815</v>
      </c>
      <c r="M167" s="428" t="s">
        <v>590</v>
      </c>
      <c r="N167" s="428"/>
      <c r="O167" s="428"/>
      <c r="P167" s="428" t="s">
        <v>573</v>
      </c>
      <c r="Q167" s="428"/>
      <c r="R167" s="432"/>
      <c r="S167" s="433"/>
      <c r="T167" s="445"/>
      <c r="U167" s="434"/>
      <c r="V167" s="428" t="s">
        <v>854</v>
      </c>
      <c r="W167" s="428"/>
      <c r="X167" s="391"/>
    </row>
    <row r="168" spans="1:24" s="69" customFormat="1" ht="14.25" customHeight="1">
      <c r="A168" s="430" t="s">
        <v>37</v>
      </c>
      <c r="B168" s="430" t="s">
        <v>205</v>
      </c>
      <c r="C168" s="430" t="s">
        <v>855</v>
      </c>
      <c r="D168" s="391" t="s">
        <v>1299</v>
      </c>
      <c r="E168" s="430"/>
      <c r="F168" s="430"/>
      <c r="G168" s="430"/>
      <c r="H168" s="430"/>
      <c r="I168" s="430"/>
      <c r="J168" s="430" t="s">
        <v>43</v>
      </c>
      <c r="K168" s="430" t="s">
        <v>43</v>
      </c>
      <c r="L168" s="428" t="s">
        <v>815</v>
      </c>
      <c r="M168" s="430" t="s">
        <v>590</v>
      </c>
      <c r="N168" s="430"/>
      <c r="O168" s="430"/>
      <c r="P168" s="428" t="s">
        <v>573</v>
      </c>
      <c r="Q168" s="430"/>
      <c r="R168" s="436"/>
      <c r="S168" s="437"/>
      <c r="T168" s="446"/>
      <c r="U168" s="438"/>
      <c r="V168" s="430" t="s">
        <v>855</v>
      </c>
      <c r="W168" s="428"/>
      <c r="X168" s="391"/>
    </row>
    <row r="169" spans="1:24" s="69" customFormat="1" ht="14.25" customHeight="1">
      <c r="A169" s="428" t="s">
        <v>37</v>
      </c>
      <c r="B169" s="428" t="s">
        <v>205</v>
      </c>
      <c r="C169" s="428" t="s">
        <v>856</v>
      </c>
      <c r="D169" s="391" t="s">
        <v>2268</v>
      </c>
      <c r="E169" s="428"/>
      <c r="F169" s="428"/>
      <c r="G169" s="428"/>
      <c r="H169" s="428"/>
      <c r="I169" s="428"/>
      <c r="J169" s="428" t="s">
        <v>826</v>
      </c>
      <c r="K169" s="428" t="s">
        <v>43</v>
      </c>
      <c r="L169" s="428" t="s">
        <v>826</v>
      </c>
      <c r="M169" s="428" t="s">
        <v>590</v>
      </c>
      <c r="N169" s="428"/>
      <c r="O169" s="428"/>
      <c r="P169" s="428" t="s">
        <v>573</v>
      </c>
      <c r="Q169" s="428"/>
      <c r="R169" s="432"/>
      <c r="S169" s="433"/>
      <c r="T169" s="445"/>
      <c r="U169" s="434"/>
      <c r="V169" s="428" t="s">
        <v>856</v>
      </c>
      <c r="W169" s="428"/>
      <c r="X169" s="391"/>
    </row>
    <row r="170" spans="1:24" s="69" customFormat="1" ht="14.25" customHeight="1">
      <c r="A170" s="428" t="s">
        <v>37</v>
      </c>
      <c r="B170" s="428" t="s">
        <v>205</v>
      </c>
      <c r="C170" s="428" t="s">
        <v>857</v>
      </c>
      <c r="D170" s="391" t="s">
        <v>2268</v>
      </c>
      <c r="E170" s="428"/>
      <c r="F170" s="428"/>
      <c r="G170" s="428"/>
      <c r="H170" s="428"/>
      <c r="I170" s="428"/>
      <c r="J170" s="428" t="s">
        <v>826</v>
      </c>
      <c r="K170" s="428" t="s">
        <v>43</v>
      </c>
      <c r="L170" s="428" t="s">
        <v>826</v>
      </c>
      <c r="M170" s="428" t="s">
        <v>590</v>
      </c>
      <c r="N170" s="428"/>
      <c r="O170" s="428"/>
      <c r="P170" s="428" t="s">
        <v>573</v>
      </c>
      <c r="Q170" s="428"/>
      <c r="R170" s="432"/>
      <c r="S170" s="433"/>
      <c r="T170" s="445"/>
      <c r="U170" s="434"/>
      <c r="V170" s="428" t="s">
        <v>857</v>
      </c>
      <c r="W170" s="428"/>
      <c r="X170" s="391"/>
    </row>
    <row r="171" spans="1:24" s="69" customFormat="1" ht="14.25" customHeight="1">
      <c r="A171" s="428" t="s">
        <v>37</v>
      </c>
      <c r="B171" s="428" t="s">
        <v>205</v>
      </c>
      <c r="C171" s="428" t="s">
        <v>858</v>
      </c>
      <c r="D171" s="391" t="s">
        <v>1299</v>
      </c>
      <c r="E171" s="428"/>
      <c r="F171" s="428"/>
      <c r="G171" s="428"/>
      <c r="H171" s="428"/>
      <c r="I171" s="428"/>
      <c r="J171" s="428" t="s">
        <v>607</v>
      </c>
      <c r="K171" s="428" t="s">
        <v>607</v>
      </c>
      <c r="L171" s="428" t="s">
        <v>607</v>
      </c>
      <c r="M171" s="428" t="s">
        <v>590</v>
      </c>
      <c r="N171" s="428"/>
      <c r="O171" s="428"/>
      <c r="P171" s="428" t="s">
        <v>608</v>
      </c>
      <c r="Q171" s="428"/>
      <c r="R171" s="432"/>
      <c r="S171" s="433"/>
      <c r="T171" s="445"/>
      <c r="U171" s="434"/>
      <c r="V171" s="428" t="s">
        <v>858</v>
      </c>
      <c r="W171" s="362"/>
      <c r="X171" s="391"/>
    </row>
    <row r="172" spans="1:24" s="69" customFormat="1" ht="14.25" customHeight="1">
      <c r="A172" s="428" t="s">
        <v>37</v>
      </c>
      <c r="B172" s="430" t="s">
        <v>205</v>
      </c>
      <c r="C172" s="430" t="s">
        <v>859</v>
      </c>
      <c r="D172" s="391" t="s">
        <v>2268</v>
      </c>
      <c r="E172" s="428"/>
      <c r="F172" s="428"/>
      <c r="G172" s="428"/>
      <c r="H172" s="428"/>
      <c r="I172" s="428"/>
      <c r="J172" s="428" t="s">
        <v>826</v>
      </c>
      <c r="K172" s="428" t="s">
        <v>43</v>
      </c>
      <c r="L172" s="428" t="s">
        <v>826</v>
      </c>
      <c r="M172" s="428" t="s">
        <v>590</v>
      </c>
      <c r="N172" s="428"/>
      <c r="O172" s="428"/>
      <c r="P172" s="428" t="s">
        <v>573</v>
      </c>
      <c r="Q172" s="428"/>
      <c r="R172" s="432"/>
      <c r="S172" s="432"/>
      <c r="T172" s="445"/>
      <c r="U172" s="434"/>
      <c r="V172" s="428" t="s">
        <v>859</v>
      </c>
      <c r="W172" s="428"/>
      <c r="X172" s="391"/>
    </row>
    <row r="173" spans="1:24" s="69" customFormat="1" ht="14.25" customHeight="1">
      <c r="A173" s="428" t="s">
        <v>37</v>
      </c>
      <c r="B173" s="430" t="s">
        <v>205</v>
      </c>
      <c r="C173" s="430" t="s">
        <v>751</v>
      </c>
      <c r="D173" s="391" t="s">
        <v>1300</v>
      </c>
      <c r="E173" s="428" t="s">
        <v>1148</v>
      </c>
      <c r="F173" s="428" t="s">
        <v>1339</v>
      </c>
      <c r="G173" s="428" t="s">
        <v>1340</v>
      </c>
      <c r="H173" s="428"/>
      <c r="I173" s="428">
        <v>0</v>
      </c>
      <c r="J173" s="428" t="s">
        <v>43</v>
      </c>
      <c r="K173" s="428" t="s">
        <v>43</v>
      </c>
      <c r="L173" s="428" t="s">
        <v>572</v>
      </c>
      <c r="M173" s="428" t="s">
        <v>44</v>
      </c>
      <c r="N173" s="428">
        <v>24.630859999999998</v>
      </c>
      <c r="O173" s="428">
        <v>97.429860000000005</v>
      </c>
      <c r="P173" s="428" t="s">
        <v>585</v>
      </c>
      <c r="Q173" s="428" t="s">
        <v>574</v>
      </c>
      <c r="R173" s="432">
        <v>0</v>
      </c>
      <c r="S173" s="433">
        <v>0</v>
      </c>
      <c r="T173" s="445">
        <v>42983</v>
      </c>
      <c r="U173" s="434" t="s">
        <v>752</v>
      </c>
      <c r="V173" s="428" t="s">
        <v>751</v>
      </c>
      <c r="W173" s="362" t="s">
        <v>1659</v>
      </c>
      <c r="X173" s="391"/>
    </row>
    <row r="174" spans="1:24" s="69" customFormat="1" ht="14.25" customHeight="1">
      <c r="A174" s="428" t="s">
        <v>37</v>
      </c>
      <c r="B174" s="428" t="s">
        <v>205</v>
      </c>
      <c r="C174" s="428" t="s">
        <v>286</v>
      </c>
      <c r="D174" s="431" t="s">
        <v>3023</v>
      </c>
      <c r="E174" s="428" t="s">
        <v>1119</v>
      </c>
      <c r="F174" s="428" t="s">
        <v>1385</v>
      </c>
      <c r="G174" s="428" t="s">
        <v>1388</v>
      </c>
      <c r="H174" s="428" t="s">
        <v>41</v>
      </c>
      <c r="I174" s="428" t="s">
        <v>2117</v>
      </c>
      <c r="J174" s="428" t="s">
        <v>43</v>
      </c>
      <c r="K174" s="428" t="s">
        <v>43</v>
      </c>
      <c r="L174" s="428" t="s">
        <v>43</v>
      </c>
      <c r="M174" s="428" t="s">
        <v>44</v>
      </c>
      <c r="N174" s="428">
        <v>24.207332999999998</v>
      </c>
      <c r="O174" s="428">
        <v>97.710864000000001</v>
      </c>
      <c r="P174" s="428" t="s">
        <v>573</v>
      </c>
      <c r="Q174" s="428" t="s">
        <v>592</v>
      </c>
      <c r="R174" s="440">
        <v>47</v>
      </c>
      <c r="S174" s="433">
        <v>279</v>
      </c>
      <c r="T174" s="445"/>
      <c r="U174" s="434"/>
      <c r="V174" s="428" t="s">
        <v>286</v>
      </c>
      <c r="W174" s="428"/>
      <c r="X174" s="431"/>
    </row>
    <row r="175" spans="1:24" s="69" customFormat="1" ht="14.25" customHeight="1">
      <c r="A175" s="433" t="s">
        <v>37</v>
      </c>
      <c r="B175" s="436" t="s">
        <v>205</v>
      </c>
      <c r="C175" s="437" t="s">
        <v>748</v>
      </c>
      <c r="D175" s="431" t="s">
        <v>1300</v>
      </c>
      <c r="E175" s="428" t="s">
        <v>1146</v>
      </c>
      <c r="F175" s="428" t="s">
        <v>1336</v>
      </c>
      <c r="G175" s="428" t="s">
        <v>1336</v>
      </c>
      <c r="H175" s="428"/>
      <c r="I175" s="428">
        <v>0</v>
      </c>
      <c r="J175" s="428" t="s">
        <v>43</v>
      </c>
      <c r="K175" s="430" t="s">
        <v>43</v>
      </c>
      <c r="L175" s="430" t="s">
        <v>572</v>
      </c>
      <c r="M175" s="428" t="s">
        <v>44</v>
      </c>
      <c r="N175" s="428">
        <v>24.492493</v>
      </c>
      <c r="O175" s="428">
        <v>97.416826999999998</v>
      </c>
      <c r="P175" s="428" t="s">
        <v>585</v>
      </c>
      <c r="Q175" s="428" t="s">
        <v>574</v>
      </c>
      <c r="R175" s="440">
        <v>0</v>
      </c>
      <c r="S175" s="433">
        <v>0</v>
      </c>
      <c r="T175" s="445">
        <v>42983</v>
      </c>
      <c r="U175" s="434" t="s">
        <v>745</v>
      </c>
      <c r="V175" s="428" t="s">
        <v>748</v>
      </c>
      <c r="W175" s="428" t="s">
        <v>1660</v>
      </c>
      <c r="X175" s="431"/>
    </row>
    <row r="176" spans="1:24" s="69" customFormat="1" ht="14.25" customHeight="1">
      <c r="A176" s="428" t="s">
        <v>37</v>
      </c>
      <c r="B176" s="428" t="s">
        <v>159</v>
      </c>
      <c r="C176" s="428" t="s">
        <v>816</v>
      </c>
      <c r="D176" s="391" t="s">
        <v>1300</v>
      </c>
      <c r="E176" s="428" t="s">
        <v>1559</v>
      </c>
      <c r="F176" s="428" t="s">
        <v>1349</v>
      </c>
      <c r="G176" s="428" t="s">
        <v>1364</v>
      </c>
      <c r="H176" s="428"/>
      <c r="I176" s="428" t="s">
        <v>1620</v>
      </c>
      <c r="J176" s="428" t="s">
        <v>43</v>
      </c>
      <c r="K176" s="428" t="s">
        <v>43</v>
      </c>
      <c r="L176" s="428" t="s">
        <v>572</v>
      </c>
      <c r="M176" s="428" t="s">
        <v>44</v>
      </c>
      <c r="N176" s="428"/>
      <c r="O176" s="428"/>
      <c r="P176" s="428" t="s">
        <v>573</v>
      </c>
      <c r="Q176" s="428" t="s">
        <v>667</v>
      </c>
      <c r="R176" s="432">
        <v>25</v>
      </c>
      <c r="S176" s="432">
        <v>69</v>
      </c>
      <c r="T176" s="445"/>
      <c r="U176" s="434" t="s">
        <v>817</v>
      </c>
      <c r="V176" s="428"/>
      <c r="W176" s="428" t="s">
        <v>1661</v>
      </c>
      <c r="X176" s="391"/>
    </row>
    <row r="177" spans="1:24" s="69" customFormat="1" ht="14.25" customHeight="1">
      <c r="A177" s="428" t="s">
        <v>37</v>
      </c>
      <c r="B177" s="428" t="s">
        <v>159</v>
      </c>
      <c r="C177" s="428" t="s">
        <v>1596</v>
      </c>
      <c r="D177" s="391"/>
      <c r="E177" s="428"/>
      <c r="F177" s="428"/>
      <c r="G177" s="428"/>
      <c r="H177" s="428"/>
      <c r="I177" s="428"/>
      <c r="J177" s="428" t="s">
        <v>1099</v>
      </c>
      <c r="K177" s="428" t="s">
        <v>43</v>
      </c>
      <c r="L177" s="428" t="s">
        <v>588</v>
      </c>
      <c r="M177" s="428" t="s">
        <v>590</v>
      </c>
      <c r="N177" s="428"/>
      <c r="O177" s="428"/>
      <c r="P177" s="428" t="s">
        <v>573</v>
      </c>
      <c r="Q177" s="428"/>
      <c r="R177" s="432"/>
      <c r="S177" s="433"/>
      <c r="T177" s="445">
        <v>43298</v>
      </c>
      <c r="U177" s="434"/>
      <c r="V177" s="428"/>
      <c r="W177" s="428"/>
      <c r="X177" s="391"/>
    </row>
    <row r="178" spans="1:24" s="69" customFormat="1" ht="14.25" customHeight="1">
      <c r="A178" s="428" t="s">
        <v>37</v>
      </c>
      <c r="B178" s="428" t="s">
        <v>159</v>
      </c>
      <c r="C178" s="428" t="s">
        <v>160</v>
      </c>
      <c r="D178" s="431" t="s">
        <v>3023</v>
      </c>
      <c r="E178" s="428" t="s">
        <v>1192</v>
      </c>
      <c r="F178" s="428" t="s">
        <v>1349</v>
      </c>
      <c r="G178" s="428" t="s">
        <v>1428</v>
      </c>
      <c r="H178" s="428" t="s">
        <v>41</v>
      </c>
      <c r="I178" s="428" t="s">
        <v>2118</v>
      </c>
      <c r="J178" s="428" t="s">
        <v>43</v>
      </c>
      <c r="K178" s="428" t="s">
        <v>43</v>
      </c>
      <c r="L178" s="428" t="s">
        <v>43</v>
      </c>
      <c r="M178" s="428" t="s">
        <v>44</v>
      </c>
      <c r="N178" s="428">
        <v>25.3959740909091</v>
      </c>
      <c r="O178" s="428">
        <v>97.382997575757599</v>
      </c>
      <c r="P178" s="428" t="s">
        <v>573</v>
      </c>
      <c r="Q178" s="428" t="s">
        <v>592</v>
      </c>
      <c r="R178" s="440">
        <v>44</v>
      </c>
      <c r="S178" s="433">
        <v>196</v>
      </c>
      <c r="T178" s="445">
        <v>42983</v>
      </c>
      <c r="U178" s="434" t="s">
        <v>779</v>
      </c>
      <c r="V178" s="428" t="s">
        <v>780</v>
      </c>
      <c r="W178" s="428"/>
      <c r="X178" s="431"/>
    </row>
    <row r="179" spans="1:24" s="69" customFormat="1" ht="14.25" customHeight="1">
      <c r="A179" s="428" t="s">
        <v>37</v>
      </c>
      <c r="B179" s="428" t="s">
        <v>159</v>
      </c>
      <c r="C179" s="428" t="s">
        <v>782</v>
      </c>
      <c r="D179" s="391" t="s">
        <v>2268</v>
      </c>
      <c r="E179" s="428" t="s">
        <v>1194</v>
      </c>
      <c r="F179" s="428"/>
      <c r="G179" s="428"/>
      <c r="H179" s="428"/>
      <c r="I179" s="428"/>
      <c r="J179" s="428" t="s">
        <v>43</v>
      </c>
      <c r="K179" s="428" t="s">
        <v>43</v>
      </c>
      <c r="L179" s="428" t="s">
        <v>43</v>
      </c>
      <c r="M179" s="428" t="s">
        <v>44</v>
      </c>
      <c r="N179" s="428">
        <v>25.400270190000001</v>
      </c>
      <c r="O179" s="428">
        <v>97.384729629999995</v>
      </c>
      <c r="P179" s="428" t="s">
        <v>573</v>
      </c>
      <c r="Q179" s="428" t="s">
        <v>592</v>
      </c>
      <c r="R179" s="432"/>
      <c r="S179" s="433"/>
      <c r="T179" s="445"/>
      <c r="U179" s="434" t="s">
        <v>779</v>
      </c>
      <c r="V179" s="428" t="s">
        <v>782</v>
      </c>
      <c r="W179" s="428"/>
      <c r="X179" s="391"/>
    </row>
    <row r="180" spans="1:24" s="69" customFormat="1" ht="14.25" customHeight="1">
      <c r="A180" s="428" t="s">
        <v>37</v>
      </c>
      <c r="B180" s="428" t="s">
        <v>159</v>
      </c>
      <c r="C180" s="428" t="s">
        <v>780</v>
      </c>
      <c r="D180" s="391" t="s">
        <v>2268</v>
      </c>
      <c r="E180" s="428"/>
      <c r="F180" s="428"/>
      <c r="G180" s="428"/>
      <c r="H180" s="428"/>
      <c r="I180" s="428"/>
      <c r="J180" s="428" t="s">
        <v>43</v>
      </c>
      <c r="K180" s="428" t="s">
        <v>43</v>
      </c>
      <c r="L180" s="428" t="s">
        <v>43</v>
      </c>
      <c r="M180" s="428" t="s">
        <v>44</v>
      </c>
      <c r="N180" s="428">
        <v>25.395974089999999</v>
      </c>
      <c r="O180" s="428">
        <v>97.382997579999994</v>
      </c>
      <c r="P180" s="428" t="s">
        <v>573</v>
      </c>
      <c r="Q180" s="428" t="s">
        <v>592</v>
      </c>
      <c r="R180" s="432"/>
      <c r="S180" s="432"/>
      <c r="T180" s="445"/>
      <c r="U180" s="434"/>
      <c r="V180" s="428" t="s">
        <v>780</v>
      </c>
      <c r="W180" s="428"/>
      <c r="X180" s="391"/>
    </row>
    <row r="181" spans="1:24" s="69" customFormat="1" ht="14.25" customHeight="1">
      <c r="A181" s="428" t="s">
        <v>37</v>
      </c>
      <c r="B181" s="428" t="s">
        <v>159</v>
      </c>
      <c r="C181" s="428" t="s">
        <v>781</v>
      </c>
      <c r="D181" s="391" t="s">
        <v>2268</v>
      </c>
      <c r="E181" s="428" t="s">
        <v>1193</v>
      </c>
      <c r="F181" s="428"/>
      <c r="G181" s="428"/>
      <c r="H181" s="428"/>
      <c r="I181" s="428"/>
      <c r="J181" s="428" t="s">
        <v>43</v>
      </c>
      <c r="K181" s="428" t="s">
        <v>43</v>
      </c>
      <c r="L181" s="428" t="s">
        <v>43</v>
      </c>
      <c r="M181" s="428" t="s">
        <v>44</v>
      </c>
      <c r="N181" s="428">
        <v>25.396492500000001</v>
      </c>
      <c r="O181" s="428">
        <v>97.381325000000004</v>
      </c>
      <c r="P181" s="428" t="s">
        <v>573</v>
      </c>
      <c r="Q181" s="428" t="s">
        <v>592</v>
      </c>
      <c r="R181" s="432"/>
      <c r="S181" s="432"/>
      <c r="T181" s="445"/>
      <c r="U181" s="434" t="s">
        <v>779</v>
      </c>
      <c r="V181" s="428" t="s">
        <v>781</v>
      </c>
      <c r="W181" s="428"/>
      <c r="X181" s="391"/>
    </row>
    <row r="182" spans="1:24" s="69" customFormat="1" ht="14.25" customHeight="1">
      <c r="A182" s="437" t="s">
        <v>37</v>
      </c>
      <c r="B182" s="436" t="s">
        <v>159</v>
      </c>
      <c r="C182" s="430" t="s">
        <v>161</v>
      </c>
      <c r="D182" s="431" t="s">
        <v>3023</v>
      </c>
      <c r="E182" s="428" t="s">
        <v>1196</v>
      </c>
      <c r="F182" s="428" t="s">
        <v>1349</v>
      </c>
      <c r="G182" s="428" t="s">
        <v>1429</v>
      </c>
      <c r="H182" s="428" t="s">
        <v>41</v>
      </c>
      <c r="I182" s="428" t="s">
        <v>2118</v>
      </c>
      <c r="J182" s="428" t="s">
        <v>43</v>
      </c>
      <c r="K182" s="428" t="s">
        <v>43</v>
      </c>
      <c r="L182" s="428" t="s">
        <v>43</v>
      </c>
      <c r="M182" s="428" t="s">
        <v>44</v>
      </c>
      <c r="N182" s="428">
        <v>25.397850999999999</v>
      </c>
      <c r="O182" s="428">
        <v>97.370900000000006</v>
      </c>
      <c r="P182" s="430" t="s">
        <v>573</v>
      </c>
      <c r="Q182" s="428" t="s">
        <v>592</v>
      </c>
      <c r="R182" s="440">
        <v>201</v>
      </c>
      <c r="S182" s="433">
        <v>1187</v>
      </c>
      <c r="T182" s="445"/>
      <c r="U182" s="434"/>
      <c r="V182" s="428" t="s">
        <v>161</v>
      </c>
      <c r="W182" s="362"/>
      <c r="X182" s="431"/>
    </row>
    <row r="183" spans="1:24" s="69" customFormat="1" ht="14.25" customHeight="1">
      <c r="A183" s="437" t="s">
        <v>37</v>
      </c>
      <c r="B183" s="436" t="s">
        <v>159</v>
      </c>
      <c r="C183" s="430" t="s">
        <v>233</v>
      </c>
      <c r="D183" s="431" t="s">
        <v>3023</v>
      </c>
      <c r="E183" s="428" t="s">
        <v>1195</v>
      </c>
      <c r="F183" s="428" t="s">
        <v>1349</v>
      </c>
      <c r="G183" s="428" t="s">
        <v>1429</v>
      </c>
      <c r="H183" s="428" t="s">
        <v>41</v>
      </c>
      <c r="I183" s="428" t="s">
        <v>1035</v>
      </c>
      <c r="J183" s="428" t="s">
        <v>43</v>
      </c>
      <c r="K183" s="428" t="s">
        <v>43</v>
      </c>
      <c r="L183" s="428" t="s">
        <v>43</v>
      </c>
      <c r="M183" s="428" t="s">
        <v>44</v>
      </c>
      <c r="N183" s="428">
        <v>25.403476999999999</v>
      </c>
      <c r="O183" s="428">
        <v>97.373361000000003</v>
      </c>
      <c r="P183" s="428" t="s">
        <v>573</v>
      </c>
      <c r="Q183" s="428" t="s">
        <v>592</v>
      </c>
      <c r="R183" s="440">
        <v>73</v>
      </c>
      <c r="S183" s="433">
        <v>387</v>
      </c>
      <c r="T183" s="445"/>
      <c r="U183" s="434"/>
      <c r="V183" s="428" t="s">
        <v>233</v>
      </c>
      <c r="W183" s="428"/>
      <c r="X183" s="431"/>
    </row>
    <row r="184" spans="1:24" s="69" customFormat="1" ht="14.25" customHeight="1">
      <c r="A184" s="428" t="s">
        <v>37</v>
      </c>
      <c r="B184" s="428" t="s">
        <v>159</v>
      </c>
      <c r="C184" s="428" t="s">
        <v>1605</v>
      </c>
      <c r="D184" s="431" t="s">
        <v>3023</v>
      </c>
      <c r="E184" s="428" t="s">
        <v>1556</v>
      </c>
      <c r="F184" s="428"/>
      <c r="G184" s="428"/>
      <c r="H184" s="428"/>
      <c r="I184" s="428" t="s">
        <v>2118</v>
      </c>
      <c r="J184" s="428" t="s">
        <v>43</v>
      </c>
      <c r="K184" s="428" t="s">
        <v>43</v>
      </c>
      <c r="L184" s="430" t="s">
        <v>43</v>
      </c>
      <c r="M184" s="428" t="s">
        <v>44</v>
      </c>
      <c r="N184" s="428">
        <v>25.489669799804702</v>
      </c>
      <c r="O184" s="428">
        <v>97.458778381347699</v>
      </c>
      <c r="P184" s="428" t="s">
        <v>573</v>
      </c>
      <c r="Q184" s="428" t="s">
        <v>1531</v>
      </c>
      <c r="R184" s="440">
        <v>136</v>
      </c>
      <c r="S184" s="433">
        <v>658</v>
      </c>
      <c r="T184" s="445">
        <v>43276</v>
      </c>
      <c r="U184" s="434" t="s">
        <v>1580</v>
      </c>
      <c r="V184" s="428"/>
      <c r="W184" s="362" t="s">
        <v>1743</v>
      </c>
      <c r="X184" s="431"/>
    </row>
    <row r="185" spans="1:24" s="69" customFormat="1" ht="14.25" customHeight="1">
      <c r="A185" s="428" t="s">
        <v>37</v>
      </c>
      <c r="B185" s="428" t="s">
        <v>159</v>
      </c>
      <c r="C185" s="428" t="s">
        <v>1538</v>
      </c>
      <c r="D185" s="391"/>
      <c r="E185" s="428"/>
      <c r="F185" s="428"/>
      <c r="G185" s="428"/>
      <c r="H185" s="428"/>
      <c r="I185" s="428"/>
      <c r="J185" s="428" t="s">
        <v>1099</v>
      </c>
      <c r="K185" s="428" t="s">
        <v>43</v>
      </c>
      <c r="L185" s="428" t="s">
        <v>43</v>
      </c>
      <c r="M185" s="428" t="s">
        <v>44</v>
      </c>
      <c r="N185" s="428"/>
      <c r="O185" s="428"/>
      <c r="P185" s="428" t="s">
        <v>573</v>
      </c>
      <c r="Q185" s="428" t="s">
        <v>1531</v>
      </c>
      <c r="R185" s="432"/>
      <c r="S185" s="432"/>
      <c r="T185" s="445">
        <v>43270</v>
      </c>
      <c r="U185" s="434"/>
      <c r="V185" s="428"/>
      <c r="W185" s="428"/>
      <c r="X185" s="391"/>
    </row>
    <row r="186" spans="1:24" s="69" customFormat="1" ht="14.25" customHeight="1">
      <c r="A186" s="437" t="s">
        <v>37</v>
      </c>
      <c r="B186" s="436" t="s">
        <v>159</v>
      </c>
      <c r="C186" s="454" t="s">
        <v>828</v>
      </c>
      <c r="D186" s="431" t="s">
        <v>3023</v>
      </c>
      <c r="E186" s="448" t="s">
        <v>1544</v>
      </c>
      <c r="F186" s="428" t="s">
        <v>1349</v>
      </c>
      <c r="G186" s="428" t="s">
        <v>1470</v>
      </c>
      <c r="H186" s="428"/>
      <c r="I186" s="428" t="s">
        <v>1035</v>
      </c>
      <c r="J186" s="428" t="s">
        <v>43</v>
      </c>
      <c r="K186" s="428" t="s">
        <v>43</v>
      </c>
      <c r="L186" s="428" t="s">
        <v>43</v>
      </c>
      <c r="M186" s="428" t="s">
        <v>44</v>
      </c>
      <c r="N186" s="428">
        <v>25.244700000000002</v>
      </c>
      <c r="O186" s="428">
        <v>97.2209</v>
      </c>
      <c r="P186" s="428" t="s">
        <v>573</v>
      </c>
      <c r="Q186" s="428" t="s">
        <v>667</v>
      </c>
      <c r="R186" s="440">
        <v>18</v>
      </c>
      <c r="S186" s="433">
        <v>60</v>
      </c>
      <c r="T186" s="445">
        <v>42983</v>
      </c>
      <c r="U186" s="434" t="s">
        <v>829</v>
      </c>
      <c r="V186" s="428"/>
      <c r="W186" s="428" t="s">
        <v>1744</v>
      </c>
      <c r="X186" s="431"/>
    </row>
    <row r="187" spans="1:24" s="69" customFormat="1" ht="14.25" customHeight="1">
      <c r="A187" s="433" t="s">
        <v>37</v>
      </c>
      <c r="B187" s="436" t="s">
        <v>159</v>
      </c>
      <c r="C187" s="437" t="s">
        <v>162</v>
      </c>
      <c r="D187" s="431" t="s">
        <v>2114</v>
      </c>
      <c r="E187" s="428" t="s">
        <v>1187</v>
      </c>
      <c r="F187" s="428" t="s">
        <v>1349</v>
      </c>
      <c r="G187" s="428" t="s">
        <v>1426</v>
      </c>
      <c r="H187" s="428" t="s">
        <v>41</v>
      </c>
      <c r="I187" s="428" t="s">
        <v>141</v>
      </c>
      <c r="J187" s="428" t="s">
        <v>43</v>
      </c>
      <c r="K187" s="430" t="s">
        <v>43</v>
      </c>
      <c r="L187" s="430" t="s">
        <v>572</v>
      </c>
      <c r="M187" s="428" t="s">
        <v>44</v>
      </c>
      <c r="N187" s="428">
        <v>25.36600361</v>
      </c>
      <c r="O187" s="428">
        <v>97.405202779999996</v>
      </c>
      <c r="P187" s="428" t="s">
        <v>573</v>
      </c>
      <c r="Q187" s="428" t="s">
        <v>592</v>
      </c>
      <c r="R187" s="440">
        <v>45</v>
      </c>
      <c r="S187" s="433">
        <v>207</v>
      </c>
      <c r="T187" s="445"/>
      <c r="U187" s="434"/>
      <c r="V187" s="428" t="s">
        <v>162</v>
      </c>
      <c r="W187" s="428"/>
      <c r="X187" s="431"/>
    </row>
    <row r="188" spans="1:24" s="69" customFormat="1" ht="14.25" customHeight="1">
      <c r="A188" s="428" t="s">
        <v>37</v>
      </c>
      <c r="B188" s="428" t="s">
        <v>159</v>
      </c>
      <c r="C188" s="428" t="s">
        <v>583</v>
      </c>
      <c r="D188" s="391" t="s">
        <v>2268</v>
      </c>
      <c r="E188" s="428" t="s">
        <v>1038</v>
      </c>
      <c r="F188" s="428"/>
      <c r="G188" s="428"/>
      <c r="H188" s="428"/>
      <c r="I188" s="428" t="s">
        <v>1620</v>
      </c>
      <c r="J188" s="428" t="s">
        <v>43</v>
      </c>
      <c r="K188" s="428" t="s">
        <v>43</v>
      </c>
      <c r="L188" s="428" t="s">
        <v>43</v>
      </c>
      <c r="M188" s="428" t="s">
        <v>44</v>
      </c>
      <c r="N188" s="428">
        <v>0</v>
      </c>
      <c r="O188" s="428">
        <v>0</v>
      </c>
      <c r="P188" s="428" t="s">
        <v>573</v>
      </c>
      <c r="Q188" s="428" t="s">
        <v>1608</v>
      </c>
      <c r="R188" s="432">
        <v>375</v>
      </c>
      <c r="S188" s="432">
        <v>1691</v>
      </c>
      <c r="T188" s="445">
        <v>43360</v>
      </c>
      <c r="U188" s="434" t="s">
        <v>1610</v>
      </c>
      <c r="V188" s="428"/>
      <c r="W188" s="362"/>
      <c r="X188" s="391"/>
    </row>
    <row r="189" spans="1:24" s="69" customFormat="1" ht="14.25" customHeight="1">
      <c r="A189" s="428" t="s">
        <v>37</v>
      </c>
      <c r="B189" s="428" t="s">
        <v>159</v>
      </c>
      <c r="C189" s="428" t="s">
        <v>1600</v>
      </c>
      <c r="D189" s="391"/>
      <c r="E189" s="428"/>
      <c r="F189" s="428"/>
      <c r="G189" s="428"/>
      <c r="H189" s="428"/>
      <c r="I189" s="428"/>
      <c r="J189" s="428" t="s">
        <v>1099</v>
      </c>
      <c r="K189" s="428" t="s">
        <v>43</v>
      </c>
      <c r="L189" s="428" t="s">
        <v>588</v>
      </c>
      <c r="M189" s="428" t="s">
        <v>590</v>
      </c>
      <c r="N189" s="428"/>
      <c r="O189" s="428"/>
      <c r="P189" s="428" t="s">
        <v>573</v>
      </c>
      <c r="Q189" s="428"/>
      <c r="R189" s="432"/>
      <c r="S189" s="432"/>
      <c r="T189" s="445">
        <v>43298</v>
      </c>
      <c r="U189" s="434"/>
      <c r="V189" s="428"/>
      <c r="W189" s="428"/>
      <c r="X189" s="391"/>
    </row>
    <row r="190" spans="1:24" s="69" customFormat="1" ht="14.25" customHeight="1">
      <c r="A190" s="428" t="s">
        <v>37</v>
      </c>
      <c r="B190" s="428" t="s">
        <v>159</v>
      </c>
      <c r="C190" s="428" t="s">
        <v>163</v>
      </c>
      <c r="D190" s="431" t="s">
        <v>3023</v>
      </c>
      <c r="E190" s="428" t="s">
        <v>1186</v>
      </c>
      <c r="F190" s="428" t="s">
        <v>1349</v>
      </c>
      <c r="G190" s="428" t="s">
        <v>1420</v>
      </c>
      <c r="H190" s="428" t="s">
        <v>41</v>
      </c>
      <c r="I190" s="428" t="s">
        <v>2118</v>
      </c>
      <c r="J190" s="428" t="s">
        <v>43</v>
      </c>
      <c r="K190" s="428" t="s">
        <v>43</v>
      </c>
      <c r="L190" s="428" t="s">
        <v>43</v>
      </c>
      <c r="M190" s="428" t="s">
        <v>44</v>
      </c>
      <c r="N190" s="428">
        <v>25.362420757575801</v>
      </c>
      <c r="O190" s="428">
        <v>97.409035000000003</v>
      </c>
      <c r="P190" s="17" t="s">
        <v>573</v>
      </c>
      <c r="Q190" s="428" t="s">
        <v>592</v>
      </c>
      <c r="R190" s="440">
        <v>144</v>
      </c>
      <c r="S190" s="433">
        <v>723</v>
      </c>
      <c r="T190" s="445"/>
      <c r="U190" s="434"/>
      <c r="V190" s="428" t="s">
        <v>163</v>
      </c>
      <c r="W190" s="428" t="s">
        <v>1745</v>
      </c>
      <c r="X190" s="431"/>
    </row>
    <row r="191" spans="1:24" s="69" customFormat="1" ht="14.25" customHeight="1">
      <c r="A191" s="428" t="s">
        <v>37</v>
      </c>
      <c r="B191" s="428" t="s">
        <v>159</v>
      </c>
      <c r="C191" s="428" t="s">
        <v>164</v>
      </c>
      <c r="D191" s="431" t="s">
        <v>3023</v>
      </c>
      <c r="E191" s="428" t="s">
        <v>1178</v>
      </c>
      <c r="F191" s="428" t="s">
        <v>1349</v>
      </c>
      <c r="G191" s="428" t="s">
        <v>1420</v>
      </c>
      <c r="H191" s="428" t="s">
        <v>41</v>
      </c>
      <c r="I191" s="428" t="s">
        <v>2118</v>
      </c>
      <c r="J191" s="428" t="s">
        <v>43</v>
      </c>
      <c r="K191" s="428" t="s">
        <v>43</v>
      </c>
      <c r="L191" s="428" t="s">
        <v>43</v>
      </c>
      <c r="M191" s="428" t="s">
        <v>44</v>
      </c>
      <c r="N191" s="428">
        <v>25.3510167948718</v>
      </c>
      <c r="O191" s="428">
        <v>97.403402307692303</v>
      </c>
      <c r="P191" s="428" t="s">
        <v>573</v>
      </c>
      <c r="Q191" s="428" t="s">
        <v>592</v>
      </c>
      <c r="R191" s="440">
        <v>136</v>
      </c>
      <c r="S191" s="433">
        <v>697</v>
      </c>
      <c r="T191" s="445"/>
      <c r="U191" s="434"/>
      <c r="V191" s="428" t="s">
        <v>164</v>
      </c>
      <c r="W191" s="428"/>
      <c r="X191" s="431"/>
    </row>
    <row r="192" spans="1:24" s="69" customFormat="1" ht="14.25" customHeight="1">
      <c r="A192" s="428" t="s">
        <v>37</v>
      </c>
      <c r="B192" s="428" t="s">
        <v>159</v>
      </c>
      <c r="C192" s="428" t="s">
        <v>165</v>
      </c>
      <c r="D192" s="431" t="s">
        <v>3023</v>
      </c>
      <c r="E192" s="428" t="s">
        <v>1185</v>
      </c>
      <c r="F192" s="428" t="s">
        <v>1349</v>
      </c>
      <c r="G192" s="428" t="s">
        <v>1425</v>
      </c>
      <c r="H192" s="428" t="s">
        <v>41</v>
      </c>
      <c r="I192" s="428" t="s">
        <v>2118</v>
      </c>
      <c r="J192" s="428" t="s">
        <v>43</v>
      </c>
      <c r="K192" s="428" t="s">
        <v>43</v>
      </c>
      <c r="L192" s="428" t="s">
        <v>43</v>
      </c>
      <c r="M192" s="428" t="s">
        <v>44</v>
      </c>
      <c r="N192" s="428">
        <v>25.360463124999999</v>
      </c>
      <c r="O192" s="428">
        <v>97.4113064583333</v>
      </c>
      <c r="P192" s="428" t="s">
        <v>573</v>
      </c>
      <c r="Q192" s="428" t="s">
        <v>592</v>
      </c>
      <c r="R192" s="440">
        <v>59</v>
      </c>
      <c r="S192" s="433">
        <v>327</v>
      </c>
      <c r="T192" s="445"/>
      <c r="U192" s="434"/>
      <c r="V192" s="428" t="s">
        <v>165</v>
      </c>
      <c r="W192" s="428"/>
      <c r="X192" s="431"/>
    </row>
    <row r="193" spans="1:24" s="69" customFormat="1" ht="14.25" customHeight="1">
      <c r="A193" s="428" t="s">
        <v>37</v>
      </c>
      <c r="B193" s="428" t="s">
        <v>159</v>
      </c>
      <c r="C193" s="428" t="s">
        <v>166</v>
      </c>
      <c r="D193" s="431" t="s">
        <v>3023</v>
      </c>
      <c r="E193" s="428" t="s">
        <v>1211</v>
      </c>
      <c r="F193" s="428" t="s">
        <v>1349</v>
      </c>
      <c r="G193" s="428" t="s">
        <v>1437</v>
      </c>
      <c r="H193" s="428" t="s">
        <v>41</v>
      </c>
      <c r="I193" s="428" t="s">
        <v>2118</v>
      </c>
      <c r="J193" s="428" t="s">
        <v>43</v>
      </c>
      <c r="K193" s="428" t="s">
        <v>43</v>
      </c>
      <c r="L193" s="428" t="s">
        <v>43</v>
      </c>
      <c r="M193" s="428" t="s">
        <v>44</v>
      </c>
      <c r="N193" s="428">
        <v>25.428910999999999</v>
      </c>
      <c r="O193" s="428">
        <v>97.418694000000002</v>
      </c>
      <c r="P193" s="428" t="s">
        <v>573</v>
      </c>
      <c r="Q193" s="428" t="s">
        <v>592</v>
      </c>
      <c r="R193" s="440">
        <v>108</v>
      </c>
      <c r="S193" s="433">
        <v>622</v>
      </c>
      <c r="T193" s="445"/>
      <c r="U193" s="434"/>
      <c r="V193" s="428" t="s">
        <v>166</v>
      </c>
      <c r="W193" s="428"/>
      <c r="X193" s="431"/>
    </row>
    <row r="194" spans="1:24" s="69" customFormat="1" ht="14.25" customHeight="1">
      <c r="A194" s="428" t="s">
        <v>37</v>
      </c>
      <c r="B194" s="428" t="s">
        <v>159</v>
      </c>
      <c r="C194" s="428" t="s">
        <v>263</v>
      </c>
      <c r="D194" s="431" t="s">
        <v>3023</v>
      </c>
      <c r="E194" s="428" t="s">
        <v>1189</v>
      </c>
      <c r="F194" s="428" t="s">
        <v>1427</v>
      </c>
      <c r="G194" s="428" t="s">
        <v>1427</v>
      </c>
      <c r="H194" s="428" t="s">
        <v>41</v>
      </c>
      <c r="I194" s="428" t="s">
        <v>242</v>
      </c>
      <c r="J194" s="428" t="s">
        <v>43</v>
      </c>
      <c r="K194" s="428" t="s">
        <v>43</v>
      </c>
      <c r="L194" s="428" t="s">
        <v>43</v>
      </c>
      <c r="M194" s="428" t="s">
        <v>44</v>
      </c>
      <c r="N194" s="428">
        <v>25.374343974359</v>
      </c>
      <c r="O194" s="428">
        <v>97.2843958974359</v>
      </c>
      <c r="P194" s="428" t="s">
        <v>573</v>
      </c>
      <c r="Q194" s="428" t="s">
        <v>592</v>
      </c>
      <c r="R194" s="440">
        <v>22</v>
      </c>
      <c r="S194" s="433">
        <v>90</v>
      </c>
      <c r="T194" s="445"/>
      <c r="U194" s="434"/>
      <c r="V194" s="428" t="s">
        <v>263</v>
      </c>
      <c r="W194" s="362"/>
      <c r="X194" s="431"/>
    </row>
    <row r="195" spans="1:24" s="69" customFormat="1" ht="14.25" customHeight="1">
      <c r="A195" s="428" t="s">
        <v>37</v>
      </c>
      <c r="B195" s="428" t="s">
        <v>159</v>
      </c>
      <c r="C195" s="428" t="s">
        <v>264</v>
      </c>
      <c r="D195" s="431" t="s">
        <v>3023</v>
      </c>
      <c r="E195" s="428" t="s">
        <v>1188</v>
      </c>
      <c r="F195" s="428" t="s">
        <v>1427</v>
      </c>
      <c r="G195" s="428" t="s">
        <v>1427</v>
      </c>
      <c r="H195" s="428" t="s">
        <v>41</v>
      </c>
      <c r="I195" s="428" t="s">
        <v>242</v>
      </c>
      <c r="J195" s="428" t="s">
        <v>43</v>
      </c>
      <c r="K195" s="428" t="s">
        <v>43</v>
      </c>
      <c r="L195" s="428" t="s">
        <v>43</v>
      </c>
      <c r="M195" s="428" t="s">
        <v>44</v>
      </c>
      <c r="N195" s="428">
        <v>25.371049444444399</v>
      </c>
      <c r="O195" s="428">
        <v>97.290952037037002</v>
      </c>
      <c r="P195" s="428" t="s">
        <v>573</v>
      </c>
      <c r="Q195" s="428" t="s">
        <v>592</v>
      </c>
      <c r="R195" s="440">
        <v>30</v>
      </c>
      <c r="S195" s="433">
        <v>177</v>
      </c>
      <c r="T195" s="445"/>
      <c r="U195" s="434"/>
      <c r="V195" s="428" t="s">
        <v>264</v>
      </c>
      <c r="W195" s="428"/>
      <c r="X195" s="431"/>
    </row>
    <row r="196" spans="1:24" s="69" customFormat="1" ht="14.25" customHeight="1">
      <c r="A196" s="428" t="s">
        <v>37</v>
      </c>
      <c r="B196" s="428" t="s">
        <v>159</v>
      </c>
      <c r="C196" s="428" t="s">
        <v>777</v>
      </c>
      <c r="D196" s="391" t="s">
        <v>1300</v>
      </c>
      <c r="E196" s="428" t="s">
        <v>1191</v>
      </c>
      <c r="F196" s="428" t="s">
        <v>1349</v>
      </c>
      <c r="G196" s="428" t="s">
        <v>1351</v>
      </c>
      <c r="H196" s="428" t="s">
        <v>41</v>
      </c>
      <c r="I196" s="428" t="s">
        <v>242</v>
      </c>
      <c r="J196" s="428" t="s">
        <v>43</v>
      </c>
      <c r="K196" s="428" t="s">
        <v>43</v>
      </c>
      <c r="L196" s="428" t="s">
        <v>572</v>
      </c>
      <c r="M196" s="428" t="s">
        <v>44</v>
      </c>
      <c r="N196" s="428">
        <v>25.387862999999999</v>
      </c>
      <c r="O196" s="428">
        <v>97.376671999999999</v>
      </c>
      <c r="P196" s="428" t="s">
        <v>573</v>
      </c>
      <c r="Q196" s="428"/>
      <c r="R196" s="432">
        <v>0</v>
      </c>
      <c r="S196" s="432">
        <v>0</v>
      </c>
      <c r="T196" s="445"/>
      <c r="U196" s="434"/>
      <c r="V196" s="428" t="s">
        <v>777</v>
      </c>
      <c r="W196" s="428" t="s">
        <v>1662</v>
      </c>
      <c r="X196" s="391"/>
    </row>
    <row r="197" spans="1:24" s="69" customFormat="1" ht="14.25" customHeight="1">
      <c r="A197" s="428" t="s">
        <v>37</v>
      </c>
      <c r="B197" s="428" t="s">
        <v>159</v>
      </c>
      <c r="C197" s="428" t="s">
        <v>234</v>
      </c>
      <c r="D197" s="431" t="s">
        <v>3023</v>
      </c>
      <c r="E197" s="428" t="s">
        <v>1200</v>
      </c>
      <c r="F197" s="428" t="s">
        <v>1432</v>
      </c>
      <c r="G197" s="428" t="s">
        <v>1432</v>
      </c>
      <c r="H197" s="428" t="s">
        <v>41</v>
      </c>
      <c r="I197" s="428" t="s">
        <v>1035</v>
      </c>
      <c r="J197" s="428" t="s">
        <v>43</v>
      </c>
      <c r="K197" s="428" t="s">
        <v>43</v>
      </c>
      <c r="L197" s="428" t="s">
        <v>43</v>
      </c>
      <c r="M197" s="428" t="s">
        <v>44</v>
      </c>
      <c r="N197" s="428">
        <v>25.410569299999999</v>
      </c>
      <c r="O197" s="428">
        <v>97.359320179999997</v>
      </c>
      <c r="P197" s="428" t="s">
        <v>573</v>
      </c>
      <c r="Q197" s="428" t="s">
        <v>592</v>
      </c>
      <c r="R197" s="440">
        <v>61</v>
      </c>
      <c r="S197" s="433">
        <v>290</v>
      </c>
      <c r="T197" s="445"/>
      <c r="U197" s="434"/>
      <c r="V197" s="428" t="s">
        <v>234</v>
      </c>
      <c r="W197" s="428"/>
      <c r="X197" s="431"/>
    </row>
    <row r="198" spans="1:24" s="69" customFormat="1" ht="14.25" customHeight="1">
      <c r="A198" s="437" t="s">
        <v>37</v>
      </c>
      <c r="B198" s="436" t="s">
        <v>159</v>
      </c>
      <c r="C198" s="437" t="s">
        <v>167</v>
      </c>
      <c r="D198" s="431" t="s">
        <v>3023</v>
      </c>
      <c r="E198" s="428" t="s">
        <v>1207</v>
      </c>
      <c r="F198" s="428" t="s">
        <v>1349</v>
      </c>
      <c r="G198" s="428" t="s">
        <v>1436</v>
      </c>
      <c r="H198" s="428" t="s">
        <v>41</v>
      </c>
      <c r="I198" s="428" t="s">
        <v>2118</v>
      </c>
      <c r="J198" s="428" t="s">
        <v>43</v>
      </c>
      <c r="K198" s="430" t="s">
        <v>43</v>
      </c>
      <c r="L198" s="430" t="s">
        <v>43</v>
      </c>
      <c r="M198" s="428" t="s">
        <v>44</v>
      </c>
      <c r="N198" s="428">
        <v>25.422194000000001</v>
      </c>
      <c r="O198" s="428">
        <v>97.394547000000003</v>
      </c>
      <c r="P198" s="430" t="s">
        <v>573</v>
      </c>
      <c r="Q198" s="428" t="s">
        <v>592</v>
      </c>
      <c r="R198" s="440">
        <v>72</v>
      </c>
      <c r="S198" s="433">
        <v>323</v>
      </c>
      <c r="T198" s="445"/>
      <c r="U198" s="434"/>
      <c r="V198" s="428" t="s">
        <v>167</v>
      </c>
      <c r="W198" s="362"/>
      <c r="X198" s="431"/>
    </row>
    <row r="199" spans="1:24" s="69" customFormat="1" ht="14.25" customHeight="1">
      <c r="A199" s="433" t="s">
        <v>37</v>
      </c>
      <c r="B199" s="436" t="s">
        <v>159</v>
      </c>
      <c r="C199" s="437" t="s">
        <v>235</v>
      </c>
      <c r="D199" s="431" t="s">
        <v>3023</v>
      </c>
      <c r="E199" s="428" t="s">
        <v>1213</v>
      </c>
      <c r="F199" s="428" t="s">
        <v>1439</v>
      </c>
      <c r="G199" s="428" t="s">
        <v>1440</v>
      </c>
      <c r="H199" s="428" t="s">
        <v>41</v>
      </c>
      <c r="I199" s="428" t="s">
        <v>1035</v>
      </c>
      <c r="J199" s="428" t="s">
        <v>43</v>
      </c>
      <c r="K199" s="428" t="s">
        <v>43</v>
      </c>
      <c r="L199" s="428" t="s">
        <v>43</v>
      </c>
      <c r="M199" s="428" t="s">
        <v>44</v>
      </c>
      <c r="N199" s="428">
        <v>25.493819999999999</v>
      </c>
      <c r="O199" s="428">
        <v>97.4345</v>
      </c>
      <c r="P199" s="428" t="s">
        <v>573</v>
      </c>
      <c r="Q199" s="428" t="s">
        <v>592</v>
      </c>
      <c r="R199" s="440">
        <v>152</v>
      </c>
      <c r="S199" s="433">
        <v>941</v>
      </c>
      <c r="T199" s="445"/>
      <c r="U199" s="440"/>
      <c r="V199" s="428" t="s">
        <v>235</v>
      </c>
      <c r="W199" s="432"/>
      <c r="X199" s="431"/>
    </row>
    <row r="200" spans="1:24" s="69" customFormat="1" ht="14.25" customHeight="1">
      <c r="A200" s="437" t="s">
        <v>37</v>
      </c>
      <c r="B200" s="436" t="s">
        <v>159</v>
      </c>
      <c r="C200" s="437" t="s">
        <v>1606</v>
      </c>
      <c r="D200" s="431" t="s">
        <v>3023</v>
      </c>
      <c r="E200" s="485" t="s">
        <v>1607</v>
      </c>
      <c r="F200" s="430"/>
      <c r="G200" s="430"/>
      <c r="H200" s="430" t="s">
        <v>41</v>
      </c>
      <c r="I200" s="430" t="s">
        <v>1035</v>
      </c>
      <c r="J200" s="428" t="s">
        <v>43</v>
      </c>
      <c r="K200" s="428" t="s">
        <v>43</v>
      </c>
      <c r="L200" s="430" t="s">
        <v>43</v>
      </c>
      <c r="M200" s="428" t="s">
        <v>44</v>
      </c>
      <c r="N200" s="428">
        <v>25.493819999999999</v>
      </c>
      <c r="O200" s="428">
        <v>97.4345</v>
      </c>
      <c r="P200" s="17" t="s">
        <v>573</v>
      </c>
      <c r="Q200" s="428" t="s">
        <v>1608</v>
      </c>
      <c r="R200" s="440">
        <v>215</v>
      </c>
      <c r="S200" s="433">
        <v>1188</v>
      </c>
      <c r="T200" s="445">
        <v>43360</v>
      </c>
      <c r="U200" s="438" t="s">
        <v>1609</v>
      </c>
      <c r="V200" s="430"/>
      <c r="W200" s="483" t="s">
        <v>1746</v>
      </c>
      <c r="X200" s="431"/>
    </row>
    <row r="201" spans="1:24" s="69" customFormat="1" ht="14.25" customHeight="1">
      <c r="A201" s="428" t="s">
        <v>37</v>
      </c>
      <c r="B201" s="428" t="s">
        <v>159</v>
      </c>
      <c r="C201" s="430" t="s">
        <v>2207</v>
      </c>
      <c r="D201" s="391"/>
      <c r="E201" s="428"/>
      <c r="F201" s="428"/>
      <c r="G201" s="428"/>
      <c r="H201" s="428"/>
      <c r="I201" s="428"/>
      <c r="J201" s="428" t="s">
        <v>1099</v>
      </c>
      <c r="K201" s="428" t="s">
        <v>43</v>
      </c>
      <c r="L201" s="428" t="s">
        <v>43</v>
      </c>
      <c r="M201" s="428" t="s">
        <v>44</v>
      </c>
      <c r="N201" s="428"/>
      <c r="O201" s="428"/>
      <c r="P201" s="428" t="s">
        <v>573</v>
      </c>
      <c r="Q201" s="428" t="s">
        <v>2177</v>
      </c>
      <c r="R201" s="432"/>
      <c r="S201" s="432"/>
      <c r="T201" s="445">
        <v>43749</v>
      </c>
      <c r="U201" s="434"/>
      <c r="V201" s="428"/>
      <c r="W201" s="428"/>
      <c r="X201" s="391"/>
    </row>
    <row r="202" spans="1:24" s="69" customFormat="1" ht="14.25" customHeight="1">
      <c r="A202" s="428" t="s">
        <v>37</v>
      </c>
      <c r="B202" s="430" t="s">
        <v>159</v>
      </c>
      <c r="C202" s="430" t="s">
        <v>3042</v>
      </c>
      <c r="D202" s="431" t="s">
        <v>3023</v>
      </c>
      <c r="E202" s="428" t="s">
        <v>1205</v>
      </c>
      <c r="F202" s="428" t="s">
        <v>1349</v>
      </c>
      <c r="G202" s="428" t="s">
        <v>1430</v>
      </c>
      <c r="H202" s="428" t="s">
        <v>41</v>
      </c>
      <c r="I202" s="428" t="s">
        <v>242</v>
      </c>
      <c r="J202" s="428" t="s">
        <v>43</v>
      </c>
      <c r="K202" s="428" t="s">
        <v>43</v>
      </c>
      <c r="L202" s="428" t="s">
        <v>43</v>
      </c>
      <c r="M202" s="428" t="s">
        <v>44</v>
      </c>
      <c r="N202" s="428">
        <v>25.417733999999999</v>
      </c>
      <c r="O202" s="428">
        <v>97.389778000000007</v>
      </c>
      <c r="P202" s="428" t="s">
        <v>573</v>
      </c>
      <c r="Q202" s="428" t="s">
        <v>592</v>
      </c>
      <c r="R202" s="440">
        <v>16</v>
      </c>
      <c r="S202" s="433">
        <v>83</v>
      </c>
      <c r="T202" s="445"/>
      <c r="U202" s="434"/>
      <c r="V202" s="428" t="s">
        <v>267</v>
      </c>
      <c r="W202" s="428"/>
      <c r="X202" s="431"/>
    </row>
    <row r="203" spans="1:24" s="69" customFormat="1" ht="14.25" customHeight="1">
      <c r="A203" s="428" t="s">
        <v>37</v>
      </c>
      <c r="B203" s="428" t="s">
        <v>159</v>
      </c>
      <c r="C203" s="430" t="s">
        <v>2244</v>
      </c>
      <c r="D203" s="431" t="s">
        <v>3023</v>
      </c>
      <c r="E203" s="428" t="s">
        <v>2245</v>
      </c>
      <c r="F203" s="428" t="s">
        <v>2247</v>
      </c>
      <c r="G203" s="428" t="s">
        <v>2247</v>
      </c>
      <c r="H203" s="428"/>
      <c r="I203" s="428" t="s">
        <v>1620</v>
      </c>
      <c r="J203" s="428" t="s">
        <v>43</v>
      </c>
      <c r="K203" s="428" t="s">
        <v>43</v>
      </c>
      <c r="L203" s="428" t="s">
        <v>43</v>
      </c>
      <c r="M203" s="428" t="s">
        <v>44</v>
      </c>
      <c r="N203" s="428">
        <v>25.387892000000001</v>
      </c>
      <c r="O203" s="428">
        <v>97.325181999999998</v>
      </c>
      <c r="P203" s="428" t="s">
        <v>573</v>
      </c>
      <c r="Q203" s="428" t="s">
        <v>2248</v>
      </c>
      <c r="R203" s="440">
        <v>26</v>
      </c>
      <c r="S203" s="433">
        <v>138</v>
      </c>
      <c r="T203" s="445">
        <v>43805</v>
      </c>
      <c r="U203" s="434"/>
      <c r="V203" s="428"/>
      <c r="W203" s="428" t="s">
        <v>2246</v>
      </c>
      <c r="X203" s="431"/>
    </row>
    <row r="204" spans="1:24" s="69" customFormat="1" ht="14.25" customHeight="1">
      <c r="A204" s="428" t="s">
        <v>37</v>
      </c>
      <c r="B204" s="430" t="s">
        <v>159</v>
      </c>
      <c r="C204" s="430" t="s">
        <v>168</v>
      </c>
      <c r="D204" s="431" t="s">
        <v>3023</v>
      </c>
      <c r="E204" s="428" t="s">
        <v>1202</v>
      </c>
      <c r="F204" s="428" t="s">
        <v>1349</v>
      </c>
      <c r="G204" s="428" t="s">
        <v>1433</v>
      </c>
      <c r="H204" s="428" t="s">
        <v>41</v>
      </c>
      <c r="I204" s="428" t="s">
        <v>2118</v>
      </c>
      <c r="J204" s="428" t="s">
        <v>43</v>
      </c>
      <c r="K204" s="428" t="s">
        <v>43</v>
      </c>
      <c r="L204" s="428" t="s">
        <v>43</v>
      </c>
      <c r="M204" s="428" t="s">
        <v>44</v>
      </c>
      <c r="N204" s="428">
        <v>25.412313000000001</v>
      </c>
      <c r="O204" s="428">
        <v>97.399628000000007</v>
      </c>
      <c r="P204" s="428" t="s">
        <v>573</v>
      </c>
      <c r="Q204" s="428" t="s">
        <v>592</v>
      </c>
      <c r="R204" s="440">
        <v>110</v>
      </c>
      <c r="S204" s="433">
        <v>562</v>
      </c>
      <c r="T204" s="445"/>
      <c r="U204" s="434"/>
      <c r="V204" s="428" t="s">
        <v>168</v>
      </c>
      <c r="W204" s="428"/>
      <c r="X204" s="431"/>
    </row>
    <row r="205" spans="1:24" s="69" customFormat="1" ht="14.25" customHeight="1">
      <c r="A205" s="437" t="s">
        <v>37</v>
      </c>
      <c r="B205" s="436" t="s">
        <v>159</v>
      </c>
      <c r="C205" s="430" t="s">
        <v>265</v>
      </c>
      <c r="D205" s="431" t="s">
        <v>3023</v>
      </c>
      <c r="E205" s="428" t="s">
        <v>1209</v>
      </c>
      <c r="F205" s="428" t="s">
        <v>1349</v>
      </c>
      <c r="G205" s="428" t="s">
        <v>1433</v>
      </c>
      <c r="H205" s="428" t="s">
        <v>41</v>
      </c>
      <c r="I205" s="428" t="s">
        <v>242</v>
      </c>
      <c r="J205" s="428" t="s">
        <v>43</v>
      </c>
      <c r="K205" s="428" t="s">
        <v>43</v>
      </c>
      <c r="L205" s="428" t="s">
        <v>43</v>
      </c>
      <c r="M205" s="428" t="s">
        <v>44</v>
      </c>
      <c r="N205" s="428">
        <v>25.423817</v>
      </c>
      <c r="O205" s="428">
        <v>97.418004999999994</v>
      </c>
      <c r="P205" s="430" t="s">
        <v>573</v>
      </c>
      <c r="Q205" s="428" t="s">
        <v>592</v>
      </c>
      <c r="R205" s="440">
        <v>26</v>
      </c>
      <c r="S205" s="433">
        <v>119</v>
      </c>
      <c r="T205" s="445"/>
      <c r="U205" s="434"/>
      <c r="V205" s="428" t="s">
        <v>265</v>
      </c>
      <c r="W205" s="362"/>
      <c r="X205" s="431"/>
    </row>
    <row r="206" spans="1:24" s="69" customFormat="1" ht="14.25" customHeight="1">
      <c r="A206" s="428" t="s">
        <v>37</v>
      </c>
      <c r="B206" s="430" t="s">
        <v>159</v>
      </c>
      <c r="C206" s="430" t="s">
        <v>169</v>
      </c>
      <c r="D206" s="431" t="s">
        <v>3023</v>
      </c>
      <c r="E206" s="428" t="s">
        <v>1212</v>
      </c>
      <c r="F206" s="428" t="s">
        <v>1349</v>
      </c>
      <c r="G206" s="428" t="s">
        <v>1438</v>
      </c>
      <c r="H206" s="428" t="s">
        <v>41</v>
      </c>
      <c r="I206" s="428" t="s">
        <v>2118</v>
      </c>
      <c r="J206" s="428" t="s">
        <v>43</v>
      </c>
      <c r="K206" s="428" t="s">
        <v>43</v>
      </c>
      <c r="L206" s="428" t="s">
        <v>43</v>
      </c>
      <c r="M206" s="428" t="s">
        <v>44</v>
      </c>
      <c r="N206" s="428">
        <v>25.440928</v>
      </c>
      <c r="O206" s="428">
        <v>97.419403000000003</v>
      </c>
      <c r="P206" s="428" t="s">
        <v>573</v>
      </c>
      <c r="Q206" s="428" t="s">
        <v>592</v>
      </c>
      <c r="R206" s="440">
        <v>104</v>
      </c>
      <c r="S206" s="433">
        <v>633</v>
      </c>
      <c r="T206" s="445"/>
      <c r="U206" s="434"/>
      <c r="V206" s="428" t="s">
        <v>169</v>
      </c>
      <c r="W206" s="428"/>
      <c r="X206" s="431"/>
    </row>
    <row r="207" spans="1:24" s="69" customFormat="1" ht="14.25" customHeight="1">
      <c r="A207" s="428" t="s">
        <v>37</v>
      </c>
      <c r="B207" s="430" t="s">
        <v>159</v>
      </c>
      <c r="C207" s="430" t="s">
        <v>1548</v>
      </c>
      <c r="D207" s="391" t="s">
        <v>2114</v>
      </c>
      <c r="E207" s="428" t="s">
        <v>1555</v>
      </c>
      <c r="F207" s="428"/>
      <c r="G207" s="428"/>
      <c r="H207" s="428"/>
      <c r="I207" s="428" t="s">
        <v>1620</v>
      </c>
      <c r="J207" s="428" t="s">
        <v>43</v>
      </c>
      <c r="K207" s="428" t="s">
        <v>43</v>
      </c>
      <c r="L207" s="428" t="s">
        <v>572</v>
      </c>
      <c r="M207" s="428" t="s">
        <v>44</v>
      </c>
      <c r="N207" s="1077">
        <v>25.717300000000002</v>
      </c>
      <c r="O207" s="428">
        <v>97.49136</v>
      </c>
      <c r="P207" s="428" t="s">
        <v>573</v>
      </c>
      <c r="Q207" s="428" t="s">
        <v>1531</v>
      </c>
      <c r="R207" s="432">
        <v>229</v>
      </c>
      <c r="S207" s="432">
        <v>1247</v>
      </c>
      <c r="T207" s="445">
        <v>43276</v>
      </c>
      <c r="U207" s="434" t="s">
        <v>1579</v>
      </c>
      <c r="V207" s="428"/>
      <c r="W207" s="428" t="s">
        <v>1747</v>
      </c>
      <c r="X207" s="391"/>
    </row>
    <row r="208" spans="1:24" s="428" customFormat="1" ht="14.25" customHeight="1">
      <c r="A208" s="428" t="s">
        <v>37</v>
      </c>
      <c r="B208" s="430" t="s">
        <v>159</v>
      </c>
      <c r="C208" s="444" t="s">
        <v>868</v>
      </c>
      <c r="D208" s="391" t="s">
        <v>1299</v>
      </c>
      <c r="J208" s="428" t="s">
        <v>43</v>
      </c>
      <c r="K208" s="428" t="s">
        <v>43</v>
      </c>
      <c r="L208" s="428" t="s">
        <v>815</v>
      </c>
      <c r="M208" s="428" t="s">
        <v>44</v>
      </c>
      <c r="P208" s="428" t="s">
        <v>573</v>
      </c>
      <c r="R208" s="432"/>
      <c r="S208" s="432"/>
      <c r="T208" s="445"/>
      <c r="U208" s="434"/>
      <c r="V208" s="428" t="s">
        <v>868</v>
      </c>
      <c r="X208" s="391"/>
    </row>
    <row r="209" spans="1:24" s="69" customFormat="1" ht="14.25" customHeight="1">
      <c r="A209" s="428" t="s">
        <v>37</v>
      </c>
      <c r="B209" s="430" t="s">
        <v>159</v>
      </c>
      <c r="C209" s="430" t="s">
        <v>170</v>
      </c>
      <c r="D209" s="431" t="s">
        <v>3023</v>
      </c>
      <c r="E209" s="428" t="s">
        <v>1203</v>
      </c>
      <c r="F209" s="428" t="s">
        <v>1349</v>
      </c>
      <c r="G209" s="428" t="s">
        <v>1430</v>
      </c>
      <c r="H209" s="428" t="s">
        <v>41</v>
      </c>
      <c r="I209" s="428" t="s">
        <v>2118</v>
      </c>
      <c r="J209" s="428" t="s">
        <v>43</v>
      </c>
      <c r="K209" s="428" t="s">
        <v>43</v>
      </c>
      <c r="L209" s="428" t="s">
        <v>43</v>
      </c>
      <c r="M209" s="428" t="s">
        <v>44</v>
      </c>
      <c r="N209" s="428">
        <v>25.415482000000001</v>
      </c>
      <c r="O209" s="428">
        <v>97.386718999999999</v>
      </c>
      <c r="P209" s="428" t="s">
        <v>573</v>
      </c>
      <c r="Q209" s="428" t="s">
        <v>592</v>
      </c>
      <c r="R209" s="440">
        <v>98</v>
      </c>
      <c r="S209" s="433">
        <v>540</v>
      </c>
      <c r="T209" s="445"/>
      <c r="U209" s="434"/>
      <c r="V209" s="428" t="s">
        <v>170</v>
      </c>
      <c r="W209" s="428"/>
      <c r="X209" s="431"/>
    </row>
    <row r="210" spans="1:24" s="69" customFormat="1" ht="14.25" customHeight="1">
      <c r="A210" s="428" t="s">
        <v>37</v>
      </c>
      <c r="B210" s="430" t="s">
        <v>159</v>
      </c>
      <c r="C210" s="430" t="s">
        <v>266</v>
      </c>
      <c r="D210" s="431" t="s">
        <v>3023</v>
      </c>
      <c r="E210" s="428" t="s">
        <v>1208</v>
      </c>
      <c r="F210" s="428" t="s">
        <v>1349</v>
      </c>
      <c r="G210" s="428" t="s">
        <v>1430</v>
      </c>
      <c r="H210" s="428" t="s">
        <v>41</v>
      </c>
      <c r="I210" s="428" t="s">
        <v>242</v>
      </c>
      <c r="J210" s="428" t="s">
        <v>43</v>
      </c>
      <c r="K210" s="428" t="s">
        <v>43</v>
      </c>
      <c r="L210" s="428" t="s">
        <v>43</v>
      </c>
      <c r="M210" s="428" t="s">
        <v>44</v>
      </c>
      <c r="N210" s="428">
        <v>25.423209</v>
      </c>
      <c r="O210" s="428">
        <v>97.379987</v>
      </c>
      <c r="P210" s="428" t="s">
        <v>573</v>
      </c>
      <c r="Q210" s="428" t="s">
        <v>592</v>
      </c>
      <c r="R210" s="440">
        <v>56</v>
      </c>
      <c r="S210" s="433">
        <v>266</v>
      </c>
      <c r="T210" s="445"/>
      <c r="U210" s="434"/>
      <c r="V210" s="428" t="s">
        <v>783</v>
      </c>
      <c r="W210" s="428"/>
      <c r="X210" s="431"/>
    </row>
    <row r="211" spans="1:24" s="69" customFormat="1" ht="14.25" customHeight="1">
      <c r="A211" s="437" t="s">
        <v>37</v>
      </c>
      <c r="B211" s="436" t="s">
        <v>159</v>
      </c>
      <c r="C211" s="430" t="s">
        <v>171</v>
      </c>
      <c r="D211" s="431" t="s">
        <v>3023</v>
      </c>
      <c r="E211" s="428" t="s">
        <v>1198</v>
      </c>
      <c r="F211" s="428" t="s">
        <v>1349</v>
      </c>
      <c r="G211" s="428" t="s">
        <v>1430</v>
      </c>
      <c r="H211" s="428" t="s">
        <v>41</v>
      </c>
      <c r="I211" s="428" t="s">
        <v>2118</v>
      </c>
      <c r="J211" s="428" t="s">
        <v>43</v>
      </c>
      <c r="K211" s="428" t="s">
        <v>43</v>
      </c>
      <c r="L211" s="428" t="s">
        <v>43</v>
      </c>
      <c r="M211" s="428" t="s">
        <v>44</v>
      </c>
      <c r="N211" s="428">
        <v>25.404752999999999</v>
      </c>
      <c r="O211" s="428">
        <v>97.377662999999998</v>
      </c>
      <c r="P211" s="428" t="s">
        <v>573</v>
      </c>
      <c r="Q211" s="428" t="s">
        <v>592</v>
      </c>
      <c r="R211" s="440">
        <v>35</v>
      </c>
      <c r="S211" s="433">
        <v>189</v>
      </c>
      <c r="T211" s="445"/>
      <c r="U211" s="434"/>
      <c r="V211" s="428" t="s">
        <v>171</v>
      </c>
      <c r="W211" s="428"/>
      <c r="X211" s="431"/>
    </row>
    <row r="212" spans="1:24" s="69" customFormat="1" ht="14.25" customHeight="1">
      <c r="A212" s="437" t="s">
        <v>37</v>
      </c>
      <c r="B212" s="436" t="s">
        <v>159</v>
      </c>
      <c r="C212" s="430" t="s">
        <v>172</v>
      </c>
      <c r="D212" s="431" t="s">
        <v>3023</v>
      </c>
      <c r="E212" s="430" t="s">
        <v>1197</v>
      </c>
      <c r="F212" s="430" t="s">
        <v>1349</v>
      </c>
      <c r="G212" s="430" t="s">
        <v>1430</v>
      </c>
      <c r="H212" s="430" t="s">
        <v>41</v>
      </c>
      <c r="I212" s="430" t="s">
        <v>2118</v>
      </c>
      <c r="J212" s="428" t="s">
        <v>43</v>
      </c>
      <c r="K212" s="428" t="s">
        <v>43</v>
      </c>
      <c r="L212" s="428" t="s">
        <v>43</v>
      </c>
      <c r="M212" s="428" t="s">
        <v>44</v>
      </c>
      <c r="N212" s="428">
        <v>25.437125999999999</v>
      </c>
      <c r="O212" s="428">
        <v>97.387276</v>
      </c>
      <c r="P212" s="17" t="s">
        <v>573</v>
      </c>
      <c r="Q212" s="428" t="s">
        <v>592</v>
      </c>
      <c r="R212" s="440">
        <v>47</v>
      </c>
      <c r="S212" s="433">
        <v>239</v>
      </c>
      <c r="T212" s="445"/>
      <c r="U212" s="438"/>
      <c r="V212" s="430" t="s">
        <v>172</v>
      </c>
      <c r="W212" s="362"/>
      <c r="X212" s="431"/>
    </row>
    <row r="213" spans="1:24" s="69" customFormat="1" ht="14.25" customHeight="1">
      <c r="A213" s="437" t="s">
        <v>37</v>
      </c>
      <c r="B213" s="436" t="s">
        <v>159</v>
      </c>
      <c r="C213" s="430" t="s">
        <v>1536</v>
      </c>
      <c r="D213" s="391"/>
      <c r="E213" s="428"/>
      <c r="F213" s="428"/>
      <c r="G213" s="428"/>
      <c r="H213" s="428"/>
      <c r="I213" s="428"/>
      <c r="J213" s="428" t="s">
        <v>1099</v>
      </c>
      <c r="K213" s="428" t="s">
        <v>43</v>
      </c>
      <c r="L213" s="428" t="s">
        <v>43</v>
      </c>
      <c r="M213" s="428" t="s">
        <v>44</v>
      </c>
      <c r="N213" s="428"/>
      <c r="O213" s="428"/>
      <c r="P213" s="430" t="s">
        <v>573</v>
      </c>
      <c r="Q213" s="428" t="s">
        <v>1531</v>
      </c>
      <c r="R213" s="432"/>
      <c r="S213" s="432"/>
      <c r="T213" s="445">
        <v>43270</v>
      </c>
      <c r="U213" s="434"/>
      <c r="V213" s="428"/>
      <c r="W213" s="362"/>
      <c r="X213" s="391"/>
    </row>
    <row r="214" spans="1:24" s="69" customFormat="1" ht="14.25" customHeight="1">
      <c r="A214" s="437" t="s">
        <v>37</v>
      </c>
      <c r="B214" s="436" t="s">
        <v>159</v>
      </c>
      <c r="C214" s="430" t="s">
        <v>1549</v>
      </c>
      <c r="D214" s="431" t="s">
        <v>2698</v>
      </c>
      <c r="E214" s="428" t="s">
        <v>1557</v>
      </c>
      <c r="F214" s="428"/>
      <c r="G214" s="428"/>
      <c r="H214" s="428"/>
      <c r="I214" s="428" t="s">
        <v>1620</v>
      </c>
      <c r="J214" s="428" t="s">
        <v>43</v>
      </c>
      <c r="K214" s="428" t="s">
        <v>43</v>
      </c>
      <c r="L214" s="428" t="s">
        <v>572</v>
      </c>
      <c r="M214" s="428" t="s">
        <v>44</v>
      </c>
      <c r="N214" s="428">
        <v>25.970190048217798</v>
      </c>
      <c r="O214" s="428">
        <v>97.532951354980497</v>
      </c>
      <c r="P214" s="428" t="s">
        <v>573</v>
      </c>
      <c r="Q214" s="428" t="s">
        <v>1531</v>
      </c>
      <c r="R214" s="440"/>
      <c r="S214" s="433"/>
      <c r="T214" s="445">
        <v>43276</v>
      </c>
      <c r="U214" s="434" t="s">
        <v>1580</v>
      </c>
      <c r="V214" s="428"/>
      <c r="W214" s="428" t="s">
        <v>1631</v>
      </c>
      <c r="X214" s="431"/>
    </row>
    <row r="215" spans="1:24" s="69" customFormat="1" ht="14.25" customHeight="1">
      <c r="A215" s="428" t="s">
        <v>37</v>
      </c>
      <c r="B215" s="430" t="s">
        <v>159</v>
      </c>
      <c r="C215" s="430" t="s">
        <v>1615</v>
      </c>
      <c r="D215" s="431" t="s">
        <v>3023</v>
      </c>
      <c r="E215" s="428" t="s">
        <v>1554</v>
      </c>
      <c r="F215" s="428"/>
      <c r="G215" s="428"/>
      <c r="H215" s="428" t="s">
        <v>41</v>
      </c>
      <c r="I215" s="428" t="s">
        <v>2118</v>
      </c>
      <c r="J215" s="428" t="s">
        <v>43</v>
      </c>
      <c r="K215" s="428" t="s">
        <v>43</v>
      </c>
      <c r="L215" s="428" t="s">
        <v>43</v>
      </c>
      <c r="M215" s="428" t="s">
        <v>44</v>
      </c>
      <c r="N215" s="428">
        <v>25.480989999999998</v>
      </c>
      <c r="O215" s="428">
        <v>97.431079999999994</v>
      </c>
      <c r="P215" s="428" t="s">
        <v>573</v>
      </c>
      <c r="Q215" s="428" t="s">
        <v>1531</v>
      </c>
      <c r="R215" s="440">
        <v>197</v>
      </c>
      <c r="S215" s="433">
        <v>981</v>
      </c>
      <c r="T215" s="445">
        <v>43276</v>
      </c>
      <c r="U215" s="434" t="s">
        <v>1579</v>
      </c>
      <c r="V215" s="428"/>
      <c r="W215" s="428" t="s">
        <v>1748</v>
      </c>
      <c r="X215" s="431"/>
    </row>
    <row r="216" spans="1:24" s="69" customFormat="1" ht="14.25" customHeight="1">
      <c r="A216" s="428" t="s">
        <v>37</v>
      </c>
      <c r="B216" s="428" t="s">
        <v>159</v>
      </c>
      <c r="C216" s="428" t="s">
        <v>1537</v>
      </c>
      <c r="D216" s="391"/>
      <c r="E216" s="428"/>
      <c r="F216" s="428"/>
      <c r="G216" s="428"/>
      <c r="H216" s="428"/>
      <c r="I216" s="428"/>
      <c r="J216" s="428" t="s">
        <v>1099</v>
      </c>
      <c r="K216" s="428" t="s">
        <v>43</v>
      </c>
      <c r="L216" s="428" t="s">
        <v>43</v>
      </c>
      <c r="M216" s="428" t="s">
        <v>44</v>
      </c>
      <c r="N216" s="428"/>
      <c r="O216" s="428"/>
      <c r="P216" s="428" t="s">
        <v>573</v>
      </c>
      <c r="Q216" s="428" t="s">
        <v>1531</v>
      </c>
      <c r="R216" s="432"/>
      <c r="S216" s="433"/>
      <c r="T216" s="445">
        <v>43270</v>
      </c>
      <c r="U216" s="434"/>
      <c r="V216" s="428"/>
      <c r="W216" s="428"/>
      <c r="X216" s="391"/>
    </row>
    <row r="217" spans="1:24" s="69" customFormat="1" ht="14.25" customHeight="1">
      <c r="A217" s="428" t="s">
        <v>37</v>
      </c>
      <c r="B217" s="428" t="s">
        <v>159</v>
      </c>
      <c r="C217" s="428" t="s">
        <v>775</v>
      </c>
      <c r="D217" s="391" t="s">
        <v>1300</v>
      </c>
      <c r="E217" s="428" t="s">
        <v>1190</v>
      </c>
      <c r="F217" s="428" t="s">
        <v>1349</v>
      </c>
      <c r="G217" s="428" t="s">
        <v>1350</v>
      </c>
      <c r="H217" s="428" t="s">
        <v>41</v>
      </c>
      <c r="I217" s="430" t="s">
        <v>242</v>
      </c>
      <c r="J217" s="428" t="s">
        <v>43</v>
      </c>
      <c r="K217" s="428" t="s">
        <v>43</v>
      </c>
      <c r="L217" s="428" t="s">
        <v>572</v>
      </c>
      <c r="M217" s="428" t="s">
        <v>44</v>
      </c>
      <c r="N217" s="428">
        <v>25.377038169999999</v>
      </c>
      <c r="O217" s="428">
        <v>97.403878500000005</v>
      </c>
      <c r="P217" s="428" t="s">
        <v>573</v>
      </c>
      <c r="Q217" s="428" t="s">
        <v>592</v>
      </c>
      <c r="R217" s="432">
        <v>7</v>
      </c>
      <c r="S217" s="432">
        <v>37</v>
      </c>
      <c r="T217" s="445">
        <v>42983</v>
      </c>
      <c r="U217" s="434" t="s">
        <v>776</v>
      </c>
      <c r="V217" s="428" t="s">
        <v>775</v>
      </c>
      <c r="W217" s="428" t="s">
        <v>1663</v>
      </c>
      <c r="X217" s="391"/>
    </row>
    <row r="218" spans="1:24" s="69" customFormat="1" ht="14.25" customHeight="1">
      <c r="A218" s="428" t="s">
        <v>37</v>
      </c>
      <c r="B218" s="428" t="s">
        <v>173</v>
      </c>
      <c r="C218" s="428" t="s">
        <v>827</v>
      </c>
      <c r="D218" s="391" t="s">
        <v>1299</v>
      </c>
      <c r="E218" s="428"/>
      <c r="F218" s="428"/>
      <c r="G218" s="428"/>
      <c r="H218" s="428"/>
      <c r="I218" s="428"/>
      <c r="J218" s="428" t="s">
        <v>43</v>
      </c>
      <c r="K218" s="428" t="s">
        <v>43</v>
      </c>
      <c r="L218" s="428" t="s">
        <v>815</v>
      </c>
      <c r="M218" s="428" t="s">
        <v>44</v>
      </c>
      <c r="N218" s="428"/>
      <c r="O218" s="428"/>
      <c r="P218" s="428" t="s">
        <v>573</v>
      </c>
      <c r="Q218" s="428"/>
      <c r="R218" s="432"/>
      <c r="S218" s="432"/>
      <c r="T218" s="445"/>
      <c r="U218" s="434"/>
      <c r="V218" s="428" t="s">
        <v>827</v>
      </c>
      <c r="W218" s="428"/>
      <c r="X218" s="391"/>
    </row>
    <row r="219" spans="1:24" s="69" customFormat="1" ht="14.25" customHeight="1">
      <c r="A219" s="428" t="s">
        <v>37</v>
      </c>
      <c r="B219" s="428" t="s">
        <v>173</v>
      </c>
      <c r="C219" s="428" t="s">
        <v>802</v>
      </c>
      <c r="D219" s="431" t="s">
        <v>2794</v>
      </c>
      <c r="E219" s="428" t="s">
        <v>1254</v>
      </c>
      <c r="F219" s="428" t="s">
        <v>1362</v>
      </c>
      <c r="G219" s="428" t="s">
        <v>1468</v>
      </c>
      <c r="H219" s="428"/>
      <c r="I219" s="428" t="s">
        <v>1620</v>
      </c>
      <c r="J219" s="428" t="s">
        <v>43</v>
      </c>
      <c r="K219" s="428" t="s">
        <v>43</v>
      </c>
      <c r="L219" s="428" t="s">
        <v>572</v>
      </c>
      <c r="M219" s="428" t="s">
        <v>44</v>
      </c>
      <c r="N219" s="428">
        <v>27.248964999999998</v>
      </c>
      <c r="O219" s="428">
        <v>97.561105999999995</v>
      </c>
      <c r="P219" s="428" t="s">
        <v>585</v>
      </c>
      <c r="Q219" s="428" t="s">
        <v>574</v>
      </c>
      <c r="R219" s="440">
        <v>10</v>
      </c>
      <c r="S219" s="433">
        <v>56</v>
      </c>
      <c r="T219" s="445"/>
      <c r="U219" s="434" t="s">
        <v>803</v>
      </c>
      <c r="V219" s="428"/>
      <c r="W219" s="362"/>
      <c r="X219" s="431"/>
    </row>
    <row r="220" spans="1:24" s="69" customFormat="1" ht="14.25" customHeight="1">
      <c r="A220" s="428" t="s">
        <v>37</v>
      </c>
      <c r="B220" s="428" t="s">
        <v>173</v>
      </c>
      <c r="C220" s="428" t="s">
        <v>174</v>
      </c>
      <c r="D220" s="391" t="s">
        <v>2698</v>
      </c>
      <c r="E220" s="428" t="s">
        <v>1258</v>
      </c>
      <c r="F220" s="428" t="s">
        <v>1455</v>
      </c>
      <c r="G220" s="428" t="s">
        <v>1456</v>
      </c>
      <c r="H220" s="428" t="s">
        <v>41</v>
      </c>
      <c r="I220" s="428" t="s">
        <v>2118</v>
      </c>
      <c r="J220" s="428" t="s">
        <v>43</v>
      </c>
      <c r="K220" s="428" t="s">
        <v>43</v>
      </c>
      <c r="L220" s="428" t="s">
        <v>572</v>
      </c>
      <c r="M220" s="428" t="s">
        <v>44</v>
      </c>
      <c r="N220" s="428">
        <v>27.337499999999999</v>
      </c>
      <c r="O220" s="428">
        <v>97.416121000000004</v>
      </c>
      <c r="P220" s="428" t="s">
        <v>573</v>
      </c>
      <c r="Q220" s="428" t="s">
        <v>592</v>
      </c>
      <c r="R220" s="432"/>
      <c r="S220" s="433"/>
      <c r="T220" s="445"/>
      <c r="U220" s="434"/>
      <c r="V220" s="428" t="s">
        <v>810</v>
      </c>
      <c r="W220" s="428" t="s">
        <v>3028</v>
      </c>
      <c r="X220" s="391"/>
    </row>
    <row r="221" spans="1:24" s="69" customFormat="1" ht="14.25" customHeight="1">
      <c r="A221" s="428" t="s">
        <v>37</v>
      </c>
      <c r="B221" s="430" t="s">
        <v>173</v>
      </c>
      <c r="C221" s="430" t="s">
        <v>804</v>
      </c>
      <c r="D221" s="391" t="s">
        <v>1300</v>
      </c>
      <c r="E221" s="428" t="s">
        <v>1255</v>
      </c>
      <c r="F221" s="428" t="s">
        <v>1362</v>
      </c>
      <c r="G221" s="428" t="s">
        <v>1363</v>
      </c>
      <c r="H221" s="428"/>
      <c r="I221" s="430">
        <v>0</v>
      </c>
      <c r="J221" s="428" t="s">
        <v>43</v>
      </c>
      <c r="K221" s="428" t="s">
        <v>43</v>
      </c>
      <c r="L221" s="428" t="s">
        <v>572</v>
      </c>
      <c r="M221" s="428" t="s">
        <v>44</v>
      </c>
      <c r="N221" s="428">
        <v>27.270199999999999</v>
      </c>
      <c r="O221" s="428">
        <v>97.58184</v>
      </c>
      <c r="P221" s="428" t="s">
        <v>573</v>
      </c>
      <c r="Q221" s="428"/>
      <c r="R221" s="432">
        <v>0</v>
      </c>
      <c r="S221" s="432">
        <v>0</v>
      </c>
      <c r="T221" s="445"/>
      <c r="U221" s="434"/>
      <c r="V221" s="428" t="s">
        <v>804</v>
      </c>
      <c r="W221" s="428" t="s">
        <v>1664</v>
      </c>
      <c r="X221" s="391"/>
    </row>
    <row r="222" spans="1:24" s="69" customFormat="1" ht="14.25" customHeight="1">
      <c r="A222" s="433" t="s">
        <v>37</v>
      </c>
      <c r="B222" s="436" t="s">
        <v>173</v>
      </c>
      <c r="C222" s="437" t="s">
        <v>851</v>
      </c>
      <c r="D222" s="431" t="s">
        <v>1299</v>
      </c>
      <c r="E222" s="428"/>
      <c r="F222" s="428"/>
      <c r="G222" s="428"/>
      <c r="H222" s="428"/>
      <c r="I222" s="428"/>
      <c r="J222" s="428" t="s">
        <v>43</v>
      </c>
      <c r="K222" s="430" t="s">
        <v>43</v>
      </c>
      <c r="L222" s="430" t="s">
        <v>815</v>
      </c>
      <c r="M222" s="428" t="s">
        <v>44</v>
      </c>
      <c r="N222" s="428"/>
      <c r="O222" s="428"/>
      <c r="P222" s="428" t="s">
        <v>573</v>
      </c>
      <c r="Q222" s="428"/>
      <c r="R222" s="440"/>
      <c r="S222" s="433"/>
      <c r="T222" s="445"/>
      <c r="U222" s="434"/>
      <c r="V222" s="428" t="s">
        <v>851</v>
      </c>
      <c r="W222" s="428"/>
      <c r="X222" s="431"/>
    </row>
    <row r="223" spans="1:24" s="69" customFormat="1" ht="14.25" customHeight="1">
      <c r="A223" s="437" t="s">
        <v>37</v>
      </c>
      <c r="B223" s="436" t="s">
        <v>173</v>
      </c>
      <c r="C223" s="369" t="s">
        <v>808</v>
      </c>
      <c r="D223" s="431" t="s">
        <v>2794</v>
      </c>
      <c r="E223" s="428" t="s">
        <v>1257</v>
      </c>
      <c r="F223" s="428" t="s">
        <v>1455</v>
      </c>
      <c r="G223" s="428" t="s">
        <v>1469</v>
      </c>
      <c r="H223" s="428"/>
      <c r="I223" s="428" t="s">
        <v>1620</v>
      </c>
      <c r="J223" s="428" t="s">
        <v>43</v>
      </c>
      <c r="K223" s="430" t="s">
        <v>43</v>
      </c>
      <c r="L223" s="428" t="s">
        <v>572</v>
      </c>
      <c r="M223" s="428" t="s">
        <v>44</v>
      </c>
      <c r="N223" s="428">
        <v>27.311699999999998</v>
      </c>
      <c r="O223" s="428">
        <v>97.415289999999999</v>
      </c>
      <c r="P223" s="428" t="s">
        <v>585</v>
      </c>
      <c r="Q223" s="428" t="s">
        <v>574</v>
      </c>
      <c r="R223" s="440">
        <v>17</v>
      </c>
      <c r="S223" s="433">
        <v>92</v>
      </c>
      <c r="T223" s="445"/>
      <c r="U223" s="434" t="s">
        <v>809</v>
      </c>
      <c r="V223" s="428" t="s">
        <v>808</v>
      </c>
      <c r="W223" s="428"/>
      <c r="X223" s="431"/>
    </row>
    <row r="224" spans="1:24" s="69" customFormat="1" ht="14.25" customHeight="1">
      <c r="A224" s="428" t="s">
        <v>37</v>
      </c>
      <c r="B224" s="430" t="s">
        <v>214</v>
      </c>
      <c r="C224" s="430" t="s">
        <v>1598</v>
      </c>
      <c r="D224" s="391"/>
      <c r="E224" s="428"/>
      <c r="F224" s="428"/>
      <c r="G224" s="428"/>
      <c r="H224" s="428"/>
      <c r="I224" s="428"/>
      <c r="J224" s="428" t="s">
        <v>1099</v>
      </c>
      <c r="K224" s="428" t="s">
        <v>43</v>
      </c>
      <c r="L224" s="428" t="s">
        <v>588</v>
      </c>
      <c r="M224" s="428" t="s">
        <v>590</v>
      </c>
      <c r="N224" s="428"/>
      <c r="O224" s="428"/>
      <c r="P224" s="428" t="s">
        <v>573</v>
      </c>
      <c r="Q224" s="428"/>
      <c r="R224" s="432"/>
      <c r="S224" s="432"/>
      <c r="T224" s="445">
        <v>43298</v>
      </c>
      <c r="U224" s="434"/>
      <c r="V224" s="428"/>
      <c r="W224" s="428"/>
      <c r="X224" s="391"/>
    </row>
    <row r="225" spans="1:24" s="69" customFormat="1" ht="14.25" customHeight="1">
      <c r="A225" s="428" t="s">
        <v>37</v>
      </c>
      <c r="B225" s="430" t="s">
        <v>214</v>
      </c>
      <c r="C225" s="430" t="s">
        <v>1591</v>
      </c>
      <c r="D225" s="431" t="s">
        <v>3023</v>
      </c>
      <c r="E225" s="428" t="s">
        <v>2156</v>
      </c>
      <c r="F225" s="428"/>
      <c r="G225" s="428"/>
      <c r="H225" s="428"/>
      <c r="I225" s="428" t="s">
        <v>1620</v>
      </c>
      <c r="J225" s="428" t="s">
        <v>43</v>
      </c>
      <c r="K225" s="428" t="s">
        <v>43</v>
      </c>
      <c r="L225" s="428" t="s">
        <v>588</v>
      </c>
      <c r="M225" s="428" t="s">
        <v>590</v>
      </c>
      <c r="N225" s="428">
        <v>24.590350000000001</v>
      </c>
      <c r="O225" s="428">
        <v>96.95626</v>
      </c>
      <c r="P225" s="428" t="s">
        <v>573</v>
      </c>
      <c r="Q225" s="428"/>
      <c r="R225" s="440">
        <v>318</v>
      </c>
      <c r="S225" s="433">
        <v>1329</v>
      </c>
      <c r="T225" s="445">
        <v>43628</v>
      </c>
      <c r="U225" s="434"/>
      <c r="V225" s="430" t="s">
        <v>1591</v>
      </c>
      <c r="W225" s="428" t="s">
        <v>2157</v>
      </c>
      <c r="X225" s="431"/>
    </row>
    <row r="226" spans="1:24" s="69" customFormat="1" ht="14.25" customHeight="1">
      <c r="A226" s="428" t="s">
        <v>37</v>
      </c>
      <c r="B226" s="430" t="s">
        <v>214</v>
      </c>
      <c r="C226" s="430" t="s">
        <v>215</v>
      </c>
      <c r="D226" s="431" t="s">
        <v>3023</v>
      </c>
      <c r="E226" s="428" t="s">
        <v>1112</v>
      </c>
      <c r="F226" s="428" t="s">
        <v>1384</v>
      </c>
      <c r="G226" s="428" t="s">
        <v>1384</v>
      </c>
      <c r="H226" s="428" t="s">
        <v>41</v>
      </c>
      <c r="I226" s="428" t="s">
        <v>2117</v>
      </c>
      <c r="J226" s="428" t="s">
        <v>43</v>
      </c>
      <c r="K226" s="428" t="s">
        <v>43</v>
      </c>
      <c r="L226" s="428" t="s">
        <v>43</v>
      </c>
      <c r="M226" s="428" t="s">
        <v>44</v>
      </c>
      <c r="N226" s="428">
        <v>24.200361000000001</v>
      </c>
      <c r="O226" s="428">
        <v>96.807353000000006</v>
      </c>
      <c r="P226" s="428" t="s">
        <v>573</v>
      </c>
      <c r="Q226" s="428" t="s">
        <v>592</v>
      </c>
      <c r="R226" s="440">
        <v>46</v>
      </c>
      <c r="S226" s="433">
        <v>263</v>
      </c>
      <c r="T226" s="445"/>
      <c r="U226" s="434"/>
      <c r="V226" s="428" t="s">
        <v>215</v>
      </c>
      <c r="W226" s="428"/>
      <c r="X226" s="431"/>
    </row>
    <row r="227" spans="1:24" s="69" customFormat="1" ht="14.25" customHeight="1">
      <c r="A227" s="428" t="s">
        <v>37</v>
      </c>
      <c r="B227" s="430" t="s">
        <v>214</v>
      </c>
      <c r="C227" s="430" t="s">
        <v>216</v>
      </c>
      <c r="D227" s="431" t="s">
        <v>3023</v>
      </c>
      <c r="E227" s="428" t="s">
        <v>1113</v>
      </c>
      <c r="F227" s="428" t="s">
        <v>1384</v>
      </c>
      <c r="G227" s="428" t="s">
        <v>1384</v>
      </c>
      <c r="H227" s="428" t="s">
        <v>41</v>
      </c>
      <c r="I227" s="428" t="s">
        <v>42</v>
      </c>
      <c r="J227" s="428" t="s">
        <v>43</v>
      </c>
      <c r="K227" s="428" t="s">
        <v>43</v>
      </c>
      <c r="L227" s="428" t="s">
        <v>43</v>
      </c>
      <c r="M227" s="428" t="s">
        <v>44</v>
      </c>
      <c r="N227" s="428">
        <v>24.200367</v>
      </c>
      <c r="O227" s="428">
        <v>96.807353000000006</v>
      </c>
      <c r="P227" s="428" t="s">
        <v>573</v>
      </c>
      <c r="Q227" s="428" t="s">
        <v>592</v>
      </c>
      <c r="R227" s="440">
        <v>35</v>
      </c>
      <c r="S227" s="433">
        <v>170</v>
      </c>
      <c r="T227" s="445"/>
      <c r="U227" s="434"/>
      <c r="V227" s="428" t="s">
        <v>216</v>
      </c>
      <c r="W227" s="428"/>
      <c r="X227" s="431"/>
    </row>
    <row r="228" spans="1:24" s="69" customFormat="1" ht="14.25" customHeight="1">
      <c r="A228" s="433" t="s">
        <v>37</v>
      </c>
      <c r="B228" s="436" t="s">
        <v>214</v>
      </c>
      <c r="C228" s="437" t="s">
        <v>862</v>
      </c>
      <c r="D228" s="431" t="s">
        <v>2268</v>
      </c>
      <c r="E228" s="428"/>
      <c r="F228" s="428"/>
      <c r="G228" s="428"/>
      <c r="H228" s="428"/>
      <c r="I228" s="428"/>
      <c r="J228" s="428" t="s">
        <v>815</v>
      </c>
      <c r="K228" s="430" t="s">
        <v>43</v>
      </c>
      <c r="L228" s="430" t="s">
        <v>43</v>
      </c>
      <c r="M228" s="428" t="s">
        <v>44</v>
      </c>
      <c r="N228" s="428"/>
      <c r="O228" s="428"/>
      <c r="P228" s="428" t="s">
        <v>573</v>
      </c>
      <c r="Q228" s="428"/>
      <c r="R228" s="440"/>
      <c r="S228" s="433"/>
      <c r="T228" s="445"/>
      <c r="U228" s="434"/>
      <c r="V228" s="428" t="s">
        <v>862</v>
      </c>
      <c r="W228" s="428"/>
      <c r="X228" s="431"/>
    </row>
    <row r="229" spans="1:24" s="69" customFormat="1" ht="14.25" customHeight="1">
      <c r="A229" s="433" t="s">
        <v>37</v>
      </c>
      <c r="B229" s="436" t="s">
        <v>214</v>
      </c>
      <c r="C229" s="437" t="s">
        <v>730</v>
      </c>
      <c r="D229" s="431" t="s">
        <v>2268</v>
      </c>
      <c r="E229" s="428" t="s">
        <v>1121</v>
      </c>
      <c r="F229" s="428"/>
      <c r="G229" s="428"/>
      <c r="H229" s="428"/>
      <c r="I229" s="428">
        <v>0</v>
      </c>
      <c r="J229" s="428" t="s">
        <v>43</v>
      </c>
      <c r="K229" s="430" t="s">
        <v>43</v>
      </c>
      <c r="L229" s="430" t="s">
        <v>43</v>
      </c>
      <c r="M229" s="428" t="s">
        <v>44</v>
      </c>
      <c r="N229" s="428">
        <v>24.224830999999998</v>
      </c>
      <c r="O229" s="428">
        <v>96.793177</v>
      </c>
      <c r="P229" s="428" t="s">
        <v>573</v>
      </c>
      <c r="Q229" s="428" t="s">
        <v>574</v>
      </c>
      <c r="R229" s="440">
        <v>0</v>
      </c>
      <c r="S229" s="433">
        <v>0</v>
      </c>
      <c r="T229" s="445">
        <v>42983</v>
      </c>
      <c r="U229" s="434" t="s">
        <v>731</v>
      </c>
      <c r="V229" s="428"/>
      <c r="W229" s="428" t="s">
        <v>1665</v>
      </c>
      <c r="X229" s="431"/>
    </row>
    <row r="230" spans="1:24" s="69" customFormat="1" ht="14.25" customHeight="1">
      <c r="A230" s="433" t="s">
        <v>37</v>
      </c>
      <c r="B230" s="436" t="s">
        <v>214</v>
      </c>
      <c r="C230" s="437" t="s">
        <v>1597</v>
      </c>
      <c r="D230" s="431"/>
      <c r="E230" s="428"/>
      <c r="F230" s="428"/>
      <c r="G230" s="428"/>
      <c r="H230" s="428"/>
      <c r="I230" s="428"/>
      <c r="J230" s="428" t="s">
        <v>1099</v>
      </c>
      <c r="K230" s="428" t="s">
        <v>43</v>
      </c>
      <c r="L230" s="428" t="s">
        <v>588</v>
      </c>
      <c r="M230" s="428" t="s">
        <v>590</v>
      </c>
      <c r="N230" s="428"/>
      <c r="O230" s="428"/>
      <c r="P230" s="428" t="s">
        <v>573</v>
      </c>
      <c r="Q230" s="428"/>
      <c r="R230" s="440"/>
      <c r="S230" s="433"/>
      <c r="T230" s="445">
        <v>43298</v>
      </c>
      <c r="U230" s="440"/>
      <c r="V230" s="428"/>
      <c r="W230" s="432"/>
      <c r="X230" s="431"/>
    </row>
    <row r="231" spans="1:24" s="69" customFormat="1" ht="14.25" customHeight="1">
      <c r="A231" s="433" t="s">
        <v>37</v>
      </c>
      <c r="B231" s="436" t="s">
        <v>214</v>
      </c>
      <c r="C231" s="437" t="s">
        <v>1595</v>
      </c>
      <c r="D231" s="431"/>
      <c r="E231" s="428"/>
      <c r="F231" s="428"/>
      <c r="G231" s="428"/>
      <c r="H231" s="428"/>
      <c r="I231" s="428"/>
      <c r="J231" s="428" t="s">
        <v>1099</v>
      </c>
      <c r="K231" s="428" t="s">
        <v>43</v>
      </c>
      <c r="L231" s="428" t="s">
        <v>588</v>
      </c>
      <c r="M231" s="428" t="s">
        <v>590</v>
      </c>
      <c r="N231" s="428"/>
      <c r="O231" s="428"/>
      <c r="P231" s="428" t="s">
        <v>573</v>
      </c>
      <c r="Q231" s="428"/>
      <c r="R231" s="440"/>
      <c r="S231" s="433"/>
      <c r="T231" s="445">
        <v>43298</v>
      </c>
      <c r="U231" s="440"/>
      <c r="V231" s="428"/>
      <c r="W231" s="432"/>
      <c r="X231" s="431"/>
    </row>
    <row r="232" spans="1:24" s="69" customFormat="1" ht="14.25" customHeight="1">
      <c r="A232" s="428" t="s">
        <v>37</v>
      </c>
      <c r="B232" s="428" t="s">
        <v>184</v>
      </c>
      <c r="C232" s="390" t="s">
        <v>2258</v>
      </c>
      <c r="D232" s="391"/>
      <c r="E232" s="428"/>
      <c r="F232" s="428"/>
      <c r="G232" s="428"/>
      <c r="H232" s="428"/>
      <c r="I232" s="430"/>
      <c r="J232" s="428" t="s">
        <v>607</v>
      </c>
      <c r="K232" s="428" t="s">
        <v>607</v>
      </c>
      <c r="L232" s="389" t="s">
        <v>826</v>
      </c>
      <c r="M232" s="428" t="s">
        <v>590</v>
      </c>
      <c r="N232" s="428"/>
      <c r="O232" s="428"/>
      <c r="P232" s="17"/>
      <c r="Q232" s="428" t="s">
        <v>2248</v>
      </c>
      <c r="R232" s="432"/>
      <c r="S232" s="432"/>
      <c r="T232" s="445">
        <v>43851</v>
      </c>
      <c r="U232" s="434"/>
      <c r="V232" s="428"/>
      <c r="W232" s="428"/>
      <c r="X232" s="391"/>
    </row>
    <row r="233" spans="1:24" s="69" customFormat="1" ht="14.25" customHeight="1">
      <c r="A233" s="433" t="s">
        <v>37</v>
      </c>
      <c r="B233" s="436" t="s">
        <v>184</v>
      </c>
      <c r="C233" s="437" t="s">
        <v>2256</v>
      </c>
      <c r="D233" s="431"/>
      <c r="E233" s="428"/>
      <c r="F233" s="428"/>
      <c r="G233" s="428"/>
      <c r="H233" s="428"/>
      <c r="I233" s="428"/>
      <c r="J233" s="428" t="s">
        <v>607</v>
      </c>
      <c r="K233" s="428" t="s">
        <v>607</v>
      </c>
      <c r="L233" s="428" t="s">
        <v>826</v>
      </c>
      <c r="M233" s="428" t="s">
        <v>590</v>
      </c>
      <c r="N233" s="428"/>
      <c r="O233" s="428"/>
      <c r="P233" s="428"/>
      <c r="Q233" s="428" t="s">
        <v>2248</v>
      </c>
      <c r="R233" s="440"/>
      <c r="S233" s="433"/>
      <c r="T233" s="445">
        <v>43851</v>
      </c>
      <c r="U233" s="440"/>
      <c r="V233" s="428"/>
      <c r="W233" s="432"/>
      <c r="X233" s="431"/>
    </row>
    <row r="234" spans="1:24" s="69" customFormat="1" ht="14.25" customHeight="1">
      <c r="A234" s="428" t="s">
        <v>37</v>
      </c>
      <c r="B234" s="428" t="s">
        <v>184</v>
      </c>
      <c r="C234" s="428" t="s">
        <v>2115</v>
      </c>
      <c r="D234" s="431" t="s">
        <v>3023</v>
      </c>
      <c r="E234" s="428" t="s">
        <v>2116</v>
      </c>
      <c r="F234" s="428">
        <v>0</v>
      </c>
      <c r="G234" s="428">
        <v>0</v>
      </c>
      <c r="H234" s="428"/>
      <c r="I234" s="428" t="s">
        <v>1620</v>
      </c>
      <c r="J234" s="428" t="s">
        <v>43</v>
      </c>
      <c r="K234" s="428" t="s">
        <v>43</v>
      </c>
      <c r="L234" s="428" t="s">
        <v>588</v>
      </c>
      <c r="M234" s="428" t="s">
        <v>44</v>
      </c>
      <c r="N234" s="428">
        <v>26.299828999999999</v>
      </c>
      <c r="O234" s="428">
        <v>97.487258999999995</v>
      </c>
      <c r="P234" s="17" t="s">
        <v>573</v>
      </c>
      <c r="Q234" s="428" t="s">
        <v>2086</v>
      </c>
      <c r="R234" s="440">
        <v>31</v>
      </c>
      <c r="S234" s="433">
        <v>171</v>
      </c>
      <c r="T234" s="445">
        <v>43579</v>
      </c>
      <c r="U234" s="434"/>
      <c r="V234" s="428"/>
      <c r="W234" s="428"/>
      <c r="X234" s="431"/>
    </row>
    <row r="235" spans="1:24" s="69" customFormat="1" ht="14.25" customHeight="1">
      <c r="A235" s="428" t="s">
        <v>37</v>
      </c>
      <c r="B235" s="428" t="s">
        <v>184</v>
      </c>
      <c r="C235" s="428" t="s">
        <v>2259</v>
      </c>
      <c r="D235" s="391"/>
      <c r="E235" s="428"/>
      <c r="F235" s="428"/>
      <c r="G235" s="428"/>
      <c r="H235" s="428"/>
      <c r="I235" s="428"/>
      <c r="J235" s="428" t="s">
        <v>607</v>
      </c>
      <c r="K235" s="428" t="s">
        <v>607</v>
      </c>
      <c r="L235" s="428" t="s">
        <v>826</v>
      </c>
      <c r="M235" s="428" t="s">
        <v>590</v>
      </c>
      <c r="N235" s="428"/>
      <c r="O235" s="428"/>
      <c r="P235" s="428"/>
      <c r="Q235" s="428" t="s">
        <v>2248</v>
      </c>
      <c r="R235" s="432"/>
      <c r="S235" s="433"/>
      <c r="T235" s="445">
        <v>43851</v>
      </c>
      <c r="U235" s="434"/>
      <c r="V235" s="428"/>
      <c r="W235" s="428"/>
      <c r="X235" s="391"/>
    </row>
    <row r="236" spans="1:24" s="69" customFormat="1" ht="14.25" customHeight="1">
      <c r="A236" s="428" t="s">
        <v>37</v>
      </c>
      <c r="B236" s="430" t="s">
        <v>184</v>
      </c>
      <c r="C236" s="430" t="s">
        <v>185</v>
      </c>
      <c r="D236" s="431" t="s">
        <v>3023</v>
      </c>
      <c r="E236" s="428" t="s">
        <v>1252</v>
      </c>
      <c r="F236" s="428">
        <v>0</v>
      </c>
      <c r="G236" s="428">
        <v>0</v>
      </c>
      <c r="H236" s="428" t="s">
        <v>41</v>
      </c>
      <c r="I236" s="428" t="s">
        <v>2118</v>
      </c>
      <c r="J236" s="428" t="s">
        <v>43</v>
      </c>
      <c r="K236" s="428" t="s">
        <v>43</v>
      </c>
      <c r="L236" s="428" t="s">
        <v>43</v>
      </c>
      <c r="M236" s="428" t="s">
        <v>590</v>
      </c>
      <c r="N236" s="428">
        <v>26.569633</v>
      </c>
      <c r="O236" s="428">
        <v>97.745480999999998</v>
      </c>
      <c r="P236" s="17" t="s">
        <v>573</v>
      </c>
      <c r="Q236" s="428" t="s">
        <v>574</v>
      </c>
      <c r="R236" s="440">
        <v>123</v>
      </c>
      <c r="S236" s="433">
        <v>646</v>
      </c>
      <c r="T236" s="445"/>
      <c r="U236" s="434"/>
      <c r="V236" s="428" t="s">
        <v>799</v>
      </c>
      <c r="W236" s="428"/>
      <c r="X236" s="431"/>
    </row>
    <row r="237" spans="1:24" s="69" customFormat="1" ht="14.25" customHeight="1">
      <c r="A237" s="430" t="s">
        <v>37</v>
      </c>
      <c r="B237" s="430" t="s">
        <v>184</v>
      </c>
      <c r="C237" s="430" t="s">
        <v>850</v>
      </c>
      <c r="D237" s="391" t="s">
        <v>1299</v>
      </c>
      <c r="E237" s="428"/>
      <c r="F237" s="428"/>
      <c r="G237" s="428"/>
      <c r="H237" s="428"/>
      <c r="I237" s="430"/>
      <c r="J237" s="428" t="s">
        <v>43</v>
      </c>
      <c r="K237" s="428" t="s">
        <v>43</v>
      </c>
      <c r="L237" s="428" t="s">
        <v>815</v>
      </c>
      <c r="M237" s="428" t="s">
        <v>44</v>
      </c>
      <c r="N237" s="428"/>
      <c r="O237" s="428"/>
      <c r="P237" s="428" t="s">
        <v>573</v>
      </c>
      <c r="Q237" s="428"/>
      <c r="R237" s="432"/>
      <c r="S237" s="432"/>
      <c r="T237" s="445"/>
      <c r="U237" s="434"/>
      <c r="V237" s="428" t="s">
        <v>850</v>
      </c>
      <c r="W237" s="428"/>
      <c r="X237" s="391"/>
    </row>
    <row r="238" spans="1:24" s="69" customFormat="1" ht="14.25" customHeight="1">
      <c r="A238" s="433" t="s">
        <v>37</v>
      </c>
      <c r="B238" s="436" t="s">
        <v>184</v>
      </c>
      <c r="C238" s="437" t="s">
        <v>187</v>
      </c>
      <c r="D238" s="431" t="s">
        <v>3023</v>
      </c>
      <c r="E238" s="428" t="s">
        <v>1251</v>
      </c>
      <c r="F238" s="428">
        <v>0</v>
      </c>
      <c r="G238" s="428">
        <v>0</v>
      </c>
      <c r="H238" s="428" t="s">
        <v>41</v>
      </c>
      <c r="I238" s="428" t="s">
        <v>2118</v>
      </c>
      <c r="J238" s="428" t="s">
        <v>43</v>
      </c>
      <c r="K238" s="428" t="s">
        <v>43</v>
      </c>
      <c r="L238" s="428" t="s">
        <v>43</v>
      </c>
      <c r="M238" s="428" t="s">
        <v>590</v>
      </c>
      <c r="N238" s="428">
        <v>26.548506</v>
      </c>
      <c r="O238" s="428">
        <v>97.75609</v>
      </c>
      <c r="P238" s="428" t="s">
        <v>573</v>
      </c>
      <c r="Q238" s="428" t="s">
        <v>574</v>
      </c>
      <c r="R238" s="440">
        <v>68</v>
      </c>
      <c r="S238" s="433">
        <v>353</v>
      </c>
      <c r="T238" s="445">
        <v>42788</v>
      </c>
      <c r="U238" s="440"/>
      <c r="V238" s="428"/>
      <c r="W238" s="432"/>
      <c r="X238" s="431"/>
    </row>
    <row r="239" spans="1:24" s="69" customFormat="1" ht="14.25" customHeight="1">
      <c r="A239" s="430" t="s">
        <v>37</v>
      </c>
      <c r="B239" s="430" t="s">
        <v>184</v>
      </c>
      <c r="C239" s="430" t="s">
        <v>184</v>
      </c>
      <c r="D239" s="431" t="s">
        <v>2794</v>
      </c>
      <c r="E239" s="430" t="s">
        <v>1250</v>
      </c>
      <c r="F239" s="428" t="s">
        <v>1467</v>
      </c>
      <c r="G239" s="428">
        <v>0</v>
      </c>
      <c r="H239" s="430"/>
      <c r="I239" s="430" t="s">
        <v>1620</v>
      </c>
      <c r="J239" s="430" t="s">
        <v>43</v>
      </c>
      <c r="K239" s="430" t="s">
        <v>43</v>
      </c>
      <c r="L239" s="428" t="s">
        <v>572</v>
      </c>
      <c r="M239" s="430" t="s">
        <v>44</v>
      </c>
      <c r="N239" s="430">
        <v>26.541930000000001</v>
      </c>
      <c r="O239" s="430">
        <v>97.568836000000005</v>
      </c>
      <c r="P239" s="428" t="s">
        <v>573</v>
      </c>
      <c r="Q239" s="430" t="s">
        <v>574</v>
      </c>
      <c r="R239" s="440">
        <v>5</v>
      </c>
      <c r="S239" s="433">
        <v>32</v>
      </c>
      <c r="T239" s="446"/>
      <c r="U239" s="438" t="s">
        <v>798</v>
      </c>
      <c r="V239" s="428" t="s">
        <v>184</v>
      </c>
      <c r="W239" s="428"/>
      <c r="X239" s="431"/>
    </row>
    <row r="240" spans="1:24" s="69" customFormat="1" ht="14.25" customHeight="1">
      <c r="A240" s="437" t="s">
        <v>37</v>
      </c>
      <c r="B240" s="436" t="s">
        <v>184</v>
      </c>
      <c r="C240" s="437" t="s">
        <v>2257</v>
      </c>
      <c r="D240" s="392"/>
      <c r="E240" s="430"/>
      <c r="F240" s="430"/>
      <c r="G240" s="430"/>
      <c r="H240" s="430"/>
      <c r="I240" s="430"/>
      <c r="J240" s="430" t="s">
        <v>607</v>
      </c>
      <c r="K240" s="430" t="s">
        <v>607</v>
      </c>
      <c r="L240" s="430" t="s">
        <v>826</v>
      </c>
      <c r="M240" s="430" t="s">
        <v>590</v>
      </c>
      <c r="N240" s="430"/>
      <c r="O240" s="430"/>
      <c r="P240" s="428"/>
      <c r="Q240" s="430" t="s">
        <v>2248</v>
      </c>
      <c r="R240" s="441"/>
      <c r="S240" s="437"/>
      <c r="T240" s="446">
        <v>43851</v>
      </c>
      <c r="U240" s="438"/>
      <c r="V240" s="430"/>
      <c r="W240" s="428"/>
      <c r="X240" s="392"/>
    </row>
    <row r="241" spans="1:24" s="69" customFormat="1" ht="14.25" customHeight="1">
      <c r="A241" s="437" t="s">
        <v>37</v>
      </c>
      <c r="B241" s="436" t="s">
        <v>184</v>
      </c>
      <c r="C241" s="437" t="s">
        <v>872</v>
      </c>
      <c r="D241" s="431" t="s">
        <v>2268</v>
      </c>
      <c r="E241" s="428"/>
      <c r="F241" s="428"/>
      <c r="G241" s="428"/>
      <c r="H241" s="428"/>
      <c r="I241" s="428"/>
      <c r="J241" s="428" t="s">
        <v>1099</v>
      </c>
      <c r="K241" s="430" t="s">
        <v>43</v>
      </c>
      <c r="L241" s="430" t="s">
        <v>43</v>
      </c>
      <c r="M241" s="428" t="s">
        <v>44</v>
      </c>
      <c r="N241" s="428"/>
      <c r="O241" s="428"/>
      <c r="P241" s="428" t="s">
        <v>573</v>
      </c>
      <c r="Q241" s="428" t="s">
        <v>574</v>
      </c>
      <c r="R241" s="440"/>
      <c r="S241" s="433"/>
      <c r="T241" s="445">
        <v>42788</v>
      </c>
      <c r="U241" s="438"/>
      <c r="V241" s="428"/>
      <c r="W241" s="428"/>
      <c r="X241" s="431"/>
    </row>
    <row r="242" spans="1:24" s="69" customFormat="1" ht="14.25" customHeight="1">
      <c r="A242" s="428" t="s">
        <v>37</v>
      </c>
      <c r="B242" s="430" t="s">
        <v>863</v>
      </c>
      <c r="C242" s="430" t="s">
        <v>1577</v>
      </c>
      <c r="D242" s="391"/>
      <c r="E242" s="428"/>
      <c r="F242" s="428"/>
      <c r="G242" s="428"/>
      <c r="H242" s="428"/>
      <c r="I242" s="428"/>
      <c r="J242" s="428" t="s">
        <v>1099</v>
      </c>
      <c r="K242" s="428" t="s">
        <v>43</v>
      </c>
      <c r="L242" s="430" t="s">
        <v>588</v>
      </c>
      <c r="M242" s="428"/>
      <c r="N242" s="428"/>
      <c r="O242" s="428"/>
      <c r="P242" s="428" t="s">
        <v>573</v>
      </c>
      <c r="Q242" s="428" t="s">
        <v>1531</v>
      </c>
      <c r="R242" s="432"/>
      <c r="S242" s="432"/>
      <c r="T242" s="445">
        <v>43285</v>
      </c>
      <c r="U242" s="162" t="s">
        <v>1582</v>
      </c>
      <c r="V242" s="428"/>
      <c r="W242" s="362"/>
      <c r="X242" s="391"/>
    </row>
    <row r="243" spans="1:24" s="69" customFormat="1" ht="14.25" customHeight="1">
      <c r="A243" s="428" t="s">
        <v>37</v>
      </c>
      <c r="B243" s="430" t="s">
        <v>863</v>
      </c>
      <c r="C243" s="430" t="s">
        <v>1578</v>
      </c>
      <c r="D243" s="391"/>
      <c r="E243" s="428"/>
      <c r="F243" s="428"/>
      <c r="G243" s="428"/>
      <c r="H243" s="428"/>
      <c r="I243" s="428"/>
      <c r="J243" s="428" t="s">
        <v>1099</v>
      </c>
      <c r="K243" s="428" t="s">
        <v>43</v>
      </c>
      <c r="L243" s="428" t="s">
        <v>588</v>
      </c>
      <c r="M243" s="428"/>
      <c r="N243" s="428"/>
      <c r="O243" s="428"/>
      <c r="P243" s="428" t="s">
        <v>573</v>
      </c>
      <c r="Q243" s="428" t="s">
        <v>1531</v>
      </c>
      <c r="R243" s="432"/>
      <c r="S243" s="432"/>
      <c r="T243" s="445">
        <v>43285</v>
      </c>
      <c r="U243" s="434" t="s">
        <v>1582</v>
      </c>
      <c r="V243" s="428"/>
      <c r="W243" s="428"/>
      <c r="X243" s="391"/>
    </row>
    <row r="244" spans="1:24" s="69" customFormat="1" ht="14.25" customHeight="1">
      <c r="A244" s="428" t="s">
        <v>37</v>
      </c>
      <c r="B244" s="430" t="s">
        <v>863</v>
      </c>
      <c r="C244" s="430" t="s">
        <v>1718</v>
      </c>
      <c r="D244" s="431" t="s">
        <v>3023</v>
      </c>
      <c r="E244" s="428" t="s">
        <v>1266</v>
      </c>
      <c r="F244" s="428" t="s">
        <v>863</v>
      </c>
      <c r="G244" s="428">
        <v>0</v>
      </c>
      <c r="H244" s="428" t="s">
        <v>41</v>
      </c>
      <c r="I244" s="428" t="s">
        <v>1035</v>
      </c>
      <c r="J244" s="428" t="s">
        <v>43</v>
      </c>
      <c r="K244" s="428" t="s">
        <v>43</v>
      </c>
      <c r="L244" s="430" t="s">
        <v>43</v>
      </c>
      <c r="M244" s="428" t="s">
        <v>44</v>
      </c>
      <c r="N244" s="428">
        <v>26.350176000000001</v>
      </c>
      <c r="O244" s="428">
        <v>96.711387999999999</v>
      </c>
      <c r="P244" s="428" t="s">
        <v>573</v>
      </c>
      <c r="Q244" s="428" t="s">
        <v>667</v>
      </c>
      <c r="R244" s="440">
        <v>133</v>
      </c>
      <c r="S244" s="433">
        <v>622</v>
      </c>
      <c r="T244" s="445">
        <v>43444</v>
      </c>
      <c r="U244" s="434" t="s">
        <v>1717</v>
      </c>
      <c r="V244" s="428" t="s">
        <v>867</v>
      </c>
      <c r="W244" s="362" t="s">
        <v>1717</v>
      </c>
      <c r="X244" s="431"/>
    </row>
    <row r="245" spans="1:24" s="69" customFormat="1" ht="14.25" customHeight="1">
      <c r="A245" s="428" t="s">
        <v>37</v>
      </c>
      <c r="B245" s="430" t="s">
        <v>863</v>
      </c>
      <c r="C245" s="430" t="s">
        <v>1568</v>
      </c>
      <c r="D245" s="391" t="s">
        <v>1720</v>
      </c>
      <c r="E245" s="435" t="s">
        <v>1263</v>
      </c>
      <c r="F245" s="428" t="s">
        <v>863</v>
      </c>
      <c r="G245" s="428">
        <v>0</v>
      </c>
      <c r="H245" s="428"/>
      <c r="I245" s="428" t="s">
        <v>1620</v>
      </c>
      <c r="J245" s="428" t="s">
        <v>43</v>
      </c>
      <c r="K245" s="428" t="s">
        <v>43</v>
      </c>
      <c r="L245" s="428" t="s">
        <v>572</v>
      </c>
      <c r="M245" s="428" t="s">
        <v>44</v>
      </c>
      <c r="N245" s="428"/>
      <c r="O245" s="428"/>
      <c r="P245" s="428" t="s">
        <v>573</v>
      </c>
      <c r="Q245" s="428" t="s">
        <v>667</v>
      </c>
      <c r="R245" s="432">
        <v>42</v>
      </c>
      <c r="S245" s="432">
        <v>190</v>
      </c>
      <c r="T245" s="445">
        <v>43444</v>
      </c>
      <c r="U245" s="434" t="s">
        <v>2121</v>
      </c>
      <c r="V245" s="428"/>
      <c r="W245" s="362" t="s">
        <v>1719</v>
      </c>
      <c r="X245" s="391"/>
    </row>
    <row r="246" spans="1:24" s="69" customFormat="1" ht="14.25" customHeight="1">
      <c r="A246" s="437" t="s">
        <v>37</v>
      </c>
      <c r="B246" s="436" t="s">
        <v>863</v>
      </c>
      <c r="C246" s="430" t="s">
        <v>865</v>
      </c>
      <c r="D246" s="431" t="s">
        <v>3023</v>
      </c>
      <c r="E246" s="430" t="s">
        <v>1264</v>
      </c>
      <c r="F246" s="428" t="s">
        <v>863</v>
      </c>
      <c r="G246" s="428">
        <v>0</v>
      </c>
      <c r="H246" s="428" t="s">
        <v>41</v>
      </c>
      <c r="I246" s="428" t="s">
        <v>1035</v>
      </c>
      <c r="J246" s="428" t="s">
        <v>43</v>
      </c>
      <c r="K246" s="428" t="s">
        <v>43</v>
      </c>
      <c r="L246" s="428" t="s">
        <v>43</v>
      </c>
      <c r="M246" s="428" t="s">
        <v>44</v>
      </c>
      <c r="N246" s="428">
        <v>26.351690999999999</v>
      </c>
      <c r="O246" s="428">
        <v>96.690871999999999</v>
      </c>
      <c r="P246" s="428" t="s">
        <v>573</v>
      </c>
      <c r="Q246" s="428" t="s">
        <v>667</v>
      </c>
      <c r="R246" s="440">
        <v>35</v>
      </c>
      <c r="S246" s="433">
        <v>161</v>
      </c>
      <c r="T246" s="445">
        <v>42983</v>
      </c>
      <c r="U246" s="434" t="s">
        <v>864</v>
      </c>
      <c r="V246" s="428"/>
      <c r="W246" s="428" t="s">
        <v>1749</v>
      </c>
      <c r="X246" s="431"/>
    </row>
    <row r="247" spans="1:24" s="69" customFormat="1" ht="14.25" customHeight="1">
      <c r="A247" s="428" t="s">
        <v>37</v>
      </c>
      <c r="B247" s="428" t="s">
        <v>863</v>
      </c>
      <c r="C247" s="428" t="s">
        <v>1616</v>
      </c>
      <c r="D247" s="431" t="s">
        <v>3023</v>
      </c>
      <c r="E247" s="428" t="s">
        <v>1265</v>
      </c>
      <c r="F247" s="428" t="s">
        <v>863</v>
      </c>
      <c r="G247" s="428">
        <v>0</v>
      </c>
      <c r="H247" s="428" t="s">
        <v>41</v>
      </c>
      <c r="I247" s="428" t="s">
        <v>2118</v>
      </c>
      <c r="J247" s="428" t="s">
        <v>43</v>
      </c>
      <c r="K247" s="428" t="s">
        <v>43</v>
      </c>
      <c r="L247" s="428" t="s">
        <v>43</v>
      </c>
      <c r="M247" s="428" t="s">
        <v>44</v>
      </c>
      <c r="N247" s="428">
        <v>26.356223</v>
      </c>
      <c r="O247" s="428">
        <v>96.721439000000004</v>
      </c>
      <c r="P247" s="428" t="s">
        <v>573</v>
      </c>
      <c r="Q247" s="428" t="s">
        <v>667</v>
      </c>
      <c r="R247" s="440">
        <v>110</v>
      </c>
      <c r="S247" s="433">
        <v>486</v>
      </c>
      <c r="T247" s="445">
        <v>42983</v>
      </c>
      <c r="U247" s="434" t="s">
        <v>866</v>
      </c>
      <c r="V247" s="428"/>
      <c r="W247" s="428" t="s">
        <v>1750</v>
      </c>
      <c r="X247" s="431"/>
    </row>
    <row r="248" spans="1:24" s="69" customFormat="1" ht="14.25" customHeight="1">
      <c r="A248" s="428" t="s">
        <v>37</v>
      </c>
      <c r="B248" s="428" t="s">
        <v>863</v>
      </c>
      <c r="C248" s="428" t="s">
        <v>1540</v>
      </c>
      <c r="D248" s="391"/>
      <c r="E248" s="428"/>
      <c r="F248" s="428"/>
      <c r="G248" s="428"/>
      <c r="H248" s="428"/>
      <c r="I248" s="428"/>
      <c r="J248" s="428" t="s">
        <v>1099</v>
      </c>
      <c r="K248" s="428" t="s">
        <v>43</v>
      </c>
      <c r="L248" s="428" t="s">
        <v>43</v>
      </c>
      <c r="M248" s="428" t="s">
        <v>44</v>
      </c>
      <c r="N248" s="428"/>
      <c r="O248" s="428"/>
      <c r="P248" s="428" t="s">
        <v>573</v>
      </c>
      <c r="Q248" s="428" t="s">
        <v>1531</v>
      </c>
      <c r="R248" s="432"/>
      <c r="S248" s="433"/>
      <c r="T248" s="445">
        <v>43270</v>
      </c>
      <c r="U248" s="434"/>
      <c r="V248" s="428"/>
      <c r="W248" s="428"/>
      <c r="X248" s="391"/>
    </row>
    <row r="249" spans="1:24" s="69" customFormat="1" ht="14.25" customHeight="1">
      <c r="A249" s="428" t="s">
        <v>37</v>
      </c>
      <c r="B249" s="428" t="s">
        <v>142</v>
      </c>
      <c r="C249" s="428" t="s">
        <v>236</v>
      </c>
      <c r="D249" s="431" t="s">
        <v>3023</v>
      </c>
      <c r="E249" s="428" t="s">
        <v>1165</v>
      </c>
      <c r="F249" s="428" t="s">
        <v>1413</v>
      </c>
      <c r="G249" s="428" t="s">
        <v>1411</v>
      </c>
      <c r="H249" s="428" t="s">
        <v>41</v>
      </c>
      <c r="I249" s="428" t="s">
        <v>1035</v>
      </c>
      <c r="J249" s="428" t="s">
        <v>43</v>
      </c>
      <c r="K249" s="428" t="s">
        <v>43</v>
      </c>
      <c r="L249" s="428" t="s">
        <v>43</v>
      </c>
      <c r="M249" s="428" t="s">
        <v>590</v>
      </c>
      <c r="N249" s="428">
        <v>25.220278</v>
      </c>
      <c r="O249" s="428">
        <v>97.915833000000006</v>
      </c>
      <c r="P249" s="428" t="s">
        <v>573</v>
      </c>
      <c r="Q249" s="428" t="s">
        <v>592</v>
      </c>
      <c r="R249" s="440">
        <v>118</v>
      </c>
      <c r="S249" s="433">
        <v>419</v>
      </c>
      <c r="T249" s="445"/>
      <c r="U249" s="434"/>
      <c r="V249" s="428" t="s">
        <v>236</v>
      </c>
      <c r="W249" s="428"/>
      <c r="X249" s="431"/>
    </row>
    <row r="250" spans="1:24" s="69" customFormat="1" ht="14.25" customHeight="1">
      <c r="A250" s="428" t="s">
        <v>37</v>
      </c>
      <c r="B250" s="428" t="s">
        <v>142</v>
      </c>
      <c r="C250" s="428" t="s">
        <v>219</v>
      </c>
      <c r="D250" s="391"/>
      <c r="E250" s="428"/>
      <c r="F250" s="428"/>
      <c r="G250" s="428"/>
      <c r="H250" s="428"/>
      <c r="I250" s="430"/>
      <c r="J250" s="428" t="s">
        <v>1099</v>
      </c>
      <c r="K250" s="428" t="s">
        <v>43</v>
      </c>
      <c r="L250" s="428" t="s">
        <v>755</v>
      </c>
      <c r="M250" s="428" t="s">
        <v>590</v>
      </c>
      <c r="N250" s="428"/>
      <c r="O250" s="428"/>
      <c r="P250" s="428" t="s">
        <v>573</v>
      </c>
      <c r="Q250" s="428" t="s">
        <v>592</v>
      </c>
      <c r="R250" s="432"/>
      <c r="S250" s="432"/>
      <c r="T250" s="445"/>
      <c r="U250" s="434" t="s">
        <v>823</v>
      </c>
      <c r="V250" s="428" t="s">
        <v>219</v>
      </c>
      <c r="W250" s="428"/>
      <c r="X250" s="391"/>
    </row>
    <row r="251" spans="1:24" s="69" customFormat="1" ht="14.25" customHeight="1">
      <c r="A251" s="433" t="s">
        <v>37</v>
      </c>
      <c r="B251" s="436" t="s">
        <v>142</v>
      </c>
      <c r="C251" s="437" t="s">
        <v>2803</v>
      </c>
      <c r="D251" s="431" t="s">
        <v>3023</v>
      </c>
      <c r="E251" s="428" t="s">
        <v>2814</v>
      </c>
      <c r="F251" s="428" t="s">
        <v>2817</v>
      </c>
      <c r="G251" s="428" t="s">
        <v>2176</v>
      </c>
      <c r="H251" s="428"/>
      <c r="I251" s="970" t="s">
        <v>2824</v>
      </c>
      <c r="J251" s="428" t="s">
        <v>43</v>
      </c>
      <c r="K251" s="428" t="s">
        <v>43</v>
      </c>
      <c r="L251" s="428" t="s">
        <v>588</v>
      </c>
      <c r="M251" s="428" t="s">
        <v>44</v>
      </c>
      <c r="N251" s="428"/>
      <c r="O251" s="428"/>
      <c r="P251" s="428"/>
      <c r="Q251" s="428" t="s">
        <v>2823</v>
      </c>
      <c r="R251" s="440">
        <v>48</v>
      </c>
      <c r="S251" s="433">
        <v>240</v>
      </c>
      <c r="T251" s="445">
        <v>44662</v>
      </c>
      <c r="U251" s="434" t="s">
        <v>2822</v>
      </c>
      <c r="V251" s="432"/>
      <c r="W251" s="742" t="s">
        <v>2827</v>
      </c>
      <c r="X251" s="431"/>
    </row>
    <row r="252" spans="1:24" s="69" customFormat="1" ht="14.25" customHeight="1">
      <c r="A252" s="433" t="s">
        <v>37</v>
      </c>
      <c r="B252" s="436" t="s">
        <v>142</v>
      </c>
      <c r="C252" s="437" t="s">
        <v>2804</v>
      </c>
      <c r="D252" s="431" t="s">
        <v>3023</v>
      </c>
      <c r="E252" s="428" t="s">
        <v>2815</v>
      </c>
      <c r="F252" s="428" t="s">
        <v>2817</v>
      </c>
      <c r="G252" s="428" t="s">
        <v>2176</v>
      </c>
      <c r="H252" s="428"/>
      <c r="I252" s="970" t="s">
        <v>2824</v>
      </c>
      <c r="J252" s="428" t="s">
        <v>43</v>
      </c>
      <c r="K252" s="428" t="s">
        <v>43</v>
      </c>
      <c r="L252" s="428" t="s">
        <v>588</v>
      </c>
      <c r="M252" s="428" t="s">
        <v>44</v>
      </c>
      <c r="N252" s="428"/>
      <c r="O252" s="428"/>
      <c r="P252" s="428"/>
      <c r="Q252" s="428" t="s">
        <v>2823</v>
      </c>
      <c r="R252" s="440">
        <v>34</v>
      </c>
      <c r="S252" s="433">
        <v>189</v>
      </c>
      <c r="T252" s="445">
        <v>44662</v>
      </c>
      <c r="U252" s="434" t="s">
        <v>2822</v>
      </c>
      <c r="V252" s="432"/>
      <c r="W252" s="742" t="s">
        <v>2827</v>
      </c>
      <c r="X252" s="431"/>
    </row>
    <row r="253" spans="1:24" s="69" customFormat="1" ht="14.25" customHeight="1">
      <c r="A253" s="428" t="s">
        <v>37</v>
      </c>
      <c r="B253" s="428" t="s">
        <v>142</v>
      </c>
      <c r="C253" s="428" t="s">
        <v>220</v>
      </c>
      <c r="D253" s="391"/>
      <c r="E253" s="428"/>
      <c r="F253" s="428"/>
      <c r="G253" s="428"/>
      <c r="H253" s="428"/>
      <c r="I253" s="428"/>
      <c r="J253" s="428" t="s">
        <v>1099</v>
      </c>
      <c r="K253" s="428" t="s">
        <v>43</v>
      </c>
      <c r="L253" s="428" t="s">
        <v>755</v>
      </c>
      <c r="M253" s="428" t="s">
        <v>590</v>
      </c>
      <c r="N253" s="428"/>
      <c r="O253" s="428"/>
      <c r="P253" s="428" t="s">
        <v>573</v>
      </c>
      <c r="Q253" s="428" t="s">
        <v>592</v>
      </c>
      <c r="R253" s="432"/>
      <c r="S253" s="432"/>
      <c r="T253" s="445"/>
      <c r="U253" s="434" t="s">
        <v>823</v>
      </c>
      <c r="V253" s="428" t="s">
        <v>220</v>
      </c>
      <c r="W253" s="428"/>
      <c r="X253" s="391"/>
    </row>
    <row r="254" spans="1:24" s="69" customFormat="1" ht="14.25" customHeight="1">
      <c r="A254" s="428" t="s">
        <v>37</v>
      </c>
      <c r="B254" s="428" t="s">
        <v>142</v>
      </c>
      <c r="C254" s="428" t="s">
        <v>771</v>
      </c>
      <c r="D254" s="431" t="s">
        <v>3023</v>
      </c>
      <c r="E254" s="428" t="s">
        <v>1172</v>
      </c>
      <c r="F254" s="428" t="s">
        <v>1465</v>
      </c>
      <c r="G254" s="428" t="s">
        <v>1466</v>
      </c>
      <c r="H254" s="428"/>
      <c r="I254" s="428" t="s">
        <v>1620</v>
      </c>
      <c r="J254" s="428" t="s">
        <v>43</v>
      </c>
      <c r="K254" s="428" t="s">
        <v>43</v>
      </c>
      <c r="L254" s="428" t="s">
        <v>588</v>
      </c>
      <c r="M254" s="428" t="s">
        <v>44</v>
      </c>
      <c r="N254" s="428">
        <v>25.305008999999998</v>
      </c>
      <c r="O254" s="428">
        <v>97.430321000000006</v>
      </c>
      <c r="P254" s="428" t="s">
        <v>573</v>
      </c>
      <c r="Q254" s="428" t="s">
        <v>611</v>
      </c>
      <c r="R254" s="440">
        <v>60</v>
      </c>
      <c r="S254" s="433">
        <v>371</v>
      </c>
      <c r="T254" s="445">
        <v>42916</v>
      </c>
      <c r="U254" s="434" t="s">
        <v>772</v>
      </c>
      <c r="V254" s="428"/>
      <c r="W254" s="428"/>
      <c r="X254" s="431"/>
    </row>
    <row r="255" spans="1:24" s="69" customFormat="1" ht="14.25" customHeight="1">
      <c r="A255" s="428" t="s">
        <v>37</v>
      </c>
      <c r="B255" s="428" t="s">
        <v>142</v>
      </c>
      <c r="C255" s="428" t="s">
        <v>268</v>
      </c>
      <c r="D255" s="431" t="s">
        <v>3023</v>
      </c>
      <c r="E255" s="430" t="s">
        <v>1174</v>
      </c>
      <c r="F255" s="428" t="s">
        <v>1418</v>
      </c>
      <c r="G255" s="428" t="s">
        <v>1418</v>
      </c>
      <c r="H255" s="428" t="s">
        <v>41</v>
      </c>
      <c r="I255" s="430" t="s">
        <v>242</v>
      </c>
      <c r="J255" s="428" t="s">
        <v>43</v>
      </c>
      <c r="K255" s="428" t="s">
        <v>43</v>
      </c>
      <c r="L255" s="428" t="s">
        <v>43</v>
      </c>
      <c r="M255" s="428" t="s">
        <v>44</v>
      </c>
      <c r="N255" s="428">
        <v>25.321710740740698</v>
      </c>
      <c r="O255" s="428">
        <v>97.404195925926004</v>
      </c>
      <c r="P255" s="428" t="s">
        <v>573</v>
      </c>
      <c r="Q255" s="428" t="s">
        <v>592</v>
      </c>
      <c r="R255" s="440">
        <v>59</v>
      </c>
      <c r="S255" s="433">
        <v>291</v>
      </c>
      <c r="T255" s="445"/>
      <c r="U255" s="434"/>
      <c r="V255" s="428" t="s">
        <v>268</v>
      </c>
      <c r="W255" s="428"/>
      <c r="X255" s="431"/>
    </row>
    <row r="256" spans="1:24" s="69" customFormat="1" ht="14.25" customHeight="1">
      <c r="A256" s="428" t="s">
        <v>37</v>
      </c>
      <c r="B256" s="428" t="s">
        <v>142</v>
      </c>
      <c r="C256" s="428" t="s">
        <v>175</v>
      </c>
      <c r="D256" s="431" t="s">
        <v>3023</v>
      </c>
      <c r="E256" s="430" t="s">
        <v>1164</v>
      </c>
      <c r="F256" s="428" t="s">
        <v>1411</v>
      </c>
      <c r="G256" s="428" t="s">
        <v>1412</v>
      </c>
      <c r="H256" s="428" t="s">
        <v>41</v>
      </c>
      <c r="I256" s="428" t="s">
        <v>2118</v>
      </c>
      <c r="J256" s="428" t="s">
        <v>43</v>
      </c>
      <c r="K256" s="428" t="s">
        <v>43</v>
      </c>
      <c r="L256" s="428" t="s">
        <v>43</v>
      </c>
      <c r="M256" s="428" t="s">
        <v>590</v>
      </c>
      <c r="N256" s="428">
        <v>25.200333000000001</v>
      </c>
      <c r="O256" s="428">
        <v>97.807182999999995</v>
      </c>
      <c r="P256" s="428" t="s">
        <v>573</v>
      </c>
      <c r="Q256" s="428" t="s">
        <v>592</v>
      </c>
      <c r="R256" s="440">
        <v>138</v>
      </c>
      <c r="S256" s="433">
        <v>966</v>
      </c>
      <c r="T256" s="445"/>
      <c r="U256" s="434"/>
      <c r="V256" s="428" t="s">
        <v>175</v>
      </c>
      <c r="W256" s="362"/>
      <c r="X256" s="431"/>
    </row>
    <row r="257" spans="1:24" s="69" customFormat="1" ht="14.25" customHeight="1">
      <c r="A257" s="428" t="s">
        <v>37</v>
      </c>
      <c r="B257" s="428" t="s">
        <v>142</v>
      </c>
      <c r="C257" s="428" t="s">
        <v>224</v>
      </c>
      <c r="D257" s="431" t="s">
        <v>3023</v>
      </c>
      <c r="E257" s="428" t="s">
        <v>1152</v>
      </c>
      <c r="F257" s="428" t="s">
        <v>1341</v>
      </c>
      <c r="G257" s="428">
        <v>0</v>
      </c>
      <c r="H257" s="428"/>
      <c r="I257" s="428" t="s">
        <v>1620</v>
      </c>
      <c r="J257" s="428" t="s">
        <v>43</v>
      </c>
      <c r="K257" s="428" t="s">
        <v>43</v>
      </c>
      <c r="L257" s="428" t="s">
        <v>755</v>
      </c>
      <c r="M257" s="428" t="s">
        <v>590</v>
      </c>
      <c r="N257" s="428">
        <v>24.752471</v>
      </c>
      <c r="O257" s="428">
        <v>97.541793999999996</v>
      </c>
      <c r="P257" s="428" t="s">
        <v>573</v>
      </c>
      <c r="Q257" s="428" t="s">
        <v>574</v>
      </c>
      <c r="R257" s="440">
        <v>0</v>
      </c>
      <c r="S257" s="433">
        <v>366</v>
      </c>
      <c r="T257" s="445"/>
      <c r="U257" s="434"/>
      <c r="V257" s="428" t="s">
        <v>224</v>
      </c>
      <c r="W257" s="428"/>
      <c r="X257" s="431"/>
    </row>
    <row r="258" spans="1:24" s="69" customFormat="1" ht="14.25" customHeight="1">
      <c r="A258" s="428" t="s">
        <v>37</v>
      </c>
      <c r="B258" s="428" t="s">
        <v>142</v>
      </c>
      <c r="C258" s="428" t="s">
        <v>753</v>
      </c>
      <c r="D258" s="391" t="s">
        <v>1300</v>
      </c>
      <c r="E258" s="428" t="s">
        <v>1151</v>
      </c>
      <c r="F258" s="428" t="s">
        <v>1341</v>
      </c>
      <c r="G258" s="428" t="s">
        <v>1341</v>
      </c>
      <c r="H258" s="428" t="s">
        <v>41</v>
      </c>
      <c r="I258" s="428" t="s">
        <v>1035</v>
      </c>
      <c r="J258" s="428" t="s">
        <v>43</v>
      </c>
      <c r="K258" s="428" t="s">
        <v>43</v>
      </c>
      <c r="L258" s="428" t="s">
        <v>572</v>
      </c>
      <c r="M258" s="428" t="s">
        <v>590</v>
      </c>
      <c r="N258" s="428">
        <v>24.747212999999999</v>
      </c>
      <c r="O258" s="428">
        <v>97.551507000000001</v>
      </c>
      <c r="P258" s="428" t="s">
        <v>573</v>
      </c>
      <c r="Q258" s="428"/>
      <c r="R258" s="432">
        <v>0</v>
      </c>
      <c r="S258" s="432">
        <v>0</v>
      </c>
      <c r="T258" s="445"/>
      <c r="U258" s="434"/>
      <c r="V258" s="428" t="s">
        <v>754</v>
      </c>
      <c r="W258" s="428" t="s">
        <v>1666</v>
      </c>
      <c r="X258" s="391"/>
    </row>
    <row r="259" spans="1:24" s="69" customFormat="1" ht="14.25" customHeight="1">
      <c r="A259" s="428" t="s">
        <v>37</v>
      </c>
      <c r="B259" s="428" t="s">
        <v>142</v>
      </c>
      <c r="C259" s="428" t="s">
        <v>767</v>
      </c>
      <c r="D259" s="391" t="s">
        <v>2268</v>
      </c>
      <c r="E259" s="428" t="s">
        <v>1163</v>
      </c>
      <c r="F259" s="428"/>
      <c r="G259" s="428"/>
      <c r="H259" s="428"/>
      <c r="I259" s="428"/>
      <c r="J259" s="428" t="s">
        <v>43</v>
      </c>
      <c r="K259" s="428" t="s">
        <v>43</v>
      </c>
      <c r="L259" s="428" t="s">
        <v>43</v>
      </c>
      <c r="M259" s="428" t="s">
        <v>590</v>
      </c>
      <c r="N259" s="428">
        <v>25.108011999999999</v>
      </c>
      <c r="O259" s="428">
        <v>97.718008999999995</v>
      </c>
      <c r="P259" s="17" t="s">
        <v>573</v>
      </c>
      <c r="Q259" s="428"/>
      <c r="R259" s="432"/>
      <c r="S259" s="432"/>
      <c r="T259" s="445"/>
      <c r="U259" s="434"/>
      <c r="V259" s="428" t="s">
        <v>767</v>
      </c>
      <c r="W259" s="428"/>
      <c r="X259" s="391"/>
    </row>
    <row r="260" spans="1:24" s="69" customFormat="1" ht="14.25" customHeight="1">
      <c r="A260" s="433" t="s">
        <v>37</v>
      </c>
      <c r="B260" s="436" t="s">
        <v>142</v>
      </c>
      <c r="C260" s="437" t="s">
        <v>2802</v>
      </c>
      <c r="D260" s="431" t="s">
        <v>3023</v>
      </c>
      <c r="E260" s="428" t="s">
        <v>2813</v>
      </c>
      <c r="F260" s="428" t="s">
        <v>1348</v>
      </c>
      <c r="G260" s="428" t="s">
        <v>2821</v>
      </c>
      <c r="H260" s="428"/>
      <c r="I260" s="970" t="s">
        <v>2824</v>
      </c>
      <c r="J260" s="428" t="s">
        <v>43</v>
      </c>
      <c r="K260" s="428" t="s">
        <v>43</v>
      </c>
      <c r="L260" s="428" t="s">
        <v>588</v>
      </c>
      <c r="M260" s="428" t="s">
        <v>44</v>
      </c>
      <c r="N260" s="428"/>
      <c r="O260" s="428"/>
      <c r="P260" s="428"/>
      <c r="Q260" s="428" t="s">
        <v>2823</v>
      </c>
      <c r="R260" s="440">
        <v>87</v>
      </c>
      <c r="S260" s="433">
        <v>478</v>
      </c>
      <c r="T260" s="445">
        <v>44662</v>
      </c>
      <c r="U260" s="434" t="s">
        <v>2822</v>
      </c>
      <c r="V260" s="432"/>
      <c r="W260" s="742" t="s">
        <v>2827</v>
      </c>
      <c r="X260" s="431"/>
    </row>
    <row r="261" spans="1:24" s="69" customFormat="1" ht="14.25" customHeight="1">
      <c r="A261" s="433" t="s">
        <v>37</v>
      </c>
      <c r="B261" s="436" t="s">
        <v>142</v>
      </c>
      <c r="C261" s="437" t="s">
        <v>2799</v>
      </c>
      <c r="D261" s="431" t="s">
        <v>3023</v>
      </c>
      <c r="E261" s="428" t="s">
        <v>2810</v>
      </c>
      <c r="F261" s="428" t="s">
        <v>1348</v>
      </c>
      <c r="G261" s="428" t="s">
        <v>2821</v>
      </c>
      <c r="H261" s="428"/>
      <c r="I261" s="970" t="s">
        <v>2824</v>
      </c>
      <c r="J261" s="428" t="s">
        <v>43</v>
      </c>
      <c r="K261" s="428" t="s">
        <v>43</v>
      </c>
      <c r="L261" s="428" t="s">
        <v>588</v>
      </c>
      <c r="M261" s="428" t="s">
        <v>44</v>
      </c>
      <c r="N261" s="428">
        <v>25.210599999999999</v>
      </c>
      <c r="O261" s="428">
        <v>97.264700000000005</v>
      </c>
      <c r="P261" s="428"/>
      <c r="Q261" s="428" t="s">
        <v>2823</v>
      </c>
      <c r="R261" s="440">
        <v>40</v>
      </c>
      <c r="S261" s="433">
        <v>220</v>
      </c>
      <c r="T261" s="445">
        <v>44662</v>
      </c>
      <c r="U261" s="434" t="s">
        <v>2822</v>
      </c>
      <c r="V261" s="432"/>
      <c r="W261" s="742" t="s">
        <v>2827</v>
      </c>
      <c r="X261" s="431"/>
    </row>
    <row r="262" spans="1:24" s="69" customFormat="1" ht="14.25" customHeight="1">
      <c r="A262" s="428" t="s">
        <v>37</v>
      </c>
      <c r="B262" s="428" t="s">
        <v>142</v>
      </c>
      <c r="C262" s="428" t="s">
        <v>176</v>
      </c>
      <c r="D262" s="431" t="s">
        <v>3023</v>
      </c>
      <c r="E262" s="430" t="s">
        <v>1184</v>
      </c>
      <c r="F262" s="428" t="s">
        <v>1423</v>
      </c>
      <c r="G262" s="428" t="s">
        <v>1424</v>
      </c>
      <c r="H262" s="428" t="s">
        <v>41</v>
      </c>
      <c r="I262" s="428" t="s">
        <v>2118</v>
      </c>
      <c r="J262" s="428" t="s">
        <v>43</v>
      </c>
      <c r="K262" s="428" t="s">
        <v>43</v>
      </c>
      <c r="L262" s="428" t="s">
        <v>43</v>
      </c>
      <c r="M262" s="428" t="s">
        <v>44</v>
      </c>
      <c r="N262" s="428">
        <v>25.356632000000001</v>
      </c>
      <c r="O262" s="428">
        <v>97.451965000000001</v>
      </c>
      <c r="P262" s="428" t="s">
        <v>573</v>
      </c>
      <c r="Q262" s="428" t="s">
        <v>592</v>
      </c>
      <c r="R262" s="440">
        <v>39</v>
      </c>
      <c r="S262" s="433">
        <v>238</v>
      </c>
      <c r="T262" s="445"/>
      <c r="U262" s="434"/>
      <c r="V262" s="428" t="s">
        <v>176</v>
      </c>
      <c r="W262" s="428"/>
      <c r="X262" s="431"/>
    </row>
    <row r="263" spans="1:24" s="69" customFormat="1" ht="14.25" customHeight="1">
      <c r="A263" s="428" t="s">
        <v>37</v>
      </c>
      <c r="B263" s="428" t="s">
        <v>142</v>
      </c>
      <c r="C263" s="428" t="s">
        <v>177</v>
      </c>
      <c r="D263" s="431" t="s">
        <v>3023</v>
      </c>
      <c r="E263" s="430" t="s">
        <v>1158</v>
      </c>
      <c r="F263" s="428" t="s">
        <v>1408</v>
      </c>
      <c r="G263" s="428" t="s">
        <v>1410</v>
      </c>
      <c r="H263" s="428" t="s">
        <v>41</v>
      </c>
      <c r="I263" s="428" t="s">
        <v>1035</v>
      </c>
      <c r="J263" s="428" t="s">
        <v>43</v>
      </c>
      <c r="K263" s="428" t="s">
        <v>697</v>
      </c>
      <c r="L263" s="428" t="s">
        <v>43</v>
      </c>
      <c r="M263" s="428" t="s">
        <v>590</v>
      </c>
      <c r="N263" s="428">
        <v>24.980250000000002</v>
      </c>
      <c r="O263" s="428">
        <v>97.715230000000005</v>
      </c>
      <c r="P263" s="428" t="s">
        <v>573</v>
      </c>
      <c r="Q263" s="428" t="s">
        <v>592</v>
      </c>
      <c r="R263" s="440">
        <v>417</v>
      </c>
      <c r="S263" s="433">
        <v>1608</v>
      </c>
      <c r="T263" s="445"/>
      <c r="U263" s="434" t="s">
        <v>760</v>
      </c>
      <c r="V263" s="428" t="s">
        <v>177</v>
      </c>
      <c r="W263" s="428"/>
      <c r="X263" s="431"/>
    </row>
    <row r="264" spans="1:24" s="69" customFormat="1" ht="14.25" customHeight="1">
      <c r="A264" s="428" t="s">
        <v>37</v>
      </c>
      <c r="B264" s="428" t="s">
        <v>142</v>
      </c>
      <c r="C264" s="428" t="s">
        <v>269</v>
      </c>
      <c r="D264" s="431" t="s">
        <v>3023</v>
      </c>
      <c r="E264" s="428" t="s">
        <v>1210</v>
      </c>
      <c r="F264" s="428" t="s">
        <v>1431</v>
      </c>
      <c r="G264" s="428" t="s">
        <v>1431</v>
      </c>
      <c r="H264" s="428" t="s">
        <v>41</v>
      </c>
      <c r="I264" s="428" t="s">
        <v>242</v>
      </c>
      <c r="J264" s="428" t="s">
        <v>43</v>
      </c>
      <c r="K264" s="428" t="s">
        <v>43</v>
      </c>
      <c r="L264" s="428" t="s">
        <v>43</v>
      </c>
      <c r="M264" s="428" t="s">
        <v>44</v>
      </c>
      <c r="N264" s="428">
        <v>25.424529444444399</v>
      </c>
      <c r="O264" s="428">
        <v>97.433419259259296</v>
      </c>
      <c r="P264" s="428" t="s">
        <v>573</v>
      </c>
      <c r="Q264" s="428" t="s">
        <v>592</v>
      </c>
      <c r="R264" s="440">
        <v>353</v>
      </c>
      <c r="S264" s="433">
        <v>2166</v>
      </c>
      <c r="T264" s="445"/>
      <c r="U264" s="434"/>
      <c r="V264" s="428" t="s">
        <v>269</v>
      </c>
      <c r="W264" s="362"/>
      <c r="X264" s="431"/>
    </row>
    <row r="265" spans="1:24" s="69" customFormat="1" ht="14.25" customHeight="1">
      <c r="A265" s="428" t="s">
        <v>37</v>
      </c>
      <c r="B265" s="428" t="s">
        <v>142</v>
      </c>
      <c r="C265" s="428" t="s">
        <v>237</v>
      </c>
      <c r="D265" s="431" t="s">
        <v>3023</v>
      </c>
      <c r="E265" s="428" t="s">
        <v>1204</v>
      </c>
      <c r="F265" s="428" t="s">
        <v>1431</v>
      </c>
      <c r="G265" s="428" t="s">
        <v>1431</v>
      </c>
      <c r="H265" s="428" t="s">
        <v>41</v>
      </c>
      <c r="I265" s="428" t="s">
        <v>1035</v>
      </c>
      <c r="J265" s="428" t="s">
        <v>43</v>
      </c>
      <c r="K265" s="428" t="s">
        <v>43</v>
      </c>
      <c r="L265" s="428" t="s">
        <v>43</v>
      </c>
      <c r="M265" s="428" t="s">
        <v>44</v>
      </c>
      <c r="N265" s="428">
        <v>25.415667500000001</v>
      </c>
      <c r="O265" s="428">
        <v>97.437782499999997</v>
      </c>
      <c r="P265" s="428" t="s">
        <v>573</v>
      </c>
      <c r="Q265" s="428" t="s">
        <v>592</v>
      </c>
      <c r="R265" s="440">
        <v>276</v>
      </c>
      <c r="S265" s="433">
        <v>1492</v>
      </c>
      <c r="T265" s="445"/>
      <c r="U265" s="434"/>
      <c r="V265" s="428" t="s">
        <v>237</v>
      </c>
      <c r="W265" s="362"/>
      <c r="X265" s="431"/>
    </row>
    <row r="266" spans="1:24" s="69" customFormat="1" ht="14.25" customHeight="1">
      <c r="A266" s="433" t="s">
        <v>37</v>
      </c>
      <c r="B266" s="436" t="s">
        <v>142</v>
      </c>
      <c r="C266" s="437" t="s">
        <v>178</v>
      </c>
      <c r="D266" s="431" t="s">
        <v>3023</v>
      </c>
      <c r="E266" s="428" t="s">
        <v>1201</v>
      </c>
      <c r="F266" s="428" t="s">
        <v>1431</v>
      </c>
      <c r="G266" s="428" t="s">
        <v>1431</v>
      </c>
      <c r="H266" s="428" t="s">
        <v>41</v>
      </c>
      <c r="I266" s="428" t="s">
        <v>2118</v>
      </c>
      <c r="J266" s="428" t="s">
        <v>43</v>
      </c>
      <c r="K266" s="428" t="s">
        <v>43</v>
      </c>
      <c r="L266" s="428" t="s">
        <v>43</v>
      </c>
      <c r="M266" s="428" t="s">
        <v>44</v>
      </c>
      <c r="N266" s="428">
        <v>25.4118005797101</v>
      </c>
      <c r="O266" s="428">
        <v>97.434855869565197</v>
      </c>
      <c r="P266" s="428" t="s">
        <v>573</v>
      </c>
      <c r="Q266" s="428" t="s">
        <v>592</v>
      </c>
      <c r="R266" s="440">
        <v>531</v>
      </c>
      <c r="S266" s="433">
        <v>2920</v>
      </c>
      <c r="T266" s="445"/>
      <c r="U266" s="434"/>
      <c r="V266" s="432" t="s">
        <v>178</v>
      </c>
      <c r="W266" s="432" t="s">
        <v>1751</v>
      </c>
      <c r="X266" s="431"/>
    </row>
    <row r="267" spans="1:24" s="69" customFormat="1" ht="14.25" customHeight="1">
      <c r="A267" s="433" t="s">
        <v>37</v>
      </c>
      <c r="B267" s="430" t="s">
        <v>142</v>
      </c>
      <c r="C267" s="742" t="s">
        <v>179</v>
      </c>
      <c r="D267" s="431" t="s">
        <v>3023</v>
      </c>
      <c r="E267" s="428" t="s">
        <v>1199</v>
      </c>
      <c r="F267" s="428" t="s">
        <v>1431</v>
      </c>
      <c r="G267" s="428" t="s">
        <v>1431</v>
      </c>
      <c r="H267" s="428" t="s">
        <v>41</v>
      </c>
      <c r="I267" s="428" t="s">
        <v>2118</v>
      </c>
      <c r="J267" s="428" t="s">
        <v>43</v>
      </c>
      <c r="K267" s="428" t="s">
        <v>43</v>
      </c>
      <c r="L267" s="428" t="s">
        <v>43</v>
      </c>
      <c r="M267" s="428" t="s">
        <v>44</v>
      </c>
      <c r="N267" s="428">
        <v>25.409612685185198</v>
      </c>
      <c r="O267" s="428">
        <v>97.426536944444507</v>
      </c>
      <c r="P267" s="428" t="s">
        <v>573</v>
      </c>
      <c r="Q267" s="428" t="s">
        <v>592</v>
      </c>
      <c r="R267" s="440">
        <v>55</v>
      </c>
      <c r="S267" s="433">
        <v>283</v>
      </c>
      <c r="T267" s="445"/>
      <c r="U267" s="434"/>
      <c r="V267" s="432" t="s">
        <v>179</v>
      </c>
      <c r="W267" s="363" t="s">
        <v>1752</v>
      </c>
      <c r="X267" s="431"/>
    </row>
    <row r="268" spans="1:24" s="69" customFormat="1" ht="14.25" customHeight="1">
      <c r="A268" s="437" t="s">
        <v>37</v>
      </c>
      <c r="B268" s="436" t="s">
        <v>142</v>
      </c>
      <c r="C268" s="430" t="s">
        <v>3025</v>
      </c>
      <c r="D268" s="431" t="s">
        <v>3023</v>
      </c>
      <c r="E268" s="430" t="s">
        <v>1176</v>
      </c>
      <c r="F268" s="428" t="s">
        <v>1348</v>
      </c>
      <c r="G268" s="428" t="s">
        <v>1373</v>
      </c>
      <c r="H268" s="430" t="s">
        <v>41</v>
      </c>
      <c r="I268" s="430" t="s">
        <v>242</v>
      </c>
      <c r="J268" s="428" t="s">
        <v>43</v>
      </c>
      <c r="K268" s="428" t="s">
        <v>43</v>
      </c>
      <c r="L268" s="430" t="s">
        <v>43</v>
      </c>
      <c r="M268" s="428" t="s">
        <v>44</v>
      </c>
      <c r="N268" s="428">
        <v>25.345918166666699</v>
      </c>
      <c r="O268" s="428">
        <v>97.437472666666693</v>
      </c>
      <c r="P268" s="17" t="s">
        <v>573</v>
      </c>
      <c r="Q268" s="428" t="s">
        <v>592</v>
      </c>
      <c r="R268" s="440">
        <v>40</v>
      </c>
      <c r="S268" s="433">
        <v>221</v>
      </c>
      <c r="T268" s="445"/>
      <c r="U268" s="438"/>
      <c r="V268" s="430" t="s">
        <v>272</v>
      </c>
      <c r="W268" s="428"/>
      <c r="X268" s="431"/>
    </row>
    <row r="269" spans="1:24" s="69" customFormat="1" ht="14.25" customHeight="1">
      <c r="A269" s="428" t="s">
        <v>37</v>
      </c>
      <c r="B269" s="428" t="s">
        <v>142</v>
      </c>
      <c r="C269" s="428" t="s">
        <v>2622</v>
      </c>
      <c r="D269" s="431" t="s">
        <v>3023</v>
      </c>
      <c r="E269" s="428" t="s">
        <v>2615</v>
      </c>
      <c r="F269" s="428" t="s">
        <v>1431</v>
      </c>
      <c r="G269" s="428" t="s">
        <v>1431</v>
      </c>
      <c r="H269" s="428"/>
      <c r="I269" s="428"/>
      <c r="J269" s="428" t="s">
        <v>620</v>
      </c>
      <c r="K269" s="428" t="s">
        <v>620</v>
      </c>
      <c r="L269" s="428" t="s">
        <v>3031</v>
      </c>
      <c r="M269" s="428" t="s">
        <v>44</v>
      </c>
      <c r="N269" s="428">
        <v>25.415667500000001</v>
      </c>
      <c r="O269" s="428">
        <v>97.437782499999997</v>
      </c>
      <c r="P269" s="428"/>
      <c r="Q269" s="428" t="s">
        <v>2631</v>
      </c>
      <c r="R269" s="440">
        <v>95</v>
      </c>
      <c r="S269" s="433">
        <v>499</v>
      </c>
      <c r="T269" s="445">
        <v>44166</v>
      </c>
      <c r="U269" s="434"/>
      <c r="V269" s="428"/>
      <c r="W269" s="428"/>
      <c r="X269" s="431"/>
    </row>
    <row r="270" spans="1:24" s="69" customFormat="1" ht="14.25" customHeight="1">
      <c r="A270" s="428" t="s">
        <v>37</v>
      </c>
      <c r="B270" s="428" t="s">
        <v>142</v>
      </c>
      <c r="C270" s="428" t="s">
        <v>3024</v>
      </c>
      <c r="D270" s="431" t="s">
        <v>3023</v>
      </c>
      <c r="E270" s="428" t="s">
        <v>2676</v>
      </c>
      <c r="F270" s="428" t="s">
        <v>2677</v>
      </c>
      <c r="G270" s="428" t="s">
        <v>2678</v>
      </c>
      <c r="H270" s="428"/>
      <c r="I270" s="428"/>
      <c r="J270" s="428" t="s">
        <v>43</v>
      </c>
      <c r="K270" s="428" t="s">
        <v>43</v>
      </c>
      <c r="L270" s="428" t="s">
        <v>43</v>
      </c>
      <c r="M270" s="428" t="s">
        <v>44</v>
      </c>
      <c r="N270" s="428">
        <v>25.428995</v>
      </c>
      <c r="O270" s="428">
        <v>97.957487999999998</v>
      </c>
      <c r="P270" s="428" t="s">
        <v>573</v>
      </c>
      <c r="Q270" s="428" t="s">
        <v>2679</v>
      </c>
      <c r="R270" s="440">
        <v>55</v>
      </c>
      <c r="S270" s="433">
        <v>320</v>
      </c>
      <c r="T270" s="445">
        <v>44232</v>
      </c>
      <c r="U270" s="434"/>
      <c r="V270" s="428"/>
      <c r="W270" s="428" t="s">
        <v>2680</v>
      </c>
      <c r="X270" s="431"/>
    </row>
    <row r="271" spans="1:24" s="69" customFormat="1" ht="14.25" customHeight="1">
      <c r="A271" s="433" t="s">
        <v>37</v>
      </c>
      <c r="B271" s="436" t="s">
        <v>142</v>
      </c>
      <c r="C271" s="437" t="s">
        <v>2805</v>
      </c>
      <c r="D271" s="431" t="s">
        <v>3023</v>
      </c>
      <c r="E271" s="428" t="s">
        <v>2816</v>
      </c>
      <c r="F271" s="428" t="s">
        <v>268</v>
      </c>
      <c r="G271" s="428" t="s">
        <v>268</v>
      </c>
      <c r="H271" s="428"/>
      <c r="I271" s="970" t="s">
        <v>2824</v>
      </c>
      <c r="J271" s="428" t="s">
        <v>43</v>
      </c>
      <c r="K271" s="428" t="s">
        <v>43</v>
      </c>
      <c r="L271" s="428" t="s">
        <v>588</v>
      </c>
      <c r="M271" s="428" t="s">
        <v>44</v>
      </c>
      <c r="N271" s="428"/>
      <c r="O271" s="428"/>
      <c r="P271" s="428"/>
      <c r="Q271" s="428" t="s">
        <v>2823</v>
      </c>
      <c r="R271" s="440">
        <v>12</v>
      </c>
      <c r="S271" s="433">
        <v>59</v>
      </c>
      <c r="T271" s="445">
        <v>44662</v>
      </c>
      <c r="U271" s="434" t="s">
        <v>2822</v>
      </c>
      <c r="V271" s="432"/>
      <c r="W271" s="742" t="s">
        <v>2827</v>
      </c>
      <c r="X271" s="431"/>
    </row>
    <row r="272" spans="1:24" s="69" customFormat="1" ht="14.25" customHeight="1">
      <c r="A272" s="433" t="s">
        <v>37</v>
      </c>
      <c r="B272" s="436" t="s">
        <v>142</v>
      </c>
      <c r="C272" s="437" t="s">
        <v>2796</v>
      </c>
      <c r="D272" s="431" t="s">
        <v>3023</v>
      </c>
      <c r="E272" s="428" t="s">
        <v>2807</v>
      </c>
      <c r="F272" s="428" t="s">
        <v>1348</v>
      </c>
      <c r="G272" s="428" t="s">
        <v>2819</v>
      </c>
      <c r="H272" s="428" t="s">
        <v>41</v>
      </c>
      <c r="I272" s="970" t="s">
        <v>242</v>
      </c>
      <c r="J272" s="428" t="s">
        <v>43</v>
      </c>
      <c r="K272" s="428" t="s">
        <v>43</v>
      </c>
      <c r="L272" s="428" t="s">
        <v>588</v>
      </c>
      <c r="M272" s="428" t="s">
        <v>44</v>
      </c>
      <c r="N272" s="428">
        <v>25.221299999999999</v>
      </c>
      <c r="O272" s="428">
        <v>97.255300000000005</v>
      </c>
      <c r="P272" s="428"/>
      <c r="Q272" s="428" t="s">
        <v>2823</v>
      </c>
      <c r="R272" s="440">
        <v>12</v>
      </c>
      <c r="S272" s="433">
        <v>80</v>
      </c>
      <c r="T272" s="445">
        <v>44662</v>
      </c>
      <c r="U272" s="434" t="s">
        <v>2822</v>
      </c>
      <c r="V272" s="432"/>
      <c r="W272" s="742" t="s">
        <v>2826</v>
      </c>
      <c r="X272" s="431"/>
    </row>
    <row r="273" spans="1:31" s="69" customFormat="1" ht="14.25" customHeight="1">
      <c r="A273" s="428" t="s">
        <v>37</v>
      </c>
      <c r="B273" s="428" t="s">
        <v>142</v>
      </c>
      <c r="C273" s="428" t="s">
        <v>270</v>
      </c>
      <c r="D273" s="431" t="s">
        <v>3023</v>
      </c>
      <c r="E273" s="428" t="s">
        <v>1181</v>
      </c>
      <c r="F273" s="428" t="s">
        <v>1421</v>
      </c>
      <c r="G273" s="428" t="s">
        <v>1422</v>
      </c>
      <c r="H273" s="428" t="s">
        <v>41</v>
      </c>
      <c r="I273" s="428" t="s">
        <v>242</v>
      </c>
      <c r="J273" s="428" t="s">
        <v>43</v>
      </c>
      <c r="K273" s="428" t="s">
        <v>43</v>
      </c>
      <c r="L273" s="428" t="s">
        <v>43</v>
      </c>
      <c r="M273" s="428" t="s">
        <v>44</v>
      </c>
      <c r="N273" s="428">
        <v>25.351965</v>
      </c>
      <c r="O273" s="428">
        <v>97.345039</v>
      </c>
      <c r="P273" s="428" t="s">
        <v>573</v>
      </c>
      <c r="Q273" s="428" t="s">
        <v>592</v>
      </c>
      <c r="R273" s="440">
        <v>19</v>
      </c>
      <c r="S273" s="433">
        <v>85</v>
      </c>
      <c r="T273" s="445"/>
      <c r="U273" s="434"/>
      <c r="V273" s="428" t="s">
        <v>270</v>
      </c>
      <c r="W273" s="428"/>
      <c r="X273" s="431"/>
    </row>
    <row r="274" spans="1:31" s="69" customFormat="1" ht="14.25" customHeight="1">
      <c r="A274" s="428" t="s">
        <v>37</v>
      </c>
      <c r="B274" s="428" t="s">
        <v>142</v>
      </c>
      <c r="C274" s="428" t="s">
        <v>180</v>
      </c>
      <c r="D274" s="431" t="s">
        <v>3023</v>
      </c>
      <c r="E274" s="428" t="s">
        <v>1157</v>
      </c>
      <c r="F274" s="428" t="s">
        <v>1408</v>
      </c>
      <c r="G274" s="428" t="s">
        <v>1409</v>
      </c>
      <c r="H274" s="428" t="s">
        <v>41</v>
      </c>
      <c r="I274" s="428" t="s">
        <v>2118</v>
      </c>
      <c r="J274" s="428" t="s">
        <v>43</v>
      </c>
      <c r="K274" s="428" t="s">
        <v>697</v>
      </c>
      <c r="L274" s="428" t="s">
        <v>43</v>
      </c>
      <c r="M274" s="428" t="s">
        <v>590</v>
      </c>
      <c r="N274" s="428">
        <v>24.831944</v>
      </c>
      <c r="O274" s="428">
        <v>97.751389000000003</v>
      </c>
      <c r="P274" s="428" t="s">
        <v>573</v>
      </c>
      <c r="Q274" s="428" t="s">
        <v>592</v>
      </c>
      <c r="R274" s="440">
        <v>166</v>
      </c>
      <c r="S274" s="433">
        <v>966</v>
      </c>
      <c r="T274" s="445"/>
      <c r="U274" s="434" t="s">
        <v>760</v>
      </c>
      <c r="V274" s="428" t="s">
        <v>761</v>
      </c>
      <c r="W274" s="428"/>
      <c r="X274" s="431"/>
    </row>
    <row r="275" spans="1:31" s="69" customFormat="1" ht="14.25" customHeight="1">
      <c r="A275" s="433" t="s">
        <v>37</v>
      </c>
      <c r="B275" s="436" t="s">
        <v>142</v>
      </c>
      <c r="C275" s="437" t="s">
        <v>2800</v>
      </c>
      <c r="D275" s="431" t="s">
        <v>3023</v>
      </c>
      <c r="E275" s="428" t="s">
        <v>2811</v>
      </c>
      <c r="F275" s="428" t="s">
        <v>1348</v>
      </c>
      <c r="G275" s="428" t="s">
        <v>2821</v>
      </c>
      <c r="H275" s="428"/>
      <c r="I275" s="970" t="s">
        <v>2824</v>
      </c>
      <c r="J275" s="428" t="s">
        <v>43</v>
      </c>
      <c r="K275" s="428" t="s">
        <v>43</v>
      </c>
      <c r="L275" s="428" t="s">
        <v>2793</v>
      </c>
      <c r="M275" s="428" t="s">
        <v>44</v>
      </c>
      <c r="N275" s="428">
        <v>25.2057</v>
      </c>
      <c r="O275" s="428">
        <v>97.262200000000007</v>
      </c>
      <c r="P275" s="428"/>
      <c r="Q275" s="428" t="s">
        <v>2823</v>
      </c>
      <c r="R275" s="440">
        <v>39</v>
      </c>
      <c r="S275" s="433">
        <v>183</v>
      </c>
      <c r="T275" s="445">
        <v>44662</v>
      </c>
      <c r="U275" s="434" t="s">
        <v>2822</v>
      </c>
      <c r="V275" s="432"/>
      <c r="W275" s="742" t="s">
        <v>3026</v>
      </c>
      <c r="X275" s="431"/>
    </row>
    <row r="276" spans="1:31" s="69" customFormat="1" ht="14.25" customHeight="1">
      <c r="A276" s="428" t="s">
        <v>37</v>
      </c>
      <c r="B276" s="428" t="s">
        <v>142</v>
      </c>
      <c r="C276" s="428" t="s">
        <v>238</v>
      </c>
      <c r="D276" s="391" t="s">
        <v>2690</v>
      </c>
      <c r="E276" s="428" t="s">
        <v>1168</v>
      </c>
      <c r="F276" s="428" t="s">
        <v>1411</v>
      </c>
      <c r="G276" s="428" t="s">
        <v>1411</v>
      </c>
      <c r="H276" s="428" t="s">
        <v>41</v>
      </c>
      <c r="I276" s="428" t="s">
        <v>1035</v>
      </c>
      <c r="J276" s="428" t="s">
        <v>43</v>
      </c>
      <c r="K276" s="428" t="s">
        <v>43</v>
      </c>
      <c r="L276" s="428" t="s">
        <v>572</v>
      </c>
      <c r="M276" s="428" t="s">
        <v>590</v>
      </c>
      <c r="N276" s="428">
        <v>25.265277999999999</v>
      </c>
      <c r="O276" s="428">
        <v>97.990555999999998</v>
      </c>
      <c r="P276" s="428" t="s">
        <v>573</v>
      </c>
      <c r="Q276" s="428" t="s">
        <v>592</v>
      </c>
      <c r="R276" s="432">
        <v>0</v>
      </c>
      <c r="S276" s="432">
        <v>0</v>
      </c>
      <c r="T276" s="445"/>
      <c r="U276" s="434"/>
      <c r="V276" s="428" t="s">
        <v>238</v>
      </c>
      <c r="W276" s="428" t="s">
        <v>3029</v>
      </c>
      <c r="X276" s="391"/>
    </row>
    <row r="277" spans="1:31" s="69" customFormat="1" ht="14.25" customHeight="1">
      <c r="A277" s="428" t="s">
        <v>37</v>
      </c>
      <c r="B277" s="428" t="s">
        <v>142</v>
      </c>
      <c r="C277" s="428" t="s">
        <v>271</v>
      </c>
      <c r="D277" s="431" t="s">
        <v>3023</v>
      </c>
      <c r="E277" s="428" t="s">
        <v>1182</v>
      </c>
      <c r="F277" s="428" t="s">
        <v>1348</v>
      </c>
      <c r="G277" s="428" t="s">
        <v>1338</v>
      </c>
      <c r="H277" s="428" t="s">
        <v>41</v>
      </c>
      <c r="I277" s="428" t="s">
        <v>242</v>
      </c>
      <c r="J277" s="428" t="s">
        <v>43</v>
      </c>
      <c r="K277" s="428" t="s">
        <v>43</v>
      </c>
      <c r="L277" s="428" t="s">
        <v>43</v>
      </c>
      <c r="M277" s="428" t="s">
        <v>44</v>
      </c>
      <c r="N277" s="428">
        <v>25.3540362037037</v>
      </c>
      <c r="O277" s="428">
        <v>97.441166388888902</v>
      </c>
      <c r="P277" s="428" t="s">
        <v>573</v>
      </c>
      <c r="Q277" s="428" t="s">
        <v>592</v>
      </c>
      <c r="R277" s="440">
        <v>111</v>
      </c>
      <c r="S277" s="433">
        <v>505</v>
      </c>
      <c r="T277" s="445"/>
      <c r="U277" s="434"/>
      <c r="V277" s="428" t="s">
        <v>271</v>
      </c>
      <c r="W277" s="428"/>
      <c r="X277" s="431"/>
    </row>
    <row r="278" spans="1:31" s="69" customFormat="1" ht="14.25" customHeight="1">
      <c r="A278" s="428" t="s">
        <v>37</v>
      </c>
      <c r="B278" s="428" t="s">
        <v>142</v>
      </c>
      <c r="C278" s="428" t="s">
        <v>181</v>
      </c>
      <c r="D278" s="431" t="s">
        <v>3023</v>
      </c>
      <c r="E278" s="428" t="s">
        <v>1180</v>
      </c>
      <c r="F278" s="428" t="s">
        <v>1348</v>
      </c>
      <c r="G278" s="428" t="s">
        <v>1338</v>
      </c>
      <c r="H278" s="428" t="s">
        <v>41</v>
      </c>
      <c r="I278" s="428" t="s">
        <v>2118</v>
      </c>
      <c r="J278" s="428" t="s">
        <v>43</v>
      </c>
      <c r="K278" s="428" t="s">
        <v>43</v>
      </c>
      <c r="L278" s="428" t="s">
        <v>43</v>
      </c>
      <c r="M278" s="428" t="s">
        <v>44</v>
      </c>
      <c r="N278" s="428">
        <v>25.351724999999998</v>
      </c>
      <c r="O278" s="428">
        <v>97.438432380952406</v>
      </c>
      <c r="P278" s="428" t="s">
        <v>573</v>
      </c>
      <c r="Q278" s="428" t="s">
        <v>592</v>
      </c>
      <c r="R278" s="440">
        <v>72</v>
      </c>
      <c r="S278" s="433">
        <v>360</v>
      </c>
      <c r="T278" s="445"/>
      <c r="U278" s="434"/>
      <c r="V278" s="428" t="s">
        <v>181</v>
      </c>
      <c r="W278" s="362"/>
      <c r="X278" s="431"/>
    </row>
    <row r="279" spans="1:31" s="69" customFormat="1" ht="14.25" customHeight="1">
      <c r="A279" s="428" t="s">
        <v>37</v>
      </c>
      <c r="B279" s="430" t="s">
        <v>142</v>
      </c>
      <c r="C279" s="430" t="s">
        <v>273</v>
      </c>
      <c r="D279" s="391" t="s">
        <v>1611</v>
      </c>
      <c r="E279" s="428" t="s">
        <v>1177</v>
      </c>
      <c r="F279" s="428" t="s">
        <v>1348</v>
      </c>
      <c r="G279" s="428" t="s">
        <v>1419</v>
      </c>
      <c r="H279" s="428" t="s">
        <v>41</v>
      </c>
      <c r="I279" s="428" t="s">
        <v>242</v>
      </c>
      <c r="J279" s="428" t="s">
        <v>43</v>
      </c>
      <c r="K279" s="430" t="s">
        <v>43</v>
      </c>
      <c r="L279" s="430" t="s">
        <v>572</v>
      </c>
      <c r="M279" s="428" t="s">
        <v>44</v>
      </c>
      <c r="N279" s="428">
        <v>25.350809000000002</v>
      </c>
      <c r="O279" s="428">
        <v>97.432495000000003</v>
      </c>
      <c r="P279" s="17" t="s">
        <v>573</v>
      </c>
      <c r="Q279" s="428" t="s">
        <v>592</v>
      </c>
      <c r="R279" s="432">
        <v>92</v>
      </c>
      <c r="S279" s="432">
        <v>505</v>
      </c>
      <c r="T279" s="445"/>
      <c r="U279" s="434"/>
      <c r="V279" s="428" t="s">
        <v>273</v>
      </c>
      <c r="W279" s="362" t="s">
        <v>1667</v>
      </c>
      <c r="X279" s="391"/>
    </row>
    <row r="280" spans="1:31" s="69" customFormat="1" ht="14.25" customHeight="1">
      <c r="A280" s="428" t="s">
        <v>37</v>
      </c>
      <c r="B280" s="430" t="s">
        <v>142</v>
      </c>
      <c r="C280" s="430" t="s">
        <v>778</v>
      </c>
      <c r="D280" s="431" t="s">
        <v>3023</v>
      </c>
      <c r="E280" s="428" t="s">
        <v>1561</v>
      </c>
      <c r="F280" s="430" t="s">
        <v>778</v>
      </c>
      <c r="G280" s="428" t="s">
        <v>778</v>
      </c>
      <c r="H280" s="428"/>
      <c r="I280" s="428" t="s">
        <v>1620</v>
      </c>
      <c r="J280" s="428" t="s">
        <v>43</v>
      </c>
      <c r="K280" s="428" t="s">
        <v>43</v>
      </c>
      <c r="L280" s="428" t="s">
        <v>588</v>
      </c>
      <c r="M280" s="428" t="s">
        <v>44</v>
      </c>
      <c r="N280" s="428">
        <v>25.391428000000001</v>
      </c>
      <c r="O280" s="428">
        <v>97.898184999999998</v>
      </c>
      <c r="P280" s="428" t="s">
        <v>573</v>
      </c>
      <c r="Q280" s="428" t="s">
        <v>1531</v>
      </c>
      <c r="R280" s="440">
        <v>45</v>
      </c>
      <c r="S280" s="433">
        <v>247</v>
      </c>
      <c r="T280" s="445">
        <v>43276</v>
      </c>
      <c r="U280" s="434"/>
      <c r="V280" s="428"/>
      <c r="W280" s="362" t="s">
        <v>1668</v>
      </c>
      <c r="X280" s="431"/>
    </row>
    <row r="281" spans="1:31" ht="14.25" customHeight="1">
      <c r="A281" s="444" t="s">
        <v>37</v>
      </c>
      <c r="B281" s="444" t="s">
        <v>142</v>
      </c>
      <c r="C281" s="444" t="s">
        <v>143</v>
      </c>
      <c r="D281" s="431" t="s">
        <v>3023</v>
      </c>
      <c r="E281" s="428" t="s">
        <v>1262</v>
      </c>
      <c r="F281" s="428" t="s">
        <v>1408</v>
      </c>
      <c r="G281" s="428" t="s">
        <v>1409</v>
      </c>
      <c r="H281" s="428" t="s">
        <v>41</v>
      </c>
      <c r="I281" s="428" t="s">
        <v>2118</v>
      </c>
      <c r="J281" s="428" t="s">
        <v>43</v>
      </c>
      <c r="K281" s="428" t="s">
        <v>43</v>
      </c>
      <c r="L281" s="428" t="s">
        <v>43</v>
      </c>
      <c r="M281" s="428" t="s">
        <v>590</v>
      </c>
      <c r="N281" s="428">
        <v>25.418084</v>
      </c>
      <c r="O281" s="428">
        <v>98.025662999999994</v>
      </c>
      <c r="P281" s="428" t="s">
        <v>573</v>
      </c>
      <c r="Q281" s="428" t="s">
        <v>611</v>
      </c>
      <c r="R281" s="440">
        <v>380</v>
      </c>
      <c r="S281" s="433">
        <v>1877</v>
      </c>
      <c r="T281" s="445">
        <v>42916</v>
      </c>
      <c r="U281" s="434" t="s">
        <v>861</v>
      </c>
      <c r="V281" s="428"/>
      <c r="W281" s="428" t="s">
        <v>1753</v>
      </c>
      <c r="X281" s="431"/>
      <c r="Y281" s="45"/>
      <c r="Z281" s="17"/>
      <c r="AA281" s="90"/>
      <c r="AB281" s="17"/>
      <c r="AC281" s="17"/>
      <c r="AE281" s="17"/>
    </row>
    <row r="282" spans="1:31" ht="14.25" customHeight="1">
      <c r="A282" s="400" t="s">
        <v>37</v>
      </c>
      <c r="B282" s="447" t="s">
        <v>142</v>
      </c>
      <c r="C282" s="444" t="s">
        <v>182</v>
      </c>
      <c r="D282" s="431" t="s">
        <v>3023</v>
      </c>
      <c r="E282" s="430" t="s">
        <v>1206</v>
      </c>
      <c r="F282" s="430" t="s">
        <v>1434</v>
      </c>
      <c r="G282" s="430" t="s">
        <v>1435</v>
      </c>
      <c r="H282" s="428" t="s">
        <v>41</v>
      </c>
      <c r="I282" s="428" t="s">
        <v>2118</v>
      </c>
      <c r="J282" s="428" t="s">
        <v>43</v>
      </c>
      <c r="K282" s="428" t="s">
        <v>43</v>
      </c>
      <c r="L282" s="428" t="s">
        <v>43</v>
      </c>
      <c r="M282" s="428" t="s">
        <v>44</v>
      </c>
      <c r="N282" s="428">
        <v>25.418084</v>
      </c>
      <c r="O282" s="428">
        <v>98.025662999999994</v>
      </c>
      <c r="P282" s="430" t="s">
        <v>573</v>
      </c>
      <c r="Q282" s="428" t="s">
        <v>592</v>
      </c>
      <c r="R282" s="440">
        <v>213</v>
      </c>
      <c r="S282" s="433">
        <v>1172</v>
      </c>
      <c r="T282" s="445"/>
      <c r="U282" s="438"/>
      <c r="V282" s="430" t="s">
        <v>182</v>
      </c>
      <c r="W282" s="362" t="s">
        <v>1754</v>
      </c>
      <c r="X282" s="431"/>
      <c r="Y282" s="45"/>
      <c r="Z282" s="17"/>
      <c r="AA282" s="90"/>
      <c r="AB282" s="17"/>
      <c r="AC282" s="17"/>
      <c r="AE282" s="17"/>
    </row>
    <row r="283" spans="1:31" ht="14.25" customHeight="1">
      <c r="A283" s="444" t="s">
        <v>37</v>
      </c>
      <c r="B283" s="444" t="s">
        <v>142</v>
      </c>
      <c r="C283" s="444" t="s">
        <v>274</v>
      </c>
      <c r="D283" s="431" t="s">
        <v>3023</v>
      </c>
      <c r="E283" s="428" t="s">
        <v>1175</v>
      </c>
      <c r="F283" s="428" t="s">
        <v>1348</v>
      </c>
      <c r="G283" s="428" t="s">
        <v>1419</v>
      </c>
      <c r="H283" s="428" t="s">
        <v>41</v>
      </c>
      <c r="I283" s="428" t="s">
        <v>242</v>
      </c>
      <c r="J283" s="428" t="s">
        <v>43</v>
      </c>
      <c r="K283" s="428" t="s">
        <v>43</v>
      </c>
      <c r="L283" s="428" t="s">
        <v>43</v>
      </c>
      <c r="M283" s="428" t="s">
        <v>44</v>
      </c>
      <c r="N283" s="428">
        <v>25.333683333333301</v>
      </c>
      <c r="O283" s="428">
        <v>97.428251153846105</v>
      </c>
      <c r="P283" s="428" t="s">
        <v>573</v>
      </c>
      <c r="Q283" s="428" t="s">
        <v>592</v>
      </c>
      <c r="R283" s="440">
        <v>46</v>
      </c>
      <c r="S283" s="433">
        <v>192</v>
      </c>
      <c r="T283" s="445"/>
      <c r="U283" s="434"/>
      <c r="V283" s="428" t="s">
        <v>274</v>
      </c>
      <c r="W283" s="428"/>
      <c r="X283" s="431"/>
      <c r="Y283" s="45"/>
      <c r="Z283" s="17"/>
      <c r="AA283" s="90"/>
      <c r="AB283" s="17"/>
      <c r="AC283" s="17"/>
      <c r="AE283" s="17"/>
    </row>
    <row r="284" spans="1:31" ht="14.25" customHeight="1">
      <c r="A284" s="444" t="s">
        <v>37</v>
      </c>
      <c r="B284" s="444" t="s">
        <v>142</v>
      </c>
      <c r="C284" s="444" t="s">
        <v>1612</v>
      </c>
      <c r="D284" s="431" t="s">
        <v>3023</v>
      </c>
      <c r="E284" s="428" t="s">
        <v>1558</v>
      </c>
      <c r="F284" s="428"/>
      <c r="G284" s="428"/>
      <c r="H284" s="428" t="s">
        <v>41</v>
      </c>
      <c r="I284" s="428" t="s">
        <v>2118</v>
      </c>
      <c r="J284" s="428" t="s">
        <v>43</v>
      </c>
      <c r="K284" s="428" t="s">
        <v>43</v>
      </c>
      <c r="L284" s="428" t="s">
        <v>43</v>
      </c>
      <c r="M284" s="428" t="s">
        <v>44</v>
      </c>
      <c r="N284" s="428">
        <v>25.350989999999999</v>
      </c>
      <c r="O284" s="428">
        <v>97.442809999999994</v>
      </c>
      <c r="P284" s="428" t="s">
        <v>573</v>
      </c>
      <c r="Q284" s="428" t="s">
        <v>1531</v>
      </c>
      <c r="R284" s="440">
        <v>81</v>
      </c>
      <c r="S284" s="433">
        <v>387</v>
      </c>
      <c r="T284" s="445">
        <v>43276</v>
      </c>
      <c r="U284" s="434" t="s">
        <v>1580</v>
      </c>
      <c r="V284" s="428"/>
      <c r="W284" s="362" t="s">
        <v>1755</v>
      </c>
      <c r="X284" s="431"/>
      <c r="Y284" s="45"/>
      <c r="Z284" s="17"/>
      <c r="AA284" s="90"/>
      <c r="AB284" s="17"/>
      <c r="AC284" s="17"/>
      <c r="AE284" s="17"/>
    </row>
    <row r="285" spans="1:31" ht="14.25" customHeight="1">
      <c r="A285" s="400" t="s">
        <v>37</v>
      </c>
      <c r="B285" s="447" t="s">
        <v>142</v>
      </c>
      <c r="C285" s="444" t="s">
        <v>275</v>
      </c>
      <c r="D285" s="431" t="s">
        <v>3023</v>
      </c>
      <c r="E285" s="430" t="s">
        <v>1179</v>
      </c>
      <c r="F285" s="430" t="s">
        <v>1348</v>
      </c>
      <c r="G285" s="430" t="s">
        <v>1373</v>
      </c>
      <c r="H285" s="430" t="s">
        <v>41</v>
      </c>
      <c r="I285" s="430" t="s">
        <v>242</v>
      </c>
      <c r="J285" s="428" t="s">
        <v>43</v>
      </c>
      <c r="K285" s="428" t="s">
        <v>43</v>
      </c>
      <c r="L285" s="428" t="s">
        <v>43</v>
      </c>
      <c r="M285" s="428" t="s">
        <v>44</v>
      </c>
      <c r="N285" s="430">
        <v>25.351250396825399</v>
      </c>
      <c r="O285" s="430">
        <v>97.444283730158702</v>
      </c>
      <c r="P285" s="428" t="s">
        <v>573</v>
      </c>
      <c r="Q285" s="428" t="s">
        <v>592</v>
      </c>
      <c r="R285" s="440">
        <v>71</v>
      </c>
      <c r="S285" s="433">
        <v>307</v>
      </c>
      <c r="T285" s="445"/>
      <c r="U285" s="438"/>
      <c r="V285" s="430" t="s">
        <v>275</v>
      </c>
      <c r="W285" s="428"/>
      <c r="X285" s="431"/>
      <c r="Y285" s="45"/>
      <c r="Z285" s="17"/>
      <c r="AA285" s="90"/>
      <c r="AB285" s="17"/>
      <c r="AC285" s="17"/>
      <c r="AE285" s="17"/>
    </row>
    <row r="286" spans="1:31" ht="14.25" customHeight="1">
      <c r="A286" s="444" t="s">
        <v>37</v>
      </c>
      <c r="B286" s="444" t="s">
        <v>142</v>
      </c>
      <c r="C286" s="444" t="s">
        <v>773</v>
      </c>
      <c r="D286" s="391" t="s">
        <v>1300</v>
      </c>
      <c r="E286" s="444" t="s">
        <v>1183</v>
      </c>
      <c r="F286" s="428" t="s">
        <v>1348</v>
      </c>
      <c r="G286" s="428" t="s">
        <v>1338</v>
      </c>
      <c r="H286" s="428" t="s">
        <v>41</v>
      </c>
      <c r="I286" s="428" t="s">
        <v>141</v>
      </c>
      <c r="J286" s="428" t="s">
        <v>43</v>
      </c>
      <c r="K286" s="428" t="s">
        <v>43</v>
      </c>
      <c r="L286" s="428" t="s">
        <v>572</v>
      </c>
      <c r="M286" s="428" t="s">
        <v>44</v>
      </c>
      <c r="N286" s="428">
        <v>25.355841999999999</v>
      </c>
      <c r="O286" s="428">
        <v>97.438259000000002</v>
      </c>
      <c r="P286" s="428" t="s">
        <v>573</v>
      </c>
      <c r="Q286" s="428" t="s">
        <v>592</v>
      </c>
      <c r="R286" s="432">
        <v>0</v>
      </c>
      <c r="S286" s="432">
        <v>0</v>
      </c>
      <c r="T286" s="445"/>
      <c r="U286" s="434" t="s">
        <v>774</v>
      </c>
      <c r="V286" s="428" t="s">
        <v>773</v>
      </c>
      <c r="W286" s="362" t="s">
        <v>1669</v>
      </c>
      <c r="X286" s="391"/>
      <c r="Y286" s="45"/>
      <c r="Z286" s="17"/>
      <c r="AA286" s="90"/>
      <c r="AB286" s="17"/>
      <c r="AC286" s="17"/>
      <c r="AE286" s="17"/>
    </row>
    <row r="287" spans="1:31" ht="14.25" customHeight="1">
      <c r="A287" s="444" t="s">
        <v>37</v>
      </c>
      <c r="B287" s="444" t="s">
        <v>142</v>
      </c>
      <c r="C287" s="444" t="s">
        <v>1541</v>
      </c>
      <c r="D287" s="391"/>
      <c r="E287" s="428"/>
      <c r="F287" s="428"/>
      <c r="G287" s="428"/>
      <c r="H287" s="428"/>
      <c r="I287" s="428"/>
      <c r="J287" s="428" t="s">
        <v>1099</v>
      </c>
      <c r="K287" s="428" t="s">
        <v>43</v>
      </c>
      <c r="L287" s="428" t="s">
        <v>43</v>
      </c>
      <c r="M287" s="428" t="s">
        <v>44</v>
      </c>
      <c r="N287" s="428"/>
      <c r="O287" s="428"/>
      <c r="P287" s="428" t="s">
        <v>573</v>
      </c>
      <c r="Q287" s="428" t="s">
        <v>1531</v>
      </c>
      <c r="R287" s="432"/>
      <c r="S287" s="433"/>
      <c r="T287" s="445">
        <v>43270</v>
      </c>
      <c r="U287" s="434"/>
      <c r="V287" s="428"/>
      <c r="W287" s="428"/>
      <c r="X287" s="391"/>
      <c r="Y287" s="45"/>
      <c r="Z287" s="17"/>
      <c r="AA287" s="90"/>
      <c r="AB287" s="17"/>
      <c r="AC287" s="17"/>
      <c r="AE287" s="17"/>
    </row>
    <row r="288" spans="1:31" ht="14.25" customHeight="1">
      <c r="A288" s="400" t="s">
        <v>37</v>
      </c>
      <c r="B288" s="447" t="s">
        <v>142</v>
      </c>
      <c r="C288" s="400" t="s">
        <v>2798</v>
      </c>
      <c r="D288" s="431" t="s">
        <v>2997</v>
      </c>
      <c r="E288" s="428" t="s">
        <v>2809</v>
      </c>
      <c r="F288" s="428" t="s">
        <v>1348</v>
      </c>
      <c r="G288" s="428" t="s">
        <v>2820</v>
      </c>
      <c r="H288" s="428"/>
      <c r="I288" s="970" t="s">
        <v>2824</v>
      </c>
      <c r="J288" s="428" t="s">
        <v>43</v>
      </c>
      <c r="K288" s="428" t="s">
        <v>43</v>
      </c>
      <c r="L288" s="428" t="s">
        <v>572</v>
      </c>
      <c r="M288" s="428" t="s">
        <v>44</v>
      </c>
      <c r="N288" s="428">
        <v>25.211600000000001</v>
      </c>
      <c r="O288" s="428">
        <v>97.262799999999999</v>
      </c>
      <c r="P288" s="428"/>
      <c r="Q288" s="428" t="s">
        <v>2823</v>
      </c>
      <c r="R288" s="440">
        <v>42</v>
      </c>
      <c r="S288" s="433">
        <v>231</v>
      </c>
      <c r="T288" s="445">
        <v>44662</v>
      </c>
      <c r="U288" s="434" t="s">
        <v>2822</v>
      </c>
      <c r="V288" s="432"/>
      <c r="W288" s="742" t="s">
        <v>2827</v>
      </c>
      <c r="X288" s="431"/>
      <c r="Y288" s="45"/>
      <c r="Z288" s="17"/>
      <c r="AA288" s="90"/>
      <c r="AB288" s="17"/>
      <c r="AC288" s="17"/>
      <c r="AE288" s="17"/>
    </row>
    <row r="289" spans="1:31" ht="14.25" customHeight="1">
      <c r="A289" s="400" t="s">
        <v>37</v>
      </c>
      <c r="B289" s="447" t="s">
        <v>142</v>
      </c>
      <c r="C289" s="400" t="s">
        <v>2797</v>
      </c>
      <c r="D289" s="431" t="s">
        <v>3023</v>
      </c>
      <c r="E289" s="428" t="s">
        <v>2808</v>
      </c>
      <c r="F289" s="428" t="s">
        <v>1348</v>
      </c>
      <c r="G289" s="428" t="s">
        <v>2820</v>
      </c>
      <c r="H289" s="428"/>
      <c r="I289" s="970" t="s">
        <v>2824</v>
      </c>
      <c r="J289" s="428" t="s">
        <v>43</v>
      </c>
      <c r="K289" s="428" t="s">
        <v>43</v>
      </c>
      <c r="L289" s="428" t="s">
        <v>588</v>
      </c>
      <c r="M289" s="428" t="s">
        <v>44</v>
      </c>
      <c r="N289" s="428">
        <v>25.211500000000001</v>
      </c>
      <c r="O289" s="428">
        <v>97.261799999999994</v>
      </c>
      <c r="P289" s="428"/>
      <c r="Q289" s="428" t="s">
        <v>2823</v>
      </c>
      <c r="R289" s="440">
        <v>27</v>
      </c>
      <c r="S289" s="433">
        <v>139</v>
      </c>
      <c r="T289" s="445">
        <v>44662</v>
      </c>
      <c r="U289" s="434" t="s">
        <v>2822</v>
      </c>
      <c r="V289" s="432"/>
      <c r="W289" s="742" t="s">
        <v>2827</v>
      </c>
      <c r="X289" s="431"/>
      <c r="Y289" s="45"/>
      <c r="Z289" s="17"/>
      <c r="AA289" s="90"/>
      <c r="AB289" s="17"/>
      <c r="AC289" s="17"/>
      <c r="AE289" s="17"/>
    </row>
    <row r="290" spans="1:31" ht="14.25" customHeight="1">
      <c r="A290" s="444" t="s">
        <v>37</v>
      </c>
      <c r="B290" s="444" t="s">
        <v>142</v>
      </c>
      <c r="C290" s="444" t="s">
        <v>221</v>
      </c>
      <c r="D290" s="431" t="s">
        <v>3023</v>
      </c>
      <c r="E290" s="444" t="s">
        <v>1153</v>
      </c>
      <c r="F290" s="428" t="s">
        <v>1341</v>
      </c>
      <c r="G290" s="428" t="s">
        <v>1341</v>
      </c>
      <c r="H290" s="428" t="s">
        <v>41</v>
      </c>
      <c r="I290" s="428" t="s">
        <v>1035</v>
      </c>
      <c r="J290" s="428" t="s">
        <v>43</v>
      </c>
      <c r="K290" s="428" t="s">
        <v>43</v>
      </c>
      <c r="L290" s="428" t="s">
        <v>43</v>
      </c>
      <c r="M290" s="428" t="s">
        <v>590</v>
      </c>
      <c r="N290" s="428">
        <v>24.755253</v>
      </c>
      <c r="O290" s="428">
        <v>97.546893999999995</v>
      </c>
      <c r="P290" s="428" t="s">
        <v>573</v>
      </c>
      <c r="Q290" s="428" t="s">
        <v>592</v>
      </c>
      <c r="R290" s="440">
        <v>1333</v>
      </c>
      <c r="S290" s="433">
        <v>7163</v>
      </c>
      <c r="T290" s="445"/>
      <c r="U290" s="434"/>
      <c r="V290" s="428" t="s">
        <v>221</v>
      </c>
      <c r="W290" s="428" t="s">
        <v>1756</v>
      </c>
      <c r="X290" s="431"/>
      <c r="Y290" s="45"/>
      <c r="Z290" s="17"/>
      <c r="AA290" s="90"/>
      <c r="AB290" s="17"/>
      <c r="AC290" s="17"/>
      <c r="AE290" s="17"/>
    </row>
    <row r="291" spans="1:31" ht="14.25" customHeight="1">
      <c r="A291" s="444" t="s">
        <v>37</v>
      </c>
      <c r="B291" s="444" t="s">
        <v>142</v>
      </c>
      <c r="C291" s="444" t="s">
        <v>223</v>
      </c>
      <c r="D291" s="391"/>
      <c r="E291" s="444"/>
      <c r="F291" s="428"/>
      <c r="G291" s="428"/>
      <c r="H291" s="428"/>
      <c r="I291" s="428"/>
      <c r="J291" s="428" t="s">
        <v>1099</v>
      </c>
      <c r="K291" s="428" t="s">
        <v>43</v>
      </c>
      <c r="L291" s="428" t="s">
        <v>871</v>
      </c>
      <c r="M291" s="428" t="s">
        <v>590</v>
      </c>
      <c r="N291" s="428"/>
      <c r="O291" s="428"/>
      <c r="P291" s="428" t="s">
        <v>573</v>
      </c>
      <c r="Q291" s="428" t="s">
        <v>592</v>
      </c>
      <c r="R291" s="432"/>
      <c r="S291" s="433"/>
      <c r="T291" s="445"/>
      <c r="U291" s="434" t="s">
        <v>823</v>
      </c>
      <c r="V291" s="428"/>
      <c r="W291" s="362"/>
      <c r="X291" s="391"/>
      <c r="Y291" s="45"/>
      <c r="Z291" s="17"/>
      <c r="AA291" s="90"/>
      <c r="AB291" s="17"/>
      <c r="AC291" s="17"/>
      <c r="AE291" s="17"/>
    </row>
    <row r="292" spans="1:31" ht="14.25" customHeight="1">
      <c r="A292" s="400" t="s">
        <v>37</v>
      </c>
      <c r="B292" s="447" t="s">
        <v>142</v>
      </c>
      <c r="C292" s="400" t="s">
        <v>222</v>
      </c>
      <c r="D292" s="431"/>
      <c r="E292" s="428"/>
      <c r="F292" s="428"/>
      <c r="G292" s="428"/>
      <c r="H292" s="428"/>
      <c r="I292" s="428"/>
      <c r="J292" s="428" t="s">
        <v>1099</v>
      </c>
      <c r="K292" s="428" t="s">
        <v>43</v>
      </c>
      <c r="L292" s="428" t="s">
        <v>584</v>
      </c>
      <c r="M292" s="428" t="s">
        <v>590</v>
      </c>
      <c r="N292" s="428"/>
      <c r="O292" s="428"/>
      <c r="P292" s="428" t="s">
        <v>585</v>
      </c>
      <c r="Q292" s="428" t="s">
        <v>592</v>
      </c>
      <c r="R292" s="440"/>
      <c r="S292" s="433"/>
      <c r="T292" s="445"/>
      <c r="U292" s="440" t="s">
        <v>823</v>
      </c>
      <c r="V292" s="428"/>
      <c r="W292" s="432"/>
      <c r="X292" s="431"/>
      <c r="Y292" s="45"/>
      <c r="Z292" s="17"/>
      <c r="AA292" s="90"/>
      <c r="AB292" s="17"/>
      <c r="AC292" s="17"/>
      <c r="AE292" s="17"/>
    </row>
    <row r="293" spans="1:31" ht="14.25" customHeight="1">
      <c r="A293" s="400" t="s">
        <v>37</v>
      </c>
      <c r="B293" s="447" t="s">
        <v>142</v>
      </c>
      <c r="C293" s="400" t="s">
        <v>2801</v>
      </c>
      <c r="D293" s="431" t="s">
        <v>3023</v>
      </c>
      <c r="E293" s="428" t="s">
        <v>2812</v>
      </c>
      <c r="F293" s="428" t="s">
        <v>1348</v>
      </c>
      <c r="G293" s="428" t="s">
        <v>2821</v>
      </c>
      <c r="H293" s="428"/>
      <c r="I293" s="970" t="s">
        <v>2824</v>
      </c>
      <c r="J293" s="428" t="s">
        <v>43</v>
      </c>
      <c r="K293" s="428" t="s">
        <v>43</v>
      </c>
      <c r="L293" s="428" t="s">
        <v>2793</v>
      </c>
      <c r="M293" s="428" t="s">
        <v>44</v>
      </c>
      <c r="N293" s="428">
        <v>25.2056</v>
      </c>
      <c r="O293" s="428">
        <v>97.260800000000003</v>
      </c>
      <c r="P293" s="428"/>
      <c r="Q293" s="428" t="s">
        <v>2823</v>
      </c>
      <c r="R293" s="440">
        <v>45</v>
      </c>
      <c r="S293" s="433">
        <v>247</v>
      </c>
      <c r="T293" s="445">
        <v>44662</v>
      </c>
      <c r="U293" s="434" t="s">
        <v>2822</v>
      </c>
      <c r="V293" s="432"/>
      <c r="W293" s="742" t="s">
        <v>3027</v>
      </c>
      <c r="X293" s="431"/>
      <c r="Y293" s="45"/>
      <c r="Z293" s="17"/>
      <c r="AA293" s="90"/>
      <c r="AB293" s="17"/>
      <c r="AC293" s="17"/>
      <c r="AE293" s="17"/>
    </row>
    <row r="294" spans="1:31" ht="14.25" customHeight="1">
      <c r="A294" s="400" t="s">
        <v>37</v>
      </c>
      <c r="B294" s="447" t="s">
        <v>142</v>
      </c>
      <c r="C294" s="400" t="s">
        <v>765</v>
      </c>
      <c r="D294" s="431" t="s">
        <v>1300</v>
      </c>
      <c r="E294" s="444" t="s">
        <v>1162</v>
      </c>
      <c r="F294" s="428" t="s">
        <v>1345</v>
      </c>
      <c r="G294" s="428" t="s">
        <v>1346</v>
      </c>
      <c r="H294" s="428" t="s">
        <v>41</v>
      </c>
      <c r="I294" s="428" t="s">
        <v>141</v>
      </c>
      <c r="J294" s="428" t="s">
        <v>43</v>
      </c>
      <c r="K294" s="428" t="s">
        <v>43</v>
      </c>
      <c r="L294" s="428" t="s">
        <v>572</v>
      </c>
      <c r="M294" s="428" t="s">
        <v>590</v>
      </c>
      <c r="N294" s="428">
        <v>25.106670000000001</v>
      </c>
      <c r="O294" s="428">
        <v>97.756789999999995</v>
      </c>
      <c r="P294" s="428" t="s">
        <v>573</v>
      </c>
      <c r="Q294" s="428" t="s">
        <v>592</v>
      </c>
      <c r="R294" s="440">
        <v>0</v>
      </c>
      <c r="S294" s="433">
        <v>0</v>
      </c>
      <c r="T294" s="445"/>
      <c r="U294" s="440" t="s">
        <v>760</v>
      </c>
      <c r="V294" s="444" t="s">
        <v>766</v>
      </c>
      <c r="W294" s="432" t="s">
        <v>1670</v>
      </c>
      <c r="X294" s="431"/>
      <c r="Y294" s="45"/>
      <c r="Z294" s="17"/>
      <c r="AA294" s="90"/>
      <c r="AB294" s="17"/>
      <c r="AC294" s="17"/>
      <c r="AE294" s="17"/>
    </row>
    <row r="295" spans="1:31" ht="14.25" customHeight="1">
      <c r="A295" s="400" t="s">
        <v>515</v>
      </c>
      <c r="B295" s="447" t="s">
        <v>534</v>
      </c>
      <c r="C295" s="400" t="s">
        <v>2217</v>
      </c>
      <c r="D295" s="391"/>
      <c r="E295" s="428"/>
      <c r="F295" s="428"/>
      <c r="G295" s="428"/>
      <c r="H295" s="428"/>
      <c r="I295" s="428"/>
      <c r="J295" s="428" t="s">
        <v>2099</v>
      </c>
      <c r="K295" s="428" t="s">
        <v>2083</v>
      </c>
      <c r="L295" s="428" t="s">
        <v>2083</v>
      </c>
      <c r="M295" s="428" t="s">
        <v>44</v>
      </c>
      <c r="N295" s="428"/>
      <c r="O295" s="428"/>
      <c r="P295" s="428" t="s">
        <v>1574</v>
      </c>
      <c r="Q295" s="428" t="s">
        <v>2177</v>
      </c>
      <c r="R295" s="432"/>
      <c r="S295" s="432"/>
      <c r="T295" s="445">
        <v>43759</v>
      </c>
      <c r="U295" s="434"/>
      <c r="V295" s="428"/>
      <c r="W295" s="363"/>
      <c r="X295" s="391"/>
      <c r="Y295" s="45"/>
      <c r="Z295" s="17"/>
      <c r="AA295" s="90"/>
      <c r="AB295" s="17"/>
      <c r="AC295" s="17"/>
      <c r="AE295" s="17"/>
    </row>
    <row r="296" spans="1:31" ht="14.25" customHeight="1">
      <c r="A296" s="400" t="s">
        <v>515</v>
      </c>
      <c r="B296" s="447" t="s">
        <v>534</v>
      </c>
      <c r="C296" s="400" t="s">
        <v>2213</v>
      </c>
      <c r="D296" s="391"/>
      <c r="E296" s="444"/>
      <c r="F296" s="428"/>
      <c r="G296" s="428"/>
      <c r="H296" s="428"/>
      <c r="I296" s="428"/>
      <c r="J296" s="428" t="s">
        <v>2099</v>
      </c>
      <c r="K296" s="428" t="s">
        <v>2083</v>
      </c>
      <c r="L296" s="428" t="s">
        <v>2083</v>
      </c>
      <c r="M296" s="428" t="s">
        <v>44</v>
      </c>
      <c r="N296" s="428"/>
      <c r="O296" s="428"/>
      <c r="P296" s="428" t="s">
        <v>1574</v>
      </c>
      <c r="Q296" s="428" t="s">
        <v>2177</v>
      </c>
      <c r="R296" s="440"/>
      <c r="S296" s="433"/>
      <c r="T296" s="445">
        <v>43759</v>
      </c>
      <c r="U296" s="434"/>
      <c r="V296" s="428"/>
      <c r="W296" s="363"/>
      <c r="X296" s="391"/>
      <c r="Y296" s="45"/>
      <c r="Z296" s="17"/>
      <c r="AA296" s="90"/>
      <c r="AB296" s="17"/>
      <c r="AC296" s="17"/>
      <c r="AE296" s="17"/>
    </row>
    <row r="297" spans="1:31" ht="14.25" customHeight="1">
      <c r="A297" s="400" t="s">
        <v>515</v>
      </c>
      <c r="B297" s="447" t="s">
        <v>534</v>
      </c>
      <c r="C297" s="400" t="s">
        <v>535</v>
      </c>
      <c r="D297" s="431" t="s">
        <v>3023</v>
      </c>
      <c r="E297" s="934" t="s">
        <v>2969</v>
      </c>
      <c r="F297" s="428" t="s">
        <v>535</v>
      </c>
      <c r="G297" s="428" t="s">
        <v>535</v>
      </c>
      <c r="H297" s="428" t="s">
        <v>41</v>
      </c>
      <c r="I297" s="428" t="s">
        <v>2119</v>
      </c>
      <c r="J297" s="428" t="s">
        <v>43</v>
      </c>
      <c r="K297" s="428" t="s">
        <v>43</v>
      </c>
      <c r="L297" s="428" t="s">
        <v>43</v>
      </c>
      <c r="M297" s="428" t="s">
        <v>44</v>
      </c>
      <c r="N297" s="428">
        <v>23.354268999999999</v>
      </c>
      <c r="O297" s="428">
        <v>98.218626999999998</v>
      </c>
      <c r="P297" s="428" t="s">
        <v>573</v>
      </c>
      <c r="Q297" s="428" t="s">
        <v>592</v>
      </c>
      <c r="R297" s="440">
        <v>36</v>
      </c>
      <c r="S297" s="433">
        <v>180</v>
      </c>
      <c r="T297" s="445"/>
      <c r="U297" s="434"/>
      <c r="V297" s="428" t="s">
        <v>535</v>
      </c>
      <c r="W297" s="363" t="s">
        <v>1671</v>
      </c>
      <c r="X297" s="428" t="s">
        <v>1064</v>
      </c>
      <c r="Y297" s="45"/>
      <c r="Z297" s="17"/>
      <c r="AA297" s="90"/>
      <c r="AB297" s="17"/>
      <c r="AC297" s="17"/>
      <c r="AE297" s="17"/>
    </row>
    <row r="298" spans="1:31" ht="14.25" customHeight="1">
      <c r="A298" s="400" t="s">
        <v>515</v>
      </c>
      <c r="B298" s="447" t="s">
        <v>534</v>
      </c>
      <c r="C298" s="400" t="s">
        <v>558</v>
      </c>
      <c r="D298" s="431" t="s">
        <v>2268</v>
      </c>
      <c r="E298" s="428" t="s">
        <v>1065</v>
      </c>
      <c r="F298" s="428" t="s">
        <v>1370</v>
      </c>
      <c r="G298" s="428" t="s">
        <v>1370</v>
      </c>
      <c r="H298" s="428"/>
      <c r="I298" s="428" t="s">
        <v>1620</v>
      </c>
      <c r="J298" s="428" t="s">
        <v>43</v>
      </c>
      <c r="K298" s="428" t="s">
        <v>697</v>
      </c>
      <c r="L298" s="428" t="s">
        <v>43</v>
      </c>
      <c r="M298" s="428" t="s">
        <v>590</v>
      </c>
      <c r="N298" s="428">
        <v>23.372409999999999</v>
      </c>
      <c r="O298" s="428">
        <v>98.352670000000003</v>
      </c>
      <c r="P298" s="428" t="s">
        <v>585</v>
      </c>
      <c r="Q298" s="428" t="s">
        <v>592</v>
      </c>
      <c r="R298" s="440">
        <v>67</v>
      </c>
      <c r="S298" s="433">
        <v>392</v>
      </c>
      <c r="T298" s="445">
        <v>43276</v>
      </c>
      <c r="U298" s="434" t="s">
        <v>1566</v>
      </c>
      <c r="V298" s="428" t="s">
        <v>558</v>
      </c>
      <c r="W298" s="432" t="s">
        <v>1672</v>
      </c>
      <c r="X298" s="431"/>
      <c r="Y298" s="45"/>
      <c r="Z298" s="17"/>
      <c r="AA298" s="90"/>
      <c r="AB298" s="17"/>
      <c r="AC298" s="17"/>
      <c r="AE298" s="17"/>
    </row>
    <row r="299" spans="1:31" ht="14.25" customHeight="1">
      <c r="A299" s="400" t="s">
        <v>515</v>
      </c>
      <c r="B299" s="447" t="s">
        <v>534</v>
      </c>
      <c r="C299" s="400" t="s">
        <v>563</v>
      </c>
      <c r="D299" s="391" t="s">
        <v>1300</v>
      </c>
      <c r="E299" s="428" t="s">
        <v>1063</v>
      </c>
      <c r="F299" s="428" t="s">
        <v>1304</v>
      </c>
      <c r="G299" s="428" t="s">
        <v>1304</v>
      </c>
      <c r="H299" s="428"/>
      <c r="I299" s="430">
        <v>0</v>
      </c>
      <c r="J299" s="428" t="s">
        <v>43</v>
      </c>
      <c r="K299" s="428" t="s">
        <v>43</v>
      </c>
      <c r="L299" s="428" t="s">
        <v>572</v>
      </c>
      <c r="M299" s="428" t="s">
        <v>44</v>
      </c>
      <c r="N299" s="428">
        <v>23.353999999999999</v>
      </c>
      <c r="O299" s="428">
        <v>98.221000000000004</v>
      </c>
      <c r="P299" s="428" t="s">
        <v>573</v>
      </c>
      <c r="Q299" s="428" t="s">
        <v>574</v>
      </c>
      <c r="R299" s="432">
        <v>0</v>
      </c>
      <c r="S299" s="432">
        <v>0</v>
      </c>
      <c r="T299" s="445"/>
      <c r="U299" s="434"/>
      <c r="V299" s="428"/>
      <c r="W299" s="363" t="s">
        <v>1673</v>
      </c>
      <c r="X299" s="391"/>
      <c r="Y299" s="45"/>
      <c r="Z299" s="17"/>
      <c r="AA299" s="90"/>
      <c r="AB299" s="17"/>
      <c r="AC299" s="17"/>
      <c r="AE299" s="17"/>
    </row>
    <row r="300" spans="1:31" ht="14.25" customHeight="1">
      <c r="A300" s="400" t="s">
        <v>515</v>
      </c>
      <c r="B300" s="447" t="s">
        <v>556</v>
      </c>
      <c r="C300" s="400" t="s">
        <v>2088</v>
      </c>
      <c r="D300" s="431"/>
      <c r="E300" s="428"/>
      <c r="F300" s="428"/>
      <c r="G300" s="428"/>
      <c r="H300" s="428"/>
      <c r="I300" s="428"/>
      <c r="J300" s="428" t="s">
        <v>2099</v>
      </c>
      <c r="K300" s="428" t="s">
        <v>2083</v>
      </c>
      <c r="L300" s="428" t="s">
        <v>2083</v>
      </c>
      <c r="M300" s="428" t="s">
        <v>44</v>
      </c>
      <c r="N300" s="428"/>
      <c r="O300" s="428"/>
      <c r="P300" s="428" t="s">
        <v>1574</v>
      </c>
      <c r="Q300" s="428"/>
      <c r="R300" s="440"/>
      <c r="S300" s="433"/>
      <c r="T300" s="445">
        <v>43567</v>
      </c>
      <c r="U300" s="434"/>
      <c r="V300" s="428"/>
      <c r="W300" s="432"/>
      <c r="X300" s="431"/>
      <c r="Y300" s="45"/>
      <c r="Z300" s="17"/>
      <c r="AA300" s="90"/>
      <c r="AB300" s="17"/>
      <c r="AC300" s="17"/>
      <c r="AE300" s="17"/>
    </row>
    <row r="301" spans="1:31" ht="14.25" customHeight="1">
      <c r="A301" s="400" t="s">
        <v>515</v>
      </c>
      <c r="B301" s="447" t="s">
        <v>556</v>
      </c>
      <c r="C301" s="400" t="s">
        <v>2717</v>
      </c>
      <c r="D301" s="431" t="s">
        <v>2997</v>
      </c>
      <c r="E301" s="969" t="s">
        <v>2970</v>
      </c>
      <c r="F301" s="428" t="s">
        <v>2729</v>
      </c>
      <c r="G301" s="428" t="s">
        <v>2730</v>
      </c>
      <c r="H301" s="428"/>
      <c r="I301" s="428" t="s">
        <v>1620</v>
      </c>
      <c r="J301" s="428" t="s">
        <v>43</v>
      </c>
      <c r="K301" s="428" t="s">
        <v>43</v>
      </c>
      <c r="L301" s="428" t="s">
        <v>572</v>
      </c>
      <c r="M301" s="428" t="s">
        <v>44</v>
      </c>
      <c r="N301" s="428">
        <v>22.6923503875732</v>
      </c>
      <c r="O301" s="428">
        <v>97.434150695800795</v>
      </c>
      <c r="P301" s="428" t="s">
        <v>573</v>
      </c>
      <c r="Q301" s="428" t="s">
        <v>2722</v>
      </c>
      <c r="R301" s="440">
        <v>13</v>
      </c>
      <c r="S301" s="433">
        <v>29</v>
      </c>
      <c r="T301" s="445">
        <v>44544</v>
      </c>
      <c r="U301" s="434"/>
      <c r="V301" s="428"/>
      <c r="W301" s="432" t="s">
        <v>2731</v>
      </c>
      <c r="X301" s="428" t="s">
        <v>2728</v>
      </c>
      <c r="Y301" s="45"/>
      <c r="Z301" s="17"/>
      <c r="AA301" s="90"/>
      <c r="AB301" s="17"/>
      <c r="AC301" s="17"/>
      <c r="AE301" s="17"/>
    </row>
    <row r="302" spans="1:31" ht="14.25" customHeight="1">
      <c r="A302" s="400" t="s">
        <v>515</v>
      </c>
      <c r="B302" s="447" t="s">
        <v>556</v>
      </c>
      <c r="C302" s="400" t="s">
        <v>557</v>
      </c>
      <c r="D302" s="431" t="s">
        <v>3023</v>
      </c>
      <c r="E302" s="969" t="s">
        <v>2971</v>
      </c>
      <c r="F302" s="428" t="s">
        <v>1366</v>
      </c>
      <c r="G302" s="428" t="s">
        <v>1367</v>
      </c>
      <c r="H302" s="428"/>
      <c r="I302" s="428" t="s">
        <v>1620</v>
      </c>
      <c r="J302" s="428" t="s">
        <v>43</v>
      </c>
      <c r="K302" s="428" t="s">
        <v>43</v>
      </c>
      <c r="L302" s="428" t="s">
        <v>588</v>
      </c>
      <c r="M302" s="428" t="s">
        <v>44</v>
      </c>
      <c r="N302" s="428">
        <v>22.677008000000001</v>
      </c>
      <c r="O302" s="428">
        <v>97.314762999999999</v>
      </c>
      <c r="P302" s="428" t="s">
        <v>573</v>
      </c>
      <c r="Q302" s="428" t="s">
        <v>574</v>
      </c>
      <c r="R302" s="440">
        <v>37</v>
      </c>
      <c r="S302" s="433">
        <v>120</v>
      </c>
      <c r="T302" s="445"/>
      <c r="U302" s="434" t="s">
        <v>691</v>
      </c>
      <c r="V302" s="432" t="s">
        <v>692</v>
      </c>
      <c r="W302" s="432" t="s">
        <v>1674</v>
      </c>
      <c r="X302" s="428" t="s">
        <v>1055</v>
      </c>
      <c r="Y302" s="45"/>
      <c r="Z302" s="17"/>
      <c r="AA302" s="90"/>
      <c r="AB302" s="17"/>
      <c r="AC302" s="17"/>
      <c r="AE302" s="17"/>
    </row>
    <row r="303" spans="1:31" ht="14.25" customHeight="1">
      <c r="A303" s="400" t="s">
        <v>515</v>
      </c>
      <c r="B303" s="447" t="s">
        <v>556</v>
      </c>
      <c r="C303" s="400" t="s">
        <v>2089</v>
      </c>
      <c r="D303" s="431"/>
      <c r="E303" s="428"/>
      <c r="F303" s="428"/>
      <c r="G303" s="428"/>
      <c r="H303" s="428"/>
      <c r="I303" s="428"/>
      <c r="J303" s="428" t="s">
        <v>2099</v>
      </c>
      <c r="K303" s="428" t="s">
        <v>2083</v>
      </c>
      <c r="L303" s="428" t="s">
        <v>2083</v>
      </c>
      <c r="M303" s="428" t="s">
        <v>44</v>
      </c>
      <c r="N303" s="428"/>
      <c r="O303" s="428"/>
      <c r="P303" s="428" t="s">
        <v>1574</v>
      </c>
      <c r="Q303" s="428"/>
      <c r="R303" s="440"/>
      <c r="S303" s="433"/>
      <c r="T303" s="445">
        <v>43567</v>
      </c>
      <c r="U303" s="440"/>
      <c r="V303" s="444"/>
      <c r="W303" s="432"/>
      <c r="X303" s="431"/>
      <c r="Y303" s="45"/>
      <c r="Z303" s="17"/>
      <c r="AA303" s="90"/>
      <c r="AB303" s="17"/>
      <c r="AC303" s="17"/>
      <c r="AE303" s="17"/>
    </row>
    <row r="304" spans="1:31" ht="14.25" customHeight="1">
      <c r="A304" s="400" t="s">
        <v>515</v>
      </c>
      <c r="B304" s="447" t="s">
        <v>556</v>
      </c>
      <c r="C304" s="709" t="s">
        <v>2090</v>
      </c>
      <c r="D304" s="391"/>
      <c r="E304" s="428"/>
      <c r="F304" s="428"/>
      <c r="G304" s="428"/>
      <c r="H304" s="428"/>
      <c r="I304" s="430"/>
      <c r="J304" s="428" t="s">
        <v>2099</v>
      </c>
      <c r="K304" s="428" t="s">
        <v>2083</v>
      </c>
      <c r="L304" s="428" t="s">
        <v>2083</v>
      </c>
      <c r="M304" s="428" t="s">
        <v>44</v>
      </c>
      <c r="N304" s="428"/>
      <c r="O304" s="428"/>
      <c r="P304" s="428" t="s">
        <v>1574</v>
      </c>
      <c r="Q304" s="428"/>
      <c r="R304" s="432"/>
      <c r="S304" s="432"/>
      <c r="T304" s="445">
        <v>43567</v>
      </c>
      <c r="U304" s="434"/>
      <c r="V304" s="428"/>
      <c r="W304" s="363"/>
      <c r="X304" s="391"/>
      <c r="Y304" s="45"/>
      <c r="Z304" s="17"/>
      <c r="AA304" s="90"/>
      <c r="AB304" s="17"/>
      <c r="AC304" s="17"/>
      <c r="AE304" s="17"/>
    </row>
    <row r="305" spans="1:31" ht="14.25" customHeight="1">
      <c r="A305" s="400" t="s">
        <v>515</v>
      </c>
      <c r="B305" s="447" t="s">
        <v>519</v>
      </c>
      <c r="C305" s="400" t="s">
        <v>3055</v>
      </c>
      <c r="D305" s="431" t="s">
        <v>3023</v>
      </c>
      <c r="E305" s="969" t="s">
        <v>2972</v>
      </c>
      <c r="F305" s="428" t="s">
        <v>1374</v>
      </c>
      <c r="G305" s="428" t="s">
        <v>1375</v>
      </c>
      <c r="H305" s="428"/>
      <c r="I305" s="428"/>
      <c r="J305" s="428" t="s">
        <v>43</v>
      </c>
      <c r="K305" s="428" t="s">
        <v>43</v>
      </c>
      <c r="L305" s="428" t="s">
        <v>2630</v>
      </c>
      <c r="M305" s="428" t="s">
        <v>44</v>
      </c>
      <c r="N305" s="428">
        <v>23.400155999999999</v>
      </c>
      <c r="O305" s="428">
        <v>98.220614999999995</v>
      </c>
      <c r="P305" s="428" t="s">
        <v>573</v>
      </c>
      <c r="Q305" s="428" t="s">
        <v>2631</v>
      </c>
      <c r="R305" s="440">
        <v>27</v>
      </c>
      <c r="S305" s="433">
        <v>162</v>
      </c>
      <c r="T305" s="445">
        <v>44166</v>
      </c>
      <c r="U305" s="434"/>
      <c r="V305" s="437" t="s">
        <v>2626</v>
      </c>
      <c r="W305" s="363"/>
      <c r="X305" s="428" t="s">
        <v>2619</v>
      </c>
      <c r="Y305" s="45"/>
      <c r="Z305" s="17"/>
      <c r="AA305" s="90"/>
      <c r="AB305" s="17"/>
      <c r="AC305" s="17"/>
      <c r="AE305" s="17"/>
    </row>
    <row r="306" spans="1:31" ht="14.25" customHeight="1">
      <c r="A306" s="400" t="s">
        <v>515</v>
      </c>
      <c r="B306" s="447" t="s">
        <v>519</v>
      </c>
      <c r="C306" s="400" t="s">
        <v>1723</v>
      </c>
      <c r="D306" s="431"/>
      <c r="E306" s="428"/>
      <c r="F306" s="428"/>
      <c r="G306" s="428"/>
      <c r="H306" s="428"/>
      <c r="I306" s="428"/>
      <c r="J306" s="428" t="s">
        <v>2099</v>
      </c>
      <c r="K306" s="428" t="s">
        <v>2083</v>
      </c>
      <c r="L306" s="428" t="s">
        <v>2083</v>
      </c>
      <c r="M306" s="428" t="s">
        <v>44</v>
      </c>
      <c r="N306" s="428"/>
      <c r="O306" s="428"/>
      <c r="P306" s="428" t="s">
        <v>1574</v>
      </c>
      <c r="Q306" s="428" t="s">
        <v>2177</v>
      </c>
      <c r="R306" s="440"/>
      <c r="S306" s="433"/>
      <c r="T306" s="445">
        <v>43759</v>
      </c>
      <c r="U306" s="440"/>
      <c r="V306" s="428"/>
      <c r="W306" s="432"/>
      <c r="X306" s="431"/>
      <c r="Y306" s="45"/>
      <c r="Z306" s="17"/>
      <c r="AA306" s="90"/>
      <c r="AB306" s="17"/>
      <c r="AC306" s="17"/>
      <c r="AE306" s="17"/>
    </row>
    <row r="307" spans="1:31" ht="14.25" customHeight="1">
      <c r="A307" s="400" t="s">
        <v>515</v>
      </c>
      <c r="B307" s="447" t="s">
        <v>519</v>
      </c>
      <c r="C307" s="400" t="s">
        <v>1721</v>
      </c>
      <c r="D307" s="431" t="s">
        <v>3023</v>
      </c>
      <c r="E307" s="969" t="s">
        <v>2973</v>
      </c>
      <c r="F307" s="428" t="s">
        <v>1723</v>
      </c>
      <c r="G307" s="428" t="s">
        <v>1723</v>
      </c>
      <c r="H307" s="428"/>
      <c r="I307" s="428" t="s">
        <v>1620</v>
      </c>
      <c r="J307" s="428" t="s">
        <v>43</v>
      </c>
      <c r="K307" s="428" t="s">
        <v>43</v>
      </c>
      <c r="L307" s="428" t="s">
        <v>588</v>
      </c>
      <c r="M307" s="428" t="s">
        <v>44</v>
      </c>
      <c r="N307" s="428">
        <v>23.234137</v>
      </c>
      <c r="O307" s="428">
        <v>97.505339000000006</v>
      </c>
      <c r="P307" s="428" t="s">
        <v>573</v>
      </c>
      <c r="Q307" s="428" t="s">
        <v>1724</v>
      </c>
      <c r="R307" s="440">
        <v>86</v>
      </c>
      <c r="S307" s="433">
        <v>525</v>
      </c>
      <c r="T307" s="445">
        <v>43405</v>
      </c>
      <c r="U307" s="434" t="s">
        <v>1725</v>
      </c>
      <c r="V307" s="428" t="s">
        <v>1721</v>
      </c>
      <c r="W307" s="363" t="s">
        <v>1726</v>
      </c>
      <c r="X307" s="428" t="s">
        <v>1722</v>
      </c>
      <c r="Y307" s="45"/>
      <c r="Z307" s="17"/>
      <c r="AA307" s="90"/>
      <c r="AB307" s="17"/>
      <c r="AC307" s="17"/>
      <c r="AE307" s="17"/>
    </row>
    <row r="308" spans="1:31" ht="14.25" customHeight="1">
      <c r="A308" s="400" t="s">
        <v>515</v>
      </c>
      <c r="B308" s="447" t="s">
        <v>519</v>
      </c>
      <c r="C308" s="709" t="s">
        <v>3056</v>
      </c>
      <c r="D308" s="431" t="s">
        <v>3023</v>
      </c>
      <c r="E308" s="428" t="s">
        <v>1072</v>
      </c>
      <c r="F308" s="428" t="s">
        <v>1371</v>
      </c>
      <c r="G308" s="428" t="s">
        <v>1373</v>
      </c>
      <c r="H308" s="428" t="s">
        <v>41</v>
      </c>
      <c r="I308" s="430" t="s">
        <v>1041</v>
      </c>
      <c r="J308" s="428" t="s">
        <v>43</v>
      </c>
      <c r="K308" s="428" t="s">
        <v>43</v>
      </c>
      <c r="L308" s="428" t="s">
        <v>43</v>
      </c>
      <c r="M308" s="428" t="s">
        <v>44</v>
      </c>
      <c r="N308" s="428">
        <v>23.38503</v>
      </c>
      <c r="O308" s="428">
        <v>97.837040000000002</v>
      </c>
      <c r="P308" s="428" t="s">
        <v>573</v>
      </c>
      <c r="Q308" s="428" t="s">
        <v>592</v>
      </c>
      <c r="R308" s="440">
        <v>26</v>
      </c>
      <c r="S308" s="433">
        <v>133</v>
      </c>
      <c r="T308" s="445"/>
      <c r="U308" s="434"/>
      <c r="V308" s="454" t="s">
        <v>520</v>
      </c>
      <c r="W308" s="363" t="s">
        <v>1678</v>
      </c>
      <c r="X308" s="431"/>
      <c r="Y308" s="45"/>
      <c r="Z308" s="17"/>
      <c r="AA308" s="90"/>
      <c r="AB308" s="17"/>
      <c r="AC308" s="17"/>
      <c r="AE308" s="17"/>
    </row>
    <row r="309" spans="1:31" ht="14.25" customHeight="1">
      <c r="A309" s="400" t="s">
        <v>515</v>
      </c>
      <c r="B309" s="447" t="s">
        <v>519</v>
      </c>
      <c r="C309" s="400" t="s">
        <v>1727</v>
      </c>
      <c r="D309" s="431" t="s">
        <v>3023</v>
      </c>
      <c r="E309" s="969" t="s">
        <v>2974</v>
      </c>
      <c r="F309" s="428" t="s">
        <v>1729</v>
      </c>
      <c r="G309" s="428"/>
      <c r="H309" s="428" t="s">
        <v>41</v>
      </c>
      <c r="I309" s="428" t="s">
        <v>1041</v>
      </c>
      <c r="J309" s="428" t="s">
        <v>43</v>
      </c>
      <c r="K309" s="428" t="s">
        <v>43</v>
      </c>
      <c r="L309" s="428" t="s">
        <v>43</v>
      </c>
      <c r="M309" s="428" t="s">
        <v>44</v>
      </c>
      <c r="N309" s="428">
        <v>23.638999999999999</v>
      </c>
      <c r="O309" s="428">
        <v>97.861999999999995</v>
      </c>
      <c r="P309" s="428" t="s">
        <v>573</v>
      </c>
      <c r="Q309" s="428" t="s">
        <v>1724</v>
      </c>
      <c r="R309" s="440">
        <v>31</v>
      </c>
      <c r="S309" s="433">
        <v>133</v>
      </c>
      <c r="T309" s="445"/>
      <c r="U309" s="434" t="s">
        <v>1730</v>
      </c>
      <c r="V309" s="428" t="s">
        <v>1727</v>
      </c>
      <c r="W309" s="432" t="s">
        <v>1733</v>
      </c>
      <c r="X309" s="428" t="s">
        <v>1728</v>
      </c>
      <c r="Y309" s="45"/>
      <c r="Z309" s="17"/>
      <c r="AA309" s="90"/>
      <c r="AB309" s="17"/>
      <c r="AC309" s="17"/>
      <c r="AE309" s="17"/>
    </row>
    <row r="310" spans="1:31" ht="14.25" customHeight="1">
      <c r="A310" s="400" t="s">
        <v>515</v>
      </c>
      <c r="B310" s="447" t="s">
        <v>519</v>
      </c>
      <c r="C310" s="400" t="s">
        <v>2218</v>
      </c>
      <c r="D310" s="391"/>
      <c r="E310" s="428"/>
      <c r="F310" s="428"/>
      <c r="G310" s="428"/>
      <c r="H310" s="428"/>
      <c r="I310" s="428"/>
      <c r="J310" s="428" t="s">
        <v>2099</v>
      </c>
      <c r="K310" s="428" t="s">
        <v>2083</v>
      </c>
      <c r="L310" s="428" t="s">
        <v>2083</v>
      </c>
      <c r="M310" s="428" t="s">
        <v>44</v>
      </c>
      <c r="N310" s="428"/>
      <c r="O310" s="428"/>
      <c r="P310" s="428" t="s">
        <v>1574</v>
      </c>
      <c r="Q310" s="428" t="s">
        <v>2177</v>
      </c>
      <c r="R310" s="432"/>
      <c r="S310" s="432"/>
      <c r="T310" s="445">
        <v>43759</v>
      </c>
      <c r="U310" s="434"/>
      <c r="V310" s="428"/>
      <c r="W310" s="363"/>
      <c r="X310" s="391"/>
      <c r="Y310" s="45"/>
      <c r="Z310" s="17"/>
      <c r="AA310" s="90"/>
      <c r="AB310" s="17"/>
      <c r="AC310" s="17"/>
      <c r="AE310" s="17"/>
    </row>
    <row r="311" spans="1:31" ht="14.25" customHeight="1">
      <c r="A311" s="400" t="s">
        <v>515</v>
      </c>
      <c r="B311" s="447" t="s">
        <v>519</v>
      </c>
      <c r="C311" s="400" t="s">
        <v>540</v>
      </c>
      <c r="D311" s="391" t="s">
        <v>1300</v>
      </c>
      <c r="E311" s="428" t="s">
        <v>1068</v>
      </c>
      <c r="F311" s="428" t="s">
        <v>1305</v>
      </c>
      <c r="G311" s="428" t="s">
        <v>1306</v>
      </c>
      <c r="H311" s="428" t="s">
        <v>41</v>
      </c>
      <c r="I311" s="428" t="s">
        <v>141</v>
      </c>
      <c r="J311" s="428" t="s">
        <v>43</v>
      </c>
      <c r="K311" s="428" t="s">
        <v>697</v>
      </c>
      <c r="L311" s="428" t="s">
        <v>572</v>
      </c>
      <c r="M311" s="428" t="s">
        <v>44</v>
      </c>
      <c r="N311" s="428">
        <v>23.4008</v>
      </c>
      <c r="O311" s="428">
        <v>97.848529999999997</v>
      </c>
      <c r="P311" s="428" t="s">
        <v>573</v>
      </c>
      <c r="Q311" s="428" t="s">
        <v>592</v>
      </c>
      <c r="R311" s="432">
        <v>0</v>
      </c>
      <c r="S311" s="432">
        <v>0</v>
      </c>
      <c r="T311" s="445">
        <v>43049</v>
      </c>
      <c r="U311" s="434" t="s">
        <v>699</v>
      </c>
      <c r="V311" s="428" t="s">
        <v>540</v>
      </c>
      <c r="W311" s="363" t="s">
        <v>1675</v>
      </c>
      <c r="X311" s="391"/>
      <c r="Y311" s="45"/>
      <c r="Z311" s="17"/>
      <c r="AA311" s="90"/>
      <c r="AB311" s="17"/>
      <c r="AC311" s="17"/>
      <c r="AE311" s="17"/>
    </row>
    <row r="312" spans="1:31" ht="14.25" customHeight="1">
      <c r="A312" s="400" t="s">
        <v>515</v>
      </c>
      <c r="B312" s="447" t="s">
        <v>519</v>
      </c>
      <c r="C312" s="400" t="s">
        <v>830</v>
      </c>
      <c r="D312" s="391"/>
      <c r="E312" s="428"/>
      <c r="F312" s="428"/>
      <c r="G312" s="428"/>
      <c r="H312" s="428"/>
      <c r="I312" s="428"/>
      <c r="J312" s="428" t="s">
        <v>1099</v>
      </c>
      <c r="K312" s="428" t="s">
        <v>43</v>
      </c>
      <c r="L312" s="428" t="s">
        <v>826</v>
      </c>
      <c r="M312" s="428" t="s">
        <v>44</v>
      </c>
      <c r="N312" s="428"/>
      <c r="O312" s="428"/>
      <c r="P312" s="428" t="s">
        <v>573</v>
      </c>
      <c r="Q312" s="428" t="s">
        <v>592</v>
      </c>
      <c r="R312" s="432"/>
      <c r="S312" s="432"/>
      <c r="T312" s="445"/>
      <c r="U312" s="434" t="s">
        <v>823</v>
      </c>
      <c r="V312" s="428" t="s">
        <v>830</v>
      </c>
      <c r="W312" s="363"/>
      <c r="X312" s="391"/>
      <c r="Y312" s="45"/>
      <c r="Z312" s="17"/>
      <c r="AA312" s="90"/>
      <c r="AB312" s="17"/>
      <c r="AC312" s="17"/>
      <c r="AE312" s="17"/>
    </row>
    <row r="313" spans="1:31" ht="14.25" customHeight="1">
      <c r="A313" s="400" t="s">
        <v>515</v>
      </c>
      <c r="B313" s="447" t="s">
        <v>519</v>
      </c>
      <c r="C313" s="400" t="s">
        <v>541</v>
      </c>
      <c r="D313" s="431" t="s">
        <v>3023</v>
      </c>
      <c r="E313" s="428" t="s">
        <v>1070</v>
      </c>
      <c r="F313" s="428" t="s">
        <v>1371</v>
      </c>
      <c r="G313" s="428" t="s">
        <v>1372</v>
      </c>
      <c r="H313" s="428" t="s">
        <v>41</v>
      </c>
      <c r="I313" s="428" t="s">
        <v>2119</v>
      </c>
      <c r="J313" s="428" t="s">
        <v>43</v>
      </c>
      <c r="K313" s="428" t="s">
        <v>43</v>
      </c>
      <c r="L313" s="428" t="s">
        <v>43</v>
      </c>
      <c r="M313" s="428" t="s">
        <v>44</v>
      </c>
      <c r="N313" s="428">
        <v>23.450914000000001</v>
      </c>
      <c r="O313" s="428">
        <v>97.926813999999993</v>
      </c>
      <c r="P313" s="428" t="s">
        <v>573</v>
      </c>
      <c r="Q313" s="428" t="s">
        <v>592</v>
      </c>
      <c r="R313" s="440">
        <v>40</v>
      </c>
      <c r="S313" s="433">
        <v>251</v>
      </c>
      <c r="T313" s="445"/>
      <c r="U313" s="434"/>
      <c r="V313" s="428" t="s">
        <v>541</v>
      </c>
      <c r="W313" s="432" t="s">
        <v>1676</v>
      </c>
      <c r="X313" s="431"/>
      <c r="Y313" s="45"/>
      <c r="Z313" s="17"/>
      <c r="AA313" s="90"/>
      <c r="AB313" s="17"/>
      <c r="AC313" s="17"/>
      <c r="AE313" s="17"/>
    </row>
    <row r="314" spans="1:31" ht="14.25" customHeight="1">
      <c r="A314" s="400" t="s">
        <v>515</v>
      </c>
      <c r="B314" s="447" t="s">
        <v>519</v>
      </c>
      <c r="C314" s="400" t="s">
        <v>546</v>
      </c>
      <c r="D314" s="431" t="s">
        <v>3023</v>
      </c>
      <c r="E314" s="428" t="s">
        <v>2977</v>
      </c>
      <c r="F314" s="428" t="s">
        <v>1371</v>
      </c>
      <c r="G314" s="428" t="s">
        <v>1303</v>
      </c>
      <c r="H314" s="428" t="s">
        <v>41</v>
      </c>
      <c r="I314" s="428" t="s">
        <v>2119</v>
      </c>
      <c r="J314" s="428" t="s">
        <v>43</v>
      </c>
      <c r="K314" s="428" t="s">
        <v>43</v>
      </c>
      <c r="L314" s="428" t="s">
        <v>43</v>
      </c>
      <c r="M314" s="428" t="s">
        <v>44</v>
      </c>
      <c r="N314" s="428">
        <v>23.460349999999998</v>
      </c>
      <c r="O314" s="428">
        <v>97.947360000000003</v>
      </c>
      <c r="P314" s="428" t="s">
        <v>573</v>
      </c>
      <c r="Q314" s="428" t="s">
        <v>574</v>
      </c>
      <c r="R314" s="440">
        <v>36</v>
      </c>
      <c r="S314" s="433">
        <v>158</v>
      </c>
      <c r="T314" s="445">
        <v>42836</v>
      </c>
      <c r="U314" s="434" t="s">
        <v>700</v>
      </c>
      <c r="V314" s="428"/>
      <c r="W314" s="363" t="s">
        <v>1677</v>
      </c>
      <c r="X314" s="428" t="s">
        <v>1071</v>
      </c>
      <c r="Y314" s="45"/>
      <c r="Z314" s="17"/>
      <c r="AA314" s="90"/>
      <c r="AB314" s="17"/>
      <c r="AC314" s="17"/>
      <c r="AE314" s="17"/>
    </row>
    <row r="315" spans="1:31" ht="14.25" customHeight="1">
      <c r="A315" s="400" t="s">
        <v>515</v>
      </c>
      <c r="B315" s="447" t="s">
        <v>519</v>
      </c>
      <c r="C315" s="400" t="s">
        <v>564</v>
      </c>
      <c r="D315" s="431"/>
      <c r="E315" s="428"/>
      <c r="F315" s="428"/>
      <c r="G315" s="428"/>
      <c r="H315" s="428"/>
      <c r="I315" s="428"/>
      <c r="J315" s="428" t="s">
        <v>1099</v>
      </c>
      <c r="K315" s="428" t="s">
        <v>43</v>
      </c>
      <c r="L315" s="428" t="s">
        <v>43</v>
      </c>
      <c r="M315" s="428" t="s">
        <v>44</v>
      </c>
      <c r="N315" s="428"/>
      <c r="O315" s="428"/>
      <c r="P315" s="428" t="s">
        <v>573</v>
      </c>
      <c r="Q315" s="428" t="s">
        <v>592</v>
      </c>
      <c r="R315" s="440"/>
      <c r="S315" s="433"/>
      <c r="T315" s="445">
        <v>42747</v>
      </c>
      <c r="U315" s="440"/>
      <c r="V315" s="428"/>
      <c r="W315" s="432"/>
      <c r="X315" s="431"/>
      <c r="Y315" s="45"/>
      <c r="Z315" s="17"/>
      <c r="AA315" s="90"/>
      <c r="AB315" s="17"/>
      <c r="AC315" s="17"/>
      <c r="AE315" s="17"/>
    </row>
    <row r="316" spans="1:31" ht="14.25" customHeight="1">
      <c r="A316" s="400" t="s">
        <v>515</v>
      </c>
      <c r="B316" s="447" t="s">
        <v>519</v>
      </c>
      <c r="C316" s="400" t="s">
        <v>1617</v>
      </c>
      <c r="D316" s="431" t="s">
        <v>3023</v>
      </c>
      <c r="E316" s="428" t="s">
        <v>2978</v>
      </c>
      <c r="F316" s="428" t="s">
        <v>1376</v>
      </c>
      <c r="G316" s="428" t="s">
        <v>1376</v>
      </c>
      <c r="H316" s="428" t="s">
        <v>41</v>
      </c>
      <c r="I316" s="428" t="s">
        <v>1041</v>
      </c>
      <c r="J316" s="428" t="s">
        <v>43</v>
      </c>
      <c r="K316" s="428" t="s">
        <v>43</v>
      </c>
      <c r="L316" s="428" t="s">
        <v>43</v>
      </c>
      <c r="M316" s="428" t="s">
        <v>44</v>
      </c>
      <c r="N316" s="428">
        <v>23.591999999999999</v>
      </c>
      <c r="O316" s="428">
        <v>97.796999999999997</v>
      </c>
      <c r="P316" s="428" t="s">
        <v>573</v>
      </c>
      <c r="Q316" s="428" t="s">
        <v>592</v>
      </c>
      <c r="R316" s="440">
        <v>75</v>
      </c>
      <c r="S316" s="433">
        <v>395</v>
      </c>
      <c r="T316" s="445" t="s">
        <v>612</v>
      </c>
      <c r="U316" s="434"/>
      <c r="V316" s="428"/>
      <c r="W316" s="363" t="s">
        <v>1679</v>
      </c>
      <c r="X316" s="428" t="s">
        <v>1075</v>
      </c>
      <c r="Y316" s="45"/>
      <c r="Z316" s="17"/>
      <c r="AA316" s="90"/>
      <c r="AB316" s="17"/>
      <c r="AC316" s="17"/>
      <c r="AE316" s="17"/>
    </row>
    <row r="317" spans="1:31" ht="14.25" customHeight="1">
      <c r="A317" s="400" t="s">
        <v>515</v>
      </c>
      <c r="B317" s="447" t="s">
        <v>519</v>
      </c>
      <c r="C317" s="400" t="s">
        <v>554</v>
      </c>
      <c r="D317" s="431" t="s">
        <v>3023</v>
      </c>
      <c r="E317" s="428" t="s">
        <v>2979</v>
      </c>
      <c r="F317" s="428" t="s">
        <v>1459</v>
      </c>
      <c r="G317" s="428" t="s">
        <v>554</v>
      </c>
      <c r="H317" s="428"/>
      <c r="I317" s="428" t="s">
        <v>1620</v>
      </c>
      <c r="J317" s="428" t="s">
        <v>43</v>
      </c>
      <c r="K317" s="428" t="s">
        <v>43</v>
      </c>
      <c r="L317" s="428" t="s">
        <v>588</v>
      </c>
      <c r="M317" s="428" t="s">
        <v>44</v>
      </c>
      <c r="N317" s="428">
        <v>23.621317999999999</v>
      </c>
      <c r="O317" s="428">
        <v>97.795981999999995</v>
      </c>
      <c r="P317" s="428" t="s">
        <v>573</v>
      </c>
      <c r="Q317" s="428" t="s">
        <v>611</v>
      </c>
      <c r="R317" s="440">
        <v>24</v>
      </c>
      <c r="S317" s="433">
        <v>84</v>
      </c>
      <c r="T317" s="445" t="s">
        <v>811</v>
      </c>
      <c r="U317" s="434"/>
      <c r="V317" s="428"/>
      <c r="W317" s="432" t="s">
        <v>1680</v>
      </c>
      <c r="X317" s="428" t="s">
        <v>1261</v>
      </c>
      <c r="Y317" s="45"/>
      <c r="Z317" s="17"/>
      <c r="AA317" s="90"/>
      <c r="AB317" s="17"/>
      <c r="AC317" s="17"/>
      <c r="AE317" s="17"/>
    </row>
    <row r="318" spans="1:31" ht="14.25" customHeight="1">
      <c r="A318" s="400" t="s">
        <v>515</v>
      </c>
      <c r="B318" s="447" t="s">
        <v>519</v>
      </c>
      <c r="C318" s="709" t="s">
        <v>2222</v>
      </c>
      <c r="D318" s="391"/>
      <c r="E318" s="428"/>
      <c r="F318" s="428"/>
      <c r="G318" s="428"/>
      <c r="H318" s="428"/>
      <c r="I318" s="430"/>
      <c r="J318" s="428" t="s">
        <v>2099</v>
      </c>
      <c r="K318" s="428" t="s">
        <v>2083</v>
      </c>
      <c r="L318" s="428" t="s">
        <v>2083</v>
      </c>
      <c r="M318" s="428" t="s">
        <v>44</v>
      </c>
      <c r="N318" s="428"/>
      <c r="O318" s="428"/>
      <c r="P318" s="428" t="s">
        <v>1574</v>
      </c>
      <c r="Q318" s="428" t="s">
        <v>2177</v>
      </c>
      <c r="R318" s="432"/>
      <c r="S318" s="432"/>
      <c r="T318" s="445">
        <v>43759</v>
      </c>
      <c r="U318" s="434"/>
      <c r="V318" s="428"/>
      <c r="W318" s="363"/>
      <c r="X318" s="391"/>
      <c r="Y318" s="45"/>
      <c r="Z318" s="17"/>
      <c r="AA318" s="90"/>
      <c r="AB318" s="17"/>
      <c r="AC318" s="17"/>
      <c r="AE318" s="17"/>
    </row>
    <row r="319" spans="1:31" ht="14.25" customHeight="1">
      <c r="A319" s="400" t="s">
        <v>515</v>
      </c>
      <c r="B319" s="447" t="s">
        <v>519</v>
      </c>
      <c r="C319" s="400" t="s">
        <v>1618</v>
      </c>
      <c r="D319" s="431" t="s">
        <v>3023</v>
      </c>
      <c r="E319" s="428" t="s">
        <v>1074</v>
      </c>
      <c r="F319" s="428" t="s">
        <v>1376</v>
      </c>
      <c r="G319" s="428" t="s">
        <v>1376</v>
      </c>
      <c r="H319" s="428" t="s">
        <v>41</v>
      </c>
      <c r="I319" s="428" t="s">
        <v>1041</v>
      </c>
      <c r="J319" s="428" t="s">
        <v>43</v>
      </c>
      <c r="K319" s="428" t="s">
        <v>697</v>
      </c>
      <c r="L319" s="428" t="s">
        <v>43</v>
      </c>
      <c r="M319" s="428" t="s">
        <v>44</v>
      </c>
      <c r="N319" s="428">
        <v>23.588920000000002</v>
      </c>
      <c r="O319" s="428">
        <v>97.793019999999999</v>
      </c>
      <c r="P319" s="428" t="s">
        <v>573</v>
      </c>
      <c r="Q319" s="428" t="s">
        <v>592</v>
      </c>
      <c r="R319" s="440">
        <v>66</v>
      </c>
      <c r="S319" s="433">
        <v>248</v>
      </c>
      <c r="T319" s="445"/>
      <c r="U319" s="434"/>
      <c r="V319" s="428" t="s">
        <v>549</v>
      </c>
      <c r="W319" s="363" t="s">
        <v>1681</v>
      </c>
      <c r="X319" s="431"/>
      <c r="Y319" s="45"/>
      <c r="Z319" s="17"/>
      <c r="AA319" s="90"/>
      <c r="AB319" s="17"/>
      <c r="AC319" s="17"/>
      <c r="AE319" s="17"/>
    </row>
    <row r="320" spans="1:31" ht="14.25" customHeight="1">
      <c r="A320" s="400" t="s">
        <v>515</v>
      </c>
      <c r="B320" s="447" t="s">
        <v>519</v>
      </c>
      <c r="C320" s="400" t="s">
        <v>842</v>
      </c>
      <c r="D320" s="391"/>
      <c r="E320" s="428"/>
      <c r="F320" s="428"/>
      <c r="G320" s="428"/>
      <c r="H320" s="428"/>
      <c r="I320" s="428"/>
      <c r="J320" s="428" t="s">
        <v>1099</v>
      </c>
      <c r="K320" s="428" t="s">
        <v>43</v>
      </c>
      <c r="L320" s="428" t="s">
        <v>43</v>
      </c>
      <c r="M320" s="428" t="s">
        <v>44</v>
      </c>
      <c r="N320" s="428"/>
      <c r="O320" s="428"/>
      <c r="P320" s="428" t="s">
        <v>573</v>
      </c>
      <c r="Q320" s="428" t="s">
        <v>592</v>
      </c>
      <c r="R320" s="432"/>
      <c r="S320" s="432"/>
      <c r="T320" s="445"/>
      <c r="U320" s="434" t="s">
        <v>823</v>
      </c>
      <c r="V320" s="428"/>
      <c r="W320" s="363"/>
      <c r="X320" s="391"/>
      <c r="Y320" s="45"/>
      <c r="Z320" s="17"/>
      <c r="AA320" s="90"/>
      <c r="AB320" s="17"/>
      <c r="AC320" s="17"/>
      <c r="AE320" s="17"/>
    </row>
    <row r="321" spans="1:31" ht="14.25" customHeight="1">
      <c r="A321" s="400" t="s">
        <v>515</v>
      </c>
      <c r="B321" s="447" t="s">
        <v>519</v>
      </c>
      <c r="C321" s="400" t="s">
        <v>545</v>
      </c>
      <c r="D321" s="431" t="s">
        <v>3023</v>
      </c>
      <c r="E321" s="428" t="s">
        <v>2980</v>
      </c>
      <c r="F321" s="428" t="s">
        <v>1380</v>
      </c>
      <c r="G321" s="428" t="s">
        <v>1381</v>
      </c>
      <c r="H321" s="428"/>
      <c r="I321" s="428" t="s">
        <v>1620</v>
      </c>
      <c r="J321" s="428" t="s">
        <v>43</v>
      </c>
      <c r="K321" s="428" t="s">
        <v>43</v>
      </c>
      <c r="L321" s="428" t="s">
        <v>588</v>
      </c>
      <c r="M321" s="428" t="s">
        <v>44</v>
      </c>
      <c r="N321" s="428">
        <v>23.850999999999999</v>
      </c>
      <c r="O321" s="428">
        <v>98.337999999999994</v>
      </c>
      <c r="P321" s="428" t="s">
        <v>573</v>
      </c>
      <c r="Q321" s="428" t="s">
        <v>574</v>
      </c>
      <c r="R321" s="440">
        <v>30</v>
      </c>
      <c r="S321" s="433">
        <v>170</v>
      </c>
      <c r="T321" s="445"/>
      <c r="U321" s="434" t="s">
        <v>711</v>
      </c>
      <c r="V321" s="428"/>
      <c r="W321" s="432" t="s">
        <v>1682</v>
      </c>
      <c r="X321" s="428" t="s">
        <v>1092</v>
      </c>
      <c r="Y321" s="45"/>
      <c r="Z321" s="17"/>
      <c r="AA321" s="90"/>
      <c r="AB321" s="17"/>
      <c r="AC321" s="17"/>
      <c r="AE321" s="17"/>
    </row>
    <row r="322" spans="1:31" ht="14.25" customHeight="1">
      <c r="A322" s="400" t="s">
        <v>515</v>
      </c>
      <c r="B322" s="447" t="s">
        <v>519</v>
      </c>
      <c r="C322" s="400" t="s">
        <v>528</v>
      </c>
      <c r="D322" s="391" t="s">
        <v>2642</v>
      </c>
      <c r="E322" s="428" t="s">
        <v>1067</v>
      </c>
      <c r="F322" s="428"/>
      <c r="G322" s="428"/>
      <c r="H322" s="428" t="s">
        <v>41</v>
      </c>
      <c r="I322" s="428" t="s">
        <v>2119</v>
      </c>
      <c r="J322" s="428" t="s">
        <v>43</v>
      </c>
      <c r="K322" s="428" t="s">
        <v>697</v>
      </c>
      <c r="L322" s="428" t="s">
        <v>572</v>
      </c>
      <c r="M322" s="428" t="s">
        <v>44</v>
      </c>
      <c r="N322" s="428">
        <v>23.400155999999999</v>
      </c>
      <c r="O322" s="428">
        <v>98.220614999999995</v>
      </c>
      <c r="P322" s="428" t="s">
        <v>573</v>
      </c>
      <c r="Q322" s="428" t="s">
        <v>592</v>
      </c>
      <c r="R322" s="432">
        <v>38</v>
      </c>
      <c r="S322" s="432">
        <v>210</v>
      </c>
      <c r="T322" s="445"/>
      <c r="U322" s="434"/>
      <c r="V322" s="428" t="s">
        <v>698</v>
      </c>
      <c r="W322" s="363" t="s">
        <v>1683</v>
      </c>
      <c r="X322" s="391"/>
      <c r="Y322" s="45"/>
      <c r="Z322" s="17"/>
      <c r="AA322" s="90"/>
      <c r="AB322" s="17"/>
      <c r="AC322" s="17"/>
      <c r="AE322" s="17"/>
    </row>
    <row r="323" spans="1:31" ht="14.25" customHeight="1">
      <c r="A323" s="400" t="s">
        <v>515</v>
      </c>
      <c r="B323" s="447" t="s">
        <v>519</v>
      </c>
      <c r="C323" s="400" t="s">
        <v>524</v>
      </c>
      <c r="D323" s="391" t="s">
        <v>2675</v>
      </c>
      <c r="E323" s="428" t="s">
        <v>1073</v>
      </c>
      <c r="F323" s="428" t="s">
        <v>1374</v>
      </c>
      <c r="G323" s="428" t="s">
        <v>1375</v>
      </c>
      <c r="H323" s="428" t="s">
        <v>41</v>
      </c>
      <c r="I323" s="428" t="s">
        <v>1041</v>
      </c>
      <c r="J323" s="428" t="s">
        <v>43</v>
      </c>
      <c r="K323" s="428" t="s">
        <v>43</v>
      </c>
      <c r="L323" s="428" t="s">
        <v>572</v>
      </c>
      <c r="M323" s="428" t="s">
        <v>44</v>
      </c>
      <c r="N323" s="428">
        <v>23.463000000000001</v>
      </c>
      <c r="O323" s="428">
        <v>98.248999999999995</v>
      </c>
      <c r="P323" s="428" t="s">
        <v>573</v>
      </c>
      <c r="Q323" s="428" t="s">
        <v>592</v>
      </c>
      <c r="R323" s="432">
        <v>19</v>
      </c>
      <c r="S323" s="432">
        <v>103</v>
      </c>
      <c r="T323" s="445"/>
      <c r="U323" s="434"/>
      <c r="V323" s="428" t="s">
        <v>701</v>
      </c>
      <c r="W323" s="363" t="s">
        <v>1684</v>
      </c>
      <c r="X323" s="391"/>
      <c r="Y323" s="45"/>
      <c r="Z323" s="17"/>
      <c r="AA323" s="90"/>
      <c r="AB323" s="17"/>
      <c r="AC323" s="17"/>
      <c r="AE323" s="17"/>
    </row>
    <row r="324" spans="1:31" ht="14.25" customHeight="1">
      <c r="A324" s="400" t="s">
        <v>515</v>
      </c>
      <c r="B324" s="447" t="s">
        <v>519</v>
      </c>
      <c r="C324" s="400" t="s">
        <v>846</v>
      </c>
      <c r="D324" s="431"/>
      <c r="E324" s="428"/>
      <c r="F324" s="428"/>
      <c r="G324" s="428"/>
      <c r="H324" s="428"/>
      <c r="I324" s="428"/>
      <c r="J324" s="428" t="s">
        <v>1099</v>
      </c>
      <c r="K324" s="428" t="s">
        <v>43</v>
      </c>
      <c r="L324" s="428" t="s">
        <v>826</v>
      </c>
      <c r="M324" s="428" t="s">
        <v>44</v>
      </c>
      <c r="N324" s="428"/>
      <c r="O324" s="428"/>
      <c r="P324" s="428" t="s">
        <v>573</v>
      </c>
      <c r="Q324" s="428" t="s">
        <v>592</v>
      </c>
      <c r="R324" s="440"/>
      <c r="S324" s="433"/>
      <c r="T324" s="445"/>
      <c r="U324" s="440" t="s">
        <v>823</v>
      </c>
      <c r="V324" s="428" t="s">
        <v>847</v>
      </c>
      <c r="W324" s="432"/>
      <c r="X324" s="431"/>
      <c r="Y324" s="45"/>
      <c r="Z324" s="17"/>
      <c r="AA324" s="90"/>
      <c r="AB324" s="17"/>
      <c r="AC324" s="17"/>
      <c r="AE324" s="17"/>
    </row>
    <row r="325" spans="1:31" ht="14.25" customHeight="1">
      <c r="A325" s="400" t="s">
        <v>515</v>
      </c>
      <c r="B325" s="447" t="s">
        <v>519</v>
      </c>
      <c r="C325" s="400" t="s">
        <v>531</v>
      </c>
      <c r="D325" s="431" t="s">
        <v>3023</v>
      </c>
      <c r="E325" s="428" t="s">
        <v>1079</v>
      </c>
      <c r="F325" s="428" t="s">
        <v>1377</v>
      </c>
      <c r="G325" s="428" t="s">
        <v>1378</v>
      </c>
      <c r="H325" s="428" t="s">
        <v>41</v>
      </c>
      <c r="I325" s="428" t="s">
        <v>2119</v>
      </c>
      <c r="J325" s="428" t="s">
        <v>43</v>
      </c>
      <c r="K325" s="428" t="s">
        <v>43</v>
      </c>
      <c r="L325" s="428" t="s">
        <v>43</v>
      </c>
      <c r="M325" s="428" t="s">
        <v>44</v>
      </c>
      <c r="N325" s="428">
        <v>23.694130000000001</v>
      </c>
      <c r="O325" s="428">
        <v>97.818979999999996</v>
      </c>
      <c r="P325" s="428" t="s">
        <v>573</v>
      </c>
      <c r="Q325" s="428" t="s">
        <v>592</v>
      </c>
      <c r="R325" s="440">
        <v>54</v>
      </c>
      <c r="S325" s="433">
        <v>279</v>
      </c>
      <c r="T325" s="445"/>
      <c r="U325" s="434"/>
      <c r="V325" s="428" t="s">
        <v>531</v>
      </c>
      <c r="W325" s="363" t="s">
        <v>1685</v>
      </c>
      <c r="X325" s="431"/>
      <c r="Y325" s="45"/>
      <c r="Z325" s="17"/>
      <c r="AA325" s="90"/>
      <c r="AB325" s="17"/>
      <c r="AC325" s="17"/>
      <c r="AE325" s="17"/>
    </row>
    <row r="326" spans="1:31" ht="14.25" customHeight="1">
      <c r="A326" s="400" t="s">
        <v>515</v>
      </c>
      <c r="B326" s="447" t="s">
        <v>519</v>
      </c>
      <c r="C326" s="400" t="s">
        <v>1619</v>
      </c>
      <c r="D326" s="431" t="s">
        <v>3023</v>
      </c>
      <c r="E326" s="428" t="s">
        <v>2981</v>
      </c>
      <c r="F326" s="428"/>
      <c r="G326" s="428"/>
      <c r="H326" s="428" t="s">
        <v>41</v>
      </c>
      <c r="I326" s="428" t="s">
        <v>1041</v>
      </c>
      <c r="J326" s="428" t="s">
        <v>43</v>
      </c>
      <c r="K326" s="428" t="s">
        <v>43</v>
      </c>
      <c r="L326" s="428" t="s">
        <v>43</v>
      </c>
      <c r="M326" s="428" t="s">
        <v>44</v>
      </c>
      <c r="N326" s="428">
        <v>23.682887999999998</v>
      </c>
      <c r="O326" s="428">
        <v>97.810101000000003</v>
      </c>
      <c r="P326" s="428" t="s">
        <v>573</v>
      </c>
      <c r="Q326" s="428" t="s">
        <v>592</v>
      </c>
      <c r="R326" s="440">
        <v>34</v>
      </c>
      <c r="S326" s="433">
        <v>144</v>
      </c>
      <c r="T326" s="445" t="s">
        <v>612</v>
      </c>
      <c r="U326" s="434"/>
      <c r="V326" s="428"/>
      <c r="W326" s="363" t="s">
        <v>1686</v>
      </c>
      <c r="X326" s="428" t="s">
        <v>1078</v>
      </c>
      <c r="Y326" s="45"/>
      <c r="Z326" s="17"/>
      <c r="AA326" s="90"/>
      <c r="AB326" s="17"/>
      <c r="AC326" s="17"/>
      <c r="AE326" s="17"/>
    </row>
    <row r="327" spans="1:31" ht="14.25" customHeight="1">
      <c r="A327" s="437" t="s">
        <v>515</v>
      </c>
      <c r="B327" s="447" t="s">
        <v>519</v>
      </c>
      <c r="C327" s="400" t="s">
        <v>2209</v>
      </c>
      <c r="D327" s="431"/>
      <c r="E327" s="428"/>
      <c r="F327" s="428"/>
      <c r="G327" s="428"/>
      <c r="H327" s="428"/>
      <c r="I327" s="428"/>
      <c r="J327" s="428" t="s">
        <v>2099</v>
      </c>
      <c r="K327" s="428" t="s">
        <v>2083</v>
      </c>
      <c r="L327" s="428" t="s">
        <v>2083</v>
      </c>
      <c r="M327" s="428" t="s">
        <v>44</v>
      </c>
      <c r="N327" s="428"/>
      <c r="O327" s="428"/>
      <c r="P327" s="428" t="s">
        <v>1574</v>
      </c>
      <c r="Q327" s="428" t="s">
        <v>2177</v>
      </c>
      <c r="R327" s="440"/>
      <c r="S327" s="433"/>
      <c r="T327" s="445">
        <v>43759</v>
      </c>
      <c r="U327" s="440"/>
      <c r="V327" s="428"/>
      <c r="W327" s="432"/>
      <c r="X327" s="431"/>
      <c r="Y327" s="45"/>
      <c r="Z327" s="17"/>
      <c r="AA327" s="90"/>
      <c r="AB327" s="17"/>
      <c r="AC327" s="17"/>
      <c r="AE327" s="17"/>
    </row>
    <row r="328" spans="1:31" ht="14.25" customHeight="1">
      <c r="A328" s="437" t="s">
        <v>515</v>
      </c>
      <c r="B328" s="447" t="s">
        <v>519</v>
      </c>
      <c r="C328" s="400" t="s">
        <v>542</v>
      </c>
      <c r="D328" s="431" t="s">
        <v>3023</v>
      </c>
      <c r="E328" s="428" t="s">
        <v>2982</v>
      </c>
      <c r="F328" s="428" t="s">
        <v>1305</v>
      </c>
      <c r="G328" s="428">
        <v>0</v>
      </c>
      <c r="H328" s="428" t="s">
        <v>41</v>
      </c>
      <c r="I328" s="428" t="s">
        <v>1041</v>
      </c>
      <c r="J328" s="428" t="s">
        <v>43</v>
      </c>
      <c r="K328" s="428" t="s">
        <v>697</v>
      </c>
      <c r="L328" s="428" t="s">
        <v>43</v>
      </c>
      <c r="M328" s="428" t="s">
        <v>44</v>
      </c>
      <c r="N328" s="428">
        <v>23.447111</v>
      </c>
      <c r="O328" s="428">
        <v>97.868876999999998</v>
      </c>
      <c r="P328" s="428" t="s">
        <v>573</v>
      </c>
      <c r="Q328" s="428" t="s">
        <v>574</v>
      </c>
      <c r="R328" s="440">
        <v>123</v>
      </c>
      <c r="S328" s="433">
        <v>706</v>
      </c>
      <c r="T328" s="445"/>
      <c r="U328" s="440"/>
      <c r="V328" s="428"/>
      <c r="W328" s="432" t="s">
        <v>1687</v>
      </c>
      <c r="X328" s="428" t="s">
        <v>1069</v>
      </c>
      <c r="Y328" s="45"/>
      <c r="Z328" s="17"/>
      <c r="AA328" s="90"/>
      <c r="AB328" s="17"/>
      <c r="AC328" s="17"/>
      <c r="AE328" s="17"/>
    </row>
    <row r="329" spans="1:31" ht="14.25" customHeight="1">
      <c r="A329" s="437" t="s">
        <v>515</v>
      </c>
      <c r="B329" s="447" t="s">
        <v>519</v>
      </c>
      <c r="C329" s="400" t="s">
        <v>561</v>
      </c>
      <c r="D329" s="431" t="s">
        <v>3023</v>
      </c>
      <c r="E329" s="428" t="s">
        <v>2983</v>
      </c>
      <c r="F329" s="428" t="s">
        <v>561</v>
      </c>
      <c r="G329" s="428" t="s">
        <v>561</v>
      </c>
      <c r="H329" s="428" t="s">
        <v>41</v>
      </c>
      <c r="I329" s="428" t="s">
        <v>1041</v>
      </c>
      <c r="J329" s="428" t="s">
        <v>43</v>
      </c>
      <c r="K329" s="428" t="s">
        <v>43</v>
      </c>
      <c r="L329" s="428" t="s">
        <v>43</v>
      </c>
      <c r="M329" s="428" t="s">
        <v>44</v>
      </c>
      <c r="N329" s="428">
        <v>23.59</v>
      </c>
      <c r="O329" s="428">
        <v>97.805999999999997</v>
      </c>
      <c r="P329" s="428" t="s">
        <v>573</v>
      </c>
      <c r="Q329" s="428"/>
      <c r="R329" s="440">
        <v>47</v>
      </c>
      <c r="S329" s="433">
        <v>230</v>
      </c>
      <c r="T329" s="445"/>
      <c r="U329" s="440" t="s">
        <v>873</v>
      </c>
      <c r="V329" s="428"/>
      <c r="W329" s="432" t="s">
        <v>1688</v>
      </c>
      <c r="X329" s="428" t="s">
        <v>1492</v>
      </c>
      <c r="Y329" s="45"/>
      <c r="Z329" s="17"/>
      <c r="AA329" s="90"/>
      <c r="AB329" s="17"/>
      <c r="AC329" s="17"/>
      <c r="AE329" s="17"/>
    </row>
    <row r="330" spans="1:31" ht="14.25" customHeight="1">
      <c r="A330" s="437" t="s">
        <v>515</v>
      </c>
      <c r="B330" s="447" t="s">
        <v>519</v>
      </c>
      <c r="C330" s="400" t="s">
        <v>2220</v>
      </c>
      <c r="D330" s="391"/>
      <c r="E330" s="428"/>
      <c r="F330" s="428"/>
      <c r="G330" s="428"/>
      <c r="H330" s="428"/>
      <c r="I330" s="428"/>
      <c r="J330" s="428" t="s">
        <v>2099</v>
      </c>
      <c r="K330" s="428" t="s">
        <v>2083</v>
      </c>
      <c r="L330" s="428" t="s">
        <v>2083</v>
      </c>
      <c r="M330" s="428" t="s">
        <v>44</v>
      </c>
      <c r="N330" s="428"/>
      <c r="O330" s="428"/>
      <c r="P330" s="428" t="s">
        <v>1574</v>
      </c>
      <c r="Q330" s="428" t="s">
        <v>2177</v>
      </c>
      <c r="R330" s="432"/>
      <c r="S330" s="432"/>
      <c r="T330" s="445">
        <v>43759</v>
      </c>
      <c r="U330" s="434"/>
      <c r="V330" s="428"/>
      <c r="W330" s="363"/>
      <c r="X330" s="391"/>
      <c r="Y330" s="45"/>
      <c r="Z330" s="17"/>
      <c r="AA330" s="90"/>
      <c r="AB330" s="17"/>
      <c r="AC330" s="17"/>
      <c r="AE330" s="17"/>
    </row>
    <row r="331" spans="1:31" ht="14.25" customHeight="1">
      <c r="A331" s="437" t="s">
        <v>515</v>
      </c>
      <c r="B331" s="447" t="s">
        <v>519</v>
      </c>
      <c r="C331" s="400" t="s">
        <v>2221</v>
      </c>
      <c r="D331" s="431"/>
      <c r="E331" s="428"/>
      <c r="F331" s="428"/>
      <c r="G331" s="428"/>
      <c r="H331" s="428"/>
      <c r="I331" s="428"/>
      <c r="J331" s="428" t="s">
        <v>2099</v>
      </c>
      <c r="K331" s="428" t="s">
        <v>2083</v>
      </c>
      <c r="L331" s="428" t="s">
        <v>2083</v>
      </c>
      <c r="M331" s="428" t="s">
        <v>44</v>
      </c>
      <c r="N331" s="428"/>
      <c r="O331" s="428"/>
      <c r="P331" s="428" t="s">
        <v>1574</v>
      </c>
      <c r="Q331" s="428" t="s">
        <v>2177</v>
      </c>
      <c r="R331" s="440"/>
      <c r="S331" s="433"/>
      <c r="T331" s="445">
        <v>43759</v>
      </c>
      <c r="U331" s="440"/>
      <c r="V331" s="428"/>
      <c r="W331" s="432"/>
      <c r="X331" s="431"/>
      <c r="Y331" s="45"/>
      <c r="Z331" s="17"/>
      <c r="AA331" s="90"/>
      <c r="AB331" s="17"/>
      <c r="AC331" s="17"/>
      <c r="AE331" s="17"/>
    </row>
    <row r="332" spans="1:31" ht="14.25" customHeight="1">
      <c r="A332" s="437" t="s">
        <v>515</v>
      </c>
      <c r="B332" s="447" t="s">
        <v>519</v>
      </c>
      <c r="C332" s="400" t="s">
        <v>2219</v>
      </c>
      <c r="D332" s="431"/>
      <c r="E332" s="428"/>
      <c r="F332" s="428"/>
      <c r="G332" s="428"/>
      <c r="H332" s="428"/>
      <c r="I332" s="428"/>
      <c r="J332" s="428" t="s">
        <v>2099</v>
      </c>
      <c r="K332" s="428" t="s">
        <v>2083</v>
      </c>
      <c r="L332" s="428" t="s">
        <v>2083</v>
      </c>
      <c r="M332" s="428" t="s">
        <v>44</v>
      </c>
      <c r="N332" s="428"/>
      <c r="O332" s="428"/>
      <c r="P332" s="428" t="s">
        <v>1574</v>
      </c>
      <c r="Q332" s="428" t="s">
        <v>2177</v>
      </c>
      <c r="R332" s="440"/>
      <c r="S332" s="433"/>
      <c r="T332" s="445">
        <v>43759</v>
      </c>
      <c r="U332" s="440"/>
      <c r="V332" s="428"/>
      <c r="W332" s="432"/>
      <c r="X332" s="431"/>
      <c r="Y332" s="45"/>
      <c r="Z332" s="17"/>
      <c r="AA332" s="90"/>
      <c r="AB332" s="17"/>
      <c r="AC332" s="17"/>
      <c r="AE332" s="17"/>
    </row>
    <row r="333" spans="1:31" ht="14.25" customHeight="1">
      <c r="A333" s="437" t="s">
        <v>515</v>
      </c>
      <c r="B333" s="447" t="s">
        <v>519</v>
      </c>
      <c r="C333" s="400" t="s">
        <v>538</v>
      </c>
      <c r="D333" s="431" t="s">
        <v>3023</v>
      </c>
      <c r="E333" s="428" t="s">
        <v>1066</v>
      </c>
      <c r="F333" s="428" t="s">
        <v>1305</v>
      </c>
      <c r="G333" s="428" t="s">
        <v>1306</v>
      </c>
      <c r="H333" s="428" t="s">
        <v>41</v>
      </c>
      <c r="I333" s="428" t="s">
        <v>2119</v>
      </c>
      <c r="J333" s="428" t="s">
        <v>43</v>
      </c>
      <c r="K333" s="428" t="s">
        <v>697</v>
      </c>
      <c r="L333" s="428" t="s">
        <v>43</v>
      </c>
      <c r="M333" s="428" t="s">
        <v>44</v>
      </c>
      <c r="N333" s="428">
        <v>23.38503</v>
      </c>
      <c r="O333" s="428">
        <v>97.837040000000002</v>
      </c>
      <c r="P333" s="428" t="s">
        <v>573</v>
      </c>
      <c r="Q333" s="428" t="s">
        <v>592</v>
      </c>
      <c r="R333" s="440">
        <v>209</v>
      </c>
      <c r="S333" s="433">
        <v>1084</v>
      </c>
      <c r="T333" s="445"/>
      <c r="U333" s="440"/>
      <c r="V333" s="428" t="s">
        <v>538</v>
      </c>
      <c r="W333" s="432" t="s">
        <v>1689</v>
      </c>
      <c r="X333" s="431"/>
      <c r="Y333" s="45"/>
      <c r="Z333" s="17"/>
      <c r="AA333" s="90"/>
      <c r="AB333" s="17"/>
      <c r="AC333" s="17"/>
      <c r="AE333" s="17"/>
    </row>
    <row r="334" spans="1:31" ht="14.25" customHeight="1">
      <c r="A334" s="437" t="s">
        <v>515</v>
      </c>
      <c r="B334" s="447" t="s">
        <v>960</v>
      </c>
      <c r="C334" s="400" t="s">
        <v>2250</v>
      </c>
      <c r="D334" s="431"/>
      <c r="E334" s="428"/>
      <c r="F334" s="428"/>
      <c r="G334" s="428"/>
      <c r="H334" s="428"/>
      <c r="I334" s="428"/>
      <c r="J334" s="428" t="s">
        <v>2099</v>
      </c>
      <c r="K334" s="428" t="s">
        <v>2083</v>
      </c>
      <c r="L334" s="428" t="s">
        <v>2083</v>
      </c>
      <c r="M334" s="428" t="s">
        <v>44</v>
      </c>
      <c r="N334" s="428"/>
      <c r="O334" s="428"/>
      <c r="P334" s="428"/>
      <c r="Q334" s="428" t="s">
        <v>2248</v>
      </c>
      <c r="R334" s="440"/>
      <c r="S334" s="433"/>
      <c r="T334" s="445">
        <v>43841</v>
      </c>
      <c r="U334" s="434"/>
      <c r="V334" s="432"/>
      <c r="W334" s="455"/>
      <c r="X334" s="431"/>
      <c r="Y334" s="45"/>
      <c r="Z334" s="17"/>
      <c r="AA334" s="90"/>
      <c r="AB334" s="17"/>
      <c r="AC334" s="17"/>
      <c r="AE334" s="17"/>
    </row>
    <row r="335" spans="1:31" ht="14.25" customHeight="1">
      <c r="A335" s="437" t="s">
        <v>515</v>
      </c>
      <c r="B335" s="447" t="s">
        <v>960</v>
      </c>
      <c r="C335" s="400" t="s">
        <v>2252</v>
      </c>
      <c r="D335" s="431"/>
      <c r="E335" s="428"/>
      <c r="F335" s="428"/>
      <c r="G335" s="428"/>
      <c r="H335" s="428"/>
      <c r="I335" s="428"/>
      <c r="J335" s="428" t="s">
        <v>2099</v>
      </c>
      <c r="K335" s="430" t="s">
        <v>2083</v>
      </c>
      <c r="L335" s="430" t="s">
        <v>2083</v>
      </c>
      <c r="M335" s="428" t="s">
        <v>44</v>
      </c>
      <c r="N335" s="428"/>
      <c r="O335" s="428"/>
      <c r="P335" s="428"/>
      <c r="Q335" s="428" t="s">
        <v>2248</v>
      </c>
      <c r="R335" s="440"/>
      <c r="S335" s="433"/>
      <c r="T335" s="445">
        <v>43841</v>
      </c>
      <c r="U335" s="434"/>
      <c r="V335" s="428"/>
      <c r="W335" s="432"/>
      <c r="X335" s="431"/>
      <c r="Y335" s="45"/>
      <c r="Z335" s="17"/>
      <c r="AA335" s="90"/>
      <c r="AB335" s="17"/>
      <c r="AC335" s="17"/>
      <c r="AE335" s="17"/>
    </row>
    <row r="336" spans="1:31" ht="14.25" customHeight="1">
      <c r="A336" s="437" t="s">
        <v>515</v>
      </c>
      <c r="B336" s="447" t="s">
        <v>960</v>
      </c>
      <c r="C336" s="400" t="s">
        <v>2718</v>
      </c>
      <c r="D336" s="431" t="s">
        <v>3023</v>
      </c>
      <c r="E336" s="428" t="s">
        <v>2984</v>
      </c>
      <c r="F336" s="428" t="s">
        <v>2733</v>
      </c>
      <c r="G336" s="428" t="s">
        <v>2734</v>
      </c>
      <c r="H336" s="428"/>
      <c r="I336" s="428" t="s">
        <v>1620</v>
      </c>
      <c r="J336" s="428" t="s">
        <v>43</v>
      </c>
      <c r="K336" s="428" t="s">
        <v>43</v>
      </c>
      <c r="L336" s="428" t="s">
        <v>2630</v>
      </c>
      <c r="M336" s="428" t="s">
        <v>44</v>
      </c>
      <c r="N336" s="428">
        <v>22.325900000000001</v>
      </c>
      <c r="O336" s="428">
        <v>97.021000000000001</v>
      </c>
      <c r="P336" s="428" t="s">
        <v>573</v>
      </c>
      <c r="Q336" s="428" t="s">
        <v>2722</v>
      </c>
      <c r="R336" s="440">
        <v>1036</v>
      </c>
      <c r="S336" s="433">
        <v>3986</v>
      </c>
      <c r="T336" s="445">
        <v>44544</v>
      </c>
      <c r="U336" s="440"/>
      <c r="V336" s="428"/>
      <c r="W336" s="432" t="s">
        <v>2735</v>
      </c>
      <c r="X336" s="428" t="s">
        <v>2732</v>
      </c>
      <c r="Y336" s="45"/>
      <c r="Z336" s="17"/>
      <c r="AA336" s="90"/>
      <c r="AB336" s="17"/>
      <c r="AC336" s="17"/>
      <c r="AE336" s="17"/>
    </row>
    <row r="337" spans="1:31" ht="14.25" customHeight="1">
      <c r="A337" s="433" t="s">
        <v>515</v>
      </c>
      <c r="B337" s="447" t="s">
        <v>960</v>
      </c>
      <c r="C337" s="400" t="s">
        <v>3004</v>
      </c>
      <c r="D337" s="431" t="s">
        <v>3022</v>
      </c>
      <c r="E337" s="428" t="s">
        <v>2998</v>
      </c>
      <c r="F337" s="428" t="s">
        <v>3010</v>
      </c>
      <c r="G337" s="428" t="s">
        <v>3015</v>
      </c>
      <c r="H337" s="428"/>
      <c r="I337" s="428"/>
      <c r="J337" s="428" t="s">
        <v>43</v>
      </c>
      <c r="K337" s="428" t="s">
        <v>43</v>
      </c>
      <c r="L337" s="428" t="s">
        <v>588</v>
      </c>
      <c r="M337" s="428" t="s">
        <v>44</v>
      </c>
      <c r="N337" s="428"/>
      <c r="O337" s="428"/>
      <c r="P337" s="428" t="s">
        <v>573</v>
      </c>
      <c r="Q337" s="428" t="s">
        <v>3021</v>
      </c>
      <c r="R337" s="440">
        <v>11</v>
      </c>
      <c r="S337" s="432">
        <v>40</v>
      </c>
      <c r="T337" s="445">
        <v>44734</v>
      </c>
      <c r="U337" s="434"/>
      <c r="V337" s="432"/>
      <c r="W337" s="432" t="s">
        <v>3018</v>
      </c>
      <c r="X337" s="431"/>
      <c r="Y337" s="45"/>
      <c r="Z337" s="17"/>
      <c r="AA337" s="90"/>
      <c r="AB337" s="17"/>
      <c r="AC337" s="17"/>
      <c r="AE337" s="17"/>
    </row>
    <row r="338" spans="1:31" ht="14.25" customHeight="1">
      <c r="A338" s="433" t="s">
        <v>515</v>
      </c>
      <c r="B338" s="447" t="s">
        <v>960</v>
      </c>
      <c r="C338" s="400" t="s">
        <v>3005</v>
      </c>
      <c r="D338" s="431" t="s">
        <v>3022</v>
      </c>
      <c r="E338" s="428" t="s">
        <v>2999</v>
      </c>
      <c r="F338" s="435" t="s">
        <v>3011</v>
      </c>
      <c r="G338" s="428" t="s">
        <v>3016</v>
      </c>
      <c r="H338" s="428"/>
      <c r="I338" s="428"/>
      <c r="J338" s="428" t="s">
        <v>43</v>
      </c>
      <c r="K338" s="428" t="s">
        <v>43</v>
      </c>
      <c r="L338" s="428" t="s">
        <v>588</v>
      </c>
      <c r="M338" s="428" t="s">
        <v>44</v>
      </c>
      <c r="N338" s="428"/>
      <c r="O338" s="428"/>
      <c r="P338" s="428" t="s">
        <v>573</v>
      </c>
      <c r="Q338" s="428" t="s">
        <v>3021</v>
      </c>
      <c r="R338" s="440">
        <v>9</v>
      </c>
      <c r="S338" s="432">
        <v>28</v>
      </c>
      <c r="T338" s="445">
        <v>44734</v>
      </c>
      <c r="U338" s="434"/>
      <c r="V338" s="432"/>
      <c r="W338" s="432" t="s">
        <v>3018</v>
      </c>
      <c r="X338" s="431"/>
      <c r="Y338" s="45"/>
      <c r="Z338" s="17"/>
      <c r="AA338" s="90"/>
      <c r="AB338" s="17"/>
      <c r="AC338" s="17"/>
      <c r="AE338" s="17"/>
    </row>
    <row r="339" spans="1:31" ht="14.25" customHeight="1">
      <c r="A339" s="433" t="s">
        <v>515</v>
      </c>
      <c r="B339" s="447" t="s">
        <v>960</v>
      </c>
      <c r="C339" s="400" t="s">
        <v>3006</v>
      </c>
      <c r="D339" s="431" t="s">
        <v>3022</v>
      </c>
      <c r="E339" s="428" t="s">
        <v>3000</v>
      </c>
      <c r="F339" s="428" t="s">
        <v>3012</v>
      </c>
      <c r="G339" s="428" t="s">
        <v>3017</v>
      </c>
      <c r="H339" s="428"/>
      <c r="I339" s="428"/>
      <c r="J339" s="428" t="s">
        <v>43</v>
      </c>
      <c r="K339" s="428" t="s">
        <v>43</v>
      </c>
      <c r="L339" s="428" t="s">
        <v>588</v>
      </c>
      <c r="M339" s="428" t="s">
        <v>44</v>
      </c>
      <c r="N339" s="428"/>
      <c r="O339" s="428"/>
      <c r="P339" s="428" t="s">
        <v>573</v>
      </c>
      <c r="Q339" s="428" t="s">
        <v>3021</v>
      </c>
      <c r="R339" s="440">
        <v>14</v>
      </c>
      <c r="S339" s="432">
        <v>31</v>
      </c>
      <c r="T339" s="445">
        <v>44734</v>
      </c>
      <c r="U339" s="434"/>
      <c r="V339" s="432"/>
      <c r="W339" s="432" t="s">
        <v>3019</v>
      </c>
      <c r="X339" s="431"/>
      <c r="Y339" s="45"/>
      <c r="Z339" s="17"/>
      <c r="AA339" s="90"/>
      <c r="AB339" s="17"/>
      <c r="AC339" s="17"/>
      <c r="AE339" s="17"/>
    </row>
    <row r="340" spans="1:31" ht="14.25" customHeight="1">
      <c r="A340" s="437" t="s">
        <v>515</v>
      </c>
      <c r="B340" s="447" t="s">
        <v>960</v>
      </c>
      <c r="C340" s="400" t="s">
        <v>2251</v>
      </c>
      <c r="D340" s="431"/>
      <c r="E340" s="428"/>
      <c r="F340" s="428"/>
      <c r="G340" s="428"/>
      <c r="H340" s="428"/>
      <c r="I340" s="428"/>
      <c r="J340" s="428" t="s">
        <v>2099</v>
      </c>
      <c r="K340" s="428" t="s">
        <v>2083</v>
      </c>
      <c r="L340" s="428" t="s">
        <v>2083</v>
      </c>
      <c r="M340" s="428" t="s">
        <v>44</v>
      </c>
      <c r="N340" s="428"/>
      <c r="O340" s="428"/>
      <c r="P340" s="428"/>
      <c r="Q340" s="428" t="s">
        <v>2248</v>
      </c>
      <c r="R340" s="440"/>
      <c r="S340" s="433"/>
      <c r="T340" s="445">
        <v>43841</v>
      </c>
      <c r="U340" s="440"/>
      <c r="V340" s="443"/>
      <c r="W340" s="432"/>
      <c r="X340" s="431"/>
      <c r="Y340" s="45"/>
      <c r="Z340" s="17"/>
      <c r="AA340" s="90"/>
      <c r="AB340" s="17"/>
      <c r="AC340" s="17"/>
      <c r="AE340" s="17"/>
    </row>
    <row r="341" spans="1:31" ht="14.25" customHeight="1">
      <c r="A341" s="433" t="s">
        <v>515</v>
      </c>
      <c r="B341" s="447" t="s">
        <v>960</v>
      </c>
      <c r="C341" s="400" t="s">
        <v>3007</v>
      </c>
      <c r="D341" s="431" t="s">
        <v>3022</v>
      </c>
      <c r="E341" s="428" t="s">
        <v>3001</v>
      </c>
      <c r="F341" s="428" t="s">
        <v>3013</v>
      </c>
      <c r="G341" s="428" t="s">
        <v>3013</v>
      </c>
      <c r="H341" s="428"/>
      <c r="I341" s="428"/>
      <c r="J341" s="428" t="s">
        <v>43</v>
      </c>
      <c r="K341" s="428" t="s">
        <v>43</v>
      </c>
      <c r="L341" s="428" t="s">
        <v>588</v>
      </c>
      <c r="M341" s="428" t="s">
        <v>44</v>
      </c>
      <c r="N341" s="428"/>
      <c r="O341" s="428"/>
      <c r="P341" s="428" t="s">
        <v>573</v>
      </c>
      <c r="Q341" s="428" t="s">
        <v>3021</v>
      </c>
      <c r="R341" s="440">
        <v>54</v>
      </c>
      <c r="S341" s="432">
        <v>179</v>
      </c>
      <c r="T341" s="445">
        <v>44734</v>
      </c>
      <c r="U341" s="434"/>
      <c r="V341" s="432"/>
      <c r="W341" s="432" t="s">
        <v>3018</v>
      </c>
      <c r="X341" s="431"/>
      <c r="Y341" s="45"/>
      <c r="Z341" s="17"/>
      <c r="AA341" s="90"/>
      <c r="AB341" s="17"/>
      <c r="AC341" s="17"/>
      <c r="AE341" s="17"/>
    </row>
    <row r="342" spans="1:31" ht="14.25" customHeight="1">
      <c r="A342" s="433" t="s">
        <v>515</v>
      </c>
      <c r="B342" s="447" t="s">
        <v>960</v>
      </c>
      <c r="C342" s="400" t="s">
        <v>3008</v>
      </c>
      <c r="D342" s="431" t="s">
        <v>3022</v>
      </c>
      <c r="E342" s="428" t="s">
        <v>3002</v>
      </c>
      <c r="F342" s="428" t="s">
        <v>3014</v>
      </c>
      <c r="G342" s="428"/>
      <c r="H342" s="428"/>
      <c r="I342" s="428"/>
      <c r="J342" s="428" t="s">
        <v>43</v>
      </c>
      <c r="K342" s="428" t="s">
        <v>43</v>
      </c>
      <c r="L342" s="428" t="s">
        <v>588</v>
      </c>
      <c r="M342" s="428" t="s">
        <v>44</v>
      </c>
      <c r="N342" s="428"/>
      <c r="O342" s="428"/>
      <c r="P342" s="428" t="s">
        <v>573</v>
      </c>
      <c r="Q342" s="428" t="s">
        <v>3021</v>
      </c>
      <c r="R342" s="440">
        <v>12</v>
      </c>
      <c r="S342" s="432">
        <v>47</v>
      </c>
      <c r="T342" s="445">
        <v>44734</v>
      </c>
      <c r="U342" s="434"/>
      <c r="V342" s="432"/>
      <c r="W342" s="432" t="s">
        <v>3018</v>
      </c>
      <c r="X342" s="431"/>
      <c r="Y342" s="45"/>
      <c r="Z342" s="17"/>
      <c r="AA342" s="90"/>
      <c r="AB342" s="17"/>
      <c r="AC342" s="17"/>
      <c r="AE342" s="17"/>
    </row>
    <row r="343" spans="1:31" ht="14.25" customHeight="1">
      <c r="A343" s="437" t="s">
        <v>515</v>
      </c>
      <c r="B343" s="447" t="s">
        <v>961</v>
      </c>
      <c r="C343" s="400" t="s">
        <v>2158</v>
      </c>
      <c r="D343" s="431"/>
      <c r="E343" s="428"/>
      <c r="F343" s="428"/>
      <c r="G343" s="428"/>
      <c r="H343" s="428"/>
      <c r="I343" s="428"/>
      <c r="J343" s="428" t="s">
        <v>1099</v>
      </c>
      <c r="K343" s="428" t="s">
        <v>43</v>
      </c>
      <c r="L343" s="428" t="s">
        <v>588</v>
      </c>
      <c r="M343" s="428" t="s">
        <v>44</v>
      </c>
      <c r="N343" s="428"/>
      <c r="O343" s="428"/>
      <c r="P343" s="428" t="s">
        <v>573</v>
      </c>
      <c r="Q343" s="428" t="s">
        <v>2159</v>
      </c>
      <c r="R343" s="440"/>
      <c r="S343" s="433"/>
      <c r="T343" s="445"/>
      <c r="U343" s="440"/>
      <c r="V343" s="428"/>
      <c r="W343" s="432"/>
      <c r="X343" s="431"/>
      <c r="Y343" s="45"/>
      <c r="Z343" s="17"/>
      <c r="AA343" s="90"/>
      <c r="AB343" s="17"/>
      <c r="AC343" s="17"/>
      <c r="AE343" s="17"/>
    </row>
    <row r="344" spans="1:31" ht="14.25" customHeight="1">
      <c r="A344" s="437" t="s">
        <v>515</v>
      </c>
      <c r="B344" s="436" t="s">
        <v>961</v>
      </c>
      <c r="C344" s="437" t="s">
        <v>1023</v>
      </c>
      <c r="D344" s="431"/>
      <c r="E344" s="428"/>
      <c r="F344" s="428" t="s">
        <v>1471</v>
      </c>
      <c r="G344" s="428"/>
      <c r="H344" s="428"/>
      <c r="I344" s="428"/>
      <c r="J344" s="428" t="s">
        <v>1099</v>
      </c>
      <c r="K344" s="428" t="s">
        <v>43</v>
      </c>
      <c r="L344" s="428" t="s">
        <v>43</v>
      </c>
      <c r="M344" s="428"/>
      <c r="N344" s="428"/>
      <c r="O344" s="428"/>
      <c r="P344" s="428" t="s">
        <v>573</v>
      </c>
      <c r="Q344" s="428"/>
      <c r="R344" s="440"/>
      <c r="S344" s="433"/>
      <c r="T344" s="445"/>
      <c r="U344" s="440"/>
      <c r="V344" s="428"/>
      <c r="W344" s="432"/>
      <c r="X344" s="431"/>
      <c r="Y344" s="45"/>
      <c r="Z344" s="17"/>
      <c r="AA344" s="90"/>
      <c r="AB344" s="17"/>
      <c r="AC344" s="17"/>
      <c r="AE344" s="17"/>
    </row>
    <row r="345" spans="1:31" ht="14.25" customHeight="1">
      <c r="A345" s="437" t="s">
        <v>515</v>
      </c>
      <c r="B345" s="436" t="s">
        <v>961</v>
      </c>
      <c r="C345" s="437" t="s">
        <v>2160</v>
      </c>
      <c r="D345" s="431"/>
      <c r="E345" s="428"/>
      <c r="F345" s="428"/>
      <c r="G345" s="428"/>
      <c r="H345" s="428"/>
      <c r="I345" s="428"/>
      <c r="J345" s="428" t="s">
        <v>1099</v>
      </c>
      <c r="K345" s="428" t="s">
        <v>43</v>
      </c>
      <c r="L345" s="428" t="s">
        <v>588</v>
      </c>
      <c r="M345" s="428" t="s">
        <v>44</v>
      </c>
      <c r="N345" s="428"/>
      <c r="O345" s="428"/>
      <c r="P345" s="428" t="s">
        <v>573</v>
      </c>
      <c r="Q345" s="428" t="s">
        <v>2159</v>
      </c>
      <c r="R345" s="440"/>
      <c r="S345" s="433"/>
      <c r="T345" s="445">
        <v>43633</v>
      </c>
      <c r="U345" s="440"/>
      <c r="V345" s="428"/>
      <c r="W345" s="432"/>
      <c r="X345" s="431"/>
      <c r="Y345" s="45"/>
      <c r="Z345" s="17"/>
      <c r="AA345" s="90"/>
      <c r="AB345" s="17"/>
      <c r="AC345" s="17"/>
      <c r="AE345" s="17"/>
    </row>
    <row r="346" spans="1:31" ht="14.25" customHeight="1">
      <c r="A346" s="437" t="s">
        <v>515</v>
      </c>
      <c r="B346" s="436" t="s">
        <v>961</v>
      </c>
      <c r="C346" s="437" t="s">
        <v>2212</v>
      </c>
      <c r="D346" s="431"/>
      <c r="E346" s="428"/>
      <c r="F346" s="428"/>
      <c r="G346" s="428"/>
      <c r="H346" s="428"/>
      <c r="I346" s="428"/>
      <c r="J346" s="428" t="s">
        <v>2099</v>
      </c>
      <c r="K346" s="428" t="s">
        <v>2083</v>
      </c>
      <c r="L346" s="428" t="s">
        <v>2083</v>
      </c>
      <c r="M346" s="428" t="s">
        <v>44</v>
      </c>
      <c r="N346" s="428"/>
      <c r="O346" s="428"/>
      <c r="P346" s="428" t="s">
        <v>1574</v>
      </c>
      <c r="Q346" s="428" t="s">
        <v>2177</v>
      </c>
      <c r="R346" s="440"/>
      <c r="S346" s="433"/>
      <c r="T346" s="445">
        <v>43759</v>
      </c>
      <c r="U346" s="434"/>
      <c r="V346" s="428"/>
      <c r="W346" s="432"/>
      <c r="X346" s="431"/>
      <c r="Y346" s="45"/>
      <c r="Z346" s="17"/>
      <c r="AA346" s="90"/>
      <c r="AB346" s="17"/>
      <c r="AC346" s="17"/>
      <c r="AE346" s="17"/>
    </row>
    <row r="347" spans="1:31" ht="14.25" customHeight="1">
      <c r="A347" s="433" t="s">
        <v>515</v>
      </c>
      <c r="B347" s="436" t="s">
        <v>961</v>
      </c>
      <c r="C347" s="437" t="s">
        <v>2211</v>
      </c>
      <c r="D347" s="391"/>
      <c r="E347" s="428"/>
      <c r="F347" s="428"/>
      <c r="G347" s="428"/>
      <c r="H347" s="428"/>
      <c r="I347" s="428"/>
      <c r="J347" s="428" t="s">
        <v>2099</v>
      </c>
      <c r="K347" s="428" t="s">
        <v>2083</v>
      </c>
      <c r="L347" s="428" t="s">
        <v>2083</v>
      </c>
      <c r="M347" s="428" t="s">
        <v>44</v>
      </c>
      <c r="N347" s="428"/>
      <c r="O347" s="428"/>
      <c r="P347" s="428" t="s">
        <v>1574</v>
      </c>
      <c r="Q347" s="428" t="s">
        <v>2177</v>
      </c>
      <c r="R347" s="432"/>
      <c r="S347" s="432"/>
      <c r="T347" s="445">
        <v>43759</v>
      </c>
      <c r="U347" s="434"/>
      <c r="V347" s="432"/>
      <c r="W347" s="432"/>
      <c r="X347" s="391"/>
      <c r="Y347" s="45"/>
      <c r="Z347" s="17"/>
      <c r="AA347" s="90"/>
      <c r="AB347" s="17"/>
      <c r="AC347" s="17"/>
      <c r="AE347" s="17"/>
    </row>
    <row r="348" spans="1:31" ht="14.25" customHeight="1">
      <c r="A348" s="433" t="s">
        <v>515</v>
      </c>
      <c r="B348" s="436" t="s">
        <v>961</v>
      </c>
      <c r="C348" s="400" t="s">
        <v>2210</v>
      </c>
      <c r="D348" s="391"/>
      <c r="E348" s="428"/>
      <c r="F348" s="428"/>
      <c r="G348" s="428"/>
      <c r="H348" s="428"/>
      <c r="I348" s="428"/>
      <c r="J348" s="428" t="s">
        <v>2099</v>
      </c>
      <c r="K348" s="428" t="s">
        <v>2083</v>
      </c>
      <c r="L348" s="428" t="s">
        <v>2083</v>
      </c>
      <c r="M348" s="428" t="s">
        <v>44</v>
      </c>
      <c r="N348" s="428"/>
      <c r="O348" s="428"/>
      <c r="P348" s="428" t="s">
        <v>1574</v>
      </c>
      <c r="Q348" s="428" t="s">
        <v>2177</v>
      </c>
      <c r="R348" s="432"/>
      <c r="S348" s="432"/>
      <c r="T348" s="445">
        <v>43759</v>
      </c>
      <c r="U348" s="434"/>
      <c r="V348" s="432"/>
      <c r="W348" s="432"/>
      <c r="X348" s="391"/>
      <c r="Y348" s="45"/>
      <c r="Z348" s="17"/>
      <c r="AA348" s="90"/>
      <c r="AB348" s="17"/>
      <c r="AC348" s="17"/>
      <c r="AE348" s="17"/>
    </row>
    <row r="349" spans="1:31" ht="14.25" customHeight="1">
      <c r="A349" s="437" t="s">
        <v>515</v>
      </c>
      <c r="B349" s="966" t="s">
        <v>961</v>
      </c>
      <c r="C349" s="457" t="s">
        <v>2214</v>
      </c>
      <c r="D349" s="431"/>
      <c r="E349" s="428"/>
      <c r="F349" s="428"/>
      <c r="G349" s="428"/>
      <c r="H349" s="428"/>
      <c r="I349" s="428"/>
      <c r="J349" s="428" t="s">
        <v>2099</v>
      </c>
      <c r="K349" s="428" t="s">
        <v>2083</v>
      </c>
      <c r="L349" s="428" t="s">
        <v>2083</v>
      </c>
      <c r="M349" s="428" t="s">
        <v>44</v>
      </c>
      <c r="N349" s="428"/>
      <c r="O349" s="428"/>
      <c r="P349" s="428" t="s">
        <v>1574</v>
      </c>
      <c r="Q349" s="428" t="s">
        <v>2177</v>
      </c>
      <c r="R349" s="440"/>
      <c r="S349" s="433"/>
      <c r="T349" s="445">
        <v>43759</v>
      </c>
      <c r="U349" s="440"/>
      <c r="V349" s="428"/>
      <c r="W349" s="432"/>
      <c r="X349" s="431"/>
      <c r="Y349" s="45"/>
      <c r="Z349" s="17"/>
      <c r="AA349" s="90"/>
      <c r="AB349" s="17"/>
      <c r="AC349" s="17"/>
      <c r="AE349" s="17"/>
    </row>
    <row r="350" spans="1:31" ht="14.25" customHeight="1">
      <c r="A350" s="433" t="s">
        <v>515</v>
      </c>
      <c r="B350" s="447" t="s">
        <v>961</v>
      </c>
      <c r="C350" s="400" t="s">
        <v>1942</v>
      </c>
      <c r="D350" s="391"/>
      <c r="E350" s="428"/>
      <c r="F350" s="428"/>
      <c r="G350" s="428"/>
      <c r="H350" s="428"/>
      <c r="I350" s="428"/>
      <c r="J350" s="428" t="s">
        <v>2099</v>
      </c>
      <c r="K350" s="428" t="s">
        <v>2083</v>
      </c>
      <c r="L350" s="428" t="s">
        <v>2083</v>
      </c>
      <c r="M350" s="428" t="s">
        <v>44</v>
      </c>
      <c r="N350" s="428"/>
      <c r="O350" s="428"/>
      <c r="P350" s="428" t="s">
        <v>1574</v>
      </c>
      <c r="Q350" s="428"/>
      <c r="R350" s="432"/>
      <c r="S350" s="432"/>
      <c r="T350" s="445">
        <v>43759</v>
      </c>
      <c r="U350" s="434"/>
      <c r="V350" s="432"/>
      <c r="W350" s="432"/>
      <c r="X350" s="391"/>
      <c r="Y350" s="45"/>
      <c r="Z350" s="17"/>
      <c r="AA350" s="90"/>
      <c r="AB350" s="17"/>
      <c r="AC350" s="17"/>
      <c r="AE350" s="17"/>
    </row>
    <row r="351" spans="1:31" ht="14.25" customHeight="1">
      <c r="A351" s="437" t="s">
        <v>515</v>
      </c>
      <c r="B351" s="456" t="s">
        <v>962</v>
      </c>
      <c r="C351" s="456" t="s">
        <v>2628</v>
      </c>
      <c r="D351" s="431" t="s">
        <v>3023</v>
      </c>
      <c r="E351" s="428" t="s">
        <v>2985</v>
      </c>
      <c r="F351" s="428" t="s">
        <v>2636</v>
      </c>
      <c r="G351" s="428" t="s">
        <v>2640</v>
      </c>
      <c r="H351" s="428"/>
      <c r="I351" s="428"/>
      <c r="J351" s="428" t="s">
        <v>620</v>
      </c>
      <c r="K351" s="428" t="s">
        <v>620</v>
      </c>
      <c r="L351" s="428" t="s">
        <v>3031</v>
      </c>
      <c r="M351" s="428" t="s">
        <v>44</v>
      </c>
      <c r="N351" s="428">
        <v>23.415991000000002</v>
      </c>
      <c r="O351" s="428">
        <v>98.471779999999995</v>
      </c>
      <c r="P351" s="428" t="s">
        <v>573</v>
      </c>
      <c r="Q351" s="428" t="s">
        <v>2631</v>
      </c>
      <c r="R351" s="440">
        <v>219</v>
      </c>
      <c r="S351" s="433">
        <v>653</v>
      </c>
      <c r="T351" s="445">
        <v>44166</v>
      </c>
      <c r="U351" s="440"/>
      <c r="V351" s="428"/>
      <c r="W351" s="432"/>
      <c r="X351" s="428" t="s">
        <v>2621</v>
      </c>
      <c r="Y351" s="45"/>
      <c r="Z351" s="17"/>
      <c r="AA351" s="90"/>
      <c r="AB351" s="17"/>
      <c r="AC351" s="17"/>
      <c r="AE351" s="17"/>
    </row>
    <row r="352" spans="1:31" ht="14.25" customHeight="1">
      <c r="A352" s="437" t="s">
        <v>515</v>
      </c>
      <c r="B352" s="456" t="s">
        <v>2641</v>
      </c>
      <c r="C352" s="457" t="s">
        <v>2627</v>
      </c>
      <c r="D352" s="431" t="s">
        <v>3023</v>
      </c>
      <c r="E352" s="428" t="s">
        <v>2986</v>
      </c>
      <c r="F352" s="428" t="s">
        <v>2635</v>
      </c>
      <c r="G352" s="428" t="s">
        <v>2639</v>
      </c>
      <c r="H352" s="428"/>
      <c r="I352" s="428"/>
      <c r="J352" s="428" t="s">
        <v>620</v>
      </c>
      <c r="K352" s="428" t="s">
        <v>620</v>
      </c>
      <c r="L352" s="428" t="s">
        <v>3031</v>
      </c>
      <c r="M352" s="428" t="s">
        <v>44</v>
      </c>
      <c r="N352" s="428">
        <v>23.363275999999999</v>
      </c>
      <c r="O352" s="428">
        <v>98.472977999999998</v>
      </c>
      <c r="P352" s="428" t="s">
        <v>573</v>
      </c>
      <c r="Q352" s="428" t="s">
        <v>2631</v>
      </c>
      <c r="R352" s="440">
        <v>657</v>
      </c>
      <c r="S352" s="433">
        <v>2786</v>
      </c>
      <c r="T352" s="445">
        <v>44166</v>
      </c>
      <c r="U352" s="440"/>
      <c r="V352" s="428"/>
      <c r="W352" s="432"/>
      <c r="X352" s="428" t="s">
        <v>2620</v>
      </c>
      <c r="Y352" s="45"/>
      <c r="Z352" s="17"/>
      <c r="AA352" s="90"/>
      <c r="AB352" s="17"/>
      <c r="AC352" s="17"/>
      <c r="AE352" s="17"/>
    </row>
    <row r="353" spans="1:31" ht="14.25" customHeight="1">
      <c r="A353" s="437" t="s">
        <v>515</v>
      </c>
      <c r="B353" s="456" t="s">
        <v>963</v>
      </c>
      <c r="C353" s="457" t="s">
        <v>2165</v>
      </c>
      <c r="D353" s="431"/>
      <c r="E353" s="428"/>
      <c r="F353" s="428"/>
      <c r="G353" s="428"/>
      <c r="H353" s="428"/>
      <c r="I353" s="428"/>
      <c r="J353" s="428" t="s">
        <v>607</v>
      </c>
      <c r="K353" s="428" t="s">
        <v>607</v>
      </c>
      <c r="L353" s="428" t="s">
        <v>607</v>
      </c>
      <c r="M353" s="428" t="s">
        <v>44</v>
      </c>
      <c r="N353" s="428"/>
      <c r="O353" s="428"/>
      <c r="P353" s="428" t="s">
        <v>608</v>
      </c>
      <c r="Q353" s="428" t="s">
        <v>2159</v>
      </c>
      <c r="R353" s="440"/>
      <c r="S353" s="433"/>
      <c r="T353" s="445">
        <v>43650</v>
      </c>
      <c r="U353" s="440"/>
      <c r="V353" s="428"/>
      <c r="W353" s="432"/>
      <c r="X353" s="431"/>
      <c r="Y353" s="45"/>
      <c r="Z353" s="17"/>
      <c r="AA353" s="90"/>
      <c r="AB353" s="17"/>
      <c r="AC353" s="17"/>
      <c r="AE353" s="17"/>
    </row>
    <row r="354" spans="1:31" ht="14.25" customHeight="1">
      <c r="A354" s="433" t="s">
        <v>515</v>
      </c>
      <c r="B354" s="436" t="s">
        <v>963</v>
      </c>
      <c r="C354" s="437" t="s">
        <v>2624</v>
      </c>
      <c r="D354" s="431" t="s">
        <v>3023</v>
      </c>
      <c r="E354" s="428" t="s">
        <v>2987</v>
      </c>
      <c r="F354" s="430" t="s">
        <v>2633</v>
      </c>
      <c r="G354" s="428" t="s">
        <v>2637</v>
      </c>
      <c r="H354" s="428"/>
      <c r="I354" s="428"/>
      <c r="J354" s="428" t="s">
        <v>43</v>
      </c>
      <c r="K354" s="428" t="s">
        <v>43</v>
      </c>
      <c r="L354" s="428" t="s">
        <v>2629</v>
      </c>
      <c r="M354" s="428" t="s">
        <v>44</v>
      </c>
      <c r="N354" s="428">
        <v>23.420603</v>
      </c>
      <c r="O354" s="428">
        <v>98.451791999999998</v>
      </c>
      <c r="P354" s="428" t="s">
        <v>573</v>
      </c>
      <c r="Q354" s="428" t="s">
        <v>2631</v>
      </c>
      <c r="R354" s="440">
        <v>166</v>
      </c>
      <c r="S354" s="433">
        <v>830</v>
      </c>
      <c r="T354" s="445">
        <v>44166</v>
      </c>
      <c r="U354" s="434"/>
      <c r="V354" s="432"/>
      <c r="W354" s="432"/>
      <c r="X354" s="428" t="s">
        <v>2617</v>
      </c>
      <c r="Y354" s="45"/>
      <c r="Z354" s="17"/>
      <c r="AA354" s="90"/>
      <c r="AB354" s="17"/>
      <c r="AC354" s="17"/>
      <c r="AE354" s="17"/>
    </row>
    <row r="355" spans="1:31" ht="14.25" customHeight="1">
      <c r="A355" s="437" t="s">
        <v>515</v>
      </c>
      <c r="B355" s="436" t="s">
        <v>963</v>
      </c>
      <c r="C355" s="437" t="s">
        <v>2163</v>
      </c>
      <c r="D355" s="431"/>
      <c r="E355" s="428"/>
      <c r="F355" s="430"/>
      <c r="G355" s="428"/>
      <c r="H355" s="428"/>
      <c r="I355" s="428"/>
      <c r="J355" s="428" t="s">
        <v>607</v>
      </c>
      <c r="K355" s="428" t="s">
        <v>607</v>
      </c>
      <c r="L355" s="428" t="s">
        <v>607</v>
      </c>
      <c r="M355" s="428" t="s">
        <v>44</v>
      </c>
      <c r="N355" s="428"/>
      <c r="O355" s="428"/>
      <c r="P355" s="428" t="s">
        <v>608</v>
      </c>
      <c r="Q355" s="428" t="s">
        <v>2159</v>
      </c>
      <c r="R355" s="440"/>
      <c r="S355" s="433"/>
      <c r="T355" s="445">
        <v>43650</v>
      </c>
      <c r="U355" s="434"/>
      <c r="V355" s="428"/>
      <c r="W355" s="432"/>
      <c r="X355" s="431"/>
      <c r="Y355" s="45"/>
      <c r="Z355" s="17"/>
      <c r="AA355" s="90"/>
      <c r="AB355" s="17"/>
      <c r="AC355" s="17"/>
      <c r="AE355" s="17"/>
    </row>
    <row r="356" spans="1:31" ht="14.25" customHeight="1">
      <c r="A356" s="437" t="s">
        <v>515</v>
      </c>
      <c r="B356" s="436" t="s">
        <v>963</v>
      </c>
      <c r="C356" s="437" t="s">
        <v>2164</v>
      </c>
      <c r="D356" s="431"/>
      <c r="E356" s="428"/>
      <c r="F356" s="428"/>
      <c r="G356" s="428"/>
      <c r="H356" s="428"/>
      <c r="I356" s="428"/>
      <c r="J356" s="428" t="s">
        <v>607</v>
      </c>
      <c r="K356" s="428" t="s">
        <v>607</v>
      </c>
      <c r="L356" s="428" t="s">
        <v>607</v>
      </c>
      <c r="M356" s="428" t="s">
        <v>44</v>
      </c>
      <c r="N356" s="428"/>
      <c r="O356" s="428"/>
      <c r="P356" s="428" t="s">
        <v>608</v>
      </c>
      <c r="Q356" s="428" t="s">
        <v>2159</v>
      </c>
      <c r="R356" s="440"/>
      <c r="S356" s="433"/>
      <c r="T356" s="445">
        <v>43650</v>
      </c>
      <c r="U356" s="434"/>
      <c r="V356" s="430"/>
      <c r="W356" s="363"/>
      <c r="X356" s="431"/>
      <c r="Y356" s="45"/>
      <c r="Z356" s="17"/>
      <c r="AA356" s="90"/>
      <c r="AB356" s="17"/>
      <c r="AC356" s="17"/>
      <c r="AE356" s="17"/>
    </row>
    <row r="357" spans="1:31" ht="14.25" customHeight="1">
      <c r="A357" s="437" t="s">
        <v>515</v>
      </c>
      <c r="B357" s="436" t="s">
        <v>963</v>
      </c>
      <c r="C357" s="437" t="s">
        <v>2166</v>
      </c>
      <c r="D357" s="391"/>
      <c r="E357" s="428"/>
      <c r="F357" s="428"/>
      <c r="G357" s="428"/>
      <c r="H357" s="428"/>
      <c r="I357" s="428"/>
      <c r="J357" s="428" t="s">
        <v>607</v>
      </c>
      <c r="K357" s="428" t="s">
        <v>607</v>
      </c>
      <c r="L357" s="428" t="s">
        <v>607</v>
      </c>
      <c r="M357" s="428" t="s">
        <v>44</v>
      </c>
      <c r="N357" s="428"/>
      <c r="O357" s="428"/>
      <c r="P357" s="428" t="s">
        <v>608</v>
      </c>
      <c r="Q357" s="428" t="s">
        <v>2159</v>
      </c>
      <c r="R357" s="432"/>
      <c r="S357" s="432"/>
      <c r="T357" s="445">
        <v>43650</v>
      </c>
      <c r="U357" s="434"/>
      <c r="V357" s="430"/>
      <c r="W357" s="363"/>
      <c r="X357" s="391"/>
      <c r="Y357" s="45"/>
      <c r="Z357" s="17"/>
      <c r="AA357" s="90"/>
      <c r="AB357" s="17"/>
      <c r="AC357" s="17"/>
      <c r="AE357" s="17"/>
    </row>
    <row r="358" spans="1:31" ht="14.25" customHeight="1">
      <c r="A358" s="437" t="s">
        <v>515</v>
      </c>
      <c r="B358" s="436" t="s">
        <v>963</v>
      </c>
      <c r="C358" s="437" t="s">
        <v>2625</v>
      </c>
      <c r="D358" s="431" t="s">
        <v>3023</v>
      </c>
      <c r="E358" s="428" t="s">
        <v>2988</v>
      </c>
      <c r="F358" s="428" t="s">
        <v>2634</v>
      </c>
      <c r="G358" s="428" t="s">
        <v>2638</v>
      </c>
      <c r="H358" s="428"/>
      <c r="I358" s="428"/>
      <c r="J358" s="428" t="s">
        <v>43</v>
      </c>
      <c r="K358" s="428" t="s">
        <v>43</v>
      </c>
      <c r="L358" s="428" t="s">
        <v>2629</v>
      </c>
      <c r="M358" s="428" t="s">
        <v>44</v>
      </c>
      <c r="N358" s="428">
        <v>23.729893000000001</v>
      </c>
      <c r="O358" s="428">
        <v>98.779853500000002</v>
      </c>
      <c r="P358" s="428" t="s">
        <v>573</v>
      </c>
      <c r="Q358" s="428" t="s">
        <v>2631</v>
      </c>
      <c r="R358" s="440">
        <v>34</v>
      </c>
      <c r="S358" s="433">
        <v>170</v>
      </c>
      <c r="T358" s="445">
        <v>44166</v>
      </c>
      <c r="U358" s="434"/>
      <c r="V358" s="428"/>
      <c r="W358" s="363"/>
      <c r="X358" s="428" t="s">
        <v>2618</v>
      </c>
      <c r="Y358" s="45"/>
      <c r="Z358" s="17"/>
      <c r="AA358" s="90"/>
      <c r="AB358" s="17"/>
      <c r="AC358" s="17"/>
      <c r="AE358" s="17"/>
    </row>
    <row r="359" spans="1:31" ht="14.25" customHeight="1">
      <c r="A359" s="437" t="s">
        <v>515</v>
      </c>
      <c r="B359" s="436" t="s">
        <v>522</v>
      </c>
      <c r="C359" s="437" t="s">
        <v>812</v>
      </c>
      <c r="D359" s="431" t="s">
        <v>1299</v>
      </c>
      <c r="E359" s="428"/>
      <c r="F359" s="428"/>
      <c r="G359" s="428"/>
      <c r="H359" s="428"/>
      <c r="I359" s="428"/>
      <c r="J359" s="428" t="s">
        <v>607</v>
      </c>
      <c r="K359" s="428" t="s">
        <v>607</v>
      </c>
      <c r="L359" s="428" t="s">
        <v>607</v>
      </c>
      <c r="M359" s="428"/>
      <c r="N359" s="428"/>
      <c r="O359" s="428"/>
      <c r="P359" s="428" t="s">
        <v>608</v>
      </c>
      <c r="Q359" s="428"/>
      <c r="R359" s="440"/>
      <c r="S359" s="433"/>
      <c r="T359" s="445"/>
      <c r="U359" s="434"/>
      <c r="V359" s="428" t="s">
        <v>813</v>
      </c>
      <c r="W359" s="363"/>
      <c r="X359" s="431"/>
      <c r="Y359" s="45"/>
      <c r="Z359" s="17"/>
      <c r="AA359" s="90"/>
      <c r="AB359" s="17"/>
      <c r="AC359" s="17"/>
      <c r="AE359" s="17"/>
    </row>
    <row r="360" spans="1:31" ht="14.25" customHeight="1">
      <c r="A360" s="437" t="s">
        <v>515</v>
      </c>
      <c r="B360" s="436" t="s">
        <v>522</v>
      </c>
      <c r="C360" s="437" t="s">
        <v>560</v>
      </c>
      <c r="D360" s="431" t="s">
        <v>1731</v>
      </c>
      <c r="E360" s="428" t="s">
        <v>1042</v>
      </c>
      <c r="F360" s="430">
        <v>0</v>
      </c>
      <c r="G360" s="428">
        <v>0</v>
      </c>
      <c r="H360" s="428"/>
      <c r="I360" s="428" t="s">
        <v>1620</v>
      </c>
      <c r="J360" s="428" t="s">
        <v>43</v>
      </c>
      <c r="K360" s="428" t="s">
        <v>43</v>
      </c>
      <c r="L360" s="428" t="s">
        <v>572</v>
      </c>
      <c r="M360" s="428" t="s">
        <v>44</v>
      </c>
      <c r="N360" s="428"/>
      <c r="O360" s="428"/>
      <c r="P360" s="428" t="s">
        <v>573</v>
      </c>
      <c r="Q360" s="428" t="s">
        <v>574</v>
      </c>
      <c r="R360" s="440">
        <v>36</v>
      </c>
      <c r="S360" s="433">
        <v>188</v>
      </c>
      <c r="T360" s="445"/>
      <c r="U360" s="434" t="s">
        <v>2123</v>
      </c>
      <c r="V360" s="428"/>
      <c r="W360" s="363" t="s">
        <v>1732</v>
      </c>
      <c r="X360" s="431"/>
      <c r="Y360" s="45"/>
      <c r="Z360" s="17"/>
      <c r="AA360" s="90"/>
      <c r="AB360" s="17"/>
      <c r="AC360" s="17"/>
      <c r="AE360" s="17"/>
    </row>
    <row r="361" spans="1:31" ht="14.25" customHeight="1">
      <c r="A361" s="437" t="s">
        <v>515</v>
      </c>
      <c r="B361" s="436" t="s">
        <v>522</v>
      </c>
      <c r="C361" s="437" t="s">
        <v>548</v>
      </c>
      <c r="D361" s="431" t="s">
        <v>2794</v>
      </c>
      <c r="E361" s="428" t="s">
        <v>1062</v>
      </c>
      <c r="F361" s="428" t="s">
        <v>1321</v>
      </c>
      <c r="G361" s="428" t="s">
        <v>1338</v>
      </c>
      <c r="H361" s="428" t="s">
        <v>41</v>
      </c>
      <c r="I361" s="428" t="s">
        <v>2119</v>
      </c>
      <c r="J361" s="428" t="s">
        <v>43</v>
      </c>
      <c r="K361" s="428" t="s">
        <v>43</v>
      </c>
      <c r="L361" s="428" t="s">
        <v>572</v>
      </c>
      <c r="M361" s="428" t="s">
        <v>44</v>
      </c>
      <c r="N361" s="428">
        <v>23.250678000000001</v>
      </c>
      <c r="O361" s="428">
        <v>97.124403000000001</v>
      </c>
      <c r="P361" s="428" t="s">
        <v>573</v>
      </c>
      <c r="Q361" s="428" t="s">
        <v>592</v>
      </c>
      <c r="R361" s="440">
        <v>28</v>
      </c>
      <c r="S361" s="433">
        <v>147</v>
      </c>
      <c r="T361" s="445"/>
      <c r="U361" s="434"/>
      <c r="V361" s="428" t="s">
        <v>548</v>
      </c>
      <c r="W361" s="363" t="s">
        <v>1690</v>
      </c>
      <c r="X361" s="431"/>
      <c r="Y361" s="45"/>
      <c r="Z361" s="17"/>
      <c r="AA361" s="90"/>
      <c r="AB361" s="17"/>
      <c r="AC361" s="17"/>
      <c r="AE361" s="17"/>
    </row>
    <row r="362" spans="1:31" ht="14.25" customHeight="1">
      <c r="A362" s="437" t="s">
        <v>515</v>
      </c>
      <c r="B362" s="436" t="s">
        <v>522</v>
      </c>
      <c r="C362" s="437" t="s">
        <v>523</v>
      </c>
      <c r="D362" s="431" t="s">
        <v>3023</v>
      </c>
      <c r="E362" s="428" t="s">
        <v>2989</v>
      </c>
      <c r="F362" s="428" t="s">
        <v>1321</v>
      </c>
      <c r="G362" s="428" t="s">
        <v>1338</v>
      </c>
      <c r="H362" s="428" t="s">
        <v>41</v>
      </c>
      <c r="I362" s="428" t="s">
        <v>1041</v>
      </c>
      <c r="J362" s="428" t="s">
        <v>43</v>
      </c>
      <c r="K362" s="428" t="s">
        <v>43</v>
      </c>
      <c r="L362" s="428" t="s">
        <v>43</v>
      </c>
      <c r="M362" s="428" t="s">
        <v>44</v>
      </c>
      <c r="N362" s="428">
        <v>23.24661</v>
      </c>
      <c r="O362" s="428">
        <v>97.116680000000002</v>
      </c>
      <c r="P362" s="428" t="s">
        <v>573</v>
      </c>
      <c r="Q362" s="428" t="s">
        <v>592</v>
      </c>
      <c r="R362" s="440">
        <v>30</v>
      </c>
      <c r="S362" s="433">
        <v>159</v>
      </c>
      <c r="T362" s="445"/>
      <c r="U362" s="434"/>
      <c r="V362" s="430" t="s">
        <v>523</v>
      </c>
      <c r="W362" s="363" t="s">
        <v>1691</v>
      </c>
      <c r="X362" s="428" t="s">
        <v>1061</v>
      </c>
      <c r="Y362" s="45"/>
      <c r="Z362" s="17"/>
      <c r="AA362" s="90"/>
      <c r="AB362" s="17"/>
      <c r="AC362" s="17"/>
      <c r="AE362" s="17"/>
    </row>
    <row r="363" spans="1:31" ht="14.25" customHeight="1">
      <c r="A363" s="437" t="s">
        <v>515</v>
      </c>
      <c r="B363" s="436" t="s">
        <v>525</v>
      </c>
      <c r="C363" s="437" t="s">
        <v>571</v>
      </c>
      <c r="D363" s="391" t="s">
        <v>1300</v>
      </c>
      <c r="E363" s="428" t="s">
        <v>1027</v>
      </c>
      <c r="F363" s="428" t="s">
        <v>1311</v>
      </c>
      <c r="G363" s="428" t="s">
        <v>1312</v>
      </c>
      <c r="H363" s="428"/>
      <c r="I363" s="428">
        <v>0</v>
      </c>
      <c r="J363" s="428" t="s">
        <v>43</v>
      </c>
      <c r="K363" s="428" t="s">
        <v>43</v>
      </c>
      <c r="L363" s="428" t="s">
        <v>572</v>
      </c>
      <c r="M363" s="428" t="s">
        <v>44</v>
      </c>
      <c r="N363" s="428"/>
      <c r="O363" s="428"/>
      <c r="P363" s="428" t="s">
        <v>573</v>
      </c>
      <c r="Q363" s="428" t="s">
        <v>574</v>
      </c>
      <c r="R363" s="432">
        <v>0</v>
      </c>
      <c r="S363" s="432">
        <v>0</v>
      </c>
      <c r="T363" s="445">
        <v>42832</v>
      </c>
      <c r="U363" s="434"/>
      <c r="V363" s="428"/>
      <c r="W363" s="363" t="s">
        <v>1692</v>
      </c>
      <c r="X363" s="391"/>
      <c r="Y363" s="45"/>
      <c r="Z363" s="17"/>
      <c r="AA363" s="90"/>
      <c r="AB363" s="17"/>
      <c r="AC363" s="17"/>
      <c r="AE363" s="17"/>
    </row>
    <row r="364" spans="1:31" ht="14.25" customHeight="1">
      <c r="A364" s="437" t="s">
        <v>515</v>
      </c>
      <c r="B364" s="436" t="s">
        <v>525</v>
      </c>
      <c r="C364" s="437" t="s">
        <v>575</v>
      </c>
      <c r="D364" s="391" t="s">
        <v>1300</v>
      </c>
      <c r="E364" s="428" t="s">
        <v>1028</v>
      </c>
      <c r="F364" s="428" t="s">
        <v>1311</v>
      </c>
      <c r="G364" s="428" t="s">
        <v>1313</v>
      </c>
      <c r="H364" s="428"/>
      <c r="I364" s="428">
        <v>0</v>
      </c>
      <c r="J364" s="428" t="s">
        <v>43</v>
      </c>
      <c r="K364" s="428" t="s">
        <v>43</v>
      </c>
      <c r="L364" s="428" t="s">
        <v>572</v>
      </c>
      <c r="M364" s="428" t="s">
        <v>44</v>
      </c>
      <c r="N364" s="428"/>
      <c r="O364" s="428"/>
      <c r="P364" s="428" t="s">
        <v>573</v>
      </c>
      <c r="Q364" s="428" t="s">
        <v>574</v>
      </c>
      <c r="R364" s="440">
        <v>0</v>
      </c>
      <c r="S364" s="433">
        <v>0</v>
      </c>
      <c r="T364" s="445"/>
      <c r="U364" s="434"/>
      <c r="V364" s="428">
        <v>42920</v>
      </c>
      <c r="W364" s="363" t="s">
        <v>1692</v>
      </c>
      <c r="X364" s="391"/>
      <c r="Y364" s="45"/>
      <c r="Z364" s="17"/>
      <c r="AA364" s="90"/>
      <c r="AB364" s="17"/>
      <c r="AC364" s="17"/>
      <c r="AE364" s="17"/>
    </row>
    <row r="365" spans="1:31" ht="14.25" customHeight="1">
      <c r="A365" s="437" t="s">
        <v>515</v>
      </c>
      <c r="B365" s="436" t="s">
        <v>525</v>
      </c>
      <c r="C365" s="400" t="s">
        <v>576</v>
      </c>
      <c r="D365" s="431" t="s">
        <v>1300</v>
      </c>
      <c r="E365" s="428" t="s">
        <v>1029</v>
      </c>
      <c r="F365" s="428" t="s">
        <v>1311</v>
      </c>
      <c r="G365" s="428" t="s">
        <v>1313</v>
      </c>
      <c r="H365" s="428"/>
      <c r="I365" s="428">
        <v>0</v>
      </c>
      <c r="J365" s="428" t="s">
        <v>43</v>
      </c>
      <c r="K365" s="428" t="s">
        <v>43</v>
      </c>
      <c r="L365" s="428" t="s">
        <v>572</v>
      </c>
      <c r="M365" s="428" t="s">
        <v>44</v>
      </c>
      <c r="N365" s="428"/>
      <c r="O365" s="428"/>
      <c r="P365" s="428" t="s">
        <v>573</v>
      </c>
      <c r="Q365" s="428" t="s">
        <v>574</v>
      </c>
      <c r="R365" s="440">
        <v>0</v>
      </c>
      <c r="S365" s="433">
        <v>0</v>
      </c>
      <c r="T365" s="445"/>
      <c r="U365" s="434"/>
      <c r="V365" s="428">
        <v>42920</v>
      </c>
      <c r="W365" s="363" t="s">
        <v>1692</v>
      </c>
      <c r="X365" s="431"/>
      <c r="Y365" s="45"/>
      <c r="Z365" s="17"/>
      <c r="AA365" s="90"/>
      <c r="AB365" s="17"/>
      <c r="AC365" s="17"/>
      <c r="AE365" s="17"/>
    </row>
    <row r="366" spans="1:31" ht="14.25" customHeight="1">
      <c r="A366" s="437" t="s">
        <v>515</v>
      </c>
      <c r="B366" s="436" t="s">
        <v>525</v>
      </c>
      <c r="C366" s="437" t="s">
        <v>714</v>
      </c>
      <c r="D366" s="431" t="s">
        <v>1300</v>
      </c>
      <c r="E366" s="428" t="s">
        <v>1095</v>
      </c>
      <c r="F366" s="428" t="s">
        <v>1325</v>
      </c>
      <c r="G366" s="428" t="s">
        <v>1326</v>
      </c>
      <c r="H366" s="428"/>
      <c r="I366" s="428">
        <v>0</v>
      </c>
      <c r="J366" s="428" t="s">
        <v>43</v>
      </c>
      <c r="K366" s="428" t="s">
        <v>43</v>
      </c>
      <c r="L366" s="428" t="s">
        <v>572</v>
      </c>
      <c r="M366" s="428" t="s">
        <v>44</v>
      </c>
      <c r="N366" s="428">
        <v>23.917631</v>
      </c>
      <c r="O366" s="428">
        <v>98.116817999999995</v>
      </c>
      <c r="P366" s="428" t="s">
        <v>573</v>
      </c>
      <c r="Q366" s="428" t="s">
        <v>574</v>
      </c>
      <c r="R366" s="440">
        <v>0</v>
      </c>
      <c r="S366" s="433">
        <v>0</v>
      </c>
      <c r="T366" s="445">
        <v>42836</v>
      </c>
      <c r="U366" s="434"/>
      <c r="V366" s="428"/>
      <c r="W366" s="363" t="s">
        <v>1693</v>
      </c>
      <c r="X366" s="431"/>
      <c r="Y366" s="45"/>
      <c r="Z366" s="17"/>
      <c r="AA366" s="90"/>
      <c r="AB366" s="17"/>
      <c r="AC366" s="17"/>
      <c r="AE366" s="17"/>
    </row>
    <row r="367" spans="1:31" ht="14.25" customHeight="1">
      <c r="A367" s="437" t="s">
        <v>515</v>
      </c>
      <c r="B367" s="436" t="s">
        <v>525</v>
      </c>
      <c r="C367" s="437" t="s">
        <v>555</v>
      </c>
      <c r="D367" s="431" t="s">
        <v>3023</v>
      </c>
      <c r="E367" s="428" t="s">
        <v>2990</v>
      </c>
      <c r="F367" s="428" t="s">
        <v>1457</v>
      </c>
      <c r="G367" s="428" t="s">
        <v>555</v>
      </c>
      <c r="H367" s="428" t="s">
        <v>41</v>
      </c>
      <c r="I367" s="428" t="s">
        <v>2119</v>
      </c>
      <c r="J367" s="428" t="s">
        <v>43</v>
      </c>
      <c r="K367" s="428" t="s">
        <v>43</v>
      </c>
      <c r="L367" s="428" t="s">
        <v>43</v>
      </c>
      <c r="M367" s="428" t="s">
        <v>44</v>
      </c>
      <c r="N367" s="428">
        <v>24.08738</v>
      </c>
      <c r="O367" s="428">
        <v>98.115809999999996</v>
      </c>
      <c r="P367" s="428" t="s">
        <v>573</v>
      </c>
      <c r="Q367" s="428" t="s">
        <v>611</v>
      </c>
      <c r="R367" s="440">
        <v>306</v>
      </c>
      <c r="S367" s="433">
        <v>1573</v>
      </c>
      <c r="T367" s="445" t="s">
        <v>811</v>
      </c>
      <c r="U367" s="434"/>
      <c r="V367" s="428"/>
      <c r="W367" s="363" t="s">
        <v>1677</v>
      </c>
      <c r="X367" s="428" t="s">
        <v>1259</v>
      </c>
      <c r="Y367" s="45"/>
      <c r="Z367" s="17"/>
      <c r="AA367" s="90"/>
      <c r="AB367" s="17"/>
      <c r="AC367" s="17"/>
      <c r="AE367" s="17"/>
    </row>
    <row r="368" spans="1:31" ht="14.25" customHeight="1">
      <c r="A368" s="437" t="s">
        <v>515</v>
      </c>
      <c r="B368" s="436" t="s">
        <v>525</v>
      </c>
      <c r="C368" s="437" t="s">
        <v>559</v>
      </c>
      <c r="D368" s="431" t="s">
        <v>2268</v>
      </c>
      <c r="E368" s="428" t="s">
        <v>1106</v>
      </c>
      <c r="F368" s="430" t="s">
        <v>555</v>
      </c>
      <c r="G368" s="428" t="s">
        <v>555</v>
      </c>
      <c r="H368" s="428"/>
      <c r="I368" s="428">
        <v>0</v>
      </c>
      <c r="J368" s="428" t="s">
        <v>43</v>
      </c>
      <c r="K368" s="428" t="s">
        <v>43</v>
      </c>
      <c r="L368" s="428" t="s">
        <v>572</v>
      </c>
      <c r="M368" s="428" t="s">
        <v>44</v>
      </c>
      <c r="N368" s="428">
        <v>24.08738</v>
      </c>
      <c r="O368" s="428">
        <v>98.115809999999996</v>
      </c>
      <c r="P368" s="428" t="s">
        <v>573</v>
      </c>
      <c r="Q368" s="428" t="s">
        <v>592</v>
      </c>
      <c r="R368" s="440">
        <v>32</v>
      </c>
      <c r="S368" s="433">
        <v>187</v>
      </c>
      <c r="T368" s="445">
        <v>43276</v>
      </c>
      <c r="U368" s="434" t="s">
        <v>1567</v>
      </c>
      <c r="V368" s="428" t="s">
        <v>559</v>
      </c>
      <c r="W368" s="363" t="s">
        <v>1567</v>
      </c>
      <c r="X368" s="431"/>
      <c r="Y368" s="45"/>
      <c r="Z368" s="17"/>
      <c r="AA368" s="90"/>
      <c r="AB368" s="17"/>
      <c r="AC368" s="17"/>
      <c r="AE368" s="17"/>
    </row>
    <row r="369" spans="1:31" ht="14.25" customHeight="1">
      <c r="A369" s="437" t="s">
        <v>515</v>
      </c>
      <c r="B369" s="447" t="s">
        <v>525</v>
      </c>
      <c r="C369" s="400" t="s">
        <v>565</v>
      </c>
      <c r="D369" s="391" t="s">
        <v>1300</v>
      </c>
      <c r="E369" s="428" t="s">
        <v>1036</v>
      </c>
      <c r="F369" s="428">
        <v>0</v>
      </c>
      <c r="G369" s="428">
        <v>0</v>
      </c>
      <c r="H369" s="428"/>
      <c r="I369" s="430">
        <v>0</v>
      </c>
      <c r="J369" s="428" t="s">
        <v>43</v>
      </c>
      <c r="K369" s="428" t="s">
        <v>43</v>
      </c>
      <c r="L369" s="428" t="s">
        <v>572</v>
      </c>
      <c r="M369" s="428" t="s">
        <v>44</v>
      </c>
      <c r="N369" s="428"/>
      <c r="O369" s="428"/>
      <c r="P369" s="428" t="s">
        <v>573</v>
      </c>
      <c r="Q369" s="428" t="s">
        <v>574</v>
      </c>
      <c r="R369" s="432">
        <v>0</v>
      </c>
      <c r="S369" s="432">
        <v>0</v>
      </c>
      <c r="T369" s="445"/>
      <c r="U369" s="434"/>
      <c r="V369" s="428">
        <v>42920</v>
      </c>
      <c r="W369" s="363" t="s">
        <v>1692</v>
      </c>
      <c r="X369" s="391"/>
      <c r="Y369" s="45"/>
      <c r="Z369" s="17"/>
      <c r="AA369" s="90"/>
      <c r="AB369" s="17"/>
      <c r="AC369" s="17"/>
      <c r="AE369" s="17"/>
    </row>
    <row r="370" spans="1:31" ht="14.25" customHeight="1">
      <c r="A370" s="437" t="s">
        <v>515</v>
      </c>
      <c r="B370" s="447" t="s">
        <v>525</v>
      </c>
      <c r="C370" s="437" t="s">
        <v>582</v>
      </c>
      <c r="D370" s="391" t="s">
        <v>1300</v>
      </c>
      <c r="E370" s="428" t="s">
        <v>1037</v>
      </c>
      <c r="F370" s="428" t="s">
        <v>1311</v>
      </c>
      <c r="G370" s="428" t="s">
        <v>1313</v>
      </c>
      <c r="H370" s="428"/>
      <c r="I370" s="428">
        <v>0</v>
      </c>
      <c r="J370" s="428" t="s">
        <v>43</v>
      </c>
      <c r="K370" s="428" t="s">
        <v>43</v>
      </c>
      <c r="L370" s="428" t="s">
        <v>572</v>
      </c>
      <c r="M370" s="428" t="s">
        <v>44</v>
      </c>
      <c r="N370" s="428"/>
      <c r="O370" s="428"/>
      <c r="P370" s="428" t="s">
        <v>573</v>
      </c>
      <c r="Q370" s="428" t="s">
        <v>574</v>
      </c>
      <c r="R370" s="432">
        <v>0</v>
      </c>
      <c r="S370" s="432">
        <v>0</v>
      </c>
      <c r="T370" s="445"/>
      <c r="U370" s="434"/>
      <c r="V370" s="430">
        <v>42920</v>
      </c>
      <c r="W370" s="363" t="s">
        <v>1692</v>
      </c>
      <c r="X370" s="391"/>
      <c r="Y370" s="45"/>
      <c r="Z370" s="17"/>
      <c r="AA370" s="90"/>
      <c r="AB370" s="17"/>
      <c r="AC370" s="17"/>
      <c r="AE370" s="17"/>
    </row>
    <row r="371" spans="1:31" ht="14.25" customHeight="1">
      <c r="A371" s="437" t="s">
        <v>515</v>
      </c>
      <c r="B371" s="447" t="s">
        <v>525</v>
      </c>
      <c r="C371" s="437" t="s">
        <v>2716</v>
      </c>
      <c r="D371" s="431" t="s">
        <v>3023</v>
      </c>
      <c r="E371" s="428" t="s">
        <v>2991</v>
      </c>
      <c r="F371" s="430" t="s">
        <v>2737</v>
      </c>
      <c r="G371" s="428" t="s">
        <v>2738</v>
      </c>
      <c r="H371" s="428"/>
      <c r="I371" s="428"/>
      <c r="J371" s="428" t="s">
        <v>43</v>
      </c>
      <c r="K371" s="428" t="s">
        <v>43</v>
      </c>
      <c r="L371" s="428" t="s">
        <v>2630</v>
      </c>
      <c r="M371" s="428" t="s">
        <v>44</v>
      </c>
      <c r="N371" s="428">
        <v>23.963060379028299</v>
      </c>
      <c r="O371" s="428">
        <v>98.127189636230497</v>
      </c>
      <c r="P371" s="428" t="s">
        <v>573</v>
      </c>
      <c r="Q371" s="428" t="s">
        <v>2722</v>
      </c>
      <c r="R371" s="440">
        <v>19</v>
      </c>
      <c r="S371" s="433">
        <v>60</v>
      </c>
      <c r="T371" s="445">
        <v>44544</v>
      </c>
      <c r="U371" s="434"/>
      <c r="V371" s="428"/>
      <c r="W371" s="432" t="s">
        <v>2739</v>
      </c>
      <c r="X371" s="428" t="s">
        <v>2736</v>
      </c>
      <c r="Y371" s="45"/>
      <c r="Z371" s="17"/>
      <c r="AA371" s="90"/>
      <c r="AB371" s="17"/>
      <c r="AC371" s="17"/>
      <c r="AE371" s="17"/>
    </row>
    <row r="372" spans="1:31" ht="14.25" customHeight="1">
      <c r="A372" s="437" t="s">
        <v>515</v>
      </c>
      <c r="B372" s="447" t="s">
        <v>525</v>
      </c>
      <c r="C372" s="400" t="s">
        <v>722</v>
      </c>
      <c r="D372" s="431" t="s">
        <v>2268</v>
      </c>
      <c r="E372" s="428" t="s">
        <v>1107</v>
      </c>
      <c r="F372" s="428"/>
      <c r="G372" s="428"/>
      <c r="H372" s="428" t="s">
        <v>41</v>
      </c>
      <c r="I372" s="428" t="s">
        <v>141</v>
      </c>
      <c r="J372" s="428" t="s">
        <v>43</v>
      </c>
      <c r="K372" s="428" t="s">
        <v>43</v>
      </c>
      <c r="L372" s="428" t="s">
        <v>43</v>
      </c>
      <c r="M372" s="428" t="s">
        <v>590</v>
      </c>
      <c r="N372" s="428">
        <v>24.101320999999999</v>
      </c>
      <c r="O372" s="428">
        <v>98.320651999999995</v>
      </c>
      <c r="P372" s="428" t="s">
        <v>573</v>
      </c>
      <c r="Q372" s="428"/>
      <c r="R372" s="440">
        <v>0</v>
      </c>
      <c r="S372" s="433">
        <v>0</v>
      </c>
      <c r="T372" s="445"/>
      <c r="U372" s="434"/>
      <c r="V372" s="428" t="s">
        <v>723</v>
      </c>
      <c r="W372" s="363" t="s">
        <v>1694</v>
      </c>
      <c r="X372" s="431"/>
      <c r="Y372" s="45"/>
      <c r="Z372" s="17"/>
      <c r="AA372" s="90"/>
      <c r="AB372" s="17"/>
      <c r="AC372" s="17"/>
      <c r="AE372" s="17"/>
    </row>
    <row r="373" spans="1:31" ht="14.25" customHeight="1">
      <c r="A373" s="437" t="s">
        <v>515</v>
      </c>
      <c r="B373" s="447" t="s">
        <v>525</v>
      </c>
      <c r="C373" s="400" t="s">
        <v>721</v>
      </c>
      <c r="D373" s="431" t="s">
        <v>1300</v>
      </c>
      <c r="E373" s="428" t="s">
        <v>1104</v>
      </c>
      <c r="F373" s="428" t="s">
        <v>721</v>
      </c>
      <c r="G373" s="428" t="s">
        <v>721</v>
      </c>
      <c r="H373" s="428"/>
      <c r="I373" s="428">
        <v>0</v>
      </c>
      <c r="J373" s="428" t="s">
        <v>43</v>
      </c>
      <c r="K373" s="428" t="s">
        <v>43</v>
      </c>
      <c r="L373" s="428" t="s">
        <v>572</v>
      </c>
      <c r="M373" s="428" t="s">
        <v>590</v>
      </c>
      <c r="N373" s="428">
        <v>24.008452999999999</v>
      </c>
      <c r="O373" s="428">
        <v>98.054946000000001</v>
      </c>
      <c r="P373" s="428" t="s">
        <v>573</v>
      </c>
      <c r="Q373" s="428" t="s">
        <v>592</v>
      </c>
      <c r="R373" s="440">
        <v>0</v>
      </c>
      <c r="S373" s="433">
        <v>0</v>
      </c>
      <c r="T373" s="445"/>
      <c r="U373" s="434"/>
      <c r="V373" s="430" t="s">
        <v>721</v>
      </c>
      <c r="W373" s="363" t="s">
        <v>1695</v>
      </c>
      <c r="X373" s="431"/>
      <c r="Y373" s="45"/>
      <c r="Z373" s="17"/>
      <c r="AA373" s="90"/>
      <c r="AB373" s="17"/>
      <c r="AC373" s="17"/>
      <c r="AE373" s="17"/>
    </row>
    <row r="374" spans="1:31" ht="14.25" customHeight="1">
      <c r="A374" s="437" t="s">
        <v>515</v>
      </c>
      <c r="B374" s="436" t="s">
        <v>525</v>
      </c>
      <c r="C374" s="437" t="s">
        <v>550</v>
      </c>
      <c r="D374" s="431" t="s">
        <v>2268</v>
      </c>
      <c r="E374" s="428" t="s">
        <v>1102</v>
      </c>
      <c r="F374" s="428" t="s">
        <v>1311</v>
      </c>
      <c r="G374" s="428" t="s">
        <v>1313</v>
      </c>
      <c r="H374" s="428"/>
      <c r="I374" s="428" t="s">
        <v>1620</v>
      </c>
      <c r="J374" s="428" t="s">
        <v>43</v>
      </c>
      <c r="K374" s="428" t="s">
        <v>43</v>
      </c>
      <c r="L374" s="428" t="s">
        <v>572</v>
      </c>
      <c r="M374" s="428" t="s">
        <v>44</v>
      </c>
      <c r="N374" s="428">
        <v>24.006319999999999</v>
      </c>
      <c r="O374" s="428">
        <v>97.909400000000005</v>
      </c>
      <c r="P374" s="428" t="s">
        <v>573</v>
      </c>
      <c r="Q374" s="428" t="s">
        <v>592</v>
      </c>
      <c r="R374" s="440">
        <v>40</v>
      </c>
      <c r="S374" s="433">
        <v>180</v>
      </c>
      <c r="T374" s="445"/>
      <c r="U374" s="434"/>
      <c r="V374" s="428" t="s">
        <v>719</v>
      </c>
      <c r="W374" s="363" t="s">
        <v>1696</v>
      </c>
      <c r="X374" s="431"/>
      <c r="Y374" s="45"/>
      <c r="Z374" s="17"/>
      <c r="AA374" s="90"/>
      <c r="AB374" s="17"/>
      <c r="AC374" s="17"/>
      <c r="AE374" s="17"/>
    </row>
    <row r="375" spans="1:31" ht="14.25" customHeight="1">
      <c r="A375" s="437" t="s">
        <v>515</v>
      </c>
      <c r="B375" s="436" t="s">
        <v>525</v>
      </c>
      <c r="C375" s="437" t="s">
        <v>526</v>
      </c>
      <c r="D375" s="431" t="s">
        <v>2642</v>
      </c>
      <c r="E375" s="428" t="s">
        <v>1103</v>
      </c>
      <c r="F375" s="428" t="s">
        <v>1311</v>
      </c>
      <c r="G375" s="428" t="s">
        <v>1313</v>
      </c>
      <c r="H375" s="428" t="s">
        <v>41</v>
      </c>
      <c r="I375" s="428" t="s">
        <v>1041</v>
      </c>
      <c r="J375" s="428" t="s">
        <v>43</v>
      </c>
      <c r="K375" s="428" t="s">
        <v>43</v>
      </c>
      <c r="L375" s="428" t="s">
        <v>572</v>
      </c>
      <c r="M375" s="428" t="s">
        <v>44</v>
      </c>
      <c r="N375" s="428">
        <v>24.006789000000001</v>
      </c>
      <c r="O375" s="428">
        <v>97.911647000000002</v>
      </c>
      <c r="P375" s="428" t="s">
        <v>573</v>
      </c>
      <c r="Q375" s="428" t="s">
        <v>592</v>
      </c>
      <c r="R375" s="440">
        <v>17</v>
      </c>
      <c r="S375" s="433">
        <v>81</v>
      </c>
      <c r="T375" s="445"/>
      <c r="U375" s="434"/>
      <c r="V375" s="428" t="s">
        <v>720</v>
      </c>
      <c r="W375" s="363" t="s">
        <v>1697</v>
      </c>
      <c r="X375" s="431"/>
      <c r="Y375" s="45"/>
      <c r="Z375" s="17"/>
      <c r="AA375" s="90"/>
      <c r="AB375" s="17"/>
      <c r="AC375" s="17"/>
      <c r="AE375" s="17"/>
    </row>
    <row r="376" spans="1:31" ht="14.25" customHeight="1">
      <c r="A376" s="437" t="s">
        <v>515</v>
      </c>
      <c r="B376" s="436" t="s">
        <v>525</v>
      </c>
      <c r="C376" s="454" t="s">
        <v>530</v>
      </c>
      <c r="D376" s="391" t="s">
        <v>1300</v>
      </c>
      <c r="E376" s="428" t="s">
        <v>1045</v>
      </c>
      <c r="F376" s="428" t="s">
        <v>1301</v>
      </c>
      <c r="G376" s="428" t="s">
        <v>1302</v>
      </c>
      <c r="H376" s="428"/>
      <c r="I376" s="430">
        <v>0</v>
      </c>
      <c r="J376" s="428" t="s">
        <v>43</v>
      </c>
      <c r="K376" s="428" t="s">
        <v>43</v>
      </c>
      <c r="L376" s="428" t="s">
        <v>572</v>
      </c>
      <c r="M376" s="428" t="s">
        <v>590</v>
      </c>
      <c r="N376" s="428">
        <v>23.933098999999999</v>
      </c>
      <c r="O376" s="428">
        <v>98.139397000000002</v>
      </c>
      <c r="P376" s="428" t="s">
        <v>573</v>
      </c>
      <c r="Q376" s="428" t="s">
        <v>592</v>
      </c>
      <c r="R376" s="432">
        <v>9</v>
      </c>
      <c r="S376" s="432">
        <v>44</v>
      </c>
      <c r="T376" s="445"/>
      <c r="U376" s="434"/>
      <c r="V376" s="428" t="s">
        <v>530</v>
      </c>
      <c r="W376" s="363" t="s">
        <v>1698</v>
      </c>
      <c r="X376" s="391"/>
      <c r="Y376" s="45"/>
      <c r="Z376" s="17"/>
      <c r="AA376" s="90"/>
      <c r="AB376" s="17"/>
      <c r="AC376" s="17"/>
      <c r="AE376" s="17"/>
    </row>
    <row r="377" spans="1:31" ht="14.25" customHeight="1">
      <c r="A377" s="437" t="s">
        <v>515</v>
      </c>
      <c r="B377" s="436" t="s">
        <v>525</v>
      </c>
      <c r="C377" s="437" t="s">
        <v>715</v>
      </c>
      <c r="D377" s="431" t="s">
        <v>1300</v>
      </c>
      <c r="E377" s="428" t="s">
        <v>1098</v>
      </c>
      <c r="F377" s="428" t="s">
        <v>1327</v>
      </c>
      <c r="G377" s="428" t="s">
        <v>1328</v>
      </c>
      <c r="H377" s="428"/>
      <c r="I377" s="428">
        <v>0</v>
      </c>
      <c r="J377" s="428" t="s">
        <v>43</v>
      </c>
      <c r="K377" s="428" t="s">
        <v>43</v>
      </c>
      <c r="L377" s="428" t="s">
        <v>572</v>
      </c>
      <c r="M377" s="428" t="s">
        <v>44</v>
      </c>
      <c r="N377" s="428">
        <v>23.978088</v>
      </c>
      <c r="O377" s="428">
        <v>98.129380999999995</v>
      </c>
      <c r="P377" s="428" t="s">
        <v>573</v>
      </c>
      <c r="Q377" s="428" t="s">
        <v>574</v>
      </c>
      <c r="R377" s="440">
        <v>0</v>
      </c>
      <c r="S377" s="433">
        <v>0</v>
      </c>
      <c r="T377" s="445">
        <v>42836</v>
      </c>
      <c r="U377" s="434"/>
      <c r="V377" s="428"/>
      <c r="W377" s="363" t="s">
        <v>1693</v>
      </c>
      <c r="X377" s="431"/>
      <c r="Y377" s="45"/>
      <c r="Z377" s="17"/>
      <c r="AA377" s="90"/>
      <c r="AB377" s="17"/>
      <c r="AC377" s="17"/>
      <c r="AE377" s="17"/>
    </row>
    <row r="378" spans="1:31" ht="14.25" customHeight="1">
      <c r="A378" s="437" t="s">
        <v>515</v>
      </c>
      <c r="B378" s="436" t="s">
        <v>525</v>
      </c>
      <c r="C378" s="437" t="s">
        <v>594</v>
      </c>
      <c r="D378" s="391" t="s">
        <v>1300</v>
      </c>
      <c r="E378" s="428" t="s">
        <v>1047</v>
      </c>
      <c r="F378" s="428" t="s">
        <v>1317</v>
      </c>
      <c r="G378" s="428" t="s">
        <v>1318</v>
      </c>
      <c r="H378" s="428"/>
      <c r="I378" s="428">
        <v>0</v>
      </c>
      <c r="J378" s="428" t="s">
        <v>43</v>
      </c>
      <c r="K378" s="428" t="s">
        <v>43</v>
      </c>
      <c r="L378" s="428" t="s">
        <v>572</v>
      </c>
      <c r="M378" s="428" t="s">
        <v>44</v>
      </c>
      <c r="N378" s="428"/>
      <c r="O378" s="428"/>
      <c r="P378" s="428" t="s">
        <v>573</v>
      </c>
      <c r="Q378" s="428" t="s">
        <v>574</v>
      </c>
      <c r="R378" s="432">
        <v>0</v>
      </c>
      <c r="S378" s="432">
        <v>0</v>
      </c>
      <c r="T378" s="445">
        <v>42832</v>
      </c>
      <c r="U378" s="434"/>
      <c r="V378" s="428"/>
      <c r="W378" s="363" t="s">
        <v>1692</v>
      </c>
      <c r="X378" s="391"/>
      <c r="Y378" s="45"/>
      <c r="Z378" s="17"/>
      <c r="AA378" s="90"/>
      <c r="AB378" s="17"/>
      <c r="AC378" s="17"/>
      <c r="AE378" s="17"/>
    </row>
    <row r="379" spans="1:31" ht="14.25" customHeight="1">
      <c r="A379" s="437" t="s">
        <v>515</v>
      </c>
      <c r="B379" s="447" t="s">
        <v>525</v>
      </c>
      <c r="C379" s="400" t="s">
        <v>602</v>
      </c>
      <c r="D379" s="391" t="s">
        <v>1300</v>
      </c>
      <c r="E379" s="428" t="s">
        <v>1052</v>
      </c>
      <c r="F379" s="428" t="s">
        <v>1311</v>
      </c>
      <c r="G379" s="428" t="s">
        <v>1313</v>
      </c>
      <c r="H379" s="428"/>
      <c r="I379" s="428">
        <v>0</v>
      </c>
      <c r="J379" s="428" t="s">
        <v>43</v>
      </c>
      <c r="K379" s="428" t="s">
        <v>43</v>
      </c>
      <c r="L379" s="428" t="s">
        <v>572</v>
      </c>
      <c r="M379" s="428" t="s">
        <v>44</v>
      </c>
      <c r="N379" s="428"/>
      <c r="O379" s="428"/>
      <c r="P379" s="428" t="s">
        <v>573</v>
      </c>
      <c r="Q379" s="428" t="s">
        <v>574</v>
      </c>
      <c r="R379" s="432">
        <v>0</v>
      </c>
      <c r="S379" s="432">
        <v>0</v>
      </c>
      <c r="T379" s="445">
        <v>42832</v>
      </c>
      <c r="U379" s="434"/>
      <c r="V379" s="428"/>
      <c r="W379" s="363" t="s">
        <v>1692</v>
      </c>
      <c r="X379" s="391"/>
      <c r="Y379" s="91"/>
      <c r="Z379" s="45"/>
      <c r="AA379" s="17"/>
      <c r="AB379" s="90"/>
      <c r="AC379" s="17"/>
      <c r="AE379" s="17"/>
    </row>
    <row r="380" spans="1:31" ht="14.25" customHeight="1">
      <c r="A380" s="433" t="s">
        <v>515</v>
      </c>
      <c r="B380" s="447" t="s">
        <v>525</v>
      </c>
      <c r="C380" s="400" t="s">
        <v>3009</v>
      </c>
      <c r="D380" s="431" t="s">
        <v>3022</v>
      </c>
      <c r="E380" s="428" t="s">
        <v>3003</v>
      </c>
      <c r="F380" s="428" t="s">
        <v>1311</v>
      </c>
      <c r="G380" s="428"/>
      <c r="H380" s="428"/>
      <c r="I380" s="428"/>
      <c r="J380" s="428" t="s">
        <v>43</v>
      </c>
      <c r="K380" s="428" t="s">
        <v>43</v>
      </c>
      <c r="L380" s="428" t="s">
        <v>588</v>
      </c>
      <c r="M380" s="428" t="s">
        <v>44</v>
      </c>
      <c r="N380" s="428"/>
      <c r="O380" s="428"/>
      <c r="P380" s="428" t="s">
        <v>573</v>
      </c>
      <c r="Q380" s="428" t="s">
        <v>3021</v>
      </c>
      <c r="R380" s="440">
        <v>31</v>
      </c>
      <c r="S380" s="432">
        <v>155</v>
      </c>
      <c r="T380" s="445">
        <v>44734</v>
      </c>
      <c r="U380" s="434"/>
      <c r="V380" s="432"/>
      <c r="W380" s="432" t="s">
        <v>3020</v>
      </c>
      <c r="X380" s="431"/>
      <c r="Y380" s="91"/>
      <c r="Z380" s="45"/>
      <c r="AA380" s="17"/>
      <c r="AB380" s="90"/>
      <c r="AC380" s="17"/>
      <c r="AE380" s="17"/>
    </row>
    <row r="381" spans="1:31" ht="14.25" customHeight="1">
      <c r="A381" s="437" t="s">
        <v>515</v>
      </c>
      <c r="B381" s="447" t="s">
        <v>525</v>
      </c>
      <c r="C381" s="400" t="s">
        <v>604</v>
      </c>
      <c r="D381" s="391" t="s">
        <v>1300</v>
      </c>
      <c r="E381" s="428" t="s">
        <v>1054</v>
      </c>
      <c r="F381" s="428">
        <v>0</v>
      </c>
      <c r="G381" s="428">
        <v>0</v>
      </c>
      <c r="H381" s="428"/>
      <c r="I381" s="428">
        <v>0</v>
      </c>
      <c r="J381" s="428" t="s">
        <v>43</v>
      </c>
      <c r="K381" s="428" t="s">
        <v>43</v>
      </c>
      <c r="L381" s="428" t="s">
        <v>572</v>
      </c>
      <c r="M381" s="428" t="s">
        <v>44</v>
      </c>
      <c r="N381" s="428"/>
      <c r="O381" s="428"/>
      <c r="P381" s="428" t="s">
        <v>573</v>
      </c>
      <c r="Q381" s="428" t="s">
        <v>574</v>
      </c>
      <c r="R381" s="432">
        <v>0</v>
      </c>
      <c r="S381" s="432">
        <v>0</v>
      </c>
      <c r="T381" s="445">
        <v>42832</v>
      </c>
      <c r="U381" s="434"/>
      <c r="V381" s="428"/>
      <c r="W381" s="363" t="s">
        <v>1692</v>
      </c>
      <c r="X381" s="391"/>
      <c r="Y381" s="91"/>
      <c r="Z381" s="45"/>
      <c r="AA381" s="17"/>
      <c r="AB381" s="90"/>
      <c r="AC381" s="17"/>
      <c r="AE381" s="17"/>
    </row>
    <row r="382" spans="1:31" ht="14.25" customHeight="1">
      <c r="A382" s="437" t="s">
        <v>515</v>
      </c>
      <c r="B382" s="436" t="s">
        <v>516</v>
      </c>
      <c r="C382" s="968" t="s">
        <v>2975</v>
      </c>
      <c r="D382" s="431" t="s">
        <v>2997</v>
      </c>
      <c r="E382" s="428" t="s">
        <v>2992</v>
      </c>
      <c r="F382" s="428" t="s">
        <v>1322</v>
      </c>
      <c r="G382" s="428" t="s">
        <v>1322</v>
      </c>
      <c r="H382" s="428"/>
      <c r="I382" s="428" t="s">
        <v>1620</v>
      </c>
      <c r="J382" s="428" t="s">
        <v>620</v>
      </c>
      <c r="K382" s="428" t="s">
        <v>620</v>
      </c>
      <c r="L382" s="428" t="s">
        <v>572</v>
      </c>
      <c r="M382" s="428" t="s">
        <v>44</v>
      </c>
      <c r="N382" s="428">
        <v>23.611999999999998</v>
      </c>
      <c r="O382" s="428">
        <v>97.506</v>
      </c>
      <c r="P382" s="428" t="s">
        <v>573</v>
      </c>
      <c r="Q382" s="428" t="s">
        <v>574</v>
      </c>
      <c r="R382" s="440">
        <v>67</v>
      </c>
      <c r="S382" s="433">
        <v>307</v>
      </c>
      <c r="T382" s="445"/>
      <c r="U382" s="434" t="s">
        <v>702</v>
      </c>
      <c r="V382" s="428"/>
      <c r="W382" s="363" t="s">
        <v>1699</v>
      </c>
      <c r="X382" s="428" t="s">
        <v>1076</v>
      </c>
      <c r="Y382" s="91"/>
      <c r="Z382" s="45"/>
      <c r="AA382" s="17"/>
      <c r="AB382" s="90"/>
      <c r="AC382" s="17"/>
      <c r="AE382" s="17"/>
    </row>
    <row r="383" spans="1:31" ht="14.25" customHeight="1">
      <c r="A383" s="437" t="s">
        <v>515</v>
      </c>
      <c r="B383" s="436" t="s">
        <v>516</v>
      </c>
      <c r="C383" s="437" t="s">
        <v>703</v>
      </c>
      <c r="D383" s="431" t="s">
        <v>1300</v>
      </c>
      <c r="E383" s="428" t="s">
        <v>1077</v>
      </c>
      <c r="F383" s="428" t="s">
        <v>1322</v>
      </c>
      <c r="G383" s="428" t="s">
        <v>1322</v>
      </c>
      <c r="H383" s="428"/>
      <c r="I383" s="428">
        <v>0</v>
      </c>
      <c r="J383" s="428" t="s">
        <v>43</v>
      </c>
      <c r="K383" s="428" t="s">
        <v>43</v>
      </c>
      <c r="L383" s="428" t="s">
        <v>572</v>
      </c>
      <c r="M383" s="428" t="s">
        <v>44</v>
      </c>
      <c r="N383" s="428">
        <v>23.611999999999998</v>
      </c>
      <c r="O383" s="428">
        <v>97.504999999999995</v>
      </c>
      <c r="P383" s="428" t="s">
        <v>573</v>
      </c>
      <c r="Q383" s="428" t="s">
        <v>574</v>
      </c>
      <c r="R383" s="440">
        <v>0</v>
      </c>
      <c r="S383" s="433">
        <v>0</v>
      </c>
      <c r="T383" s="445"/>
      <c r="U383" s="434"/>
      <c r="V383" s="428"/>
      <c r="W383" s="432" t="s">
        <v>1700</v>
      </c>
      <c r="X383" s="431"/>
      <c r="Y383" s="91"/>
      <c r="Z383" s="45"/>
      <c r="AA383" s="17"/>
      <c r="AB383" s="90"/>
      <c r="AC383" s="17"/>
      <c r="AE383" s="17"/>
    </row>
    <row r="384" spans="1:31" ht="14.25" customHeight="1">
      <c r="A384" s="437" t="s">
        <v>515</v>
      </c>
      <c r="B384" s="436" t="s">
        <v>516</v>
      </c>
      <c r="C384" s="437" t="s">
        <v>527</v>
      </c>
      <c r="D384" s="431" t="s">
        <v>3023</v>
      </c>
      <c r="E384" s="428" t="s">
        <v>1082</v>
      </c>
      <c r="F384" s="428" t="s">
        <v>1315</v>
      </c>
      <c r="G384" s="428" t="s">
        <v>1315</v>
      </c>
      <c r="H384" s="428" t="s">
        <v>41</v>
      </c>
      <c r="I384" s="428" t="s">
        <v>2119</v>
      </c>
      <c r="J384" s="428" t="s">
        <v>43</v>
      </c>
      <c r="K384" s="428" t="s">
        <v>43</v>
      </c>
      <c r="L384" s="428" t="s">
        <v>43</v>
      </c>
      <c r="M384" s="428" t="s">
        <v>44</v>
      </c>
      <c r="N384" s="428">
        <v>23.821380000000001</v>
      </c>
      <c r="O384" s="428">
        <v>97.681970000000007</v>
      </c>
      <c r="P384" s="428" t="s">
        <v>573</v>
      </c>
      <c r="Q384" s="428" t="s">
        <v>592</v>
      </c>
      <c r="R384" s="440">
        <v>89</v>
      </c>
      <c r="S384" s="433">
        <v>401</v>
      </c>
      <c r="T384" s="445"/>
      <c r="U384" s="434"/>
      <c r="V384" s="428" t="s">
        <v>527</v>
      </c>
      <c r="W384" s="363" t="s">
        <v>1701</v>
      </c>
      <c r="X384" s="431"/>
      <c r="Y384" s="91"/>
      <c r="Z384" s="45"/>
      <c r="AA384" s="17"/>
      <c r="AB384" s="90"/>
      <c r="AC384" s="17"/>
      <c r="AE384" s="17"/>
    </row>
    <row r="385" spans="1:31" ht="14.25" customHeight="1">
      <c r="A385" s="433" t="s">
        <v>515</v>
      </c>
      <c r="B385" s="436" t="s">
        <v>516</v>
      </c>
      <c r="C385" s="437" t="s">
        <v>562</v>
      </c>
      <c r="D385" s="431" t="s">
        <v>3023</v>
      </c>
      <c r="E385" s="428" t="s">
        <v>1085</v>
      </c>
      <c r="F385" s="428" t="s">
        <v>1315</v>
      </c>
      <c r="G385" s="428" t="s">
        <v>1315</v>
      </c>
      <c r="H385" s="428" t="s">
        <v>41</v>
      </c>
      <c r="I385" s="428" t="s">
        <v>2119</v>
      </c>
      <c r="J385" s="428" t="s">
        <v>43</v>
      </c>
      <c r="K385" s="428" t="s">
        <v>43</v>
      </c>
      <c r="L385" s="428" t="s">
        <v>43</v>
      </c>
      <c r="M385" s="428" t="s">
        <v>44</v>
      </c>
      <c r="N385" s="428">
        <v>23.828520000000001</v>
      </c>
      <c r="O385" s="428">
        <v>97.669557999999995</v>
      </c>
      <c r="P385" s="428" t="s">
        <v>573</v>
      </c>
      <c r="Q385" s="428" t="s">
        <v>592</v>
      </c>
      <c r="R385" s="440">
        <v>66</v>
      </c>
      <c r="S385" s="433">
        <v>333</v>
      </c>
      <c r="T385" s="445"/>
      <c r="U385" s="440"/>
      <c r="V385" s="428" t="s">
        <v>562</v>
      </c>
      <c r="W385" s="432" t="s">
        <v>1702</v>
      </c>
      <c r="X385" s="431"/>
      <c r="Y385" s="91"/>
      <c r="Z385" s="45"/>
      <c r="AA385" s="17"/>
      <c r="AB385" s="90"/>
      <c r="AC385" s="17"/>
      <c r="AE385" s="17"/>
    </row>
    <row r="386" spans="1:31" ht="14.25" customHeight="1">
      <c r="A386" s="433" t="s">
        <v>515</v>
      </c>
      <c r="B386" s="436" t="s">
        <v>516</v>
      </c>
      <c r="C386" s="400" t="s">
        <v>551</v>
      </c>
      <c r="D386" s="431" t="s">
        <v>2794</v>
      </c>
      <c r="E386" s="428" t="s">
        <v>1091</v>
      </c>
      <c r="F386" s="428" t="s">
        <v>1315</v>
      </c>
      <c r="G386" s="428" t="s">
        <v>1315</v>
      </c>
      <c r="H386" s="428" t="s">
        <v>41</v>
      </c>
      <c r="I386" s="428" t="s">
        <v>2119</v>
      </c>
      <c r="J386" s="428" t="s">
        <v>43</v>
      </c>
      <c r="K386" s="428" t="s">
        <v>43</v>
      </c>
      <c r="L386" s="428" t="s">
        <v>572</v>
      </c>
      <c r="M386" s="428" t="s">
        <v>44</v>
      </c>
      <c r="N386" s="428">
        <v>23.841646999999998</v>
      </c>
      <c r="O386" s="428">
        <v>97.700940000000003</v>
      </c>
      <c r="P386" s="428" t="s">
        <v>573</v>
      </c>
      <c r="Q386" s="428" t="s">
        <v>592</v>
      </c>
      <c r="R386" s="440">
        <v>7</v>
      </c>
      <c r="S386" s="433">
        <v>32</v>
      </c>
      <c r="T386" s="445"/>
      <c r="U386" s="440"/>
      <c r="V386" s="428" t="s">
        <v>710</v>
      </c>
      <c r="W386" s="432" t="s">
        <v>1703</v>
      </c>
      <c r="X386" s="431"/>
      <c r="Y386" s="91"/>
      <c r="Z386" s="45"/>
      <c r="AA386" s="17"/>
      <c r="AB386" s="90"/>
      <c r="AC386" s="17"/>
      <c r="AE386" s="17"/>
    </row>
    <row r="387" spans="1:31" ht="14.25" customHeight="1">
      <c r="A387" s="433" t="s">
        <v>515</v>
      </c>
      <c r="B387" s="447" t="s">
        <v>516</v>
      </c>
      <c r="C387" s="967" t="s">
        <v>517</v>
      </c>
      <c r="D387" s="431" t="s">
        <v>3023</v>
      </c>
      <c r="E387" s="428" t="s">
        <v>1084</v>
      </c>
      <c r="F387" s="428" t="s">
        <v>1315</v>
      </c>
      <c r="G387" s="428" t="s">
        <v>1315</v>
      </c>
      <c r="H387" s="428" t="s">
        <v>41</v>
      </c>
      <c r="I387" s="428" t="s">
        <v>1041</v>
      </c>
      <c r="J387" s="428" t="s">
        <v>43</v>
      </c>
      <c r="K387" s="428" t="s">
        <v>43</v>
      </c>
      <c r="L387" s="428" t="s">
        <v>43</v>
      </c>
      <c r="M387" s="428" t="s">
        <v>44</v>
      </c>
      <c r="N387" s="428">
        <v>23.828150000000001</v>
      </c>
      <c r="O387" s="428">
        <v>97.670360000000002</v>
      </c>
      <c r="P387" s="428" t="s">
        <v>573</v>
      </c>
      <c r="Q387" s="428" t="s">
        <v>592</v>
      </c>
      <c r="R387" s="440">
        <v>44</v>
      </c>
      <c r="S387" s="433">
        <v>217</v>
      </c>
      <c r="T387" s="445"/>
      <c r="U387" s="434"/>
      <c r="V387" s="432" t="s">
        <v>517</v>
      </c>
      <c r="W387" s="967" t="s">
        <v>1704</v>
      </c>
      <c r="X387" s="431"/>
      <c r="Y387" s="91"/>
      <c r="Z387" s="45"/>
      <c r="AA387" s="17"/>
      <c r="AB387" s="90"/>
      <c r="AC387" s="17"/>
      <c r="AE387" s="17"/>
    </row>
    <row r="388" spans="1:31" ht="14.25" customHeight="1">
      <c r="A388" s="437" t="s">
        <v>515</v>
      </c>
      <c r="B388" s="447" t="s">
        <v>516</v>
      </c>
      <c r="C388" s="400" t="s">
        <v>591</v>
      </c>
      <c r="D388" s="391" t="s">
        <v>1300</v>
      </c>
      <c r="E388" s="428" t="s">
        <v>1044</v>
      </c>
      <c r="F388" s="430" t="s">
        <v>1315</v>
      </c>
      <c r="G388" s="428" t="s">
        <v>1315</v>
      </c>
      <c r="H388" s="428"/>
      <c r="I388" s="428">
        <v>0</v>
      </c>
      <c r="J388" s="428" t="s">
        <v>43</v>
      </c>
      <c r="K388" s="428" t="s">
        <v>43</v>
      </c>
      <c r="L388" s="428" t="s">
        <v>572</v>
      </c>
      <c r="M388" s="428" t="s">
        <v>590</v>
      </c>
      <c r="N388" s="428"/>
      <c r="O388" s="428"/>
      <c r="P388" s="428" t="s">
        <v>573</v>
      </c>
      <c r="Q388" s="428"/>
      <c r="R388" s="432">
        <v>0</v>
      </c>
      <c r="S388" s="432">
        <v>0</v>
      </c>
      <c r="T388" s="445"/>
      <c r="U388" s="434"/>
      <c r="V388" s="428" t="s">
        <v>591</v>
      </c>
      <c r="W388" s="363" t="s">
        <v>1705</v>
      </c>
      <c r="X388" s="391"/>
      <c r="Y388" s="91"/>
      <c r="Z388" s="45"/>
      <c r="AA388" s="17"/>
      <c r="AB388" s="90"/>
      <c r="AC388" s="17"/>
      <c r="AE388" s="17"/>
    </row>
    <row r="389" spans="1:31" ht="14.25" customHeight="1">
      <c r="A389" s="437" t="s">
        <v>515</v>
      </c>
      <c r="B389" s="436" t="s">
        <v>516</v>
      </c>
      <c r="C389" s="437" t="s">
        <v>553</v>
      </c>
      <c r="D389" s="431" t="s">
        <v>2698</v>
      </c>
      <c r="E389" s="428" t="s">
        <v>1090</v>
      </c>
      <c r="F389" s="430" t="s">
        <v>1379</v>
      </c>
      <c r="G389" s="428" t="s">
        <v>1368</v>
      </c>
      <c r="H389" s="428" t="s">
        <v>41</v>
      </c>
      <c r="I389" s="428" t="s">
        <v>2119</v>
      </c>
      <c r="J389" s="428" t="s">
        <v>43</v>
      </c>
      <c r="K389" s="428" t="s">
        <v>43</v>
      </c>
      <c r="L389" s="428" t="s">
        <v>572</v>
      </c>
      <c r="M389" s="428" t="s">
        <v>44</v>
      </c>
      <c r="N389" s="428">
        <v>23.838190000000001</v>
      </c>
      <c r="O389" s="428">
        <v>97.709879999999998</v>
      </c>
      <c r="P389" s="428" t="s">
        <v>573</v>
      </c>
      <c r="Q389" s="428" t="s">
        <v>592</v>
      </c>
      <c r="R389" s="440"/>
      <c r="S389" s="433"/>
      <c r="T389" s="445"/>
      <c r="U389" s="434"/>
      <c r="V389" s="428" t="s">
        <v>709</v>
      </c>
      <c r="W389" s="432" t="s">
        <v>1706</v>
      </c>
      <c r="X389" s="431"/>
      <c r="Y389" s="91"/>
      <c r="Z389" s="45"/>
      <c r="AA389" s="17"/>
      <c r="AB389" s="90"/>
      <c r="AC389" s="17"/>
      <c r="AE389" s="17"/>
    </row>
    <row r="390" spans="1:31" ht="14.25" customHeight="1">
      <c r="A390" s="437" t="s">
        <v>515</v>
      </c>
      <c r="B390" s="436" t="s">
        <v>974</v>
      </c>
      <c r="C390" s="437" t="s">
        <v>2216</v>
      </c>
      <c r="D390" s="391"/>
      <c r="E390" s="428"/>
      <c r="F390" s="428"/>
      <c r="G390" s="428"/>
      <c r="H390" s="428"/>
      <c r="I390" s="428"/>
      <c r="J390" s="428" t="s">
        <v>2099</v>
      </c>
      <c r="K390" s="428" t="s">
        <v>2083</v>
      </c>
      <c r="L390" s="428" t="s">
        <v>2083</v>
      </c>
      <c r="M390" s="428" t="s">
        <v>44</v>
      </c>
      <c r="N390" s="428"/>
      <c r="O390" s="428"/>
      <c r="P390" s="428" t="s">
        <v>1574</v>
      </c>
      <c r="Q390" s="428" t="s">
        <v>2177</v>
      </c>
      <c r="R390" s="432"/>
      <c r="S390" s="432"/>
      <c r="T390" s="445">
        <v>43759</v>
      </c>
      <c r="U390" s="434"/>
      <c r="V390" s="430"/>
      <c r="W390" s="363"/>
      <c r="X390" s="391"/>
      <c r="Y390" s="91"/>
      <c r="Z390" s="45"/>
      <c r="AA390" s="17"/>
      <c r="AB390" s="90"/>
      <c r="AC390" s="17"/>
      <c r="AE390" s="17"/>
    </row>
    <row r="391" spans="1:31" ht="14.25" customHeight="1">
      <c r="A391" s="433" t="s">
        <v>515</v>
      </c>
      <c r="B391" s="436" t="s">
        <v>974</v>
      </c>
      <c r="C391" s="437" t="s">
        <v>2215</v>
      </c>
      <c r="D391" s="431"/>
      <c r="E391" s="428"/>
      <c r="F391" s="428"/>
      <c r="G391" s="428"/>
      <c r="H391" s="428"/>
      <c r="I391" s="428"/>
      <c r="J391" s="428" t="s">
        <v>2099</v>
      </c>
      <c r="K391" s="428" t="s">
        <v>2083</v>
      </c>
      <c r="L391" s="428" t="s">
        <v>2083</v>
      </c>
      <c r="M391" s="428" t="s">
        <v>44</v>
      </c>
      <c r="N391" s="428"/>
      <c r="O391" s="428"/>
      <c r="P391" s="428" t="s">
        <v>1574</v>
      </c>
      <c r="Q391" s="428" t="s">
        <v>2177</v>
      </c>
      <c r="R391" s="440"/>
      <c r="S391" s="433"/>
      <c r="T391" s="445">
        <v>43759</v>
      </c>
      <c r="U391" s="440"/>
      <c r="V391" s="428"/>
      <c r="W391" s="432"/>
      <c r="X391" s="431"/>
      <c r="Y391" s="91"/>
      <c r="Z391" s="45"/>
      <c r="AA391" s="17"/>
      <c r="AB391" s="90"/>
      <c r="AC391" s="17"/>
      <c r="AE391" s="17"/>
    </row>
    <row r="392" spans="1:31" ht="14.25" customHeight="1">
      <c r="A392" s="437" t="s">
        <v>515</v>
      </c>
      <c r="B392" s="436" t="s">
        <v>536</v>
      </c>
      <c r="C392" s="437" t="s">
        <v>2976</v>
      </c>
      <c r="D392" s="431" t="s">
        <v>3023</v>
      </c>
      <c r="E392" s="428" t="s">
        <v>2993</v>
      </c>
      <c r="F392" s="428" t="s">
        <v>2682</v>
      </c>
      <c r="G392" s="428" t="s">
        <v>2683</v>
      </c>
      <c r="H392" s="428"/>
      <c r="I392" s="428"/>
      <c r="J392" s="428" t="s">
        <v>620</v>
      </c>
      <c r="K392" s="428" t="s">
        <v>620</v>
      </c>
      <c r="L392" s="428" t="s">
        <v>3030</v>
      </c>
      <c r="M392" s="428" t="s">
        <v>44</v>
      </c>
      <c r="N392" s="428">
        <v>23.078210830688501</v>
      </c>
      <c r="O392" s="428">
        <v>97.411773681640597</v>
      </c>
      <c r="P392" s="428" t="s">
        <v>573</v>
      </c>
      <c r="Q392" s="428" t="s">
        <v>2679</v>
      </c>
      <c r="R392" s="440">
        <v>19</v>
      </c>
      <c r="S392" s="433">
        <v>77</v>
      </c>
      <c r="T392" s="445">
        <v>44318</v>
      </c>
      <c r="U392" s="434"/>
      <c r="V392" s="430"/>
      <c r="W392" s="432" t="s">
        <v>2684</v>
      </c>
      <c r="X392" s="428" t="s">
        <v>2681</v>
      </c>
      <c r="Y392" s="91"/>
      <c r="Z392" s="45"/>
      <c r="AA392" s="17"/>
      <c r="AB392" s="90"/>
      <c r="AC392" s="17"/>
      <c r="AE392" s="17"/>
    </row>
    <row r="393" spans="1:31" ht="14.25" customHeight="1">
      <c r="A393" s="437" t="s">
        <v>515</v>
      </c>
      <c r="B393" s="447" t="s">
        <v>536</v>
      </c>
      <c r="C393" s="400" t="s">
        <v>543</v>
      </c>
      <c r="D393" s="431" t="s">
        <v>3023</v>
      </c>
      <c r="E393" s="428" t="s">
        <v>2994</v>
      </c>
      <c r="F393" s="430" t="s">
        <v>1319</v>
      </c>
      <c r="G393" s="428" t="s">
        <v>1320</v>
      </c>
      <c r="H393" s="428" t="s">
        <v>41</v>
      </c>
      <c r="I393" s="428" t="s">
        <v>1041</v>
      </c>
      <c r="J393" s="428" t="s">
        <v>43</v>
      </c>
      <c r="K393" s="428" t="s">
        <v>43</v>
      </c>
      <c r="L393" s="428" t="s">
        <v>43</v>
      </c>
      <c r="M393" s="428" t="s">
        <v>44</v>
      </c>
      <c r="N393" s="428">
        <v>23.099304</v>
      </c>
      <c r="O393" s="428">
        <v>97.400671000000003</v>
      </c>
      <c r="P393" s="428" t="s">
        <v>573</v>
      </c>
      <c r="Q393" s="428" t="s">
        <v>667</v>
      </c>
      <c r="R393" s="440">
        <v>60</v>
      </c>
      <c r="S393" s="433">
        <v>272</v>
      </c>
      <c r="T393" s="445">
        <v>42983</v>
      </c>
      <c r="U393" s="434"/>
      <c r="V393" s="428"/>
      <c r="W393" s="971" t="s">
        <v>1707</v>
      </c>
      <c r="X393" s="428" t="s">
        <v>1059</v>
      </c>
      <c r="Y393" s="91"/>
      <c r="Z393" s="45"/>
      <c r="AA393" s="17"/>
      <c r="AB393" s="90"/>
      <c r="AC393" s="17"/>
      <c r="AE393" s="17"/>
    </row>
    <row r="394" spans="1:31" ht="14.25" customHeight="1">
      <c r="A394" s="437" t="s">
        <v>515</v>
      </c>
      <c r="B394" s="436" t="s">
        <v>536</v>
      </c>
      <c r="C394" s="437" t="s">
        <v>832</v>
      </c>
      <c r="D394" s="431"/>
      <c r="E394" s="428"/>
      <c r="F394" s="430"/>
      <c r="G394" s="428"/>
      <c r="H394" s="428"/>
      <c r="I394" s="444"/>
      <c r="J394" s="428" t="s">
        <v>1099</v>
      </c>
      <c r="K394" s="428" t="s">
        <v>43</v>
      </c>
      <c r="L394" s="428" t="s">
        <v>43</v>
      </c>
      <c r="M394" s="428" t="s">
        <v>44</v>
      </c>
      <c r="N394" s="428"/>
      <c r="O394" s="428"/>
      <c r="P394" s="428" t="s">
        <v>573</v>
      </c>
      <c r="Q394" s="428" t="s">
        <v>592</v>
      </c>
      <c r="R394" s="440"/>
      <c r="S394" s="433"/>
      <c r="T394" s="445">
        <v>42747</v>
      </c>
      <c r="U394" s="434"/>
      <c r="V394" s="428"/>
      <c r="W394" s="447"/>
      <c r="X394" s="431"/>
      <c r="Y394" s="91"/>
      <c r="Z394" s="45"/>
      <c r="AA394" s="17"/>
      <c r="AB394" s="90"/>
      <c r="AC394" s="17"/>
      <c r="AE394" s="17"/>
    </row>
    <row r="395" spans="1:31" ht="14.25" customHeight="1">
      <c r="A395" s="437" t="s">
        <v>515</v>
      </c>
      <c r="B395" s="436" t="s">
        <v>536</v>
      </c>
      <c r="C395" s="437" t="s">
        <v>544</v>
      </c>
      <c r="D395" s="431" t="s">
        <v>3023</v>
      </c>
      <c r="E395" s="428" t="s">
        <v>2995</v>
      </c>
      <c r="F395" s="428" t="s">
        <v>1319</v>
      </c>
      <c r="G395" s="428" t="s">
        <v>1320</v>
      </c>
      <c r="H395" s="428" t="s">
        <v>41</v>
      </c>
      <c r="I395" s="444" t="s">
        <v>1041</v>
      </c>
      <c r="J395" s="428" t="s">
        <v>43</v>
      </c>
      <c r="K395" s="428" t="s">
        <v>43</v>
      </c>
      <c r="L395" s="428" t="s">
        <v>43</v>
      </c>
      <c r="M395" s="428" t="s">
        <v>44</v>
      </c>
      <c r="N395" s="428">
        <v>23.088011000000002</v>
      </c>
      <c r="O395" s="428">
        <v>97.398698999999993</v>
      </c>
      <c r="P395" s="428" t="s">
        <v>573</v>
      </c>
      <c r="Q395" s="428" t="s">
        <v>574</v>
      </c>
      <c r="R395" s="440">
        <v>30</v>
      </c>
      <c r="S395" s="433">
        <v>129</v>
      </c>
      <c r="T395" s="445"/>
      <c r="U395" s="434"/>
      <c r="V395" s="428"/>
      <c r="W395" s="971" t="s">
        <v>1707</v>
      </c>
      <c r="X395" s="428" t="s">
        <v>1040</v>
      </c>
      <c r="Y395" s="91"/>
      <c r="Z395" s="45"/>
      <c r="AA395" s="17"/>
      <c r="AB395" s="90"/>
      <c r="AC395" s="17"/>
      <c r="AE395" s="17"/>
    </row>
    <row r="396" spans="1:31" ht="14.25" customHeight="1">
      <c r="A396" s="437" t="s">
        <v>515</v>
      </c>
      <c r="B396" s="436" t="s">
        <v>536</v>
      </c>
      <c r="C396" s="437" t="s">
        <v>2208</v>
      </c>
      <c r="D396" s="431"/>
      <c r="E396" s="428"/>
      <c r="F396" s="428"/>
      <c r="G396" s="428"/>
      <c r="H396" s="428"/>
      <c r="I396" s="444"/>
      <c r="J396" s="428" t="s">
        <v>2099</v>
      </c>
      <c r="K396" s="428" t="s">
        <v>2083</v>
      </c>
      <c r="L396" s="428" t="s">
        <v>2083</v>
      </c>
      <c r="M396" s="428" t="s">
        <v>44</v>
      </c>
      <c r="N396" s="428"/>
      <c r="O396" s="428"/>
      <c r="P396" s="428" t="s">
        <v>1574</v>
      </c>
      <c r="Q396" s="428" t="s">
        <v>2177</v>
      </c>
      <c r="R396" s="440"/>
      <c r="S396" s="433"/>
      <c r="T396" s="445">
        <v>43759</v>
      </c>
      <c r="U396" s="434"/>
      <c r="V396" s="430"/>
      <c r="W396" s="971"/>
      <c r="X396" s="431"/>
      <c r="Y396" s="91"/>
      <c r="Z396" s="45"/>
      <c r="AA396" s="17"/>
      <c r="AB396" s="90"/>
      <c r="AC396" s="17"/>
      <c r="AE396" s="17"/>
    </row>
    <row r="397" spans="1:31" ht="14.25" customHeight="1">
      <c r="A397" s="437" t="s">
        <v>515</v>
      </c>
      <c r="B397" s="436" t="s">
        <v>536</v>
      </c>
      <c r="C397" s="437" t="s">
        <v>1539</v>
      </c>
      <c r="D397" s="431"/>
      <c r="E397" s="428"/>
      <c r="F397" s="428"/>
      <c r="G397" s="428"/>
      <c r="H397" s="428"/>
      <c r="I397" s="444"/>
      <c r="J397" s="428" t="s">
        <v>1099</v>
      </c>
      <c r="K397" s="428" t="s">
        <v>43</v>
      </c>
      <c r="L397" s="428" t="s">
        <v>43</v>
      </c>
      <c r="M397" s="428" t="s">
        <v>44</v>
      </c>
      <c r="N397" s="428"/>
      <c r="O397" s="428"/>
      <c r="P397" s="428" t="s">
        <v>573</v>
      </c>
      <c r="Q397" s="428" t="s">
        <v>1531</v>
      </c>
      <c r="R397" s="440"/>
      <c r="S397" s="433"/>
      <c r="T397" s="445">
        <v>43270</v>
      </c>
      <c r="U397" s="434"/>
      <c r="V397" s="428"/>
      <c r="W397" s="447"/>
      <c r="X397" s="431"/>
      <c r="Y397" s="91"/>
      <c r="Z397" s="45"/>
      <c r="AA397" s="17"/>
      <c r="AB397" s="90"/>
      <c r="AC397" s="17"/>
      <c r="AE397" s="17"/>
    </row>
    <row r="398" spans="1:31" ht="14.25" customHeight="1">
      <c r="A398" s="433" t="s">
        <v>515</v>
      </c>
      <c r="B398" s="436" t="s">
        <v>536</v>
      </c>
      <c r="C398" s="454" t="s">
        <v>547</v>
      </c>
      <c r="D398" s="431" t="s">
        <v>3023</v>
      </c>
      <c r="E398" s="428" t="s">
        <v>1058</v>
      </c>
      <c r="F398" s="430" t="s">
        <v>1319</v>
      </c>
      <c r="G398" s="428" t="s">
        <v>1320</v>
      </c>
      <c r="H398" s="428" t="s">
        <v>41</v>
      </c>
      <c r="I398" s="444" t="s">
        <v>2119</v>
      </c>
      <c r="J398" s="428" t="s">
        <v>43</v>
      </c>
      <c r="K398" s="428" t="s">
        <v>43</v>
      </c>
      <c r="L398" s="428" t="s">
        <v>43</v>
      </c>
      <c r="M398" s="428" t="s">
        <v>44</v>
      </c>
      <c r="N398" s="428">
        <v>23.094290000000001</v>
      </c>
      <c r="O398" s="428">
        <v>97.404089999999997</v>
      </c>
      <c r="P398" s="428" t="s">
        <v>573</v>
      </c>
      <c r="Q398" s="428" t="s">
        <v>592</v>
      </c>
      <c r="R398" s="440">
        <v>30</v>
      </c>
      <c r="S398" s="433">
        <v>126</v>
      </c>
      <c r="T398" s="445"/>
      <c r="U398" s="434"/>
      <c r="V398" s="428" t="s">
        <v>547</v>
      </c>
      <c r="W398" s="971" t="s">
        <v>1708</v>
      </c>
      <c r="X398" s="431"/>
      <c r="Y398" s="91"/>
      <c r="Z398" s="45"/>
      <c r="AA398" s="17"/>
      <c r="AB398" s="90"/>
      <c r="AC398" s="17"/>
      <c r="AE398" s="17"/>
    </row>
    <row r="399" spans="1:31" ht="14.25" customHeight="1">
      <c r="A399" s="433" t="s">
        <v>515</v>
      </c>
      <c r="B399" s="436" t="s">
        <v>536</v>
      </c>
      <c r="C399" s="437" t="s">
        <v>694</v>
      </c>
      <c r="D399" s="391" t="s">
        <v>1300</v>
      </c>
      <c r="E399" s="428" t="s">
        <v>1057</v>
      </c>
      <c r="F399" s="430" t="s">
        <v>1319</v>
      </c>
      <c r="G399" s="428" t="s">
        <v>1320</v>
      </c>
      <c r="H399" s="428"/>
      <c r="I399" s="444">
        <v>0</v>
      </c>
      <c r="J399" s="428" t="s">
        <v>43</v>
      </c>
      <c r="K399" s="428" t="s">
        <v>43</v>
      </c>
      <c r="L399" s="428" t="s">
        <v>572</v>
      </c>
      <c r="M399" s="428" t="s">
        <v>44</v>
      </c>
      <c r="N399" s="428">
        <v>23.088058</v>
      </c>
      <c r="O399" s="428">
        <v>97.398989</v>
      </c>
      <c r="P399" s="428" t="s">
        <v>585</v>
      </c>
      <c r="Q399" s="428" t="s">
        <v>592</v>
      </c>
      <c r="R399" s="440">
        <v>118</v>
      </c>
      <c r="S399" s="433">
        <v>520</v>
      </c>
      <c r="T399" s="445"/>
      <c r="U399" s="434"/>
      <c r="V399" s="428" t="s">
        <v>599</v>
      </c>
      <c r="W399" s="971" t="s">
        <v>1709</v>
      </c>
      <c r="X399" s="391"/>
      <c r="Y399" s="91"/>
      <c r="Z399" s="45"/>
      <c r="AA399" s="17"/>
      <c r="AB399" s="90"/>
      <c r="AC399" s="17"/>
      <c r="AE399" s="17"/>
    </row>
    <row r="400" spans="1:31" ht="14.25" customHeight="1">
      <c r="A400" s="433" t="s">
        <v>515</v>
      </c>
      <c r="B400" s="436" t="s">
        <v>536</v>
      </c>
      <c r="C400" s="437" t="s">
        <v>595</v>
      </c>
      <c r="D400" s="391" t="s">
        <v>1300</v>
      </c>
      <c r="E400" s="428" t="s">
        <v>1048</v>
      </c>
      <c r="F400" s="428" t="s">
        <v>1319</v>
      </c>
      <c r="G400" s="428" t="s">
        <v>1320</v>
      </c>
      <c r="H400" s="428"/>
      <c r="I400" s="444">
        <v>0</v>
      </c>
      <c r="J400" s="428" t="s">
        <v>43</v>
      </c>
      <c r="K400" s="428" t="s">
        <v>43</v>
      </c>
      <c r="L400" s="428" t="s">
        <v>572</v>
      </c>
      <c r="M400" s="428" t="s">
        <v>44</v>
      </c>
      <c r="N400" s="428"/>
      <c r="O400" s="428"/>
      <c r="P400" s="428" t="s">
        <v>573</v>
      </c>
      <c r="Q400" s="428" t="s">
        <v>574</v>
      </c>
      <c r="R400" s="440">
        <v>0</v>
      </c>
      <c r="S400" s="433">
        <v>0</v>
      </c>
      <c r="T400" s="445">
        <v>43019</v>
      </c>
      <c r="U400" s="434" t="s">
        <v>596</v>
      </c>
      <c r="V400" s="430"/>
      <c r="W400" s="447" t="s">
        <v>596</v>
      </c>
      <c r="X400" s="391"/>
      <c r="Y400" s="91"/>
      <c r="Z400" s="45"/>
      <c r="AA400" s="17"/>
      <c r="AB400" s="90"/>
      <c r="AC400" s="17"/>
      <c r="AE400" s="17"/>
    </row>
    <row r="401" spans="1:31" ht="14.25" customHeight="1">
      <c r="A401" s="433" t="s">
        <v>515</v>
      </c>
      <c r="B401" s="436" t="s">
        <v>536</v>
      </c>
      <c r="C401" s="437" t="s">
        <v>597</v>
      </c>
      <c r="D401" s="431" t="s">
        <v>1300</v>
      </c>
      <c r="E401" s="428" t="s">
        <v>1049</v>
      </c>
      <c r="F401" s="428" t="s">
        <v>1319</v>
      </c>
      <c r="G401" s="428" t="s">
        <v>1320</v>
      </c>
      <c r="H401" s="428"/>
      <c r="I401" s="444">
        <v>0</v>
      </c>
      <c r="J401" s="428" t="s">
        <v>43</v>
      </c>
      <c r="K401" s="428" t="s">
        <v>43</v>
      </c>
      <c r="L401" s="428" t="s">
        <v>572</v>
      </c>
      <c r="M401" s="428" t="s">
        <v>44</v>
      </c>
      <c r="N401" s="428"/>
      <c r="O401" s="428"/>
      <c r="P401" s="428" t="s">
        <v>573</v>
      </c>
      <c r="Q401" s="428" t="s">
        <v>574</v>
      </c>
      <c r="R401" s="440">
        <v>0</v>
      </c>
      <c r="S401" s="433">
        <v>0</v>
      </c>
      <c r="T401" s="445">
        <v>42927</v>
      </c>
      <c r="U401" s="440" t="s">
        <v>598</v>
      </c>
      <c r="V401" s="428"/>
      <c r="W401" s="447" t="s">
        <v>596</v>
      </c>
      <c r="X401" s="431"/>
      <c r="Y401" s="91"/>
      <c r="Z401" s="45"/>
      <c r="AA401" s="17"/>
      <c r="AB401" s="90"/>
      <c r="AC401" s="17"/>
      <c r="AE401" s="17"/>
    </row>
    <row r="402" spans="1:31" ht="14.25" customHeight="1">
      <c r="A402" s="433" t="s">
        <v>515</v>
      </c>
      <c r="B402" s="436" t="s">
        <v>536</v>
      </c>
      <c r="C402" s="437" t="s">
        <v>599</v>
      </c>
      <c r="D402" s="431" t="s">
        <v>1300</v>
      </c>
      <c r="E402" s="428" t="s">
        <v>1050</v>
      </c>
      <c r="F402" s="430" t="s">
        <v>1319</v>
      </c>
      <c r="G402" s="428" t="s">
        <v>1320</v>
      </c>
      <c r="H402" s="428"/>
      <c r="I402" s="444">
        <v>0</v>
      </c>
      <c r="J402" s="428" t="s">
        <v>43</v>
      </c>
      <c r="K402" s="428" t="s">
        <v>43</v>
      </c>
      <c r="L402" s="428" t="s">
        <v>572</v>
      </c>
      <c r="M402" s="428" t="s">
        <v>44</v>
      </c>
      <c r="N402" s="428"/>
      <c r="O402" s="428"/>
      <c r="P402" s="428" t="s">
        <v>573</v>
      </c>
      <c r="Q402" s="428" t="s">
        <v>574</v>
      </c>
      <c r="R402" s="440">
        <v>13</v>
      </c>
      <c r="S402" s="433">
        <v>45</v>
      </c>
      <c r="T402" s="445">
        <v>42927</v>
      </c>
      <c r="U402" s="434" t="s">
        <v>600</v>
      </c>
      <c r="V402" s="430"/>
      <c r="W402" s="447" t="s">
        <v>1698</v>
      </c>
      <c r="X402" s="431"/>
      <c r="Y402" s="91"/>
      <c r="Z402" s="45"/>
      <c r="AA402" s="17"/>
      <c r="AB402" s="90"/>
      <c r="AC402" s="17"/>
      <c r="AE402" s="17"/>
    </row>
    <row r="403" spans="1:31" ht="14.25" customHeight="1">
      <c r="A403" s="433" t="s">
        <v>515</v>
      </c>
      <c r="B403" s="436" t="s">
        <v>536</v>
      </c>
      <c r="C403" s="437" t="s">
        <v>537</v>
      </c>
      <c r="D403" s="431" t="s">
        <v>2794</v>
      </c>
      <c r="E403" s="428" t="s">
        <v>1056</v>
      </c>
      <c r="F403" s="428" t="s">
        <v>1368</v>
      </c>
      <c r="G403" s="428" t="s">
        <v>1369</v>
      </c>
      <c r="H403" s="428"/>
      <c r="I403" s="444" t="s">
        <v>1620</v>
      </c>
      <c r="J403" s="428" t="s">
        <v>43</v>
      </c>
      <c r="K403" s="428" t="s">
        <v>43</v>
      </c>
      <c r="L403" s="428" t="s">
        <v>572</v>
      </c>
      <c r="M403" s="428" t="s">
        <v>44</v>
      </c>
      <c r="N403" s="428">
        <v>22.765999999999998</v>
      </c>
      <c r="O403" s="428">
        <v>97.358999999999995</v>
      </c>
      <c r="P403" s="428" t="s">
        <v>573</v>
      </c>
      <c r="Q403" s="428" t="s">
        <v>574</v>
      </c>
      <c r="R403" s="440">
        <v>3</v>
      </c>
      <c r="S403" s="433">
        <v>17</v>
      </c>
      <c r="T403" s="445"/>
      <c r="U403" s="434" t="s">
        <v>693</v>
      </c>
      <c r="V403" s="428"/>
      <c r="W403" s="447" t="s">
        <v>1710</v>
      </c>
      <c r="X403" s="431"/>
      <c r="Y403" s="91"/>
      <c r="Z403" s="45"/>
      <c r="AA403" s="17"/>
      <c r="AB403" s="90"/>
      <c r="AC403" s="17"/>
      <c r="AE403" s="17"/>
    </row>
    <row r="404" spans="1:31" ht="14.25" customHeight="1">
      <c r="A404" s="433" t="s">
        <v>515</v>
      </c>
      <c r="B404" s="447" t="s">
        <v>536</v>
      </c>
      <c r="C404" s="400" t="s">
        <v>695</v>
      </c>
      <c r="D404" s="431" t="s">
        <v>2268</v>
      </c>
      <c r="E404" s="428" t="s">
        <v>1060</v>
      </c>
      <c r="F404" s="428"/>
      <c r="G404" s="428"/>
      <c r="H404" s="428"/>
      <c r="I404" s="444">
        <v>0</v>
      </c>
      <c r="J404" s="428" t="s">
        <v>43</v>
      </c>
      <c r="K404" s="428" t="s">
        <v>43</v>
      </c>
      <c r="L404" s="428" t="s">
        <v>43</v>
      </c>
      <c r="M404" s="428" t="s">
        <v>44</v>
      </c>
      <c r="N404" s="428">
        <v>23.099304</v>
      </c>
      <c r="O404" s="428">
        <v>97.400671000000003</v>
      </c>
      <c r="P404" s="428" t="s">
        <v>573</v>
      </c>
      <c r="Q404" s="428" t="s">
        <v>574</v>
      </c>
      <c r="R404" s="440">
        <v>0</v>
      </c>
      <c r="S404" s="433">
        <v>0</v>
      </c>
      <c r="T404" s="445">
        <v>42747</v>
      </c>
      <c r="U404" s="434" t="s">
        <v>696</v>
      </c>
      <c r="V404" s="430"/>
      <c r="W404" s="436" t="s">
        <v>1711</v>
      </c>
      <c r="X404" s="431"/>
      <c r="Y404" s="91"/>
      <c r="Z404" s="45"/>
      <c r="AA404" s="17"/>
      <c r="AB404" s="90"/>
      <c r="AC404" s="17"/>
      <c r="AE404" s="17"/>
    </row>
    <row r="405" spans="1:31" ht="14.25" customHeight="1">
      <c r="A405" s="433" t="s">
        <v>515</v>
      </c>
      <c r="B405" s="447" t="s">
        <v>536</v>
      </c>
      <c r="C405" s="400" t="s">
        <v>869</v>
      </c>
      <c r="D405" s="431" t="s">
        <v>2268</v>
      </c>
      <c r="E405" s="428"/>
      <c r="F405" s="428"/>
      <c r="G405" s="428"/>
      <c r="H405" s="428"/>
      <c r="I405" s="428"/>
      <c r="J405" s="428" t="s">
        <v>1099</v>
      </c>
      <c r="K405" s="428" t="s">
        <v>43</v>
      </c>
      <c r="L405" s="428" t="s">
        <v>43</v>
      </c>
      <c r="M405" s="428" t="s">
        <v>44</v>
      </c>
      <c r="N405" s="428"/>
      <c r="O405" s="428"/>
      <c r="P405" s="428" t="s">
        <v>573</v>
      </c>
      <c r="Q405" s="428" t="s">
        <v>592</v>
      </c>
      <c r="R405" s="440"/>
      <c r="S405" s="432"/>
      <c r="T405" s="445">
        <v>42747</v>
      </c>
      <c r="U405" s="434"/>
      <c r="V405" s="432"/>
      <c r="W405" s="432"/>
      <c r="X405" s="431"/>
      <c r="Y405" s="91"/>
      <c r="Z405" s="45"/>
      <c r="AA405" s="17"/>
      <c r="AB405" s="90"/>
      <c r="AC405" s="17"/>
      <c r="AE405" s="17"/>
    </row>
    <row r="406" spans="1:31" ht="14.25" customHeight="1">
      <c r="A406" s="433" t="s">
        <v>515</v>
      </c>
      <c r="B406" s="436" t="s">
        <v>536</v>
      </c>
      <c r="C406" s="437" t="s">
        <v>869</v>
      </c>
      <c r="D406" s="431"/>
      <c r="E406" s="428"/>
      <c r="F406" s="428"/>
      <c r="G406" s="428"/>
      <c r="H406" s="428"/>
      <c r="I406" s="428"/>
      <c r="J406" s="428" t="s">
        <v>2099</v>
      </c>
      <c r="K406" s="428" t="s">
        <v>2083</v>
      </c>
      <c r="L406" s="428" t="s">
        <v>2083</v>
      </c>
      <c r="M406" s="428" t="s">
        <v>44</v>
      </c>
      <c r="N406" s="428"/>
      <c r="O406" s="428"/>
      <c r="P406" s="428"/>
      <c r="Q406" s="428" t="s">
        <v>2248</v>
      </c>
      <c r="R406" s="440"/>
      <c r="S406" s="432"/>
      <c r="T406" s="445">
        <v>43841</v>
      </c>
      <c r="U406" s="434"/>
      <c r="V406" s="432"/>
      <c r="W406" s="432"/>
      <c r="X406" s="431"/>
      <c r="Y406" s="91"/>
      <c r="Z406" s="45"/>
      <c r="AA406" s="17"/>
      <c r="AB406" s="90"/>
      <c r="AC406" s="17"/>
      <c r="AE406" s="17"/>
    </row>
    <row r="407" spans="1:31" ht="14.25" customHeight="1">
      <c r="A407" s="433" t="s">
        <v>515</v>
      </c>
      <c r="B407" s="436" t="s">
        <v>979</v>
      </c>
      <c r="C407" s="437" t="s">
        <v>1716</v>
      </c>
      <c r="D407" s="431"/>
      <c r="E407" s="428"/>
      <c r="F407" s="428"/>
      <c r="G407" s="428"/>
      <c r="H407" s="428"/>
      <c r="I407" s="428"/>
      <c r="J407" s="428" t="s">
        <v>1099</v>
      </c>
      <c r="K407" s="428" t="s">
        <v>43</v>
      </c>
      <c r="L407" s="428" t="s">
        <v>43</v>
      </c>
      <c r="M407" s="428" t="s">
        <v>44</v>
      </c>
      <c r="N407" s="428"/>
      <c r="O407" s="428"/>
      <c r="P407" s="428" t="s">
        <v>573</v>
      </c>
      <c r="Q407" s="428" t="s">
        <v>667</v>
      </c>
      <c r="R407" s="440"/>
      <c r="S407" s="432"/>
      <c r="T407" s="445">
        <v>43392</v>
      </c>
      <c r="U407" s="434"/>
      <c r="V407" s="432"/>
      <c r="W407" s="432"/>
      <c r="X407" s="431"/>
      <c r="Y407" s="91"/>
      <c r="Z407" s="45"/>
      <c r="AA407" s="17"/>
      <c r="AB407" s="90"/>
      <c r="AC407" s="17"/>
      <c r="AE407" s="17"/>
    </row>
    <row r="408" spans="1:31" ht="14.25" customHeight="1">
      <c r="A408" s="433" t="s">
        <v>515</v>
      </c>
      <c r="B408" s="436" t="s">
        <v>979</v>
      </c>
      <c r="C408" s="437" t="s">
        <v>852</v>
      </c>
      <c r="D408" s="431" t="s">
        <v>2268</v>
      </c>
      <c r="E408" s="428"/>
      <c r="F408" s="428"/>
      <c r="G408" s="428"/>
      <c r="H408" s="428"/>
      <c r="I408" s="428"/>
      <c r="J408" s="428" t="s">
        <v>1099</v>
      </c>
      <c r="K408" s="428" t="s">
        <v>43</v>
      </c>
      <c r="L408" s="428" t="s">
        <v>43</v>
      </c>
      <c r="M408" s="428" t="s">
        <v>44</v>
      </c>
      <c r="N408" s="428"/>
      <c r="O408" s="428"/>
      <c r="P408" s="428" t="s">
        <v>573</v>
      </c>
      <c r="Q408" s="428" t="s">
        <v>592</v>
      </c>
      <c r="R408" s="440"/>
      <c r="S408" s="432"/>
      <c r="T408" s="445">
        <v>42747</v>
      </c>
      <c r="U408" s="434"/>
      <c r="V408" s="432"/>
      <c r="W408" s="432"/>
      <c r="X408" s="431"/>
      <c r="Y408" s="91"/>
      <c r="Z408" s="45"/>
      <c r="AA408" s="17"/>
      <c r="AB408" s="90"/>
      <c r="AC408" s="17"/>
      <c r="AE408" s="17"/>
    </row>
    <row r="409" spans="1:31" ht="14.25" customHeight="1">
      <c r="A409" s="433" t="s">
        <v>515</v>
      </c>
      <c r="B409" s="436" t="s">
        <v>982</v>
      </c>
      <c r="C409" s="437" t="s">
        <v>1024</v>
      </c>
      <c r="D409" s="431"/>
      <c r="E409" s="428"/>
      <c r="F409" s="428"/>
      <c r="G409" s="428"/>
      <c r="H409" s="428"/>
      <c r="I409" s="428"/>
      <c r="J409" s="428" t="s">
        <v>1099</v>
      </c>
      <c r="K409" s="428" t="s">
        <v>43</v>
      </c>
      <c r="L409" s="428" t="s">
        <v>588</v>
      </c>
      <c r="M409" s="428" t="s">
        <v>1590</v>
      </c>
      <c r="N409" s="428"/>
      <c r="O409" s="428"/>
      <c r="P409" s="428" t="s">
        <v>573</v>
      </c>
      <c r="Q409" s="428"/>
      <c r="R409" s="440"/>
      <c r="S409" s="432"/>
      <c r="T409" s="445">
        <v>43298</v>
      </c>
      <c r="U409" s="434"/>
      <c r="V409" s="432"/>
      <c r="W409" s="432"/>
      <c r="X409" s="431"/>
      <c r="Y409" s="91"/>
      <c r="Z409" s="45"/>
      <c r="AA409" s="17"/>
      <c r="AB409" s="90"/>
      <c r="AC409" s="17"/>
      <c r="AE409" s="17"/>
    </row>
    <row r="410" spans="1:31" ht="14.25" customHeight="1">
      <c r="A410" s="433"/>
      <c r="B410" s="447"/>
      <c r="C410" s="400"/>
      <c r="D410" s="431"/>
      <c r="E410" s="428"/>
      <c r="F410" s="428"/>
      <c r="G410" s="428"/>
      <c r="H410" s="428"/>
      <c r="I410" s="970"/>
      <c r="J410" s="428"/>
      <c r="K410" s="428"/>
      <c r="L410" s="428"/>
      <c r="M410" s="428"/>
      <c r="N410" s="428"/>
      <c r="O410" s="428"/>
      <c r="P410" s="428"/>
      <c r="Q410" s="428"/>
      <c r="R410" s="440"/>
      <c r="S410" s="432"/>
      <c r="T410" s="445"/>
      <c r="U410" s="434"/>
      <c r="V410" s="432"/>
      <c r="W410" s="432"/>
      <c r="X410" s="431"/>
      <c r="Y410" s="91"/>
      <c r="Z410" s="45"/>
      <c r="AA410" s="17"/>
      <c r="AB410" s="90"/>
      <c r="AC410" s="17"/>
      <c r="AE410" s="17"/>
    </row>
    <row r="412" spans="1:31" ht="14.25" customHeight="1">
      <c r="O412" s="1077"/>
    </row>
  </sheetData>
  <phoneticPr fontId="148" type="noConversion"/>
  <conditionalFormatting sqref="V340">
    <cfRule type="duplicateValues" dxfId="876" priority="31"/>
  </conditionalFormatting>
  <conditionalFormatting sqref="C18">
    <cfRule type="duplicateValues" dxfId="875" priority="29"/>
  </conditionalFormatting>
  <conditionalFormatting sqref="V13">
    <cfRule type="duplicateValues" dxfId="874" priority="28"/>
  </conditionalFormatting>
  <conditionalFormatting sqref="C19:C364 C3:C17 C366:C368">
    <cfRule type="duplicateValues" dxfId="873" priority="12407"/>
  </conditionalFormatting>
  <conditionalFormatting sqref="X286">
    <cfRule type="duplicateValues" dxfId="872" priority="25"/>
  </conditionalFormatting>
  <conditionalFormatting sqref="X290">
    <cfRule type="duplicateValues" dxfId="871" priority="24"/>
  </conditionalFormatting>
  <conditionalFormatting sqref="X291">
    <cfRule type="duplicateValues" dxfId="870" priority="23"/>
  </conditionalFormatting>
  <conditionalFormatting sqref="X294">
    <cfRule type="duplicateValues" dxfId="869" priority="22"/>
  </conditionalFormatting>
  <conditionalFormatting sqref="X296:X297">
    <cfRule type="duplicateValues" dxfId="868" priority="21"/>
  </conditionalFormatting>
  <conditionalFormatting sqref="X302">
    <cfRule type="duplicateValues" dxfId="867" priority="20"/>
  </conditionalFormatting>
  <conditionalFormatting sqref="X305:X306">
    <cfRule type="duplicateValues" dxfId="866" priority="19"/>
  </conditionalFormatting>
  <conditionalFormatting sqref="X310">
    <cfRule type="duplicateValues" dxfId="865" priority="18"/>
  </conditionalFormatting>
  <conditionalFormatting sqref="X315">
    <cfRule type="duplicateValues" dxfId="864" priority="17"/>
  </conditionalFormatting>
  <conditionalFormatting sqref="X317:X318">
    <cfRule type="duplicateValues" dxfId="863" priority="16"/>
  </conditionalFormatting>
  <conditionalFormatting sqref="X325">
    <cfRule type="duplicateValues" dxfId="862" priority="15"/>
  </conditionalFormatting>
  <conditionalFormatting sqref="X335:X336">
    <cfRule type="duplicateValues" dxfId="861" priority="14"/>
  </conditionalFormatting>
  <conditionalFormatting sqref="X338">
    <cfRule type="duplicateValues" dxfId="860" priority="13"/>
  </conditionalFormatting>
  <conditionalFormatting sqref="X342">
    <cfRule type="duplicateValues" dxfId="859" priority="12"/>
  </conditionalFormatting>
  <conditionalFormatting sqref="X346">
    <cfRule type="duplicateValues" dxfId="858" priority="11"/>
  </conditionalFormatting>
  <conditionalFormatting sqref="V51">
    <cfRule type="duplicateValues" dxfId="857" priority="9"/>
  </conditionalFormatting>
  <conditionalFormatting sqref="V259">
    <cfRule type="duplicateValues" dxfId="856" priority="7"/>
  </conditionalFormatting>
  <conditionalFormatting sqref="V260">
    <cfRule type="duplicateValues" dxfId="855" priority="6"/>
  </conditionalFormatting>
  <conditionalFormatting sqref="V261">
    <cfRule type="duplicateValues" dxfId="854" priority="5"/>
  </conditionalFormatting>
  <conditionalFormatting sqref="V272">
    <cfRule type="duplicateValues" dxfId="853" priority="4"/>
  </conditionalFormatting>
  <conditionalFormatting sqref="V280">
    <cfRule type="duplicateValues" dxfId="852" priority="3"/>
  </conditionalFormatting>
  <conditionalFormatting sqref="V294">
    <cfRule type="duplicateValues" dxfId="851" priority="2"/>
  </conditionalFormatting>
  <conditionalFormatting sqref="V303">
    <cfRule type="duplicateValues" dxfId="850" priority="1"/>
  </conditionalFormatting>
  <conditionalFormatting sqref="E18">
    <cfRule type="duplicateValues" dxfId="849" priority="12623"/>
  </conditionalFormatting>
  <conditionalFormatting sqref="E3:E17 E287:E289 E292:E293 E295 E19:E207 E209:E285 E298:E348">
    <cfRule type="duplicateValues" dxfId="848" priority="12624"/>
  </conditionalFormatting>
  <conditionalFormatting sqref="E378 E375:E376 E365 E355 E351">
    <cfRule type="duplicateValues" dxfId="847" priority="12631"/>
  </conditionalFormatting>
  <dataValidations disablePrompts="1" count="1">
    <dataValidation type="list" allowBlank="1" showInputMessage="1" showErrorMessage="1" sqref="C343" xr:uid="{0C947F1F-B2C7-4140-A9B5-BC2307C73D97}">
      <formula1>OFFSET(Township_start,MATCH(A343,Township_list, 0),1, COUNTIF(Township_list,A343),1)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81" activePane="bottomRight" state="frozen"/>
      <selection activeCell="H81" sqref="H81"/>
      <selection pane="topRight" activeCell="H81" sqref="H81"/>
      <selection pane="bottomLeft" activeCell="H81" sqref="H81"/>
      <selection pane="bottomRight" activeCell="G43" sqref="G43"/>
    </sheetView>
  </sheetViews>
  <sheetFormatPr defaultColWidth="8" defaultRowHeight="45" customHeight="1"/>
  <cols>
    <col min="1" max="1" width="7.59765625" style="520" bestFit="1" customWidth="1"/>
    <col min="2" max="2" width="7.59765625" style="247" bestFit="1" customWidth="1"/>
    <col min="3" max="3" width="42.69921875" style="269" bestFit="1" customWidth="1"/>
    <col min="4" max="4" width="11.59765625" style="269" customWidth="1"/>
    <col min="5" max="5" width="3.5" style="269" hidden="1" customWidth="1"/>
    <col min="6" max="6" width="13.19921875" style="269" hidden="1" customWidth="1"/>
    <col min="7" max="7" width="61.5" style="269" bestFit="1" customWidth="1"/>
    <col min="8" max="8" width="57.19921875" style="460" bestFit="1" customWidth="1"/>
    <col min="9" max="16380" width="8" style="246"/>
    <col min="16381" max="16384" width="21.19921875" style="246" customWidth="1"/>
  </cols>
  <sheetData>
    <row r="1" spans="1:8" ht="45" customHeight="1">
      <c r="A1" s="518"/>
      <c r="B1" s="1140"/>
      <c r="C1" s="1140"/>
      <c r="D1" s="1140"/>
      <c r="E1" s="1140"/>
      <c r="F1" s="1140"/>
      <c r="G1" s="1140"/>
    </row>
    <row r="2" spans="1:8" s="250" customFormat="1" ht="45" customHeight="1">
      <c r="A2" s="519"/>
      <c r="B2" s="248" t="s">
        <v>45</v>
      </c>
      <c r="C2" s="249" t="s">
        <v>1759</v>
      </c>
      <c r="D2" s="249" t="s">
        <v>1760</v>
      </c>
      <c r="E2" s="249" t="s">
        <v>1761</v>
      </c>
      <c r="F2" s="249" t="s">
        <v>1762</v>
      </c>
      <c r="G2" s="249" t="s">
        <v>46</v>
      </c>
      <c r="H2" s="168" t="s">
        <v>2299</v>
      </c>
    </row>
    <row r="3" spans="1:8" ht="45" customHeight="1">
      <c r="A3" s="1141" t="s">
        <v>2285</v>
      </c>
      <c r="B3" s="559" t="s">
        <v>0</v>
      </c>
      <c r="C3" s="251" t="s">
        <v>1763</v>
      </c>
      <c r="D3" s="251" t="s">
        <v>16</v>
      </c>
      <c r="E3" s="251"/>
      <c r="F3" s="251" t="s">
        <v>1764</v>
      </c>
      <c r="G3" s="560"/>
      <c r="H3" s="461"/>
    </row>
    <row r="4" spans="1:8" ht="62.7" customHeight="1">
      <c r="A4" s="1142"/>
      <c r="B4" s="559" t="s">
        <v>1</v>
      </c>
      <c r="C4" s="251" t="s">
        <v>1765</v>
      </c>
      <c r="D4" s="251" t="s">
        <v>16</v>
      </c>
      <c r="E4" s="251"/>
      <c r="F4" s="251" t="s">
        <v>1764</v>
      </c>
      <c r="G4" s="560" t="s">
        <v>1766</v>
      </c>
      <c r="H4" s="461"/>
    </row>
    <row r="5" spans="1:8" ht="45" customHeight="1">
      <c r="A5" s="1142"/>
      <c r="B5" s="559" t="s">
        <v>2</v>
      </c>
      <c r="C5" s="251" t="s">
        <v>1767</v>
      </c>
      <c r="D5" s="251" t="s">
        <v>16</v>
      </c>
      <c r="E5" s="251"/>
      <c r="F5" s="251" t="s">
        <v>1764</v>
      </c>
      <c r="G5" s="560" t="s">
        <v>1768</v>
      </c>
      <c r="H5" s="461"/>
    </row>
    <row r="6" spans="1:8" ht="45" customHeight="1">
      <c r="A6" s="1142"/>
      <c r="B6" s="559" t="s">
        <v>3</v>
      </c>
      <c r="C6" s="251" t="s">
        <v>1769</v>
      </c>
      <c r="D6" s="251" t="s">
        <v>18</v>
      </c>
      <c r="E6" s="251"/>
      <c r="F6" s="251" t="s">
        <v>1764</v>
      </c>
      <c r="G6" s="560" t="s">
        <v>1957</v>
      </c>
      <c r="H6" s="461"/>
    </row>
    <row r="7" spans="1:8" ht="45" customHeight="1">
      <c r="A7" s="1142"/>
      <c r="B7" s="559" t="s">
        <v>4</v>
      </c>
      <c r="C7" s="251" t="s">
        <v>21</v>
      </c>
      <c r="D7" s="251" t="s">
        <v>16</v>
      </c>
      <c r="E7" s="251"/>
      <c r="F7" s="251" t="s">
        <v>1764</v>
      </c>
      <c r="G7" s="560" t="s">
        <v>1770</v>
      </c>
      <c r="H7" s="461"/>
    </row>
    <row r="8" spans="1:8" ht="45" customHeight="1">
      <c r="A8" s="1142"/>
      <c r="B8" s="559" t="s">
        <v>874</v>
      </c>
      <c r="C8" s="251" t="s">
        <v>22</v>
      </c>
      <c r="D8" s="251" t="s">
        <v>16</v>
      </c>
      <c r="E8" s="251"/>
      <c r="F8" s="251" t="s">
        <v>1764</v>
      </c>
      <c r="G8" s="560" t="s">
        <v>1770</v>
      </c>
      <c r="H8" s="461"/>
    </row>
    <row r="9" spans="1:8" ht="45" customHeight="1">
      <c r="A9" s="1142"/>
      <c r="B9" s="559" t="s">
        <v>5</v>
      </c>
      <c r="C9" s="251" t="s">
        <v>1771</v>
      </c>
      <c r="D9" s="251" t="s">
        <v>1943</v>
      </c>
      <c r="E9" s="251"/>
      <c r="F9" s="251" t="s">
        <v>1764</v>
      </c>
      <c r="G9" s="560" t="s">
        <v>1772</v>
      </c>
      <c r="H9" s="461"/>
    </row>
    <row r="10" spans="1:8" ht="45" customHeight="1">
      <c r="A10" s="1142"/>
      <c r="B10" s="559" t="s">
        <v>6</v>
      </c>
      <c r="C10" s="251" t="s">
        <v>1773</v>
      </c>
      <c r="D10" s="251" t="s">
        <v>16</v>
      </c>
      <c r="E10" s="251"/>
      <c r="F10" s="251" t="s">
        <v>1764</v>
      </c>
      <c r="G10" s="560" t="s">
        <v>1774</v>
      </c>
      <c r="H10" s="461"/>
    </row>
    <row r="11" spans="1:8" ht="75" customHeight="1">
      <c r="A11" s="1142"/>
      <c r="B11" s="559" t="s">
        <v>47</v>
      </c>
      <c r="C11" s="251" t="s">
        <v>24</v>
      </c>
      <c r="D11" s="251" t="s">
        <v>17</v>
      </c>
      <c r="E11" s="251"/>
      <c r="F11" s="251" t="s">
        <v>1764</v>
      </c>
      <c r="G11" s="560" t="s">
        <v>1849</v>
      </c>
      <c r="H11" s="461"/>
    </row>
    <row r="12" spans="1:8" ht="85.2" customHeight="1">
      <c r="A12" s="1142"/>
      <c r="B12" s="559" t="s">
        <v>48</v>
      </c>
      <c r="C12" s="251" t="s">
        <v>1487</v>
      </c>
      <c r="D12" s="251" t="s">
        <v>17</v>
      </c>
      <c r="E12" s="251"/>
      <c r="F12" s="251" t="s">
        <v>1764</v>
      </c>
      <c r="G12" s="560" t="s">
        <v>1849</v>
      </c>
      <c r="H12" s="461"/>
    </row>
    <row r="13" spans="1:8" ht="45" customHeight="1">
      <c r="A13" s="1142"/>
      <c r="B13" s="559" t="s">
        <v>51</v>
      </c>
      <c r="C13" s="251" t="s">
        <v>1775</v>
      </c>
      <c r="D13" s="251" t="s">
        <v>19</v>
      </c>
      <c r="E13" s="251"/>
      <c r="F13" s="251" t="s">
        <v>1764</v>
      </c>
      <c r="G13" s="560" t="s">
        <v>1776</v>
      </c>
      <c r="H13" s="461"/>
    </row>
    <row r="14" spans="1:8" ht="45" customHeight="1">
      <c r="A14" s="1142"/>
      <c r="B14" s="559" t="s">
        <v>53</v>
      </c>
      <c r="C14" s="251" t="s">
        <v>1777</v>
      </c>
      <c r="D14" s="251" t="s">
        <v>19</v>
      </c>
      <c r="E14" s="251"/>
      <c r="F14" s="251" t="s">
        <v>1764</v>
      </c>
      <c r="G14" s="560" t="s">
        <v>1778</v>
      </c>
      <c r="H14" s="461"/>
    </row>
    <row r="15" spans="1:8" ht="45" customHeight="1">
      <c r="A15" s="1142"/>
      <c r="B15" s="559" t="s">
        <v>54</v>
      </c>
      <c r="C15" s="251" t="s">
        <v>1989</v>
      </c>
      <c r="D15" s="251" t="s">
        <v>17</v>
      </c>
      <c r="E15" s="251"/>
      <c r="F15" s="251" t="s">
        <v>1941</v>
      </c>
      <c r="G15" s="560"/>
      <c r="H15" s="461"/>
    </row>
    <row r="16" spans="1:8" ht="45" customHeight="1">
      <c r="A16" s="1142"/>
      <c r="B16" s="559" t="s">
        <v>115</v>
      </c>
      <c r="C16" s="251" t="s">
        <v>1570</v>
      </c>
      <c r="D16" s="251" t="s">
        <v>17</v>
      </c>
      <c r="E16" s="251"/>
      <c r="F16" s="251" t="s">
        <v>304</v>
      </c>
      <c r="G16" s="560" t="s">
        <v>1990</v>
      </c>
      <c r="H16" s="461"/>
    </row>
    <row r="17" spans="1:8" ht="45" customHeight="1">
      <c r="A17" s="1142"/>
      <c r="B17" s="559" t="s">
        <v>116</v>
      </c>
      <c r="C17" s="251" t="s">
        <v>1572</v>
      </c>
      <c r="D17" s="251" t="s">
        <v>17</v>
      </c>
      <c r="E17" s="251"/>
      <c r="F17" s="251" t="s">
        <v>304</v>
      </c>
      <c r="G17" s="560" t="s">
        <v>1991</v>
      </c>
      <c r="H17" s="461"/>
    </row>
    <row r="18" spans="1:8" ht="45" customHeight="1">
      <c r="A18" s="1142"/>
      <c r="B18" s="559" t="s">
        <v>59</v>
      </c>
      <c r="C18" s="251" t="s">
        <v>1779</v>
      </c>
      <c r="D18" s="251" t="s">
        <v>17</v>
      </c>
      <c r="E18" s="251" t="s">
        <v>1992</v>
      </c>
      <c r="F18" s="251" t="s">
        <v>1764</v>
      </c>
      <c r="G18" s="560" t="s">
        <v>1993</v>
      </c>
      <c r="H18" s="461"/>
    </row>
    <row r="19" spans="1:8" ht="45" customHeight="1">
      <c r="A19" s="1142"/>
      <c r="B19" s="559" t="s">
        <v>57</v>
      </c>
      <c r="C19" s="251" t="s">
        <v>1780</v>
      </c>
      <c r="D19" s="251" t="s">
        <v>1781</v>
      </c>
      <c r="E19" s="251"/>
      <c r="F19" s="251" t="s">
        <v>1764</v>
      </c>
      <c r="G19" s="560" t="s">
        <v>1994</v>
      </c>
      <c r="H19" s="461"/>
    </row>
    <row r="20" spans="1:8" ht="45" customHeight="1">
      <c r="A20" s="1142"/>
      <c r="B20" s="559" t="s">
        <v>61</v>
      </c>
      <c r="C20" s="251" t="s">
        <v>1782</v>
      </c>
      <c r="D20" s="251" t="s">
        <v>17</v>
      </c>
      <c r="E20" s="251"/>
      <c r="F20" s="251" t="s">
        <v>1764</v>
      </c>
      <c r="G20" s="560" t="s">
        <v>1995</v>
      </c>
      <c r="H20" s="461"/>
    </row>
    <row r="21" spans="1:8" ht="45" customHeight="1">
      <c r="A21" s="1143"/>
      <c r="B21" s="559" t="s">
        <v>875</v>
      </c>
      <c r="C21" s="251" t="s">
        <v>1783</v>
      </c>
      <c r="D21" s="251" t="s">
        <v>17</v>
      </c>
      <c r="E21" s="251"/>
      <c r="F21" s="251" t="s">
        <v>1764</v>
      </c>
      <c r="G21" s="560" t="s">
        <v>1995</v>
      </c>
      <c r="H21" s="461"/>
    </row>
    <row r="22" spans="1:8" ht="45" customHeight="1">
      <c r="A22" s="1144" t="s">
        <v>1583</v>
      </c>
      <c r="B22" s="561" t="s">
        <v>62</v>
      </c>
      <c r="C22" s="169" t="s">
        <v>1949</v>
      </c>
      <c r="D22" s="169" t="s">
        <v>17</v>
      </c>
      <c r="E22" s="169"/>
      <c r="F22" s="169" t="s">
        <v>1764</v>
      </c>
      <c r="G22" s="229" t="s">
        <v>1785</v>
      </c>
      <c r="H22" s="562" t="s">
        <v>2314</v>
      </c>
    </row>
    <row r="23" spans="1:8" ht="45" customHeight="1">
      <c r="A23" s="1145"/>
      <c r="B23" s="561" t="s">
        <v>63</v>
      </c>
      <c r="C23" s="169" t="s">
        <v>1910</v>
      </c>
      <c r="D23" s="169" t="s">
        <v>17</v>
      </c>
      <c r="E23" s="169"/>
      <c r="F23" s="169" t="s">
        <v>1764</v>
      </c>
      <c r="G23" s="229" t="s">
        <v>1911</v>
      </c>
      <c r="H23" s="461"/>
    </row>
    <row r="24" spans="1:8" ht="45" customHeight="1">
      <c r="A24" s="1145"/>
      <c r="B24" s="561" t="s">
        <v>64</v>
      </c>
      <c r="C24" s="169" t="s">
        <v>1912</v>
      </c>
      <c r="D24" s="169" t="s">
        <v>17</v>
      </c>
      <c r="E24" s="169"/>
      <c r="F24" s="169" t="s">
        <v>1764</v>
      </c>
      <c r="G24" s="229" t="s">
        <v>1944</v>
      </c>
      <c r="H24" s="461"/>
    </row>
    <row r="25" spans="1:8" ht="45" customHeight="1">
      <c r="A25" s="1145"/>
      <c r="B25" s="561" t="s">
        <v>66</v>
      </c>
      <c r="C25" s="170" t="s">
        <v>1945</v>
      </c>
      <c r="D25" s="170" t="s">
        <v>17</v>
      </c>
      <c r="E25" s="169"/>
      <c r="F25" s="170" t="s">
        <v>1764</v>
      </c>
      <c r="G25" s="229" t="s">
        <v>55</v>
      </c>
      <c r="H25" s="562" t="s">
        <v>2314</v>
      </c>
    </row>
    <row r="26" spans="1:8" ht="45" customHeight="1">
      <c r="A26" s="1145"/>
      <c r="B26" s="561" t="s">
        <v>876</v>
      </c>
      <c r="C26" s="170" t="s">
        <v>1950</v>
      </c>
      <c r="D26" s="170" t="s">
        <v>17</v>
      </c>
      <c r="E26" s="169"/>
      <c r="F26" s="170" t="s">
        <v>1764</v>
      </c>
      <c r="G26" s="229" t="s">
        <v>1951</v>
      </c>
      <c r="H26" s="562" t="s">
        <v>2314</v>
      </c>
    </row>
    <row r="27" spans="1:8" ht="45" customHeight="1">
      <c r="A27" s="1145"/>
      <c r="B27" s="561" t="s">
        <v>67</v>
      </c>
      <c r="C27" s="170" t="s">
        <v>1996</v>
      </c>
      <c r="D27" s="170" t="s">
        <v>17</v>
      </c>
      <c r="E27" s="169"/>
      <c r="F27" s="170" t="s">
        <v>1764</v>
      </c>
      <c r="G27" s="229" t="s">
        <v>1997</v>
      </c>
      <c r="H27" s="461"/>
    </row>
    <row r="28" spans="1:8" ht="45" customHeight="1">
      <c r="A28" s="1145"/>
      <c r="B28" s="561" t="s">
        <v>68</v>
      </c>
      <c r="C28" s="170" t="s">
        <v>1998</v>
      </c>
      <c r="D28" s="170" t="s">
        <v>17</v>
      </c>
      <c r="E28" s="169"/>
      <c r="F28" s="170" t="s">
        <v>1764</v>
      </c>
      <c r="G28" s="229" t="s">
        <v>1999</v>
      </c>
      <c r="H28" s="461"/>
    </row>
    <row r="29" spans="1:8" ht="45" customHeight="1">
      <c r="A29" s="1145"/>
      <c r="B29" s="561" t="s">
        <v>69</v>
      </c>
      <c r="C29" s="170" t="s">
        <v>2000</v>
      </c>
      <c r="D29" s="170" t="s">
        <v>2001</v>
      </c>
      <c r="E29" s="170" t="s">
        <v>1930</v>
      </c>
      <c r="F29" s="170" t="s">
        <v>1764</v>
      </c>
      <c r="G29" s="229" t="s">
        <v>2000</v>
      </c>
      <c r="H29" s="562" t="s">
        <v>2314</v>
      </c>
    </row>
    <row r="30" spans="1:8" ht="45" customHeight="1">
      <c r="A30" s="1145"/>
      <c r="B30" s="561" t="s">
        <v>70</v>
      </c>
      <c r="C30" s="170" t="s">
        <v>1958</v>
      </c>
      <c r="D30" s="170" t="s">
        <v>2001</v>
      </c>
      <c r="E30" s="170"/>
      <c r="F30" s="170" t="s">
        <v>1764</v>
      </c>
      <c r="G30" s="229" t="s">
        <v>1960</v>
      </c>
      <c r="H30" s="461"/>
    </row>
    <row r="31" spans="1:8" ht="45" customHeight="1">
      <c r="A31" s="1145"/>
      <c r="B31" s="561" t="s">
        <v>1011</v>
      </c>
      <c r="C31" s="170" t="s">
        <v>1959</v>
      </c>
      <c r="D31" s="170" t="s">
        <v>2001</v>
      </c>
      <c r="E31" s="170"/>
      <c r="F31" s="170" t="s">
        <v>1764</v>
      </c>
      <c r="G31" s="229" t="s">
        <v>1961</v>
      </c>
      <c r="H31" s="463"/>
    </row>
    <row r="32" spans="1:8" ht="45" customHeight="1">
      <c r="A32" s="1145"/>
      <c r="B32" s="561" t="s">
        <v>1012</v>
      </c>
      <c r="C32" s="170" t="s">
        <v>2322</v>
      </c>
      <c r="D32" s="170" t="s">
        <v>17</v>
      </c>
      <c r="E32" s="169" t="s">
        <v>2002</v>
      </c>
      <c r="F32" s="170" t="s">
        <v>1941</v>
      </c>
      <c r="G32" s="229" t="s">
        <v>1786</v>
      </c>
      <c r="H32" s="562" t="s">
        <v>2314</v>
      </c>
    </row>
    <row r="33" spans="1:8" ht="45" customHeight="1">
      <c r="A33" s="1145"/>
      <c r="B33" s="561" t="s">
        <v>1013</v>
      </c>
      <c r="C33" s="170" t="s">
        <v>1931</v>
      </c>
      <c r="D33" s="232" t="s">
        <v>17</v>
      </c>
      <c r="E33" s="169" t="s">
        <v>1784</v>
      </c>
      <c r="F33" s="232" t="s">
        <v>304</v>
      </c>
      <c r="G33" s="229" t="s">
        <v>56</v>
      </c>
      <c r="H33" s="562" t="s">
        <v>2314</v>
      </c>
    </row>
    <row r="34" spans="1:8" ht="45" customHeight="1">
      <c r="A34" s="1145"/>
      <c r="B34" s="561" t="s">
        <v>1014</v>
      </c>
      <c r="C34" s="170" t="s">
        <v>2323</v>
      </c>
      <c r="D34" s="232" t="s">
        <v>17</v>
      </c>
      <c r="E34" s="169" t="s">
        <v>1784</v>
      </c>
      <c r="F34" s="232" t="s">
        <v>1764</v>
      </c>
      <c r="G34" s="229" t="s">
        <v>2004</v>
      </c>
      <c r="H34" s="562" t="s">
        <v>2314</v>
      </c>
    </row>
    <row r="35" spans="1:8" ht="45" customHeight="1">
      <c r="A35" s="1145"/>
      <c r="B35" s="561" t="s">
        <v>1015</v>
      </c>
      <c r="C35" s="170" t="s">
        <v>2005</v>
      </c>
      <c r="D35" s="252" t="s">
        <v>17</v>
      </c>
      <c r="E35" s="253"/>
      <c r="F35" s="254" t="s">
        <v>304</v>
      </c>
      <c r="G35" s="255" t="s">
        <v>2006</v>
      </c>
      <c r="H35" s="464"/>
    </row>
    <row r="36" spans="1:8" ht="45" customHeight="1">
      <c r="A36" s="1145"/>
      <c r="B36" s="561" t="s">
        <v>1016</v>
      </c>
      <c r="C36" s="170" t="s">
        <v>1787</v>
      </c>
      <c r="D36" s="254" t="s">
        <v>17</v>
      </c>
      <c r="E36" s="254"/>
      <c r="F36" s="254" t="s">
        <v>304</v>
      </c>
      <c r="G36" s="255" t="s">
        <v>58</v>
      </c>
      <c r="H36" s="464"/>
    </row>
    <row r="37" spans="1:8" ht="45" customHeight="1">
      <c r="A37" s="1145"/>
      <c r="B37" s="561" t="s">
        <v>1017</v>
      </c>
      <c r="C37" s="171" t="s">
        <v>2270</v>
      </c>
      <c r="D37" s="171" t="s">
        <v>17</v>
      </c>
      <c r="E37" s="171"/>
      <c r="F37" s="171" t="s">
        <v>1764</v>
      </c>
      <c r="G37" s="229" t="s">
        <v>2272</v>
      </c>
      <c r="H37" s="461"/>
    </row>
    <row r="38" spans="1:8" ht="45" customHeight="1">
      <c r="A38" s="1145"/>
      <c r="B38" s="561" t="s">
        <v>1018</v>
      </c>
      <c r="C38" s="171" t="s">
        <v>2273</v>
      </c>
      <c r="D38" s="171" t="s">
        <v>17</v>
      </c>
      <c r="E38" s="171"/>
      <c r="F38" s="171" t="s">
        <v>1764</v>
      </c>
      <c r="G38" s="229" t="s">
        <v>2274</v>
      </c>
      <c r="H38" s="461"/>
    </row>
    <row r="39" spans="1:8" ht="45" customHeight="1">
      <c r="A39" s="1145"/>
      <c r="B39" s="561" t="s">
        <v>1019</v>
      </c>
      <c r="C39" s="171" t="s">
        <v>2275</v>
      </c>
      <c r="D39" s="563" t="s">
        <v>17</v>
      </c>
      <c r="E39" s="563"/>
      <c r="F39" s="171" t="s">
        <v>1764</v>
      </c>
      <c r="G39" s="229" t="s">
        <v>2277</v>
      </c>
      <c r="H39" s="461"/>
    </row>
    <row r="40" spans="1:8" ht="45" customHeight="1">
      <c r="A40" s="1145"/>
      <c r="B40" s="561" t="s">
        <v>1020</v>
      </c>
      <c r="C40" s="171" t="s">
        <v>2276</v>
      </c>
      <c r="D40" s="563" t="s">
        <v>17</v>
      </c>
      <c r="E40" s="563"/>
      <c r="F40" s="171" t="s">
        <v>1764</v>
      </c>
      <c r="G40" s="229" t="s">
        <v>2278</v>
      </c>
      <c r="H40" s="461"/>
    </row>
    <row r="41" spans="1:8" ht="45" customHeight="1">
      <c r="A41" s="1145"/>
      <c r="B41" s="561" t="s">
        <v>1569</v>
      </c>
      <c r="C41" s="228" t="s">
        <v>2298</v>
      </c>
      <c r="D41" s="170" t="s">
        <v>17</v>
      </c>
      <c r="E41" s="170"/>
      <c r="F41" s="171" t="s">
        <v>1941</v>
      </c>
      <c r="G41" s="229" t="s">
        <v>2297</v>
      </c>
      <c r="H41" s="461"/>
    </row>
    <row r="42" spans="1:8" ht="45" customHeight="1">
      <c r="A42" s="1145"/>
      <c r="B42" s="561" t="s">
        <v>2857</v>
      </c>
      <c r="C42" s="169" t="s">
        <v>2853</v>
      </c>
      <c r="D42" s="228" t="s">
        <v>17</v>
      </c>
      <c r="E42" s="170"/>
      <c r="F42" s="171" t="s">
        <v>1941</v>
      </c>
      <c r="G42" s="229" t="s">
        <v>2859</v>
      </c>
      <c r="H42" s="461"/>
    </row>
    <row r="43" spans="1:8" ht="96.6">
      <c r="A43" s="1145"/>
      <c r="B43" s="561" t="s">
        <v>2858</v>
      </c>
      <c r="C43" s="169" t="s">
        <v>2856</v>
      </c>
      <c r="D43" s="228" t="s">
        <v>17</v>
      </c>
      <c r="E43" s="170"/>
      <c r="F43" s="171" t="s">
        <v>1941</v>
      </c>
      <c r="G43" s="229" t="s">
        <v>2860</v>
      </c>
      <c r="H43" s="562" t="s">
        <v>2320</v>
      </c>
    </row>
    <row r="44" spans="1:8" ht="45" customHeight="1">
      <c r="A44" s="1146"/>
      <c r="B44" s="561" t="s">
        <v>1714</v>
      </c>
      <c r="C44" s="228" t="s">
        <v>60</v>
      </c>
      <c r="D44" s="228" t="s">
        <v>18</v>
      </c>
      <c r="E44" s="228"/>
      <c r="F44" s="228" t="s">
        <v>1764</v>
      </c>
      <c r="G44" s="229"/>
      <c r="H44" s="461"/>
    </row>
    <row r="45" spans="1:8" ht="87.6" customHeight="1">
      <c r="A45" s="1147" t="s">
        <v>1584</v>
      </c>
      <c r="B45" s="564" t="s">
        <v>1789</v>
      </c>
      <c r="C45" s="172" t="s">
        <v>1952</v>
      </c>
      <c r="D45" s="172" t="s">
        <v>17</v>
      </c>
      <c r="E45" s="172"/>
      <c r="F45" s="172" t="s">
        <v>1764</v>
      </c>
      <c r="G45" s="256" t="s">
        <v>1010</v>
      </c>
      <c r="H45" s="565" t="s">
        <v>2309</v>
      </c>
    </row>
    <row r="46" spans="1:8" ht="41.4">
      <c r="A46" s="1148"/>
      <c r="B46" s="564" t="s">
        <v>1791</v>
      </c>
      <c r="C46" s="172" t="s">
        <v>1953</v>
      </c>
      <c r="D46" s="172" t="s">
        <v>17</v>
      </c>
      <c r="E46" s="172"/>
      <c r="F46" s="172" t="s">
        <v>1764</v>
      </c>
      <c r="G46" s="256" t="s">
        <v>1954</v>
      </c>
      <c r="H46" s="565" t="s">
        <v>2309</v>
      </c>
    </row>
    <row r="47" spans="1:8" ht="27.6">
      <c r="A47" s="1148"/>
      <c r="B47" s="564" t="s">
        <v>1792</v>
      </c>
      <c r="C47" s="172" t="s">
        <v>2007</v>
      </c>
      <c r="D47" s="172" t="s">
        <v>18</v>
      </c>
      <c r="E47" s="172"/>
      <c r="F47" s="172" t="s">
        <v>1764</v>
      </c>
      <c r="G47" s="256" t="s">
        <v>2007</v>
      </c>
      <c r="H47" s="461"/>
    </row>
    <row r="48" spans="1:8" ht="45" customHeight="1">
      <c r="A48" s="1148"/>
      <c r="B48" s="564" t="s">
        <v>1793</v>
      </c>
      <c r="C48" s="172" t="s">
        <v>2008</v>
      </c>
      <c r="D48" s="172" t="s">
        <v>17</v>
      </c>
      <c r="E48" s="172"/>
      <c r="F48" s="172" t="s">
        <v>1764</v>
      </c>
      <c r="G48" s="256" t="s">
        <v>1790</v>
      </c>
      <c r="H48" s="461"/>
    </row>
    <row r="49" spans="1:8" ht="55.2">
      <c r="A49" s="1148"/>
      <c r="B49" s="564" t="s">
        <v>1794</v>
      </c>
      <c r="C49" s="172" t="s">
        <v>2009</v>
      </c>
      <c r="D49" s="172" t="s">
        <v>17</v>
      </c>
      <c r="E49" s="172"/>
      <c r="F49" s="172" t="s">
        <v>1764</v>
      </c>
      <c r="G49" s="256" t="s">
        <v>2010</v>
      </c>
      <c r="H49" s="461"/>
    </row>
    <row r="50" spans="1:8" ht="27.6">
      <c r="A50" s="1148"/>
      <c r="B50" s="564" t="s">
        <v>1795</v>
      </c>
      <c r="C50" s="172" t="s">
        <v>2011</v>
      </c>
      <c r="D50" s="172" t="s">
        <v>17</v>
      </c>
      <c r="E50" s="172"/>
      <c r="F50" s="172" t="s">
        <v>1764</v>
      </c>
      <c r="G50" s="256" t="s">
        <v>2012</v>
      </c>
      <c r="H50" s="461" t="s">
        <v>1788</v>
      </c>
    </row>
    <row r="51" spans="1:8" ht="27.6">
      <c r="A51" s="1148"/>
      <c r="B51" s="564" t="s">
        <v>1796</v>
      </c>
      <c r="C51" s="257" t="s">
        <v>1906</v>
      </c>
      <c r="D51" s="257" t="s">
        <v>2001</v>
      </c>
      <c r="E51" s="257"/>
      <c r="F51" s="257" t="s">
        <v>304</v>
      </c>
      <c r="G51" s="256" t="s">
        <v>2013</v>
      </c>
      <c r="H51" s="461" t="s">
        <v>1788</v>
      </c>
    </row>
    <row r="52" spans="1:8" ht="45" customHeight="1">
      <c r="A52" s="1148"/>
      <c r="B52" s="564" t="s">
        <v>1798</v>
      </c>
      <c r="C52" s="172" t="s">
        <v>2014</v>
      </c>
      <c r="D52" s="172" t="s">
        <v>17</v>
      </c>
      <c r="E52" s="172"/>
      <c r="F52" s="172" t="s">
        <v>304</v>
      </c>
      <c r="G52" s="256" t="s">
        <v>2015</v>
      </c>
      <c r="H52" s="461"/>
    </row>
    <row r="53" spans="1:8" ht="45" customHeight="1">
      <c r="A53" s="1148"/>
      <c r="B53" s="564" t="s">
        <v>1800</v>
      </c>
      <c r="C53" s="258" t="s">
        <v>1829</v>
      </c>
      <c r="D53" s="172" t="s">
        <v>1913</v>
      </c>
      <c r="E53" s="259"/>
      <c r="F53" s="259" t="s">
        <v>1764</v>
      </c>
      <c r="G53" s="256" t="s">
        <v>1797</v>
      </c>
      <c r="H53" s="461"/>
    </row>
    <row r="54" spans="1:8" ht="51.75" customHeight="1">
      <c r="A54" s="1148"/>
      <c r="B54" s="564" t="s">
        <v>1801</v>
      </c>
      <c r="C54" s="260" t="s">
        <v>1830</v>
      </c>
      <c r="D54" s="172" t="s">
        <v>1909</v>
      </c>
      <c r="E54" s="261"/>
      <c r="F54" s="261" t="s">
        <v>1764</v>
      </c>
      <c r="G54" s="256" t="s">
        <v>1799</v>
      </c>
      <c r="H54" s="461"/>
    </row>
    <row r="55" spans="1:8" ht="45" customHeight="1">
      <c r="A55" s="1148"/>
      <c r="B55" s="564" t="s">
        <v>1802</v>
      </c>
      <c r="C55" s="261" t="s">
        <v>2310</v>
      </c>
      <c r="D55" s="261" t="s">
        <v>17</v>
      </c>
      <c r="E55" s="261"/>
      <c r="F55" s="261" t="s">
        <v>1764</v>
      </c>
      <c r="G55" s="256" t="s">
        <v>1009</v>
      </c>
      <c r="H55" s="565" t="s">
        <v>2309</v>
      </c>
    </row>
    <row r="56" spans="1:8" ht="45" customHeight="1">
      <c r="A56" s="1148"/>
      <c r="B56" s="564" t="s">
        <v>1803</v>
      </c>
      <c r="C56" s="261" t="s">
        <v>2311</v>
      </c>
      <c r="D56" s="261" t="s">
        <v>17</v>
      </c>
      <c r="E56" s="261"/>
      <c r="F56" s="261" t="s">
        <v>1764</v>
      </c>
      <c r="G56" s="256" t="s">
        <v>1009</v>
      </c>
      <c r="H56" s="565" t="s">
        <v>2309</v>
      </c>
    </row>
    <row r="57" spans="1:8" ht="69">
      <c r="A57" s="1148"/>
      <c r="B57" s="564" t="s">
        <v>1804</v>
      </c>
      <c r="C57" s="261" t="s">
        <v>2324</v>
      </c>
      <c r="D57" s="261" t="s">
        <v>17</v>
      </c>
      <c r="E57" s="261"/>
      <c r="F57" s="261" t="s">
        <v>1941</v>
      </c>
      <c r="G57" s="256" t="s">
        <v>2325</v>
      </c>
      <c r="H57" s="565" t="s">
        <v>2315</v>
      </c>
    </row>
    <row r="58" spans="1:8" ht="69">
      <c r="A58" s="1148"/>
      <c r="B58" s="564" t="s">
        <v>1806</v>
      </c>
      <c r="C58" s="261" t="s">
        <v>2326</v>
      </c>
      <c r="D58" s="261" t="s">
        <v>17</v>
      </c>
      <c r="E58" s="261"/>
      <c r="F58" s="261" t="s">
        <v>1941</v>
      </c>
      <c r="G58" s="256" t="s">
        <v>2327</v>
      </c>
      <c r="H58" s="565" t="s">
        <v>2315</v>
      </c>
    </row>
    <row r="59" spans="1:8" ht="55.2">
      <c r="A59" s="1148"/>
      <c r="B59" s="564" t="s">
        <v>1808</v>
      </c>
      <c r="C59" s="531" t="s">
        <v>2308</v>
      </c>
      <c r="D59" s="261" t="s">
        <v>17</v>
      </c>
      <c r="E59" s="261"/>
      <c r="F59" s="261"/>
      <c r="G59" s="256" t="s">
        <v>2182</v>
      </c>
      <c r="H59" s="565" t="s">
        <v>2309</v>
      </c>
    </row>
    <row r="60" spans="1:8" ht="45" customHeight="1">
      <c r="A60" s="1149"/>
      <c r="B60" s="564" t="s">
        <v>1810</v>
      </c>
      <c r="C60" s="261" t="s">
        <v>65</v>
      </c>
      <c r="D60" s="261" t="s">
        <v>18</v>
      </c>
      <c r="E60" s="261"/>
      <c r="F60" s="261" t="s">
        <v>1764</v>
      </c>
      <c r="G60" s="256"/>
      <c r="H60" s="461"/>
    </row>
    <row r="61" spans="1:8" ht="45" customHeight="1">
      <c r="A61" s="1150" t="s">
        <v>1585</v>
      </c>
      <c r="B61" s="566" t="s">
        <v>1813</v>
      </c>
      <c r="C61" s="262" t="s">
        <v>1932</v>
      </c>
      <c r="D61" s="262" t="s">
        <v>17</v>
      </c>
      <c r="E61" s="262"/>
      <c r="F61" s="262" t="s">
        <v>2016</v>
      </c>
      <c r="G61" s="263" t="s">
        <v>1805</v>
      </c>
      <c r="H61" s="461"/>
    </row>
    <row r="62" spans="1:8" ht="45" customHeight="1">
      <c r="A62" s="1151"/>
      <c r="B62" s="566" t="s">
        <v>1816</v>
      </c>
      <c r="C62" s="262" t="s">
        <v>1962</v>
      </c>
      <c r="D62" s="262" t="s">
        <v>17</v>
      </c>
      <c r="E62" s="262"/>
      <c r="F62" s="262" t="s">
        <v>2016</v>
      </c>
      <c r="G62" s="263" t="s">
        <v>1963</v>
      </c>
      <c r="H62" s="461"/>
    </row>
    <row r="63" spans="1:8" ht="45" customHeight="1">
      <c r="A63" s="1151"/>
      <c r="B63" s="566" t="s">
        <v>1818</v>
      </c>
      <c r="C63" s="264" t="s">
        <v>1933</v>
      </c>
      <c r="D63" s="264" t="s">
        <v>17</v>
      </c>
      <c r="E63" s="264"/>
      <c r="F63" s="264" t="s">
        <v>304</v>
      </c>
      <c r="G63" s="263" t="s">
        <v>1809</v>
      </c>
      <c r="H63" s="461"/>
    </row>
    <row r="64" spans="1:8" ht="45" customHeight="1">
      <c r="A64" s="1151"/>
      <c r="B64" s="566" t="s">
        <v>1819</v>
      </c>
      <c r="C64" s="264" t="s">
        <v>1934</v>
      </c>
      <c r="D64" s="264" t="s">
        <v>17</v>
      </c>
      <c r="E64" s="264"/>
      <c r="F64" s="262" t="s">
        <v>2016</v>
      </c>
      <c r="G64" s="263" t="s">
        <v>1807</v>
      </c>
      <c r="H64" s="461"/>
    </row>
    <row r="65" spans="1:8" ht="45" customHeight="1">
      <c r="A65" s="1151"/>
      <c r="B65" s="566" t="s">
        <v>1820</v>
      </c>
      <c r="C65" s="264" t="s">
        <v>1964</v>
      </c>
      <c r="D65" s="264" t="s">
        <v>17</v>
      </c>
      <c r="E65" s="264"/>
      <c r="F65" s="262" t="s">
        <v>2016</v>
      </c>
      <c r="G65" s="263" t="s">
        <v>1965</v>
      </c>
      <c r="H65" s="461"/>
    </row>
    <row r="66" spans="1:8" ht="41.4">
      <c r="A66" s="1151"/>
      <c r="B66" s="566" t="s">
        <v>1821</v>
      </c>
      <c r="C66" s="264" t="s">
        <v>1811</v>
      </c>
      <c r="D66" s="264" t="s">
        <v>17</v>
      </c>
      <c r="E66" s="264"/>
      <c r="F66" s="264" t="s">
        <v>1764</v>
      </c>
      <c r="G66" s="265" t="s">
        <v>1812</v>
      </c>
      <c r="H66" s="567" t="s">
        <v>2316</v>
      </c>
    </row>
    <row r="67" spans="1:8" ht="41.4">
      <c r="A67" s="1151"/>
      <c r="B67" s="566" t="s">
        <v>1955</v>
      </c>
      <c r="C67" s="264" t="s">
        <v>1814</v>
      </c>
      <c r="D67" s="264" t="s">
        <v>17</v>
      </c>
      <c r="E67" s="264"/>
      <c r="F67" s="264" t="s">
        <v>1764</v>
      </c>
      <c r="G67" s="265" t="s">
        <v>1815</v>
      </c>
      <c r="H67" s="567" t="s">
        <v>2316</v>
      </c>
    </row>
    <row r="68" spans="1:8" ht="45" customHeight="1">
      <c r="A68" s="1151"/>
      <c r="B68" s="566" t="s">
        <v>1956</v>
      </c>
      <c r="C68" s="264" t="s">
        <v>1817</v>
      </c>
      <c r="D68" s="231" t="s">
        <v>17</v>
      </c>
      <c r="E68" s="231"/>
      <c r="F68" s="264" t="s">
        <v>1764</v>
      </c>
      <c r="G68" s="265" t="s">
        <v>2017</v>
      </c>
      <c r="H68" s="567" t="s">
        <v>2316</v>
      </c>
    </row>
    <row r="69" spans="1:8" ht="41.4">
      <c r="A69" s="1151"/>
      <c r="B69" s="566" t="s">
        <v>2019</v>
      </c>
      <c r="C69" s="264" t="s">
        <v>2328</v>
      </c>
      <c r="D69" s="231" t="s">
        <v>17</v>
      </c>
      <c r="E69" s="231"/>
      <c r="F69" s="264" t="s">
        <v>1764</v>
      </c>
      <c r="G69" s="265" t="s">
        <v>2329</v>
      </c>
      <c r="H69" s="567" t="s">
        <v>2316</v>
      </c>
    </row>
    <row r="70" spans="1:8" ht="45" customHeight="1">
      <c r="A70" s="1151"/>
      <c r="B70" s="566" t="s">
        <v>2022</v>
      </c>
      <c r="C70" s="231" t="s">
        <v>2018</v>
      </c>
      <c r="D70" s="231" t="s">
        <v>1908</v>
      </c>
      <c r="E70" s="231"/>
      <c r="F70" s="231" t="s">
        <v>1941</v>
      </c>
      <c r="G70" s="265"/>
      <c r="H70" s="461"/>
    </row>
    <row r="71" spans="1:8" ht="45" customHeight="1">
      <c r="A71" s="1151"/>
      <c r="B71" s="566" t="s">
        <v>2024</v>
      </c>
      <c r="C71" s="231" t="s">
        <v>2020</v>
      </c>
      <c r="D71" s="231" t="s">
        <v>17</v>
      </c>
      <c r="E71" s="231"/>
      <c r="F71" s="231" t="s">
        <v>1941</v>
      </c>
      <c r="G71" s="265" t="s">
        <v>2021</v>
      </c>
      <c r="H71" s="461"/>
    </row>
    <row r="72" spans="1:8" ht="45" customHeight="1">
      <c r="A72" s="1151"/>
      <c r="B72" s="566" t="s">
        <v>2187</v>
      </c>
      <c r="C72" s="266" t="s">
        <v>2023</v>
      </c>
      <c r="D72" s="266" t="s">
        <v>52</v>
      </c>
      <c r="E72" s="266"/>
      <c r="F72" s="231" t="s">
        <v>304</v>
      </c>
      <c r="G72" s="267" t="s">
        <v>2023</v>
      </c>
      <c r="H72" s="464"/>
    </row>
    <row r="73" spans="1:8" ht="45" customHeight="1">
      <c r="A73" s="1152"/>
      <c r="B73" s="566" t="s">
        <v>2188</v>
      </c>
      <c r="C73" s="266" t="s">
        <v>72</v>
      </c>
      <c r="D73" s="266" t="s">
        <v>18</v>
      </c>
      <c r="E73" s="266"/>
      <c r="F73" s="266" t="s">
        <v>1764</v>
      </c>
      <c r="G73" s="267"/>
      <c r="H73" s="464"/>
    </row>
    <row r="74" spans="1:8" ht="45" customHeight="1">
      <c r="A74" s="1153" t="s">
        <v>2235</v>
      </c>
      <c r="B74" s="568" t="s">
        <v>2189</v>
      </c>
      <c r="C74" s="487" t="s">
        <v>2183</v>
      </c>
      <c r="D74" s="487" t="s">
        <v>52</v>
      </c>
      <c r="F74" s="487" t="s">
        <v>1764</v>
      </c>
      <c r="G74" s="488"/>
    </row>
    <row r="75" spans="1:8" ht="45" customHeight="1">
      <c r="A75" s="1154"/>
      <c r="B75" s="568" t="s">
        <v>2190</v>
      </c>
      <c r="C75" s="487" t="s">
        <v>2184</v>
      </c>
      <c r="D75" s="487" t="s">
        <v>52</v>
      </c>
      <c r="F75" s="487" t="s">
        <v>1764</v>
      </c>
      <c r="G75" s="488"/>
    </row>
    <row r="76" spans="1:8" ht="45" customHeight="1">
      <c r="A76" s="1154"/>
      <c r="B76" s="568" t="s">
        <v>2191</v>
      </c>
      <c r="C76" s="487" t="s">
        <v>2185</v>
      </c>
      <c r="D76" s="487" t="s">
        <v>17</v>
      </c>
      <c r="F76" s="487" t="s">
        <v>1764</v>
      </c>
      <c r="G76" s="488"/>
    </row>
    <row r="77" spans="1:8" ht="45" customHeight="1">
      <c r="A77" s="1155"/>
      <c r="B77" s="568" t="s">
        <v>2282</v>
      </c>
      <c r="C77" s="487" t="s">
        <v>2186</v>
      </c>
      <c r="D77" s="487" t="s">
        <v>52</v>
      </c>
      <c r="F77" s="487" t="s">
        <v>1764</v>
      </c>
      <c r="G77" s="488"/>
    </row>
    <row r="78" spans="1:8" ht="45" customHeight="1">
      <c r="A78" s="1138" t="s">
        <v>2286</v>
      </c>
      <c r="B78" s="528" t="s">
        <v>2283</v>
      </c>
      <c r="C78" s="488" t="s">
        <v>2279</v>
      </c>
      <c r="D78" s="488" t="s">
        <v>17</v>
      </c>
      <c r="E78" s="488" t="s">
        <v>2271</v>
      </c>
      <c r="F78" s="517"/>
      <c r="G78" s="488"/>
      <c r="H78" s="569" t="s">
        <v>2321</v>
      </c>
    </row>
    <row r="79" spans="1:8" ht="45" customHeight="1">
      <c r="A79" s="1139"/>
      <c r="B79" s="528" t="s">
        <v>2284</v>
      </c>
      <c r="C79" s="488" t="s">
        <v>2280</v>
      </c>
      <c r="D79" s="488" t="s">
        <v>17</v>
      </c>
      <c r="E79" s="488" t="s">
        <v>2271</v>
      </c>
      <c r="F79" s="517"/>
      <c r="G79" s="488"/>
      <c r="H79" s="569" t="s">
        <v>2321</v>
      </c>
    </row>
    <row r="80" spans="1:8" ht="45" customHeight="1">
      <c r="A80" s="1139"/>
      <c r="B80" s="528" t="s">
        <v>2330</v>
      </c>
      <c r="C80" s="488" t="s">
        <v>2281</v>
      </c>
      <c r="D80" s="488" t="s">
        <v>17</v>
      </c>
      <c r="E80" s="488" t="s">
        <v>2271</v>
      </c>
      <c r="F80" s="517"/>
      <c r="G80" s="488"/>
      <c r="H80" s="569" t="s">
        <v>2321</v>
      </c>
    </row>
    <row r="81" spans="1:7" ht="45" customHeight="1">
      <c r="A81" s="1137" t="s">
        <v>2769</v>
      </c>
      <c r="B81" s="810" t="s">
        <v>2766</v>
      </c>
      <c r="C81" s="809" t="s">
        <v>2757</v>
      </c>
      <c r="D81" s="809" t="s">
        <v>17</v>
      </c>
      <c r="E81" s="805"/>
      <c r="F81" s="805"/>
      <c r="G81" s="805"/>
    </row>
    <row r="82" spans="1:7" ht="45" customHeight="1">
      <c r="A82" s="1137"/>
      <c r="B82" s="810" t="s">
        <v>2767</v>
      </c>
      <c r="C82" s="809" t="s">
        <v>2758</v>
      </c>
      <c r="D82" s="809" t="s">
        <v>17</v>
      </c>
      <c r="E82" s="805"/>
      <c r="F82" s="805"/>
      <c r="G82" s="805"/>
    </row>
    <row r="83" spans="1:7" ht="45" customHeight="1">
      <c r="A83" s="1137"/>
      <c r="B83" s="810" t="s">
        <v>2768</v>
      </c>
      <c r="C83" s="809" t="s">
        <v>2759</v>
      </c>
      <c r="D83" s="809" t="s">
        <v>19</v>
      </c>
      <c r="E83" s="805"/>
      <c r="F83" s="805"/>
      <c r="G83" s="805"/>
    </row>
    <row r="84" spans="1:7" ht="45" customHeight="1">
      <c r="A84" s="1137"/>
      <c r="B84" s="810" t="s">
        <v>2770</v>
      </c>
      <c r="C84" s="809" t="s">
        <v>2760</v>
      </c>
      <c r="D84" s="809" t="s">
        <v>18</v>
      </c>
      <c r="E84" s="805"/>
      <c r="F84" s="805"/>
      <c r="G84" s="805"/>
    </row>
    <row r="85" spans="1:7" ht="45" customHeight="1">
      <c r="C85" s="268" t="s">
        <v>1280</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48"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9765625" style="520" bestFit="1" customWidth="1"/>
    <col min="2" max="2" width="6.09765625" style="247" customWidth="1"/>
    <col min="3" max="3" width="46.5" style="274" customWidth="1"/>
    <col min="4" max="4" width="11.59765625" style="269" customWidth="1"/>
    <col min="5" max="5" width="16.59765625" style="269" hidden="1" customWidth="1"/>
    <col min="6" max="6" width="13.19921875" style="269" hidden="1" customWidth="1"/>
    <col min="7" max="7" width="65.19921875" style="273" customWidth="1"/>
    <col min="8" max="8" width="57.19921875" style="167" bestFit="1" customWidth="1"/>
    <col min="9" max="16384" width="8" style="270"/>
  </cols>
  <sheetData>
    <row r="1" spans="1:8" ht="45" customHeight="1">
      <c r="A1" s="518"/>
      <c r="B1" s="1157"/>
      <c r="C1" s="1157"/>
      <c r="D1" s="1157"/>
      <c r="E1" s="1157"/>
      <c r="F1" s="1157"/>
      <c r="G1" s="1157"/>
    </row>
    <row r="2" spans="1:8" s="271" customFormat="1" ht="56.25" customHeight="1">
      <c r="A2" s="519"/>
      <c r="B2" s="248" t="s">
        <v>45</v>
      </c>
      <c r="C2" s="224" t="s">
        <v>1759</v>
      </c>
      <c r="D2" s="249" t="s">
        <v>1760</v>
      </c>
      <c r="E2" s="249" t="s">
        <v>1761</v>
      </c>
      <c r="F2" s="249" t="s">
        <v>1762</v>
      </c>
      <c r="G2" s="249" t="s">
        <v>46</v>
      </c>
      <c r="H2" s="168" t="s">
        <v>2299</v>
      </c>
    </row>
    <row r="3" spans="1:8" ht="21.6">
      <c r="A3" s="1141" t="s">
        <v>2285</v>
      </c>
      <c r="B3" s="559" t="s">
        <v>0</v>
      </c>
      <c r="C3" s="223" t="s">
        <v>1858</v>
      </c>
      <c r="D3" s="251" t="s">
        <v>16</v>
      </c>
      <c r="E3" s="251"/>
      <c r="F3" s="251" t="s">
        <v>1764</v>
      </c>
      <c r="G3" s="570" t="s">
        <v>1858</v>
      </c>
      <c r="H3" s="461"/>
    </row>
    <row r="4" spans="1:8" ht="21.6">
      <c r="A4" s="1142"/>
      <c r="B4" s="559" t="s">
        <v>1</v>
      </c>
      <c r="C4" s="223" t="s">
        <v>1859</v>
      </c>
      <c r="D4" s="251" t="s">
        <v>16</v>
      </c>
      <c r="E4" s="251"/>
      <c r="F4" s="251" t="s">
        <v>1764</v>
      </c>
      <c r="G4" s="570" t="s">
        <v>1969</v>
      </c>
      <c r="H4" s="461"/>
    </row>
    <row r="5" spans="1:8" ht="21.6">
      <c r="A5" s="1142"/>
      <c r="B5" s="559" t="s">
        <v>2</v>
      </c>
      <c r="C5" s="223" t="s">
        <v>1860</v>
      </c>
      <c r="D5" s="251" t="s">
        <v>16</v>
      </c>
      <c r="E5" s="251"/>
      <c r="F5" s="251" t="s">
        <v>1764</v>
      </c>
      <c r="G5" s="570" t="s">
        <v>1860</v>
      </c>
      <c r="H5" s="461"/>
    </row>
    <row r="6" spans="1:8" ht="21.6">
      <c r="A6" s="1142"/>
      <c r="B6" s="559" t="s">
        <v>3</v>
      </c>
      <c r="C6" s="223" t="s">
        <v>1861</v>
      </c>
      <c r="D6" s="251" t="s">
        <v>18</v>
      </c>
      <c r="E6" s="251"/>
      <c r="F6" s="251" t="s">
        <v>1764</v>
      </c>
      <c r="G6" s="570" t="s">
        <v>1968</v>
      </c>
      <c r="H6" s="461"/>
    </row>
    <row r="7" spans="1:8" ht="21.6">
      <c r="A7" s="1142"/>
      <c r="B7" s="559" t="s">
        <v>4</v>
      </c>
      <c r="C7" s="223" t="s">
        <v>1862</v>
      </c>
      <c r="D7" s="251" t="s">
        <v>16</v>
      </c>
      <c r="E7" s="251"/>
      <c r="F7" s="251" t="s">
        <v>1764</v>
      </c>
      <c r="G7" s="570" t="s">
        <v>1862</v>
      </c>
      <c r="H7" s="461"/>
    </row>
    <row r="8" spans="1:8" ht="21.6">
      <c r="A8" s="1142"/>
      <c r="B8" s="559" t="s">
        <v>874</v>
      </c>
      <c r="C8" s="223" t="s">
        <v>1863</v>
      </c>
      <c r="D8" s="251" t="s">
        <v>16</v>
      </c>
      <c r="E8" s="251"/>
      <c r="F8" s="251" t="s">
        <v>1764</v>
      </c>
      <c r="G8" s="570" t="s">
        <v>1863</v>
      </c>
      <c r="H8" s="461"/>
    </row>
    <row r="9" spans="1:8" ht="27.6">
      <c r="A9" s="1142"/>
      <c r="B9" s="559" t="s">
        <v>5</v>
      </c>
      <c r="C9" s="223" t="s">
        <v>1864</v>
      </c>
      <c r="D9" s="251" t="s">
        <v>1943</v>
      </c>
      <c r="E9" s="251"/>
      <c r="F9" s="251" t="s">
        <v>1764</v>
      </c>
      <c r="G9" s="570" t="s">
        <v>1864</v>
      </c>
      <c r="H9" s="461"/>
    </row>
    <row r="10" spans="1:8" ht="21.6">
      <c r="A10" s="1142"/>
      <c r="B10" s="559" t="s">
        <v>6</v>
      </c>
      <c r="C10" s="223" t="s">
        <v>1865</v>
      </c>
      <c r="D10" s="251" t="s">
        <v>16</v>
      </c>
      <c r="E10" s="251"/>
      <c r="F10" s="251" t="s">
        <v>1764</v>
      </c>
      <c r="G10" s="570" t="s">
        <v>1865</v>
      </c>
      <c r="H10" s="461"/>
    </row>
    <row r="11" spans="1:8" ht="21.6">
      <c r="A11" s="1142"/>
      <c r="B11" s="559" t="s">
        <v>47</v>
      </c>
      <c r="C11" s="223" t="s">
        <v>1905</v>
      </c>
      <c r="D11" s="251" t="s">
        <v>17</v>
      </c>
      <c r="E11" s="251"/>
      <c r="F11" s="251" t="s">
        <v>1764</v>
      </c>
      <c r="G11" s="570" t="s">
        <v>1970</v>
      </c>
      <c r="H11" s="461"/>
    </row>
    <row r="12" spans="1:8" ht="21.6">
      <c r="A12" s="1142"/>
      <c r="B12" s="559" t="s">
        <v>48</v>
      </c>
      <c r="C12" s="223" t="s">
        <v>1904</v>
      </c>
      <c r="D12" s="251" t="s">
        <v>17</v>
      </c>
      <c r="E12" s="251"/>
      <c r="F12" s="251" t="s">
        <v>1764</v>
      </c>
      <c r="G12" s="570" t="s">
        <v>1971</v>
      </c>
      <c r="H12" s="461"/>
    </row>
    <row r="13" spans="1:8" ht="21.6">
      <c r="A13" s="1142"/>
      <c r="B13" s="559" t="s">
        <v>51</v>
      </c>
      <c r="C13" s="223" t="s">
        <v>1866</v>
      </c>
      <c r="D13" s="251" t="s">
        <v>19</v>
      </c>
      <c r="E13" s="251"/>
      <c r="F13" s="251" t="s">
        <v>1764</v>
      </c>
      <c r="G13" s="570" t="s">
        <v>1866</v>
      </c>
      <c r="H13" s="461"/>
    </row>
    <row r="14" spans="1:8" ht="21.6">
      <c r="A14" s="1142"/>
      <c r="B14" s="559" t="s">
        <v>53</v>
      </c>
      <c r="C14" s="223" t="s">
        <v>1867</v>
      </c>
      <c r="D14" s="251" t="s">
        <v>19</v>
      </c>
      <c r="E14" s="251"/>
      <c r="F14" s="251" t="s">
        <v>1764</v>
      </c>
      <c r="G14" s="570" t="s">
        <v>1867</v>
      </c>
      <c r="H14" s="461"/>
    </row>
    <row r="15" spans="1:8" ht="38.4">
      <c r="A15" s="1142"/>
      <c r="B15" s="559" t="s">
        <v>54</v>
      </c>
      <c r="C15" s="223" t="s">
        <v>2025</v>
      </c>
      <c r="D15" s="251" t="s">
        <v>17</v>
      </c>
      <c r="E15" s="251"/>
      <c r="F15" s="251" t="s">
        <v>1941</v>
      </c>
      <c r="G15" s="570" t="s">
        <v>2025</v>
      </c>
      <c r="H15" s="461"/>
    </row>
    <row r="16" spans="1:8" ht="38.4">
      <c r="A16" s="1142"/>
      <c r="B16" s="559" t="s">
        <v>115</v>
      </c>
      <c r="C16" s="223" t="s">
        <v>1573</v>
      </c>
      <c r="D16" s="251" t="s">
        <v>17</v>
      </c>
      <c r="E16" s="251"/>
      <c r="F16" s="251" t="s">
        <v>304</v>
      </c>
      <c r="G16" s="570" t="s">
        <v>1868</v>
      </c>
      <c r="H16" s="461"/>
    </row>
    <row r="17" spans="1:8" ht="38.4">
      <c r="A17" s="1142"/>
      <c r="B17" s="559" t="s">
        <v>116</v>
      </c>
      <c r="C17" s="223" t="s">
        <v>1869</v>
      </c>
      <c r="D17" s="251" t="s">
        <v>17</v>
      </c>
      <c r="E17" s="251"/>
      <c r="F17" s="251" t="s">
        <v>304</v>
      </c>
      <c r="G17" s="570" t="s">
        <v>1870</v>
      </c>
      <c r="H17" s="461"/>
    </row>
    <row r="18" spans="1:8" ht="38.4">
      <c r="A18" s="1142"/>
      <c r="B18" s="559" t="s">
        <v>59</v>
      </c>
      <c r="C18" s="223" t="s">
        <v>1871</v>
      </c>
      <c r="D18" s="251" t="s">
        <v>17</v>
      </c>
      <c r="E18" s="251" t="s">
        <v>1992</v>
      </c>
      <c r="F18" s="251" t="s">
        <v>1764</v>
      </c>
      <c r="G18" s="570" t="s">
        <v>1872</v>
      </c>
      <c r="H18" s="461"/>
    </row>
    <row r="19" spans="1:8" ht="38.4">
      <c r="A19" s="1142"/>
      <c r="B19" s="559" t="s">
        <v>57</v>
      </c>
      <c r="C19" s="223" t="s">
        <v>1873</v>
      </c>
      <c r="D19" s="251" t="s">
        <v>1781</v>
      </c>
      <c r="E19" s="251"/>
      <c r="F19" s="251" t="s">
        <v>1764</v>
      </c>
      <c r="G19" s="570" t="s">
        <v>1972</v>
      </c>
      <c r="H19" s="461"/>
    </row>
    <row r="20" spans="1:8" ht="21.6">
      <c r="A20" s="1142"/>
      <c r="B20" s="559" t="s">
        <v>61</v>
      </c>
      <c r="C20" s="223" t="s">
        <v>1874</v>
      </c>
      <c r="D20" s="251" t="s">
        <v>17</v>
      </c>
      <c r="E20" s="251"/>
      <c r="F20" s="251" t="s">
        <v>1764</v>
      </c>
      <c r="G20" s="570" t="s">
        <v>1974</v>
      </c>
      <c r="H20" s="461"/>
    </row>
    <row r="21" spans="1:8" ht="21.6">
      <c r="A21" s="1143"/>
      <c r="B21" s="559" t="s">
        <v>875</v>
      </c>
      <c r="C21" s="223" t="s">
        <v>1875</v>
      </c>
      <c r="D21" s="251" t="s">
        <v>17</v>
      </c>
      <c r="E21" s="251"/>
      <c r="F21" s="251" t="s">
        <v>1764</v>
      </c>
      <c r="G21" s="570" t="s">
        <v>1973</v>
      </c>
      <c r="H21" s="461"/>
    </row>
    <row r="22" spans="1:8" ht="41.4">
      <c r="A22" s="1144" t="s">
        <v>1583</v>
      </c>
      <c r="B22" s="561" t="s">
        <v>62</v>
      </c>
      <c r="C22" s="214" t="s">
        <v>1946</v>
      </c>
      <c r="D22" s="169" t="s">
        <v>17</v>
      </c>
      <c r="E22" s="169"/>
      <c r="F22" s="169" t="s">
        <v>1764</v>
      </c>
      <c r="G22" s="212" t="s">
        <v>1975</v>
      </c>
      <c r="H22" s="462" t="s">
        <v>2314</v>
      </c>
    </row>
    <row r="23" spans="1:8" ht="38.4">
      <c r="A23" s="1145"/>
      <c r="B23" s="561" t="s">
        <v>63</v>
      </c>
      <c r="C23" s="214" t="s">
        <v>1914</v>
      </c>
      <c r="D23" s="169" t="s">
        <v>17</v>
      </c>
      <c r="E23" s="169"/>
      <c r="F23" s="169" t="s">
        <v>1764</v>
      </c>
      <c r="G23" s="212" t="s">
        <v>1914</v>
      </c>
      <c r="H23" s="461"/>
    </row>
    <row r="24" spans="1:8" ht="38.4">
      <c r="A24" s="1145"/>
      <c r="B24" s="561" t="s">
        <v>64</v>
      </c>
      <c r="C24" s="214" t="s">
        <v>1915</v>
      </c>
      <c r="D24" s="169" t="s">
        <v>17</v>
      </c>
      <c r="E24" s="169"/>
      <c r="F24" s="169" t="s">
        <v>1764</v>
      </c>
      <c r="G24" s="215" t="s">
        <v>1916</v>
      </c>
      <c r="H24" s="461"/>
    </row>
    <row r="25" spans="1:8" ht="57.6">
      <c r="A25" s="1145"/>
      <c r="B25" s="561" t="s">
        <v>66</v>
      </c>
      <c r="C25" s="216" t="s">
        <v>2026</v>
      </c>
      <c r="D25" s="170" t="s">
        <v>17</v>
      </c>
      <c r="E25" s="169"/>
      <c r="F25" s="170" t="s">
        <v>1764</v>
      </c>
      <c r="G25" s="213" t="s">
        <v>1947</v>
      </c>
      <c r="H25" s="462" t="s">
        <v>2314</v>
      </c>
    </row>
    <row r="26" spans="1:8" ht="57.6">
      <c r="A26" s="1145"/>
      <c r="B26" s="561" t="s">
        <v>876</v>
      </c>
      <c r="C26" s="214" t="s">
        <v>1948</v>
      </c>
      <c r="D26" s="170" t="s">
        <v>17</v>
      </c>
      <c r="E26" s="169"/>
      <c r="F26" s="170" t="s">
        <v>1764</v>
      </c>
      <c r="G26" s="215" t="s">
        <v>1898</v>
      </c>
      <c r="H26" s="462" t="s">
        <v>2314</v>
      </c>
    </row>
    <row r="27" spans="1:8" ht="96">
      <c r="A27" s="1145"/>
      <c r="B27" s="561" t="s">
        <v>67</v>
      </c>
      <c r="C27" s="216" t="s">
        <v>2027</v>
      </c>
      <c r="D27" s="170" t="s">
        <v>17</v>
      </c>
      <c r="E27" s="169"/>
      <c r="F27" s="170" t="s">
        <v>1764</v>
      </c>
      <c r="G27" s="216" t="s">
        <v>2027</v>
      </c>
      <c r="H27" s="461"/>
    </row>
    <row r="28" spans="1:8" ht="96">
      <c r="A28" s="1145"/>
      <c r="B28" s="561" t="s">
        <v>68</v>
      </c>
      <c r="C28" s="214" t="s">
        <v>2028</v>
      </c>
      <c r="D28" s="170" t="s">
        <v>17</v>
      </c>
      <c r="E28" s="169"/>
      <c r="F28" s="170" t="s">
        <v>1764</v>
      </c>
      <c r="G28" s="214" t="s">
        <v>2028</v>
      </c>
      <c r="H28" s="461"/>
    </row>
    <row r="29" spans="1:8" ht="41.4">
      <c r="A29" s="1145"/>
      <c r="B29" s="561" t="s">
        <v>69</v>
      </c>
      <c r="C29" s="216" t="s">
        <v>1976</v>
      </c>
      <c r="D29" s="170" t="s">
        <v>2001</v>
      </c>
      <c r="E29" s="170" t="s">
        <v>1930</v>
      </c>
      <c r="F29" s="170" t="s">
        <v>1764</v>
      </c>
      <c r="G29" s="213" t="s">
        <v>1899</v>
      </c>
      <c r="H29" s="462" t="s">
        <v>2314</v>
      </c>
    </row>
    <row r="30" spans="1:8" ht="57.6">
      <c r="A30" s="1145"/>
      <c r="B30" s="561" t="s">
        <v>70</v>
      </c>
      <c r="C30" s="216" t="s">
        <v>1981</v>
      </c>
      <c r="D30" s="170" t="s">
        <v>2001</v>
      </c>
      <c r="E30" s="170"/>
      <c r="F30" s="170" t="s">
        <v>1764</v>
      </c>
      <c r="G30" s="213" t="s">
        <v>1917</v>
      </c>
      <c r="H30" s="461"/>
    </row>
    <row r="31" spans="1:8" ht="76.8">
      <c r="A31" s="1145"/>
      <c r="B31" s="561" t="s">
        <v>1011</v>
      </c>
      <c r="C31" s="216" t="s">
        <v>2029</v>
      </c>
      <c r="D31" s="170" t="s">
        <v>2001</v>
      </c>
      <c r="E31" s="170"/>
      <c r="F31" s="170" t="s">
        <v>1764</v>
      </c>
      <c r="G31" s="213" t="s">
        <v>1918</v>
      </c>
      <c r="H31" s="463"/>
    </row>
    <row r="32" spans="1:8" ht="61.95" customHeight="1">
      <c r="A32" s="1145"/>
      <c r="B32" s="561" t="s">
        <v>1012</v>
      </c>
      <c r="C32" s="216" t="s">
        <v>2331</v>
      </c>
      <c r="D32" s="170" t="s">
        <v>17</v>
      </c>
      <c r="E32" s="169" t="s">
        <v>2002</v>
      </c>
      <c r="F32" s="170" t="s">
        <v>1941</v>
      </c>
      <c r="G32" s="215" t="s">
        <v>1876</v>
      </c>
      <c r="H32" s="462" t="s">
        <v>2314</v>
      </c>
    </row>
    <row r="33" spans="1:8" ht="41.4">
      <c r="A33" s="1145"/>
      <c r="B33" s="561" t="s">
        <v>1013</v>
      </c>
      <c r="C33" s="216" t="s">
        <v>1928</v>
      </c>
      <c r="D33" s="232" t="s">
        <v>17</v>
      </c>
      <c r="E33" s="169" t="s">
        <v>1784</v>
      </c>
      <c r="F33" s="232" t="s">
        <v>304</v>
      </c>
      <c r="G33" s="230" t="s">
        <v>1877</v>
      </c>
      <c r="H33" s="462" t="s">
        <v>2314</v>
      </c>
    </row>
    <row r="34" spans="1:8" ht="57.6">
      <c r="A34" s="1145"/>
      <c r="B34" s="561" t="s">
        <v>1014</v>
      </c>
      <c r="C34" s="216" t="s">
        <v>2332</v>
      </c>
      <c r="D34" s="232" t="s">
        <v>17</v>
      </c>
      <c r="E34" s="169" t="s">
        <v>1784</v>
      </c>
      <c r="F34" s="232" t="s">
        <v>1764</v>
      </c>
      <c r="G34" s="230" t="s">
        <v>2030</v>
      </c>
      <c r="H34" s="462" t="s">
        <v>2314</v>
      </c>
    </row>
    <row r="35" spans="1:8" ht="57.6">
      <c r="A35" s="1145"/>
      <c r="B35" s="561" t="s">
        <v>1015</v>
      </c>
      <c r="C35" s="216" t="s">
        <v>2031</v>
      </c>
      <c r="D35" s="252" t="s">
        <v>17</v>
      </c>
      <c r="E35" s="253"/>
      <c r="F35" s="254" t="s">
        <v>304</v>
      </c>
      <c r="G35" s="216" t="s">
        <v>2031</v>
      </c>
      <c r="H35" s="464"/>
    </row>
    <row r="36" spans="1:8" ht="55.2" customHeight="1">
      <c r="A36" s="1145"/>
      <c r="B36" s="561" t="s">
        <v>1016</v>
      </c>
      <c r="C36" s="216" t="s">
        <v>2032</v>
      </c>
      <c r="D36" s="254" t="s">
        <v>17</v>
      </c>
      <c r="E36" s="254"/>
      <c r="F36" s="254" t="s">
        <v>304</v>
      </c>
      <c r="G36" s="230" t="s">
        <v>2033</v>
      </c>
      <c r="H36" s="464"/>
    </row>
    <row r="37" spans="1:8" ht="38.4">
      <c r="A37" s="1145"/>
      <c r="B37" s="561" t="s">
        <v>1017</v>
      </c>
      <c r="C37" s="216" t="s">
        <v>1919</v>
      </c>
      <c r="D37" s="171" t="s">
        <v>17</v>
      </c>
      <c r="E37" s="171"/>
      <c r="F37" s="171" t="s">
        <v>1764</v>
      </c>
      <c r="G37" s="230" t="s">
        <v>1920</v>
      </c>
      <c r="H37" s="461"/>
    </row>
    <row r="38" spans="1:8" ht="57.6">
      <c r="A38" s="1145"/>
      <c r="B38" s="561" t="s">
        <v>1018</v>
      </c>
      <c r="C38" s="213" t="s">
        <v>2287</v>
      </c>
      <c r="D38" s="171" t="s">
        <v>17</v>
      </c>
      <c r="E38" s="171"/>
      <c r="F38" s="171" t="s">
        <v>1764</v>
      </c>
      <c r="G38" s="213" t="s">
        <v>2287</v>
      </c>
      <c r="H38" s="461"/>
    </row>
    <row r="39" spans="1:8" ht="38.4">
      <c r="A39" s="1145"/>
      <c r="B39" s="561" t="s">
        <v>1019</v>
      </c>
      <c r="C39" s="216" t="s">
        <v>1922</v>
      </c>
      <c r="D39" s="563" t="s">
        <v>17</v>
      </c>
      <c r="E39" s="563"/>
      <c r="F39" s="171" t="s">
        <v>1764</v>
      </c>
      <c r="G39" s="230" t="s">
        <v>1921</v>
      </c>
      <c r="H39" s="461"/>
    </row>
    <row r="40" spans="1:8" ht="62.7" customHeight="1">
      <c r="A40" s="1145"/>
      <c r="B40" s="561" t="s">
        <v>1020</v>
      </c>
      <c r="C40" s="216" t="s">
        <v>2288</v>
      </c>
      <c r="D40" s="563" t="s">
        <v>17</v>
      </c>
      <c r="E40" s="563"/>
      <c r="F40" s="171" t="s">
        <v>1764</v>
      </c>
      <c r="G40" s="230" t="s">
        <v>2289</v>
      </c>
      <c r="H40" s="461"/>
    </row>
    <row r="41" spans="1:8" ht="57.6">
      <c r="A41" s="1145"/>
      <c r="B41" s="561" t="s">
        <v>1569</v>
      </c>
      <c r="C41" s="216" t="s">
        <v>2294</v>
      </c>
      <c r="D41" s="170" t="s">
        <v>17</v>
      </c>
      <c r="E41" s="170"/>
      <c r="F41" s="171" t="s">
        <v>1941</v>
      </c>
      <c r="G41" s="216" t="s">
        <v>2294</v>
      </c>
      <c r="H41" s="461"/>
    </row>
    <row r="42" spans="1:8" ht="82.8">
      <c r="A42" s="1145"/>
      <c r="B42" s="561" t="s">
        <v>1571</v>
      </c>
      <c r="C42" s="216" t="s">
        <v>2295</v>
      </c>
      <c r="D42" s="228" t="s">
        <v>17</v>
      </c>
      <c r="E42" s="170"/>
      <c r="F42" s="171" t="s">
        <v>1941</v>
      </c>
      <c r="G42" s="230" t="s">
        <v>2296</v>
      </c>
      <c r="H42" s="462" t="s">
        <v>2320</v>
      </c>
    </row>
    <row r="43" spans="1:8" ht="38.4">
      <c r="A43" s="1146"/>
      <c r="B43" s="561" t="s">
        <v>1714</v>
      </c>
      <c r="C43" s="216" t="s">
        <v>1878</v>
      </c>
      <c r="D43" s="228" t="s">
        <v>18</v>
      </c>
      <c r="E43" s="228"/>
      <c r="F43" s="228" t="s">
        <v>1764</v>
      </c>
      <c r="G43" s="230" t="s">
        <v>1878</v>
      </c>
      <c r="H43" s="461"/>
    </row>
    <row r="44" spans="1:8" ht="87.6" customHeight="1">
      <c r="A44" s="1147" t="s">
        <v>1584</v>
      </c>
      <c r="B44" s="564" t="s">
        <v>1789</v>
      </c>
      <c r="C44" s="217" t="s">
        <v>1977</v>
      </c>
      <c r="D44" s="172" t="s">
        <v>17</v>
      </c>
      <c r="E44" s="172"/>
      <c r="F44" s="172" t="s">
        <v>1764</v>
      </c>
      <c r="G44" s="218" t="s">
        <v>1929</v>
      </c>
      <c r="H44" s="462" t="s">
        <v>2309</v>
      </c>
    </row>
    <row r="45" spans="1:8" ht="41.4">
      <c r="A45" s="1148"/>
      <c r="B45" s="564" t="s">
        <v>1791</v>
      </c>
      <c r="C45" s="217" t="s">
        <v>2034</v>
      </c>
      <c r="D45" s="172" t="s">
        <v>17</v>
      </c>
      <c r="E45" s="172"/>
      <c r="F45" s="172" t="s">
        <v>1764</v>
      </c>
      <c r="G45" s="218" t="s">
        <v>1978</v>
      </c>
      <c r="H45" s="462" t="s">
        <v>2309</v>
      </c>
    </row>
    <row r="46" spans="1:8" ht="38.4">
      <c r="A46" s="1148"/>
      <c r="B46" s="564" t="s">
        <v>1792</v>
      </c>
      <c r="C46" s="217" t="s">
        <v>2035</v>
      </c>
      <c r="D46" s="172" t="s">
        <v>18</v>
      </c>
      <c r="E46" s="172"/>
      <c r="F46" s="172" t="s">
        <v>1764</v>
      </c>
      <c r="G46" s="218" t="s">
        <v>2036</v>
      </c>
      <c r="H46" s="461"/>
    </row>
    <row r="47" spans="1:8" ht="57.6">
      <c r="A47" s="1148"/>
      <c r="B47" s="564" t="s">
        <v>1793</v>
      </c>
      <c r="C47" s="217" t="s">
        <v>2037</v>
      </c>
      <c r="D47" s="172" t="s">
        <v>17</v>
      </c>
      <c r="E47" s="172"/>
      <c r="F47" s="172" t="s">
        <v>1764</v>
      </c>
      <c r="G47" s="218" t="s">
        <v>2038</v>
      </c>
      <c r="H47" s="461"/>
    </row>
    <row r="48" spans="1:8" ht="76.8">
      <c r="A48" s="1148"/>
      <c r="B48" s="564" t="s">
        <v>1794</v>
      </c>
      <c r="C48" s="217" t="s">
        <v>2039</v>
      </c>
      <c r="D48" s="172" t="s">
        <v>17</v>
      </c>
      <c r="E48" s="172"/>
      <c r="F48" s="172" t="s">
        <v>1764</v>
      </c>
      <c r="G48" s="218" t="s">
        <v>2040</v>
      </c>
      <c r="H48" s="461"/>
    </row>
    <row r="49" spans="1:8" ht="38.4">
      <c r="A49" s="1148"/>
      <c r="B49" s="564" t="s">
        <v>1795</v>
      </c>
      <c r="C49" s="217" t="s">
        <v>1923</v>
      </c>
      <c r="D49" s="172" t="s">
        <v>17</v>
      </c>
      <c r="E49" s="172"/>
      <c r="F49" s="172" t="s">
        <v>1764</v>
      </c>
      <c r="G49" s="218" t="s">
        <v>1924</v>
      </c>
      <c r="H49" s="461" t="s">
        <v>1788</v>
      </c>
    </row>
    <row r="50" spans="1:8" ht="38.4">
      <c r="A50" s="1148"/>
      <c r="B50" s="564" t="s">
        <v>1796</v>
      </c>
      <c r="C50" s="217" t="s">
        <v>1926</v>
      </c>
      <c r="D50" s="257" t="s">
        <v>2001</v>
      </c>
      <c r="E50" s="257"/>
      <c r="F50" s="257" t="s">
        <v>304</v>
      </c>
      <c r="G50" s="218" t="s">
        <v>1925</v>
      </c>
      <c r="H50" s="461" t="s">
        <v>1788</v>
      </c>
    </row>
    <row r="51" spans="1:8" ht="38.4">
      <c r="A51" s="1148"/>
      <c r="B51" s="564" t="s">
        <v>1798</v>
      </c>
      <c r="C51" s="217" t="s">
        <v>1927</v>
      </c>
      <c r="D51" s="172" t="s">
        <v>17</v>
      </c>
      <c r="E51" s="172"/>
      <c r="F51" s="172" t="s">
        <v>304</v>
      </c>
      <c r="G51" s="218" t="s">
        <v>1879</v>
      </c>
      <c r="H51" s="461"/>
    </row>
    <row r="52" spans="1:8" ht="61.95" customHeight="1">
      <c r="A52" s="1148"/>
      <c r="B52" s="564" t="s">
        <v>1800</v>
      </c>
      <c r="C52" s="219" t="s">
        <v>1880</v>
      </c>
      <c r="D52" s="172" t="s">
        <v>1913</v>
      </c>
      <c r="E52" s="259"/>
      <c r="F52" s="259" t="s">
        <v>1764</v>
      </c>
      <c r="G52" s="218" t="s">
        <v>1881</v>
      </c>
      <c r="H52" s="461"/>
    </row>
    <row r="53" spans="1:8" ht="57.6">
      <c r="A53" s="1148"/>
      <c r="B53" s="564" t="s">
        <v>1801</v>
      </c>
      <c r="C53" s="219" t="s">
        <v>1900</v>
      </c>
      <c r="D53" s="172" t="s">
        <v>1909</v>
      </c>
      <c r="E53" s="261"/>
      <c r="F53" s="261" t="s">
        <v>1764</v>
      </c>
      <c r="G53" s="218" t="s">
        <v>1882</v>
      </c>
      <c r="H53" s="461"/>
    </row>
    <row r="54" spans="1:8" ht="41.4">
      <c r="A54" s="1148"/>
      <c r="B54" s="564" t="s">
        <v>1802</v>
      </c>
      <c r="C54" s="219" t="s">
        <v>1883</v>
      </c>
      <c r="D54" s="261" t="s">
        <v>17</v>
      </c>
      <c r="E54" s="261"/>
      <c r="F54" s="261" t="s">
        <v>1764</v>
      </c>
      <c r="G54" s="218" t="s">
        <v>1884</v>
      </c>
      <c r="H54" s="462" t="s">
        <v>2309</v>
      </c>
    </row>
    <row r="55" spans="1:8" ht="41.4">
      <c r="A55" s="1148"/>
      <c r="B55" s="564" t="s">
        <v>1803</v>
      </c>
      <c r="C55" s="219" t="s">
        <v>1885</v>
      </c>
      <c r="D55" s="261" t="s">
        <v>17</v>
      </c>
      <c r="E55" s="261"/>
      <c r="F55" s="261" t="s">
        <v>1764</v>
      </c>
      <c r="G55" s="218" t="s">
        <v>1886</v>
      </c>
      <c r="H55" s="462" t="s">
        <v>2309</v>
      </c>
    </row>
    <row r="56" spans="1:8" ht="69">
      <c r="A56" s="1148"/>
      <c r="B56" s="564" t="s">
        <v>1804</v>
      </c>
      <c r="C56" s="219" t="s">
        <v>2333</v>
      </c>
      <c r="D56" s="261" t="s">
        <v>17</v>
      </c>
      <c r="E56" s="261"/>
      <c r="F56" s="261" t="s">
        <v>1941</v>
      </c>
      <c r="G56" s="218" t="s">
        <v>2334</v>
      </c>
      <c r="H56" s="462" t="s">
        <v>2315</v>
      </c>
    </row>
    <row r="57" spans="1:8" ht="57.6">
      <c r="A57" s="1148"/>
      <c r="B57" s="564" t="s">
        <v>1806</v>
      </c>
      <c r="C57" s="219" t="s">
        <v>2335</v>
      </c>
      <c r="D57" s="261"/>
      <c r="E57" s="261"/>
      <c r="F57" s="261"/>
      <c r="G57" s="218" t="s">
        <v>2336</v>
      </c>
      <c r="H57" s="462"/>
    </row>
    <row r="58" spans="1:8" ht="57.6">
      <c r="A58" s="1148"/>
      <c r="B58" s="564" t="s">
        <v>1808</v>
      </c>
      <c r="C58" s="219" t="s">
        <v>2196</v>
      </c>
      <c r="D58" s="261" t="s">
        <v>17</v>
      </c>
      <c r="E58" s="261"/>
      <c r="F58" s="261" t="s">
        <v>1764</v>
      </c>
      <c r="G58" s="256" t="s">
        <v>2182</v>
      </c>
      <c r="H58" s="462" t="s">
        <v>2309</v>
      </c>
    </row>
    <row r="59" spans="1:8" ht="38.4">
      <c r="A59" s="1149"/>
      <c r="B59" s="564" t="s">
        <v>1810</v>
      </c>
      <c r="C59" s="219" t="s">
        <v>1887</v>
      </c>
      <c r="D59" s="261" t="s">
        <v>18</v>
      </c>
      <c r="E59" s="261"/>
      <c r="F59" s="261" t="s">
        <v>1764</v>
      </c>
      <c r="G59" s="218" t="s">
        <v>1888</v>
      </c>
      <c r="H59" s="461"/>
    </row>
    <row r="60" spans="1:8" ht="38.4">
      <c r="A60" s="1150" t="s">
        <v>1585</v>
      </c>
      <c r="B60" s="566" t="s">
        <v>1813</v>
      </c>
      <c r="C60" s="220" t="s">
        <v>1889</v>
      </c>
      <c r="D60" s="262" t="s">
        <v>17</v>
      </c>
      <c r="E60" s="262"/>
      <c r="F60" s="262" t="s">
        <v>2016</v>
      </c>
      <c r="G60" s="222" t="s">
        <v>1890</v>
      </c>
      <c r="H60" s="461"/>
    </row>
    <row r="61" spans="1:8" ht="38.4">
      <c r="A61" s="1151"/>
      <c r="B61" s="566" t="s">
        <v>1816</v>
      </c>
      <c r="C61" s="220" t="s">
        <v>1979</v>
      </c>
      <c r="D61" s="262" t="s">
        <v>17</v>
      </c>
      <c r="E61" s="262"/>
      <c r="F61" s="262" t="s">
        <v>2016</v>
      </c>
      <c r="G61" s="222" t="s">
        <v>1979</v>
      </c>
      <c r="H61" s="461"/>
    </row>
    <row r="62" spans="1:8" ht="21.6">
      <c r="A62" s="1151"/>
      <c r="B62" s="566" t="s">
        <v>1818</v>
      </c>
      <c r="C62" s="220" t="s">
        <v>1891</v>
      </c>
      <c r="D62" s="264" t="s">
        <v>17</v>
      </c>
      <c r="E62" s="264"/>
      <c r="F62" s="264" t="s">
        <v>304</v>
      </c>
      <c r="G62" s="222" t="s">
        <v>1891</v>
      </c>
      <c r="H62" s="461"/>
    </row>
    <row r="63" spans="1:8" ht="56.7" customHeight="1">
      <c r="A63" s="1151"/>
      <c r="B63" s="566" t="s">
        <v>1819</v>
      </c>
      <c r="C63" s="220" t="s">
        <v>1892</v>
      </c>
      <c r="D63" s="264" t="s">
        <v>17</v>
      </c>
      <c r="E63" s="264"/>
      <c r="F63" s="262" t="s">
        <v>2016</v>
      </c>
      <c r="G63" s="222" t="s">
        <v>1893</v>
      </c>
      <c r="H63" s="461"/>
    </row>
    <row r="64" spans="1:8" ht="56.7" customHeight="1">
      <c r="A64" s="1151"/>
      <c r="B64" s="566" t="s">
        <v>1820</v>
      </c>
      <c r="C64" s="220" t="s">
        <v>1980</v>
      </c>
      <c r="D64" s="264" t="s">
        <v>17</v>
      </c>
      <c r="E64" s="264"/>
      <c r="F64" s="262" t="s">
        <v>2016</v>
      </c>
      <c r="G64" s="222" t="s">
        <v>1980</v>
      </c>
      <c r="H64" s="461"/>
    </row>
    <row r="65" spans="1:8" ht="56.7" customHeight="1">
      <c r="A65" s="1151"/>
      <c r="B65" s="566" t="s">
        <v>1821</v>
      </c>
      <c r="C65" s="221" t="s">
        <v>1901</v>
      </c>
      <c r="D65" s="264" t="s">
        <v>17</v>
      </c>
      <c r="E65" s="264"/>
      <c r="F65" s="264" t="s">
        <v>1764</v>
      </c>
      <c r="G65" s="222" t="s">
        <v>1902</v>
      </c>
      <c r="H65" s="462" t="s">
        <v>2316</v>
      </c>
    </row>
    <row r="66" spans="1:8" ht="51" customHeight="1">
      <c r="A66" s="1151"/>
      <c r="B66" s="566" t="s">
        <v>1955</v>
      </c>
      <c r="C66" s="221" t="s">
        <v>1903</v>
      </c>
      <c r="D66" s="264" t="s">
        <v>17</v>
      </c>
      <c r="E66" s="264"/>
      <c r="F66" s="264" t="s">
        <v>1764</v>
      </c>
      <c r="G66" s="222" t="s">
        <v>1894</v>
      </c>
      <c r="H66" s="462" t="s">
        <v>2316</v>
      </c>
    </row>
    <row r="67" spans="1:8" ht="44.25" customHeight="1">
      <c r="A67" s="1151"/>
      <c r="B67" s="566" t="s">
        <v>1956</v>
      </c>
      <c r="C67" s="221" t="s">
        <v>1895</v>
      </c>
      <c r="D67" s="231" t="s">
        <v>17</v>
      </c>
      <c r="E67" s="231"/>
      <c r="F67" s="264" t="s">
        <v>1764</v>
      </c>
      <c r="G67" s="222" t="s">
        <v>1895</v>
      </c>
      <c r="H67" s="462" t="s">
        <v>2316</v>
      </c>
    </row>
    <row r="68" spans="1:8" ht="76.8">
      <c r="A68" s="1151"/>
      <c r="B68" s="566" t="s">
        <v>2019</v>
      </c>
      <c r="C68" s="221" t="s">
        <v>2337</v>
      </c>
      <c r="D68" s="231" t="s">
        <v>17</v>
      </c>
      <c r="E68" s="231"/>
      <c r="F68" s="264" t="s">
        <v>1764</v>
      </c>
      <c r="G68" s="222" t="s">
        <v>2337</v>
      </c>
      <c r="H68" s="462" t="s">
        <v>2316</v>
      </c>
    </row>
    <row r="69" spans="1:8" ht="38.4">
      <c r="A69" s="1151"/>
      <c r="B69" s="566" t="s">
        <v>2022</v>
      </c>
      <c r="C69" s="221" t="s">
        <v>1896</v>
      </c>
      <c r="D69" s="231" t="s">
        <v>1908</v>
      </c>
      <c r="E69" s="231"/>
      <c r="F69" s="231" t="s">
        <v>1941</v>
      </c>
      <c r="G69" s="222" t="s">
        <v>1896</v>
      </c>
      <c r="H69" s="264"/>
    </row>
    <row r="70" spans="1:8" ht="57.6">
      <c r="A70" s="1151"/>
      <c r="B70" s="566" t="s">
        <v>2024</v>
      </c>
      <c r="C70" s="221" t="s">
        <v>2041</v>
      </c>
      <c r="D70" s="231" t="s">
        <v>17</v>
      </c>
      <c r="E70" s="231"/>
      <c r="F70" s="231" t="s">
        <v>1941</v>
      </c>
      <c r="G70" s="222" t="s">
        <v>2041</v>
      </c>
      <c r="H70" s="461"/>
    </row>
    <row r="71" spans="1:8" ht="38.4">
      <c r="A71" s="1151"/>
      <c r="B71" s="566" t="s">
        <v>2187</v>
      </c>
      <c r="C71" s="221" t="s">
        <v>2042</v>
      </c>
      <c r="D71" s="266" t="s">
        <v>52</v>
      </c>
      <c r="E71" s="266"/>
      <c r="F71" s="231" t="s">
        <v>304</v>
      </c>
      <c r="G71" s="222" t="s">
        <v>2042</v>
      </c>
      <c r="H71" s="464"/>
    </row>
    <row r="72" spans="1:8" ht="54.75" customHeight="1">
      <c r="A72" s="1152"/>
      <c r="B72" s="566" t="s">
        <v>2188</v>
      </c>
      <c r="C72" s="221" t="s">
        <v>1897</v>
      </c>
      <c r="D72" s="266" t="s">
        <v>18</v>
      </c>
      <c r="E72" s="266"/>
      <c r="F72" s="266" t="s">
        <v>1764</v>
      </c>
      <c r="G72" s="222" t="s">
        <v>1897</v>
      </c>
      <c r="H72" s="464"/>
    </row>
    <row r="73" spans="1:8" ht="76.8">
      <c r="A73" s="1153" t="s">
        <v>2235</v>
      </c>
      <c r="B73" s="568" t="s">
        <v>2189</v>
      </c>
      <c r="C73" s="491" t="s">
        <v>2197</v>
      </c>
      <c r="D73" s="487" t="s">
        <v>52</v>
      </c>
      <c r="F73" s="487" t="s">
        <v>1764</v>
      </c>
      <c r="G73" s="491" t="s">
        <v>2197</v>
      </c>
      <c r="H73" s="460"/>
    </row>
    <row r="74" spans="1:8" ht="54.75" customHeight="1">
      <c r="A74" s="1154"/>
      <c r="B74" s="568" t="s">
        <v>2190</v>
      </c>
      <c r="C74" s="491" t="s">
        <v>2198</v>
      </c>
      <c r="D74" s="487" t="s">
        <v>52</v>
      </c>
      <c r="F74" s="487" t="s">
        <v>1764</v>
      </c>
      <c r="G74" s="491" t="s">
        <v>2198</v>
      </c>
      <c r="H74" s="460"/>
    </row>
    <row r="75" spans="1:8" ht="57.6">
      <c r="A75" s="1154"/>
      <c r="B75" s="568" t="s">
        <v>2191</v>
      </c>
      <c r="C75" s="491" t="s">
        <v>2200</v>
      </c>
      <c r="D75" s="487" t="s">
        <v>17</v>
      </c>
      <c r="F75" s="487" t="s">
        <v>1764</v>
      </c>
      <c r="G75" s="491" t="s">
        <v>2200</v>
      </c>
      <c r="H75" s="460"/>
    </row>
    <row r="76" spans="1:8" ht="57.6">
      <c r="A76" s="1155"/>
      <c r="B76" s="568" t="s">
        <v>2282</v>
      </c>
      <c r="C76" s="491" t="s">
        <v>2199</v>
      </c>
      <c r="D76" s="487" t="s">
        <v>52</v>
      </c>
      <c r="F76" s="487" t="s">
        <v>1764</v>
      </c>
      <c r="G76" s="491" t="s">
        <v>2199</v>
      </c>
      <c r="H76" s="460"/>
    </row>
    <row r="77" spans="1:8" ht="41.4">
      <c r="A77" s="1138" t="s">
        <v>2286</v>
      </c>
      <c r="B77" s="516" t="s">
        <v>2283</v>
      </c>
      <c r="C77" s="488" t="s">
        <v>2279</v>
      </c>
      <c r="D77" s="488" t="s">
        <v>17</v>
      </c>
      <c r="E77" s="488" t="s">
        <v>2271</v>
      </c>
      <c r="F77" s="517"/>
      <c r="G77" s="488"/>
      <c r="H77" s="462" t="s">
        <v>2321</v>
      </c>
    </row>
    <row r="78" spans="1:8" ht="41.4">
      <c r="A78" s="1139"/>
      <c r="B78" s="516" t="s">
        <v>2284</v>
      </c>
      <c r="C78" s="488" t="s">
        <v>2280</v>
      </c>
      <c r="D78" s="488" t="s">
        <v>17</v>
      </c>
      <c r="E78" s="488" t="s">
        <v>2271</v>
      </c>
      <c r="F78" s="517"/>
      <c r="G78" s="488"/>
      <c r="H78" s="462" t="s">
        <v>2321</v>
      </c>
    </row>
    <row r="79" spans="1:8" ht="27.6">
      <c r="A79" s="1139"/>
      <c r="B79" s="516" t="s">
        <v>2330</v>
      </c>
      <c r="C79" s="488" t="s">
        <v>2281</v>
      </c>
      <c r="D79" s="488" t="s">
        <v>17</v>
      </c>
      <c r="E79" s="488" t="s">
        <v>2271</v>
      </c>
      <c r="F79" s="517"/>
      <c r="G79" s="488"/>
      <c r="H79" s="462" t="s">
        <v>2321</v>
      </c>
    </row>
    <row r="80" spans="1:8" ht="45" customHeight="1">
      <c r="A80" s="1156" t="s">
        <v>2769</v>
      </c>
      <c r="B80" s="811" t="s">
        <v>1816</v>
      </c>
      <c r="C80" s="812" t="s">
        <v>2757</v>
      </c>
      <c r="D80" s="812" t="s">
        <v>17</v>
      </c>
      <c r="E80" s="813"/>
      <c r="F80" s="813"/>
      <c r="G80" s="813"/>
    </row>
    <row r="81" spans="1:7" ht="45" customHeight="1">
      <c r="A81" s="1156"/>
      <c r="B81" s="811" t="s">
        <v>1818</v>
      </c>
      <c r="C81" s="812" t="s">
        <v>2758</v>
      </c>
      <c r="D81" s="812" t="s">
        <v>17</v>
      </c>
      <c r="E81" s="813"/>
      <c r="F81" s="813"/>
      <c r="G81" s="813"/>
    </row>
    <row r="82" spans="1:7" ht="45" customHeight="1">
      <c r="A82" s="1156"/>
      <c r="B82" s="811" t="s">
        <v>1819</v>
      </c>
      <c r="C82" s="812" t="s">
        <v>2759</v>
      </c>
      <c r="D82" s="812" t="s">
        <v>19</v>
      </c>
      <c r="E82" s="813"/>
      <c r="F82" s="813"/>
      <c r="G82" s="813"/>
    </row>
    <row r="83" spans="1:7" ht="45" customHeight="1">
      <c r="A83" s="1156"/>
      <c r="B83" s="811" t="s">
        <v>1820</v>
      </c>
      <c r="C83" s="812" t="s">
        <v>2760</v>
      </c>
      <c r="D83" s="812" t="s">
        <v>18</v>
      </c>
      <c r="E83" s="813"/>
      <c r="F83" s="813"/>
      <c r="G83" s="813"/>
    </row>
    <row r="84" spans="1:7" ht="45" customHeight="1">
      <c r="C84" s="272" t="s">
        <v>1280</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0622-EBA0-41CD-8580-7FA6110C79F3}">
  <sheetPr>
    <tabColor rgb="FF92D050"/>
  </sheetPr>
  <dimension ref="A1:G11"/>
  <sheetViews>
    <sheetView view="pageBreakPreview" zoomScale="89" zoomScaleNormal="85" zoomScaleSheetLayoutView="89" workbookViewId="0">
      <selection activeCell="B3" sqref="B3"/>
    </sheetView>
  </sheetViews>
  <sheetFormatPr defaultColWidth="6.69921875" defaultRowHeight="15.6"/>
  <cols>
    <col min="1" max="1" width="10.69921875" style="173" customWidth="1"/>
    <col min="2" max="2" width="45.5" style="173" customWidth="1"/>
    <col min="3" max="3" width="19" style="173" customWidth="1"/>
    <col min="4" max="4" width="63.5" style="173" customWidth="1"/>
    <col min="5" max="5" width="40.69921875" style="175" customWidth="1"/>
    <col min="6" max="6" width="25.19921875" style="175" customWidth="1"/>
    <col min="7" max="16384" width="6.69921875" style="175"/>
  </cols>
  <sheetData>
    <row r="1" spans="1:7">
      <c r="B1" s="174"/>
      <c r="C1" s="174"/>
      <c r="D1" s="174"/>
    </row>
    <row r="2" spans="1:7" ht="38.4">
      <c r="A2" s="176" t="s">
        <v>73</v>
      </c>
      <c r="B2" s="176" t="s">
        <v>3162</v>
      </c>
      <c r="C2" s="176" t="s">
        <v>74</v>
      </c>
      <c r="D2" s="176" t="s">
        <v>75</v>
      </c>
      <c r="E2" s="176" t="s">
        <v>1008</v>
      </c>
      <c r="F2" s="176" t="s">
        <v>76</v>
      </c>
    </row>
    <row r="3" spans="1:7" ht="243" customHeight="1">
      <c r="A3" s="177" t="s">
        <v>1021</v>
      </c>
      <c r="B3" s="177" t="s">
        <v>2300</v>
      </c>
      <c r="C3" s="177" t="s">
        <v>2368</v>
      </c>
      <c r="D3" s="178" t="s">
        <v>2369</v>
      </c>
      <c r="E3" s="177" t="s">
        <v>1822</v>
      </c>
      <c r="F3" s="177" t="s">
        <v>2313</v>
      </c>
    </row>
    <row r="4" spans="1:7" ht="134.4">
      <c r="A4" s="179" t="s">
        <v>1022</v>
      </c>
      <c r="B4" s="179" t="s">
        <v>2301</v>
      </c>
      <c r="C4" s="179" t="s">
        <v>2371</v>
      </c>
      <c r="D4" s="179" t="s">
        <v>2370</v>
      </c>
      <c r="E4" s="179" t="s">
        <v>2312</v>
      </c>
      <c r="F4" s="179" t="s">
        <v>2313</v>
      </c>
    </row>
    <row r="5" spans="1:7" ht="195.75" customHeight="1">
      <c r="A5" s="180" t="s">
        <v>1267</v>
      </c>
      <c r="B5" s="180" t="s">
        <v>2302</v>
      </c>
      <c r="C5" s="180" t="s">
        <v>2338</v>
      </c>
      <c r="D5" s="180" t="s">
        <v>2339</v>
      </c>
      <c r="E5" s="180" t="s">
        <v>2073</v>
      </c>
      <c r="F5" s="180" t="s">
        <v>2313</v>
      </c>
    </row>
    <row r="6" spans="1:7" ht="153.6">
      <c r="A6" s="530" t="s">
        <v>2305</v>
      </c>
      <c r="B6" s="530" t="s">
        <v>2303</v>
      </c>
      <c r="C6" s="530" t="s">
        <v>2340</v>
      </c>
      <c r="D6" s="530" t="s">
        <v>2307</v>
      </c>
      <c r="E6" s="530" t="s">
        <v>2319</v>
      </c>
      <c r="F6" s="530" t="s">
        <v>2313</v>
      </c>
    </row>
    <row r="7" spans="1:7" ht="115.2">
      <c r="A7" s="529" t="s">
        <v>2306</v>
      </c>
      <c r="B7" s="529" t="s">
        <v>2304</v>
      </c>
      <c r="C7" s="529" t="s">
        <v>2341</v>
      </c>
      <c r="D7" s="529" t="s">
        <v>2342</v>
      </c>
      <c r="E7" s="529" t="s">
        <v>2319</v>
      </c>
      <c r="F7" s="529" t="s">
        <v>2313</v>
      </c>
    </row>
    <row r="8" spans="1:7" s="173" customFormat="1">
      <c r="G8" s="181"/>
    </row>
    <row r="9" spans="1:7" s="173" customFormat="1"/>
    <row r="10" spans="1:7">
      <c r="E10" s="173"/>
      <c r="F10" s="173"/>
    </row>
    <row r="11" spans="1:7">
      <c r="E11" s="173"/>
      <c r="F11" s="173"/>
    </row>
  </sheetData>
  <pageMargins left="0" right="0" top="0.5" bottom="0.5" header="0.3" footer="0.3"/>
  <pageSetup scale="58" orientation="landscape" r:id="rId1"/>
  <rowBreaks count="1" manualBreakCount="1">
    <brk id="7" max="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H236"/>
  <sheetViews>
    <sheetView showGridLines="0" topLeftCell="B2" zoomScale="60" zoomScaleNormal="60" workbookViewId="0">
      <pane xSplit="5" ySplit="23" topLeftCell="G168" activePane="bottomRight" state="frozen"/>
      <selection activeCell="B2" sqref="B2"/>
      <selection pane="topRight" activeCell="G2" sqref="G2"/>
      <selection pane="bottomLeft" activeCell="B25" sqref="B25"/>
      <selection pane="bottomRight" activeCell="H211" sqref="H211"/>
    </sheetView>
  </sheetViews>
  <sheetFormatPr defaultColWidth="9" defaultRowHeight="15.6"/>
  <cols>
    <col min="1" max="1" width="17.09765625" style="59" bestFit="1" customWidth="1"/>
    <col min="2" max="2" width="10.69921875" style="59" customWidth="1"/>
    <col min="3" max="3" width="39.3984375" style="59" customWidth="1"/>
    <col min="4" max="4" width="16.8984375" style="59" customWidth="1"/>
    <col min="5" max="5" width="20.3984375" style="59" customWidth="1"/>
    <col min="6" max="6" width="17.19921875" style="59" customWidth="1"/>
    <col min="7" max="7" width="14.3984375" style="59" customWidth="1"/>
    <col min="8" max="8" width="13.09765625" style="59" customWidth="1"/>
    <col min="9" max="9" width="15.59765625" style="59" customWidth="1"/>
    <col min="10" max="10" width="14.3984375" style="59" customWidth="1"/>
    <col min="11" max="11" width="12.796875" style="59" customWidth="1"/>
    <col min="12" max="12" width="15.69921875" style="59" customWidth="1"/>
    <col min="13" max="13" width="9.69921875" style="59" customWidth="1"/>
    <col min="14" max="14" width="10.59765625" style="59" customWidth="1"/>
    <col min="15" max="15" width="12.796875" style="59" customWidth="1"/>
    <col min="16" max="16" width="9.59765625" style="59" customWidth="1"/>
    <col min="17" max="17" width="39.796875" style="59" customWidth="1"/>
    <col min="18" max="18" width="17.09765625" style="59" customWidth="1"/>
    <col min="19" max="19" width="19" style="59" customWidth="1"/>
    <col min="20" max="21" width="16.09765625" style="59" customWidth="1"/>
    <col min="22" max="22" width="21.59765625" style="59" customWidth="1"/>
    <col min="23" max="23" width="19.19921875" style="59" bestFit="1" customWidth="1"/>
    <col min="24" max="24" width="11.5" style="59" customWidth="1"/>
    <col min="25" max="25" width="13" style="59" bestFit="1" customWidth="1"/>
    <col min="26" max="30" width="14.59765625" style="59" customWidth="1"/>
    <col min="31" max="37" width="9.19921875" style="59" customWidth="1"/>
    <col min="38" max="38" width="16.59765625" style="59" customWidth="1"/>
    <col min="39" max="39" width="16.69921875" style="59" customWidth="1"/>
    <col min="40" max="40" width="9.19921875" style="59" customWidth="1"/>
    <col min="41" max="41" width="24.5" style="59" customWidth="1"/>
    <col min="42" max="42" width="22.19921875" style="59" customWidth="1"/>
    <col min="43" max="43" width="19.19921875" style="59" bestFit="1" customWidth="1"/>
    <col min="44" max="44" width="9.19921875" style="59" customWidth="1"/>
    <col min="45" max="45" width="23" style="59" customWidth="1"/>
    <col min="46" max="46" width="9.19921875" style="59" customWidth="1"/>
    <col min="47" max="47" width="10.19921875" style="59" customWidth="1"/>
    <col min="48" max="16384" width="9" style="59"/>
  </cols>
  <sheetData>
    <row r="1" spans="1:35" ht="50.55" customHeight="1">
      <c r="C1" s="681" t="s">
        <v>2076</v>
      </c>
      <c r="D1" s="682" t="s">
        <v>2077</v>
      </c>
      <c r="E1" s="683" t="s">
        <v>2078</v>
      </c>
      <c r="F1" s="684" t="s">
        <v>2359</v>
      </c>
      <c r="G1" s="685" t="s">
        <v>2360</v>
      </c>
      <c r="H1" s="685" t="s">
        <v>2868</v>
      </c>
      <c r="I1" s="686" t="s">
        <v>2095</v>
      </c>
      <c r="J1" s="686" t="s">
        <v>2098</v>
      </c>
      <c r="K1" s="686" t="s">
        <v>2097</v>
      </c>
      <c r="L1" s="687" t="s">
        <v>2872</v>
      </c>
      <c r="M1" s="687" t="s">
        <v>2873</v>
      </c>
      <c r="N1" s="687" t="s">
        <v>2354</v>
      </c>
      <c r="O1" s="687" t="s">
        <v>2871</v>
      </c>
    </row>
    <row r="2" spans="1:35">
      <c r="A2" s="1160" t="s">
        <v>2661</v>
      </c>
      <c r="B2" s="675" t="s">
        <v>37</v>
      </c>
      <c r="C2" s="676">
        <f>'HRP ref'!C4</f>
        <v>69210.051851851851</v>
      </c>
      <c r="D2" s="676">
        <f>'HRP ref'!D4</f>
        <v>79179</v>
      </c>
      <c r="E2" s="676">
        <f>'HRP ref'!E4</f>
        <v>81603</v>
      </c>
      <c r="F2" s="676">
        <f>'HRP ref'!F4</f>
        <v>1339</v>
      </c>
      <c r="G2" s="676">
        <f>'HRP ref'!G4</f>
        <v>18980</v>
      </c>
      <c r="H2" s="676">
        <f>'HRP ref'!H4</f>
        <v>3893</v>
      </c>
      <c r="I2" s="676">
        <f>'HRP ref'!I4</f>
        <v>55703</v>
      </c>
      <c r="J2" s="676">
        <f>'HRP ref'!J4</f>
        <v>74739</v>
      </c>
      <c r="K2" s="676">
        <f>'HRP ref'!K4</f>
        <v>52715</v>
      </c>
      <c r="L2" s="676">
        <f>'HRP ref'!L4</f>
        <v>18675</v>
      </c>
      <c r="M2" s="676">
        <f>'HRP ref'!M4</f>
        <v>293</v>
      </c>
      <c r="N2" s="676">
        <f>'HRP ref'!N4</f>
        <v>795</v>
      </c>
      <c r="O2" s="676">
        <f>'HRP ref'!O4</f>
        <v>3800</v>
      </c>
    </row>
    <row r="3" spans="1:35">
      <c r="A3" s="1161"/>
      <c r="B3" s="675" t="s">
        <v>515</v>
      </c>
      <c r="C3" s="677">
        <f>'HRP ref'!S4</f>
        <v>9907.3333333333321</v>
      </c>
      <c r="D3" s="677">
        <f>'HRP ref'!T4</f>
        <v>11712</v>
      </c>
      <c r="E3" s="677">
        <f>'HRP ref'!U4</f>
        <v>8238</v>
      </c>
      <c r="F3" s="677">
        <f>'HRP ref'!V4</f>
        <v>0</v>
      </c>
      <c r="G3" s="677">
        <f>'HRP ref'!W4</f>
        <v>2223</v>
      </c>
      <c r="H3" s="677">
        <f>'HRP ref'!X4</f>
        <v>0</v>
      </c>
      <c r="I3" s="677">
        <f>'HRP ref'!Y4</f>
        <v>6244</v>
      </c>
      <c r="J3" s="677">
        <f>'HRP ref'!Z4</f>
        <v>6768</v>
      </c>
      <c r="K3" s="677">
        <f>'HRP ref'!AA4</f>
        <v>7091</v>
      </c>
      <c r="L3" s="677">
        <f>'HRP ref'!AB4</f>
        <v>2223</v>
      </c>
      <c r="M3" s="677">
        <f>'HRP ref'!AC4</f>
        <v>0</v>
      </c>
      <c r="N3" s="677">
        <f>'HRP ref'!AD4</f>
        <v>0</v>
      </c>
      <c r="O3" s="677">
        <f>'HRP ref'!AE4</f>
        <v>0</v>
      </c>
    </row>
    <row r="4" spans="1:35">
      <c r="A4" s="678"/>
      <c r="B4" s="679"/>
      <c r="C4" s="680"/>
      <c r="D4" s="680"/>
      <c r="E4" s="680"/>
      <c r="F4" s="680"/>
      <c r="G4" s="680"/>
      <c r="H4" s="680"/>
      <c r="I4" s="680"/>
      <c r="J4" s="680"/>
      <c r="K4" s="680"/>
      <c r="L4" s="680"/>
      <c r="M4" s="680"/>
      <c r="N4" s="680"/>
    </row>
    <row r="5" spans="1:35" s="60" customFormat="1" hidden="1">
      <c r="A5" s="995" t="s">
        <v>34</v>
      </c>
      <c r="B5" s="996" t="s">
        <v>34</v>
      </c>
      <c r="AB5" s="59"/>
      <c r="AC5" s="59"/>
      <c r="AD5" s="59"/>
      <c r="AF5" s="59"/>
      <c r="AH5" s="59"/>
    </row>
    <row r="6" spans="1:35" hidden="1">
      <c r="A6" s="995" t="s">
        <v>134</v>
      </c>
      <c r="B6" s="996" t="s">
        <v>1284</v>
      </c>
    </row>
    <row r="7" spans="1:35" s="673" customFormat="1" hidden="1">
      <c r="A7" s="672"/>
      <c r="B7" s="672"/>
      <c r="AB7" s="672"/>
      <c r="AC7" s="672"/>
      <c r="AD7" s="672"/>
      <c r="AF7" s="672"/>
    </row>
    <row r="8" spans="1:35" ht="94.2" hidden="1" thickBot="1">
      <c r="A8" s="996"/>
      <c r="B8" s="996"/>
      <c r="C8" s="1003" t="s">
        <v>1294</v>
      </c>
      <c r="D8" s="1004" t="s">
        <v>2076</v>
      </c>
      <c r="E8" s="1005" t="s">
        <v>2077</v>
      </c>
      <c r="F8" s="1006" t="s">
        <v>2078</v>
      </c>
      <c r="G8" s="1012" t="s">
        <v>2359</v>
      </c>
      <c r="H8" s="1013" t="s">
        <v>2360</v>
      </c>
      <c r="I8" s="1009" t="s">
        <v>2095</v>
      </c>
      <c r="J8" s="1009" t="s">
        <v>2098</v>
      </c>
      <c r="K8" s="1009" t="s">
        <v>2097</v>
      </c>
      <c r="L8" s="1014" t="s">
        <v>2372</v>
      </c>
      <c r="M8"/>
      <c r="N8"/>
      <c r="P8" s="60"/>
      <c r="Q8" s="702"/>
      <c r="R8" s="702"/>
      <c r="S8" s="703"/>
      <c r="T8" s="703"/>
      <c r="U8" s="703"/>
      <c r="V8" s="704"/>
      <c r="W8"/>
      <c r="X8"/>
      <c r="Y8"/>
      <c r="AB8"/>
      <c r="AC8"/>
      <c r="AD8"/>
      <c r="AE8"/>
      <c r="AF8"/>
      <c r="AG8"/>
      <c r="AH8"/>
      <c r="AI8" s="371"/>
    </row>
    <row r="9" spans="1:35" hidden="1">
      <c r="A9" s="996" t="s">
        <v>37</v>
      </c>
      <c r="B9" s="996" t="s">
        <v>2785</v>
      </c>
      <c r="C9" s="1002">
        <v>97010</v>
      </c>
      <c r="D9" s="999">
        <v>55287.718518518523</v>
      </c>
      <c r="E9" s="1000">
        <v>67519</v>
      </c>
      <c r="F9" s="1001">
        <v>66410</v>
      </c>
      <c r="G9" s="1010">
        <v>633</v>
      </c>
      <c r="H9" s="1011">
        <v>16395</v>
      </c>
      <c r="I9" s="1008">
        <v>25876</v>
      </c>
      <c r="J9" s="1008">
        <v>61780</v>
      </c>
      <c r="K9" s="1008">
        <v>35790</v>
      </c>
      <c r="L9" s="998">
        <v>604</v>
      </c>
      <c r="M9"/>
      <c r="N9"/>
      <c r="P9" s="598"/>
      <c r="Q9" s="705"/>
      <c r="R9" s="705"/>
      <c r="S9" s="706"/>
      <c r="T9" s="706"/>
      <c r="U9" s="706"/>
      <c r="V9" s="707"/>
      <c r="W9"/>
      <c r="X9"/>
      <c r="Y9"/>
      <c r="AB9"/>
      <c r="AC9"/>
      <c r="AD9"/>
      <c r="AE9"/>
      <c r="AF9"/>
      <c r="AG9"/>
      <c r="AH9"/>
    </row>
    <row r="10" spans="1:35" hidden="1">
      <c r="A10" s="996"/>
      <c r="B10" s="996" t="s">
        <v>2786</v>
      </c>
      <c r="C10" s="1002">
        <v>107144</v>
      </c>
      <c r="D10" s="999">
        <v>63986.666666666657</v>
      </c>
      <c r="E10" s="1000">
        <v>73188</v>
      </c>
      <c r="F10" s="1001">
        <v>67523</v>
      </c>
      <c r="G10" s="1010">
        <v>706</v>
      </c>
      <c r="H10" s="1011">
        <v>15228</v>
      </c>
      <c r="I10" s="1008">
        <v>39124</v>
      </c>
      <c r="J10" s="1008">
        <v>62371</v>
      </c>
      <c r="K10" s="1008">
        <v>48215</v>
      </c>
      <c r="L10" s="998">
        <v>405</v>
      </c>
      <c r="M10"/>
      <c r="N10"/>
      <c r="P10" s="598"/>
      <c r="Q10" s="705"/>
      <c r="R10" s="705"/>
      <c r="S10" s="706"/>
      <c r="T10" s="706"/>
      <c r="U10" s="706"/>
      <c r="V10" s="707"/>
      <c r="W10"/>
      <c r="X10"/>
      <c r="Y10"/>
      <c r="AB10"/>
      <c r="AC10"/>
      <c r="AD10"/>
      <c r="AE10"/>
      <c r="AF10"/>
      <c r="AG10"/>
      <c r="AH10"/>
    </row>
    <row r="11" spans="1:35" hidden="1">
      <c r="A11" s="996" t="s">
        <v>515</v>
      </c>
      <c r="B11" s="996" t="s">
        <v>2785</v>
      </c>
      <c r="C11" s="1002">
        <v>13169</v>
      </c>
      <c r="D11" s="999">
        <v>9258.9999999999982</v>
      </c>
      <c r="E11" s="1000">
        <v>11107</v>
      </c>
      <c r="F11" s="1001">
        <v>7869</v>
      </c>
      <c r="G11" s="1010">
        <v>0</v>
      </c>
      <c r="H11" s="1011">
        <v>2223</v>
      </c>
      <c r="I11" s="1008">
        <v>5536</v>
      </c>
      <c r="J11" s="1008">
        <v>6476</v>
      </c>
      <c r="K11" s="1008">
        <v>6111</v>
      </c>
      <c r="L11" s="998">
        <v>0</v>
      </c>
      <c r="M11"/>
      <c r="N11"/>
      <c r="P11" s="598"/>
      <c r="Q11" s="705"/>
      <c r="R11" s="705"/>
      <c r="S11" s="706"/>
      <c r="T11" s="706"/>
      <c r="U11" s="706"/>
      <c r="V11" s="707"/>
      <c r="W11"/>
      <c r="X11"/>
      <c r="Y11"/>
      <c r="AB11"/>
      <c r="AC11"/>
      <c r="AD11"/>
      <c r="AE11"/>
      <c r="AF11"/>
      <c r="AG11"/>
      <c r="AH11"/>
    </row>
    <row r="12" spans="1:35" hidden="1">
      <c r="A12" s="996"/>
      <c r="B12" s="996" t="s">
        <v>2786</v>
      </c>
      <c r="C12" s="1002">
        <v>10000</v>
      </c>
      <c r="D12" s="999">
        <v>9319.3333333333321</v>
      </c>
      <c r="E12" s="1000">
        <v>7177</v>
      </c>
      <c r="F12" s="1001">
        <v>6348</v>
      </c>
      <c r="G12" s="1010">
        <v>0</v>
      </c>
      <c r="H12" s="1011">
        <v>2223</v>
      </c>
      <c r="I12" s="1008">
        <v>806</v>
      </c>
      <c r="J12" s="1008">
        <v>5542</v>
      </c>
      <c r="K12" s="1008">
        <v>5259</v>
      </c>
      <c r="L12" s="998">
        <v>0</v>
      </c>
      <c r="M12"/>
      <c r="N12"/>
      <c r="P12" s="598"/>
      <c r="Q12" s="705"/>
      <c r="R12" s="705"/>
      <c r="S12" s="706"/>
      <c r="T12" s="706"/>
      <c r="U12" s="706"/>
      <c r="V12" s="707"/>
      <c r="W12"/>
      <c r="X12"/>
      <c r="Y12"/>
      <c r="Z12"/>
      <c r="AA12"/>
      <c r="AB12"/>
      <c r="AC12"/>
      <c r="AD12"/>
      <c r="AE12"/>
      <c r="AF12"/>
      <c r="AG12"/>
      <c r="AH12"/>
    </row>
    <row r="13" spans="1:35" hidden="1">
      <c r="A13" s="996" t="s">
        <v>1285</v>
      </c>
      <c r="B13" s="996"/>
      <c r="C13" s="1002">
        <v>227323</v>
      </c>
      <c r="D13" s="999">
        <v>137852.71851851852</v>
      </c>
      <c r="E13" s="1000">
        <v>158991</v>
      </c>
      <c r="F13" s="1001">
        <v>148150</v>
      </c>
      <c r="G13" s="1010">
        <v>1339</v>
      </c>
      <c r="H13" s="1011">
        <v>36069</v>
      </c>
      <c r="I13" s="1008">
        <v>71342</v>
      </c>
      <c r="J13" s="1008">
        <v>136169</v>
      </c>
      <c r="K13" s="1008">
        <v>95375</v>
      </c>
      <c r="L13" s="998">
        <v>1009</v>
      </c>
      <c r="M13"/>
      <c r="N13"/>
      <c r="P13" s="598"/>
      <c r="Q13" s="705"/>
      <c r="R13" s="705"/>
      <c r="S13" s="706"/>
      <c r="T13" s="706"/>
      <c r="U13" s="706"/>
      <c r="V13" s="707"/>
      <c r="W13" s="421"/>
      <c r="X13" s="421"/>
      <c r="Y13" s="421"/>
      <c r="Z13" s="421"/>
      <c r="AA13" s="421"/>
      <c r="AB13" s="421"/>
      <c r="AC13" s="421"/>
      <c r="AD13" s="421"/>
      <c r="AE13" s="421"/>
      <c r="AF13" s="421"/>
      <c r="AG13" s="421"/>
      <c r="AH13" s="421"/>
    </row>
    <row r="14" spans="1:35" hidden="1">
      <c r="A14"/>
      <c r="B14"/>
      <c r="C14"/>
      <c r="D14"/>
      <c r="E14"/>
      <c r="F14"/>
      <c r="G14"/>
      <c r="H14"/>
      <c r="I14"/>
      <c r="J14"/>
      <c r="K14"/>
      <c r="L14"/>
      <c r="M14"/>
      <c r="N14"/>
      <c r="P14" s="421"/>
      <c r="Q14" s="421"/>
      <c r="R14" s="421"/>
      <c r="S14" s="421"/>
      <c r="T14" s="421"/>
      <c r="U14" s="421"/>
      <c r="V14" s="421"/>
      <c r="W14" s="421"/>
      <c r="X14" s="421"/>
      <c r="Y14" s="421"/>
      <c r="Z14" s="421"/>
      <c r="AA14" s="421"/>
      <c r="AB14" s="421"/>
      <c r="AC14" s="421"/>
      <c r="AD14" s="421"/>
      <c r="AE14" s="421"/>
      <c r="AF14" s="421"/>
      <c r="AG14" s="421"/>
      <c r="AH14" s="421"/>
    </row>
    <row r="15" spans="1:35" hidden="1">
      <c r="A15"/>
      <c r="B15"/>
      <c r="C15"/>
      <c r="D15"/>
      <c r="E15"/>
      <c r="F15"/>
      <c r="G15"/>
      <c r="H15"/>
      <c r="I15"/>
      <c r="J15"/>
      <c r="K15"/>
      <c r="L15"/>
      <c r="M15"/>
      <c r="N15"/>
      <c r="P15" s="421"/>
      <c r="Q15" s="421"/>
      <c r="R15" s="421"/>
      <c r="S15" s="421"/>
      <c r="T15" s="421"/>
      <c r="U15" s="421"/>
      <c r="V15" s="421"/>
      <c r="W15" s="421"/>
      <c r="X15" s="421"/>
      <c r="Y15" s="421"/>
      <c r="Z15" s="421"/>
      <c r="AA15" s="421"/>
      <c r="AB15" s="421"/>
      <c r="AC15" s="421"/>
      <c r="AD15" s="421"/>
      <c r="AE15" s="421"/>
      <c r="AF15" s="421"/>
      <c r="AG15" s="421"/>
      <c r="AH15" s="421"/>
    </row>
    <row r="16" spans="1:35" hidden="1">
      <c r="A16"/>
      <c r="B16"/>
      <c r="C16"/>
      <c r="D16"/>
      <c r="E16"/>
      <c r="F16"/>
      <c r="G16"/>
      <c r="H16"/>
      <c r="I16"/>
      <c r="J16"/>
      <c r="K16"/>
      <c r="L16"/>
      <c r="M16"/>
      <c r="N16"/>
      <c r="P16" s="421"/>
      <c r="Q16" s="421"/>
      <c r="R16" s="421"/>
      <c r="S16" s="421"/>
      <c r="T16" s="421"/>
      <c r="U16" s="421"/>
      <c r="V16" s="421"/>
      <c r="W16" s="421"/>
      <c r="X16" s="421"/>
      <c r="Y16" s="421"/>
      <c r="Z16" s="421"/>
      <c r="AA16" s="421"/>
      <c r="AB16" s="421"/>
      <c r="AC16" s="421"/>
      <c r="AD16" s="421"/>
      <c r="AE16" s="421"/>
      <c r="AF16" s="421"/>
      <c r="AG16" s="421"/>
      <c r="AH16" s="421"/>
    </row>
    <row r="17" spans="1:34" hidden="1">
      <c r="A17"/>
      <c r="B17"/>
      <c r="C17"/>
      <c r="D17"/>
      <c r="E17"/>
      <c r="F17"/>
      <c r="G17"/>
      <c r="H17"/>
      <c r="I17"/>
      <c r="J17"/>
      <c r="K17"/>
      <c r="L17"/>
      <c r="M17"/>
      <c r="N17"/>
      <c r="P17" s="421"/>
      <c r="Q17" s="421"/>
      <c r="R17" s="421"/>
      <c r="S17" s="421"/>
      <c r="T17" s="421"/>
      <c r="U17" s="421"/>
      <c r="V17" s="421"/>
      <c r="W17" s="421"/>
      <c r="X17" s="421"/>
      <c r="Y17" s="421"/>
      <c r="Z17" s="421"/>
      <c r="AA17" s="421"/>
      <c r="AB17" s="421"/>
      <c r="AC17" s="421"/>
      <c r="AD17" s="421"/>
      <c r="AE17" s="421"/>
      <c r="AF17" s="421"/>
      <c r="AG17" s="421"/>
      <c r="AH17" s="421"/>
    </row>
    <row r="18" spans="1:34" hidden="1">
      <c r="A18"/>
      <c r="B18"/>
      <c r="C18"/>
      <c r="D18"/>
      <c r="E18"/>
      <c r="F18"/>
      <c r="G18"/>
      <c r="H18"/>
      <c r="I18"/>
      <c r="J18"/>
      <c r="K18"/>
      <c r="L18"/>
      <c r="M18"/>
      <c r="N18"/>
      <c r="O18" s="421"/>
      <c r="P18" s="421"/>
      <c r="Q18" s="421"/>
      <c r="R18" s="421"/>
      <c r="S18" s="421"/>
      <c r="T18" s="421"/>
      <c r="U18" s="421"/>
      <c r="V18" s="421"/>
      <c r="W18" s="421"/>
      <c r="X18" s="421"/>
      <c r="Y18" s="421"/>
      <c r="Z18" s="421"/>
      <c r="AA18" s="421"/>
      <c r="AB18" s="421"/>
      <c r="AC18" s="421"/>
      <c r="AD18" s="421"/>
      <c r="AE18" s="421"/>
      <c r="AF18" s="421"/>
      <c r="AG18" s="421"/>
      <c r="AH18" s="421"/>
    </row>
    <row r="19" spans="1:34" s="155" customFormat="1" hidden="1">
      <c r="A19"/>
      <c r="B19"/>
      <c r="C19"/>
      <c r="D19"/>
      <c r="E19"/>
      <c r="F19"/>
      <c r="G19"/>
      <c r="H19"/>
      <c r="I19"/>
      <c r="J19"/>
      <c r="K19"/>
      <c r="L19"/>
      <c r="M19"/>
      <c r="N19"/>
      <c r="O19" s="439"/>
      <c r="P19" s="439"/>
      <c r="Q19" s="439"/>
      <c r="R19" s="439"/>
      <c r="S19" s="439"/>
      <c r="T19" s="439"/>
      <c r="U19" s="439"/>
      <c r="V19" s="439"/>
      <c r="W19" s="439"/>
      <c r="X19" s="439"/>
      <c r="Y19" s="439"/>
      <c r="Z19" s="439"/>
      <c r="AA19" s="439"/>
      <c r="AB19" s="439"/>
      <c r="AC19" s="439"/>
      <c r="AD19" s="439"/>
      <c r="AE19" s="439"/>
      <c r="AF19" s="439"/>
      <c r="AG19" s="439"/>
      <c r="AH19" s="439"/>
    </row>
    <row r="20" spans="1:34" s="155" customFormat="1">
      <c r="A20" s="665"/>
      <c r="B20" s="665"/>
      <c r="C20" s="666"/>
      <c r="D20" s="666"/>
      <c r="E20" s="666"/>
      <c r="F20" s="666"/>
      <c r="G20" s="667"/>
      <c r="H20" s="667"/>
      <c r="I20" s="668"/>
      <c r="J20" s="668"/>
      <c r="K20" s="668"/>
      <c r="L20" s="667"/>
      <c r="M20" s="667"/>
      <c r="N20" s="667"/>
      <c r="O20" s="439"/>
      <c r="P20" s="974"/>
      <c r="Q20" s="439"/>
      <c r="R20" s="974"/>
      <c r="S20" s="439"/>
      <c r="T20" s="439"/>
      <c r="U20" s="439"/>
      <c r="V20" s="439"/>
      <c r="W20" s="974"/>
      <c r="X20" s="439"/>
      <c r="Y20" s="439"/>
      <c r="Z20" s="439"/>
      <c r="AA20" s="439"/>
      <c r="AB20" s="439"/>
      <c r="AC20" s="439"/>
      <c r="AD20" s="439"/>
      <c r="AE20" s="439"/>
      <c r="AF20" s="439"/>
      <c r="AG20" s="439"/>
      <c r="AH20" s="439"/>
    </row>
    <row r="21" spans="1:34" ht="16.2" thickBot="1">
      <c r="C21" s="155"/>
      <c r="D21" s="375"/>
      <c r="E21" s="155"/>
      <c r="F21" s="155"/>
      <c r="M21"/>
      <c r="N21"/>
      <c r="O21"/>
      <c r="P21"/>
      <c r="R21">
        <f>R43/O43</f>
        <v>0.48756128631773854</v>
      </c>
      <c r="S21" s="915">
        <f>S43/O43</f>
        <v>0.51243871368226157</v>
      </c>
      <c r="T21" s="915">
        <f>T43/O43</f>
        <v>0.37397105502479844</v>
      </c>
      <c r="U21" s="915">
        <f>U43/O43</f>
        <v>0.55100347747111944</v>
      </c>
      <c r="W21"/>
      <c r="X21"/>
      <c r="Y21"/>
      <c r="Z21"/>
    </row>
    <row r="22" spans="1:34" ht="78.599999999999994" thickTop="1">
      <c r="C22" s="155"/>
      <c r="D22" s="376"/>
      <c r="E22" s="155"/>
      <c r="G22" s="649" t="s">
        <v>2711</v>
      </c>
      <c r="H22" s="650" t="s">
        <v>2712</v>
      </c>
      <c r="I22" s="650" t="s">
        <v>2874</v>
      </c>
      <c r="J22" s="650" t="s">
        <v>2875</v>
      </c>
      <c r="K22" s="751" t="s">
        <v>2968</v>
      </c>
      <c r="L22" s="773" t="s">
        <v>646</v>
      </c>
      <c r="M22" s="651" t="s">
        <v>2966</v>
      </c>
      <c r="N22" s="651" t="s">
        <v>2967</v>
      </c>
      <c r="O22" s="730"/>
      <c r="P22" s="730"/>
      <c r="Q22" s="800">
        <f>R81/O81</f>
        <v>0.48600778122505772</v>
      </c>
      <c r="R22" s="800">
        <f>S81/O81</f>
        <v>0.51399221877494228</v>
      </c>
      <c r="S22" s="916">
        <f>T81/O81</f>
        <v>0.37588006660069484</v>
      </c>
      <c r="T22" s="916">
        <f>U81/O81</f>
        <v>0.54772366847994491</v>
      </c>
      <c r="U22" s="916">
        <f>V81/O81</f>
        <v>7.6396264919360274E-2</v>
      </c>
      <c r="V22" s="914">
        <f>W81/O81</f>
        <v>0.14952414421074584</v>
      </c>
      <c r="Y22" s="59" t="s">
        <v>2886</v>
      </c>
    </row>
    <row r="23" spans="1:34" ht="16.05" hidden="1" customHeight="1" thickBot="1">
      <c r="E23" s="61"/>
      <c r="F23" s="800"/>
      <c r="G23" s="831" t="s">
        <v>1289</v>
      </c>
      <c r="H23" s="832"/>
      <c r="I23" s="832"/>
      <c r="J23" s="833"/>
      <c r="K23" s="780" t="s">
        <v>241</v>
      </c>
      <c r="L23" s="781"/>
      <c r="M23" s="782"/>
      <c r="N23" s="782"/>
      <c r="O23" s="832" t="s">
        <v>2688</v>
      </c>
      <c r="P23" s="779"/>
      <c r="Q23" s="800">
        <f>R43/O43</f>
        <v>0.48756128631773854</v>
      </c>
      <c r="R23" s="1158" t="s">
        <v>1496</v>
      </c>
      <c r="S23" s="1159"/>
      <c r="T23" s="972">
        <f>T43/O43</f>
        <v>0.37397105502479844</v>
      </c>
      <c r="U23" s="972">
        <f>U43/O43</f>
        <v>0.55100347747111944</v>
      </c>
      <c r="V23" s="973">
        <f>V43/O43</f>
        <v>7.5025467504082344E-2</v>
      </c>
      <c r="W23" s="800">
        <f>W43/O43</f>
        <v>0.14939863360411168</v>
      </c>
    </row>
    <row r="24" spans="1:34" ht="60" hidden="1" customHeight="1" thickTop="1">
      <c r="C24" s="73" t="s">
        <v>1286</v>
      </c>
      <c r="D24" s="74" t="s">
        <v>1287</v>
      </c>
      <c r="E24" s="74" t="s">
        <v>1288</v>
      </c>
      <c r="F24" s="637" t="s">
        <v>1295</v>
      </c>
      <c r="G24" s="649" t="s">
        <v>2711</v>
      </c>
      <c r="H24" s="650" t="s">
        <v>2712</v>
      </c>
      <c r="I24" s="650" t="s">
        <v>2874</v>
      </c>
      <c r="J24" s="650" t="s">
        <v>2875</v>
      </c>
      <c r="K24" s="751" t="s">
        <v>2968</v>
      </c>
      <c r="L24" s="773" t="s">
        <v>646</v>
      </c>
      <c r="M24" s="651" t="s">
        <v>2966</v>
      </c>
      <c r="N24" s="651" t="s">
        <v>2967</v>
      </c>
      <c r="O24" s="783" t="s">
        <v>2755</v>
      </c>
      <c r="P24" s="642" t="s">
        <v>1587</v>
      </c>
      <c r="Q24" s="854" t="s">
        <v>1588</v>
      </c>
      <c r="R24" s="867" t="s">
        <v>2669</v>
      </c>
      <c r="S24" s="868" t="s">
        <v>2670</v>
      </c>
      <c r="T24" s="868" t="s">
        <v>2671</v>
      </c>
      <c r="U24" s="868" t="s">
        <v>2878</v>
      </c>
      <c r="V24" s="869" t="s">
        <v>2879</v>
      </c>
      <c r="W24" s="869" t="s">
        <v>2668</v>
      </c>
      <c r="X24" s="870" t="s">
        <v>1291</v>
      </c>
      <c r="Z24" s="851" t="s">
        <v>1283</v>
      </c>
      <c r="AA24" s="851" t="s">
        <v>2885</v>
      </c>
      <c r="AB24" s="851" t="s">
        <v>2880</v>
      </c>
      <c r="AC24" s="851" t="s">
        <v>2881</v>
      </c>
      <c r="AD24" s="851" t="s">
        <v>2882</v>
      </c>
      <c r="AE24" s="851" t="s">
        <v>2883</v>
      </c>
      <c r="AF24" s="851" t="s">
        <v>2884</v>
      </c>
      <c r="AG24" s="851" t="s">
        <v>2223</v>
      </c>
      <c r="AH24" s="851" t="s">
        <v>2224</v>
      </c>
    </row>
    <row r="25" spans="1:34" ht="17.55" hidden="1" customHeight="1">
      <c r="B25" s="800">
        <f>(O25+O27+O28+O31+O32)/(F25+F27+F28+F31+F32)</f>
        <v>0.55832433315439245</v>
      </c>
      <c r="C25" s="1162" t="s">
        <v>2300</v>
      </c>
      <c r="D25" s="598" t="s">
        <v>2771</v>
      </c>
      <c r="E25" s="599">
        <v>71297.247022932934</v>
      </c>
      <c r="F25" s="638">
        <v>9212.6696427519528</v>
      </c>
      <c r="G25" s="688"/>
      <c r="H25" s="694">
        <v>150</v>
      </c>
      <c r="I25" s="694"/>
      <c r="J25" s="693"/>
      <c r="K25" s="693"/>
      <c r="L25" s="774"/>
      <c r="M25" s="784"/>
      <c r="N25" s="784"/>
      <c r="O25" s="795">
        <f>SUM(G25:N25)</f>
        <v>150</v>
      </c>
      <c r="P25" s="601">
        <f t="shared" ref="P25:P56" si="0">O25/F25</f>
        <v>1.6281925415399235E-2</v>
      </c>
      <c r="Q25" s="855">
        <f>1-P25</f>
        <v>0.98371807458460081</v>
      </c>
      <c r="R25" s="871">
        <f>O25*Table7[[#This Row],[% Male]]</f>
        <v>71.881925835998771</v>
      </c>
      <c r="S25" s="600">
        <f>O25*Table7[[#This Row],[% Female]]</f>
        <v>78.118074164001229</v>
      </c>
      <c r="T25" s="600">
        <f>O25*Table7[[#This Row],[% CHILDREN  (Age 18&lt;)]]</f>
        <v>55.054656046822601</v>
      </c>
      <c r="U25" s="600">
        <f>O25*Table7[[#This Row],[ % ADULTS ( Age 18-60)]]</f>
        <v>81.618779853708617</v>
      </c>
      <c r="V25" s="600">
        <f>O25*Table7[[#This Row],[% ELDERS  (Age 60+)]]</f>
        <v>13.326564099468801</v>
      </c>
      <c r="W25" s="600">
        <f>O25*Table7[[#This Row],[% of people with disabilities (Age 5 yrs+)]]</f>
        <v>22.84156162657748</v>
      </c>
      <c r="X25" s="872">
        <f t="shared" ref="X25:X42" si="1">F25-O25</f>
        <v>9062.6696427519528</v>
      </c>
      <c r="Z25" s="800" t="s">
        <v>2771</v>
      </c>
      <c r="AA25" s="800">
        <f>1-Table7[[#This Row],[% Female]]</f>
        <v>0.47921283890665844</v>
      </c>
      <c r="AB25" s="800">
        <v>0.52078716109334156</v>
      </c>
      <c r="AC25" s="800">
        <v>0.36703104031215067</v>
      </c>
      <c r="AD25" s="800">
        <v>0.54412519902472412</v>
      </c>
      <c r="AE25" s="800">
        <v>8.884376066312534E-2</v>
      </c>
      <c r="AF25" s="800">
        <v>0.15227707751051653</v>
      </c>
      <c r="AG25" s="852">
        <f>Table7[[#This Row],[% Female]]*O25</f>
        <v>78.118074164001229</v>
      </c>
      <c r="AH25" s="852">
        <f>O25*Table7[[#This Row],[% of people with disabilities (Age 5 yrs+)]]</f>
        <v>22.84156162657748</v>
      </c>
    </row>
    <row r="26" spans="1:34" ht="17.55" hidden="1" customHeight="1">
      <c r="C26" s="1163"/>
      <c r="D26" s="598" t="s">
        <v>2772</v>
      </c>
      <c r="E26" s="599">
        <v>1282240.102078954</v>
      </c>
      <c r="F26" s="638">
        <v>51289.604083158163</v>
      </c>
      <c r="G26" s="688"/>
      <c r="H26" s="694"/>
      <c r="I26" s="694"/>
      <c r="J26" s="693"/>
      <c r="K26" s="693"/>
      <c r="L26" s="693"/>
      <c r="M26" s="784"/>
      <c r="N26" s="784"/>
      <c r="O26" s="795">
        <f t="shared" ref="O26:O42" si="2">SUM(G26:N26)</f>
        <v>0</v>
      </c>
      <c r="P26" s="601">
        <f t="shared" si="0"/>
        <v>0</v>
      </c>
      <c r="Q26" s="855">
        <f>1-P26</f>
        <v>1</v>
      </c>
      <c r="R26" s="871">
        <f>O26*Table7[[#This Row],[% Male]]</f>
        <v>0</v>
      </c>
      <c r="S26" s="600">
        <f>O26*Table7[[#This Row],[% Female]]</f>
        <v>0</v>
      </c>
      <c r="T26" s="600">
        <f>O26*Table7[[#This Row],[% CHILDREN  (Age 18&lt;)]]</f>
        <v>0</v>
      </c>
      <c r="U26" s="600">
        <f>O26*Table7[[#This Row],[ % ADULTS ( Age 18-60)]]</f>
        <v>0</v>
      </c>
      <c r="V26" s="600">
        <f>O26*Table7[[#This Row],[% ELDERS  (Age 60+)]]</f>
        <v>0</v>
      </c>
      <c r="W26" s="600">
        <f>O26*Table7[[#This Row],[% of people with disabilities (Age 5 yrs+)]]</f>
        <v>0</v>
      </c>
      <c r="X26" s="872">
        <f t="shared" si="1"/>
        <v>51289.604083158163</v>
      </c>
      <c r="Z26" s="800" t="s">
        <v>2772</v>
      </c>
      <c r="AA26" s="800">
        <f>1-Table7[[#This Row],[% Female]]</f>
        <v>0.48551985988309021</v>
      </c>
      <c r="AB26" s="800">
        <v>0.51448014011690979</v>
      </c>
      <c r="AC26" s="800">
        <v>0.34678517385040053</v>
      </c>
      <c r="AD26" s="800">
        <v>0.57096178406872689</v>
      </c>
      <c r="AE26" s="800">
        <v>8.2253042080872446E-2</v>
      </c>
      <c r="AF26" s="800">
        <v>0.17328178854818205</v>
      </c>
      <c r="AG26" s="852">
        <f>Table7[[#This Row],[% Female]]*O26</f>
        <v>0</v>
      </c>
      <c r="AH26" s="852">
        <f>O26*Table7[[#This Row],[% of people with disabilities (Age 5 yrs+)]]</f>
        <v>0</v>
      </c>
    </row>
    <row r="27" spans="1:34" ht="17.55" hidden="1" customHeight="1">
      <c r="C27" s="1163"/>
      <c r="D27" s="598" t="s">
        <v>2773</v>
      </c>
      <c r="E27" s="599">
        <v>207170.43402654651</v>
      </c>
      <c r="F27" s="638">
        <v>51228.704166371164</v>
      </c>
      <c r="G27" s="688"/>
      <c r="H27" s="694"/>
      <c r="I27" s="694"/>
      <c r="J27" s="693"/>
      <c r="K27" s="693"/>
      <c r="L27" s="774"/>
      <c r="M27" s="784"/>
      <c r="N27" s="784"/>
      <c r="O27" s="795">
        <f t="shared" si="2"/>
        <v>0</v>
      </c>
      <c r="P27" s="601">
        <f t="shared" si="0"/>
        <v>0</v>
      </c>
      <c r="Q27" s="855">
        <f>1-P27</f>
        <v>1</v>
      </c>
      <c r="R27" s="871">
        <f>O27*Table7[[#This Row],[% Male]]</f>
        <v>0</v>
      </c>
      <c r="S27" s="600">
        <f>O27*Table7[[#This Row],[% Female]]</f>
        <v>0</v>
      </c>
      <c r="T27" s="600">
        <f>O27*Table7[[#This Row],[% CHILDREN  (Age 18&lt;)]]</f>
        <v>0</v>
      </c>
      <c r="U27" s="600">
        <f>O27*Table7[[#This Row],[ % ADULTS ( Age 18-60)]]</f>
        <v>0</v>
      </c>
      <c r="V27" s="600">
        <f>O27*Table7[[#This Row],[% ELDERS  (Age 60+)]]</f>
        <v>0</v>
      </c>
      <c r="W27" s="600">
        <f>O27*Table7[[#This Row],[% of people with disabilities (Age 5 yrs+)]]</f>
        <v>0</v>
      </c>
      <c r="X27" s="872">
        <f t="shared" si="1"/>
        <v>51228.704166371164</v>
      </c>
      <c r="Z27" s="800" t="s">
        <v>2773</v>
      </c>
      <c r="AA27" s="800">
        <f>1-Table7[[#This Row],[% Female]]</f>
        <v>0.47725290694838141</v>
      </c>
      <c r="AB27" s="800">
        <v>0.52274709305161859</v>
      </c>
      <c r="AC27" s="800">
        <v>0.33761189043864104</v>
      </c>
      <c r="AD27" s="800">
        <v>0.57485588221819039</v>
      </c>
      <c r="AE27" s="800">
        <v>8.753222734316847E-2</v>
      </c>
      <c r="AF27" s="800">
        <v>0.1255834340813124</v>
      </c>
      <c r="AG27" s="852">
        <f>Table7[[#This Row],[% Female]]*O27</f>
        <v>0</v>
      </c>
      <c r="AH27" s="852">
        <f>O27*Table7[[#This Row],[% of people with disabilities (Age 5 yrs+)]]</f>
        <v>0</v>
      </c>
    </row>
    <row r="28" spans="1:34" ht="17.55" hidden="1" customHeight="1">
      <c r="C28" s="1163"/>
      <c r="D28" s="598" t="s">
        <v>2774</v>
      </c>
      <c r="E28" s="599">
        <v>138015.13245792579</v>
      </c>
      <c r="F28" s="638">
        <v>16561.815894951094</v>
      </c>
      <c r="G28" s="688"/>
      <c r="H28" s="835"/>
      <c r="I28" s="835"/>
      <c r="J28" s="836"/>
      <c r="K28" s="693"/>
      <c r="L28" s="774"/>
      <c r="M28" s="784"/>
      <c r="N28" s="784"/>
      <c r="O28" s="795">
        <f t="shared" si="2"/>
        <v>0</v>
      </c>
      <c r="P28" s="601">
        <f t="shared" si="0"/>
        <v>0</v>
      </c>
      <c r="Q28" s="855">
        <f>1-P28</f>
        <v>1</v>
      </c>
      <c r="R28" s="871">
        <f>O28*Table7[[#This Row],[% Male]]</f>
        <v>0</v>
      </c>
      <c r="S28" s="600">
        <f>O28*Table7[[#This Row],[% Female]]</f>
        <v>0</v>
      </c>
      <c r="T28" s="600">
        <f>O28*Table7[[#This Row],[% CHILDREN  (Age 18&lt;)]]</f>
        <v>0</v>
      </c>
      <c r="U28" s="600">
        <f>O28*Table7[[#This Row],[ % ADULTS ( Age 18-60)]]</f>
        <v>0</v>
      </c>
      <c r="V28" s="600">
        <f>O28*Table7[[#This Row],[% ELDERS  (Age 60+)]]</f>
        <v>0</v>
      </c>
      <c r="W28" s="600">
        <f>O28*Table7[[#This Row],[% of people with disabilities (Age 5 yrs+)]]</f>
        <v>0</v>
      </c>
      <c r="X28" s="872">
        <f t="shared" si="1"/>
        <v>16561.815894951094</v>
      </c>
      <c r="Z28" s="800" t="s">
        <v>2774</v>
      </c>
      <c r="AA28" s="800">
        <f>1-Table7[[#This Row],[% Female]]</f>
        <v>0.47722473638009399</v>
      </c>
      <c r="AB28" s="800">
        <v>0.52277526361990601</v>
      </c>
      <c r="AC28" s="800">
        <v>0.33761189043864104</v>
      </c>
      <c r="AD28" s="800">
        <v>0.57485588221819039</v>
      </c>
      <c r="AE28" s="800">
        <v>8.753222734316847E-2</v>
      </c>
      <c r="AF28" s="800">
        <v>0.1255834340813124</v>
      </c>
      <c r="AG28" s="852">
        <f>Table7[[#This Row],[% Female]]*O28</f>
        <v>0</v>
      </c>
      <c r="AH28" s="852">
        <f>O28*Table7[[#This Row],[% of people with disabilities (Age 5 yrs+)]]</f>
        <v>0</v>
      </c>
    </row>
    <row r="29" spans="1:34" ht="17.55" hidden="1" customHeight="1">
      <c r="B29" s="800">
        <f>(O29+O33+O37)/(F29+F33+F37)</f>
        <v>0.16224462642571161</v>
      </c>
      <c r="C29" s="1163"/>
      <c r="D29" s="598" t="s">
        <v>613</v>
      </c>
      <c r="E29" s="599">
        <v>100473.89970888238</v>
      </c>
      <c r="F29" s="638">
        <v>37206.935930131775</v>
      </c>
      <c r="G29" s="688"/>
      <c r="H29" s="937">
        <v>21919</v>
      </c>
      <c r="I29" s="694">
        <v>0</v>
      </c>
      <c r="J29" s="693">
        <v>0</v>
      </c>
      <c r="K29" s="693"/>
      <c r="L29" s="693"/>
      <c r="M29" s="784"/>
      <c r="N29" s="784"/>
      <c r="O29" s="795">
        <f t="shared" si="2"/>
        <v>21919</v>
      </c>
      <c r="P29" s="601">
        <f t="shared" si="0"/>
        <v>0.5891105905941868</v>
      </c>
      <c r="Q29" s="855">
        <f>1-P29</f>
        <v>0.4108894094058132</v>
      </c>
      <c r="R29" s="871">
        <f>O29*Table7[[#This Row],[% Male]]</f>
        <v>10514.581597622642</v>
      </c>
      <c r="S29" s="600">
        <f>O29*Table7[[#This Row],[% Female]]</f>
        <v>11404.418402377358</v>
      </c>
      <c r="T29" s="600">
        <f>O29*Table7[[#This Row],[% CHILDREN  (Age 18&lt;)]]</f>
        <v>10122.409278593821</v>
      </c>
      <c r="U29" s="600">
        <f>O29*Table7[[#This Row],[ % ADULTS ( Age 18-60)]]</f>
        <v>10355.378280329405</v>
      </c>
      <c r="V29" s="600">
        <f>O29*Table7[[#This Row],[% ELDERS  (Age 60+)]]</f>
        <v>1441.2124410767731</v>
      </c>
      <c r="W29" s="600">
        <f>O29*Table7[[#This Row],[% of people with disabilities (Age 5 yrs+)]]</f>
        <v>4521.8263131625617</v>
      </c>
      <c r="X29" s="872">
        <f t="shared" si="1"/>
        <v>15287.935930131775</v>
      </c>
      <c r="Z29" s="800" t="s">
        <v>613</v>
      </c>
      <c r="AA29" s="800">
        <f>1-Table7[[#This Row],[% Female]]</f>
        <v>0.47970170161150794</v>
      </c>
      <c r="AB29" s="800">
        <v>0.52029829838849206</v>
      </c>
      <c r="AC29" s="800">
        <v>0.46180981242729235</v>
      </c>
      <c r="AD29" s="800">
        <v>0.4724384451995714</v>
      </c>
      <c r="AE29" s="800">
        <v>6.5751742373136232E-2</v>
      </c>
      <c r="AF29" s="800">
        <v>0.20629710813278715</v>
      </c>
      <c r="AG29" s="852">
        <f>Table7[[#This Row],[% Female]]*O29</f>
        <v>11404.418402377358</v>
      </c>
      <c r="AH29" s="852">
        <f>O29*Table7[[#This Row],[% of people with disabilities (Age 5 yrs+)]]</f>
        <v>4521.8263131625617</v>
      </c>
    </row>
    <row r="30" spans="1:34" ht="17.55" hidden="1" customHeight="1">
      <c r="C30" s="1163"/>
      <c r="D30" s="598" t="s">
        <v>37</v>
      </c>
      <c r="E30" s="599">
        <v>186093.36070325039</v>
      </c>
      <c r="F30" s="638">
        <v>121471.07542504012</v>
      </c>
      <c r="G30" s="688">
        <f>C2</f>
        <v>69210.051851851851</v>
      </c>
      <c r="H30" s="694"/>
      <c r="I30" s="694">
        <v>9409</v>
      </c>
      <c r="J30" s="693">
        <v>0</v>
      </c>
      <c r="K30" s="693"/>
      <c r="L30" s="774"/>
      <c r="M30" s="784"/>
      <c r="N30" s="784"/>
      <c r="O30" s="795">
        <f t="shared" si="2"/>
        <v>78619.051851851851</v>
      </c>
      <c r="P30" s="601">
        <f t="shared" si="0"/>
        <v>0.64722446538614631</v>
      </c>
      <c r="Q30" s="855">
        <f t="shared" ref="Q30:Q42" si="3">1-P30</f>
        <v>0.35277553461385369</v>
      </c>
      <c r="R30" s="871">
        <f>O30*Table7[[#This Row],[% Male]]</f>
        <v>40083.682244481926</v>
      </c>
      <c r="S30" s="600">
        <f>O30*Table7[[#This Row],[% Female]]</f>
        <v>38535.369607369925</v>
      </c>
      <c r="T30" s="600">
        <f>O30*Table7[[#This Row],[% CHILDREN  (Age 18&lt;)]]</f>
        <v>28310.527039241202</v>
      </c>
      <c r="U30" s="600">
        <f>O30*Table7[[#This Row],[ % ADULTS ( Age 18-60)]]</f>
        <v>45984.776297194476</v>
      </c>
      <c r="V30" s="600">
        <f>O30*Table7[[#This Row],[% ELDERS  (Age 60+)]]</f>
        <v>4323.7485154161695</v>
      </c>
      <c r="W30" s="600">
        <f>O30*Table7[[#This Row],[% of people with disabilities (Age 5 yrs+)]]</f>
        <v>6995.335814954351</v>
      </c>
      <c r="X30" s="872">
        <f t="shared" si="1"/>
        <v>42852.023573188271</v>
      </c>
      <c r="Z30" s="800" t="s">
        <v>37</v>
      </c>
      <c r="AA30" s="800">
        <f>1-Table7[[#This Row],[% Female]]</f>
        <v>0.50984693023282457</v>
      </c>
      <c r="AB30" s="800">
        <v>0.49015306976717543</v>
      </c>
      <c r="AC30" s="800">
        <v>0.36009753834972452</v>
      </c>
      <c r="AD30" s="800">
        <v>0.5849062690789919</v>
      </c>
      <c r="AE30" s="800">
        <v>5.4996192571283527E-2</v>
      </c>
      <c r="AF30" s="800">
        <v>8.8977616114427588E-2</v>
      </c>
      <c r="AG30" s="852">
        <f>Table7[[#This Row],[% Female]]*O30</f>
        <v>38535.369607369925</v>
      </c>
      <c r="AH30" s="852">
        <f>O30*Table7[[#This Row],[% of people with disabilities (Age 5 yrs+)]]</f>
        <v>6995.335814954351</v>
      </c>
    </row>
    <row r="31" spans="1:34" ht="17.55" hidden="1" customHeight="1">
      <c r="C31" s="1163"/>
      <c r="D31" s="598" t="s">
        <v>2775</v>
      </c>
      <c r="E31" s="599">
        <v>100307.37004541785</v>
      </c>
      <c r="F31" s="638">
        <v>80232.158414533711</v>
      </c>
      <c r="G31" s="688"/>
      <c r="H31" s="694"/>
      <c r="I31" s="694"/>
      <c r="J31" s="693"/>
      <c r="K31" s="937">
        <v>49244</v>
      </c>
      <c r="L31" s="774"/>
      <c r="M31" s="784"/>
      <c r="N31" s="784"/>
      <c r="O31" s="795">
        <f t="shared" si="2"/>
        <v>49244</v>
      </c>
      <c r="P31" s="601">
        <f t="shared" si="0"/>
        <v>0.61376885494681721</v>
      </c>
      <c r="Q31" s="855">
        <f t="shared" si="3"/>
        <v>0.38623114505318279</v>
      </c>
      <c r="R31" s="871">
        <f>O31*Table7[[#This Row],[% Male]]</f>
        <v>25364.454804016561</v>
      </c>
      <c r="S31" s="600">
        <f>O31*Table7[[#This Row],[% Female]]</f>
        <v>23879.545195983443</v>
      </c>
      <c r="T31" s="600">
        <f>O31*Table7[[#This Row],[% CHILDREN  (Age 18&lt;)]]</f>
        <v>19950.703374071527</v>
      </c>
      <c r="U31" s="600">
        <f>O31*Table7[[#This Row],[ % ADULTS ( Age 18-60)]]</f>
        <v>26719.483398284185</v>
      </c>
      <c r="V31" s="600">
        <f>O31*Table7[[#This Row],[% ELDERS  (Age 60+)]]</f>
        <v>2573.8132276442902</v>
      </c>
      <c r="W31" s="600">
        <f>O31*Table7[[#This Row],[% of people with disabilities (Age 5 yrs+)]]</f>
        <v>5334.0579469354152</v>
      </c>
      <c r="X31" s="872">
        <f t="shared" si="1"/>
        <v>30988.158414533711</v>
      </c>
      <c r="Z31" s="800" t="s">
        <v>2775</v>
      </c>
      <c r="AA31" s="800">
        <f>1-Table7[[#This Row],[% Female]]</f>
        <v>0.51507706124637642</v>
      </c>
      <c r="AB31" s="800">
        <v>0.48492293875362363</v>
      </c>
      <c r="AC31" s="800">
        <v>0.40513978096969228</v>
      </c>
      <c r="AD31" s="800">
        <v>0.54259368447494483</v>
      </c>
      <c r="AE31" s="800">
        <v>5.2266534555362891E-2</v>
      </c>
      <c r="AF31" s="800">
        <v>0.10831894133164274</v>
      </c>
      <c r="AG31" s="852">
        <f>Table7[[#This Row],[% Female]]*O31</f>
        <v>23879.545195983443</v>
      </c>
      <c r="AH31" s="852">
        <f>O31*Table7[[#This Row],[% of people with disabilities (Age 5 yrs+)]]</f>
        <v>5334.0579469354152</v>
      </c>
    </row>
    <row r="32" spans="1:34" ht="17.55" hidden="1" customHeight="1">
      <c r="C32" s="1163"/>
      <c r="D32" s="598" t="s">
        <v>2361</v>
      </c>
      <c r="E32" s="599">
        <v>97411.788139174037</v>
      </c>
      <c r="F32" s="638">
        <v>66706.172204535687</v>
      </c>
      <c r="G32" s="688"/>
      <c r="H32" s="694">
        <v>75638</v>
      </c>
      <c r="I32" s="694"/>
      <c r="J32" s="693"/>
      <c r="K32" s="937"/>
      <c r="L32" s="774"/>
      <c r="M32" s="784"/>
      <c r="N32" s="784"/>
      <c r="O32" s="795">
        <f t="shared" si="2"/>
        <v>75638</v>
      </c>
      <c r="P32" s="601">
        <f t="shared" si="0"/>
        <v>1.1338980712021278</v>
      </c>
      <c r="Q32" s="855">
        <f t="shared" si="3"/>
        <v>-0.13389807120212782</v>
      </c>
      <c r="R32" s="871">
        <f>O32*Table7[[#This Row],[% Male]]</f>
        <v>37528.359603627592</v>
      </c>
      <c r="S32" s="600">
        <f>O32*Table7[[#This Row],[% Female]]</f>
        <v>38109.640396372408</v>
      </c>
      <c r="T32" s="600">
        <f>O32*Table7[[#This Row],[% CHILDREN  (Age 18&lt;)]]</f>
        <v>31184.661973534992</v>
      </c>
      <c r="U32" s="600">
        <f>O32*Table7[[#This Row],[ % ADULTS ( Age 18-60)]]</f>
        <v>39125.383400938357</v>
      </c>
      <c r="V32" s="600">
        <f>O32*Table7[[#This Row],[% ELDERS  (Age 60+)]]</f>
        <v>5327.9546255266487</v>
      </c>
      <c r="W32" s="600">
        <f>O32*Table7[[#This Row],[% of people with disabilities (Age 5 yrs+)]]</f>
        <v>12579.5847233327</v>
      </c>
      <c r="X32" s="872">
        <f t="shared" si="1"/>
        <v>-8931.8277954643127</v>
      </c>
      <c r="Z32" s="800" t="s">
        <v>2361</v>
      </c>
      <c r="AA32" s="800">
        <f>1-Table7[[#This Row],[% Female]]</f>
        <v>0.49615748173705798</v>
      </c>
      <c r="AB32" s="800">
        <v>0.50384251826294202</v>
      </c>
      <c r="AC32" s="800">
        <v>0.41228829389374377</v>
      </c>
      <c r="AD32" s="800">
        <v>0.51727152226312645</v>
      </c>
      <c r="AE32" s="800">
        <v>7.0440183843129764E-2</v>
      </c>
      <c r="AF32" s="800">
        <v>0.16631302682953938</v>
      </c>
      <c r="AG32" s="852">
        <f>Table7[[#This Row],[% Female]]*O32</f>
        <v>38109.640396372408</v>
      </c>
      <c r="AH32" s="852">
        <f>O32*Table7[[#This Row],[% of people with disabilities (Age 5 yrs+)]]</f>
        <v>12579.5847233327</v>
      </c>
    </row>
    <row r="33" spans="2:34" ht="17.55" hidden="1" customHeight="1">
      <c r="C33" s="1163"/>
      <c r="D33" s="598" t="s">
        <v>2776</v>
      </c>
      <c r="E33" s="599">
        <v>308281.36095731339</v>
      </c>
      <c r="F33" s="638">
        <v>43686.163314877609</v>
      </c>
      <c r="G33" s="688"/>
      <c r="H33" s="694">
        <v>1606</v>
      </c>
      <c r="I33" s="694"/>
      <c r="J33" s="693"/>
      <c r="K33" s="693"/>
      <c r="L33" s="774"/>
      <c r="M33" s="784"/>
      <c r="N33" s="784"/>
      <c r="O33" s="795">
        <f t="shared" si="2"/>
        <v>1606</v>
      </c>
      <c r="P33" s="601">
        <f t="shared" si="0"/>
        <v>3.676221206299126E-2</v>
      </c>
      <c r="Q33" s="855">
        <f t="shared" si="3"/>
        <v>0.96323778793700876</v>
      </c>
      <c r="R33" s="871">
        <f>O33*Table7[[#This Row],[% Male]]</f>
        <v>748.78186535176906</v>
      </c>
      <c r="S33" s="600">
        <f>O33*Table7[[#This Row],[% Female]]</f>
        <v>857.21813464823094</v>
      </c>
      <c r="T33" s="600">
        <f>O33*Table7[[#This Row],[% CHILDREN  (Age 18&lt;)]]</f>
        <v>512.16289584905007</v>
      </c>
      <c r="U33" s="600">
        <f>O33*Table7[[#This Row],[ % ADULTS ( Age 18-60)]]</f>
        <v>935.49149960876218</v>
      </c>
      <c r="V33" s="600">
        <f>O33*Table7[[#This Row],[% ELDERS  (Age 60+)]]</f>
        <v>158.34560454218791</v>
      </c>
      <c r="W33" s="600">
        <f>O33*Table7[[#This Row],[% of people with disabilities (Age 5 yrs+)]]</f>
        <v>273.46285940714586</v>
      </c>
      <c r="X33" s="872">
        <f t="shared" si="1"/>
        <v>42080.163314877609</v>
      </c>
      <c r="Z33" s="800" t="s">
        <v>2776</v>
      </c>
      <c r="AA33" s="800">
        <f>1-Table7[[#This Row],[% Female]]</f>
        <v>0.46624026485166192</v>
      </c>
      <c r="AB33" s="800">
        <v>0.53375973514833808</v>
      </c>
      <c r="AC33" s="800">
        <v>0.31890591273290786</v>
      </c>
      <c r="AD33" s="800">
        <v>0.58249782042886811</v>
      </c>
      <c r="AE33" s="800">
        <v>9.8596266838224103E-2</v>
      </c>
      <c r="AF33" s="800">
        <v>0.17027575305550802</v>
      </c>
      <c r="AG33" s="852">
        <f>Table7[[#This Row],[% Female]]*O33</f>
        <v>857.21813464823094</v>
      </c>
      <c r="AH33" s="852">
        <f>O33*Table7[[#This Row],[% of people with disabilities (Age 5 yrs+)]]</f>
        <v>273.46285940714586</v>
      </c>
    </row>
    <row r="34" spans="2:34" ht="17.55" hidden="1" customHeight="1">
      <c r="C34" s="1163"/>
      <c r="D34" s="598" t="s">
        <v>2777</v>
      </c>
      <c r="E34" s="599">
        <v>336813.18381455197</v>
      </c>
      <c r="F34" s="638">
        <v>13472.527352582079</v>
      </c>
      <c r="G34" s="688"/>
      <c r="H34" s="694"/>
      <c r="I34" s="694"/>
      <c r="J34" s="693"/>
      <c r="K34" s="693"/>
      <c r="L34" s="774"/>
      <c r="M34" s="784"/>
      <c r="N34" s="784"/>
      <c r="O34" s="795">
        <f t="shared" si="2"/>
        <v>0</v>
      </c>
      <c r="P34" s="601">
        <f t="shared" si="0"/>
        <v>0</v>
      </c>
      <c r="Q34" s="855">
        <f>1-P34</f>
        <v>1</v>
      </c>
      <c r="R34" s="871">
        <f>O34*Table7[[#This Row],[% Male]]</f>
        <v>0</v>
      </c>
      <c r="S34" s="600">
        <f>O34*Table7[[#This Row],[% Female]]</f>
        <v>0</v>
      </c>
      <c r="T34" s="600">
        <f>O34*Table7[[#This Row],[% CHILDREN  (Age 18&lt;)]]</f>
        <v>0</v>
      </c>
      <c r="U34" s="600">
        <f>O34*Table7[[#This Row],[ % ADULTS ( Age 18-60)]]</f>
        <v>0</v>
      </c>
      <c r="V34" s="600">
        <f>O34*Table7[[#This Row],[% ELDERS  (Age 60+)]]</f>
        <v>0</v>
      </c>
      <c r="W34" s="600">
        <f>O34*Table7[[#This Row],[% of people with disabilities (Age 5 yrs+)]]</f>
        <v>0</v>
      </c>
      <c r="X34" s="872">
        <f t="shared" si="1"/>
        <v>13472.527352582079</v>
      </c>
      <c r="Z34" s="800" t="s">
        <v>2777</v>
      </c>
      <c r="AA34" s="800">
        <f>1-Table7[[#This Row],[% Female]]</f>
        <v>0.47497740305257174</v>
      </c>
      <c r="AB34" s="800">
        <v>0.52502259694742826</v>
      </c>
      <c r="AC34" s="800">
        <v>0.3138931152113062</v>
      </c>
      <c r="AD34" s="800">
        <v>0.60118432177378078</v>
      </c>
      <c r="AE34" s="800">
        <v>8.4922563014913258E-2</v>
      </c>
      <c r="AF34" s="800">
        <v>0.10165982960370988</v>
      </c>
      <c r="AG34" s="852">
        <f>Table7[[#This Row],[% Female]]*O34</f>
        <v>0</v>
      </c>
      <c r="AH34" s="852">
        <f>O34*Table7[[#This Row],[% of people with disabilities (Age 5 yrs+)]]</f>
        <v>0</v>
      </c>
    </row>
    <row r="35" spans="2:34" ht="17.55" hidden="1" customHeight="1">
      <c r="C35" s="1163"/>
      <c r="D35" s="598" t="s">
        <v>2778</v>
      </c>
      <c r="E35" s="599">
        <v>30430.553807096338</v>
      </c>
      <c r="F35" s="638">
        <v>1217.2221522838536</v>
      </c>
      <c r="G35" s="688"/>
      <c r="H35" s="694"/>
      <c r="I35" s="694"/>
      <c r="J35" s="693"/>
      <c r="K35" s="693"/>
      <c r="L35" s="774"/>
      <c r="M35" s="784"/>
      <c r="N35" s="784"/>
      <c r="O35" s="795">
        <f t="shared" si="2"/>
        <v>0</v>
      </c>
      <c r="P35" s="601">
        <f t="shared" si="0"/>
        <v>0</v>
      </c>
      <c r="Q35" s="855">
        <f>1-P35</f>
        <v>1</v>
      </c>
      <c r="R35" s="871">
        <f>O35*Table7[[#This Row],[% Male]]</f>
        <v>0</v>
      </c>
      <c r="S35" s="600">
        <f>O35*Table7[[#This Row],[% Female]]</f>
        <v>0</v>
      </c>
      <c r="T35" s="600">
        <f>O35*Table7[[#This Row],[% CHILDREN  (Age 18&lt;)]]</f>
        <v>0</v>
      </c>
      <c r="U35" s="600">
        <f>O35*Table7[[#This Row],[ % ADULTS ( Age 18-60)]]</f>
        <v>0</v>
      </c>
      <c r="V35" s="600">
        <f>O35*Table7[[#This Row],[% ELDERS  (Age 60+)]]</f>
        <v>0</v>
      </c>
      <c r="W35" s="600">
        <f>O35*Table7[[#This Row],[% of people with disabilities (Age 5 yrs+)]]</f>
        <v>0</v>
      </c>
      <c r="X35" s="872">
        <f t="shared" si="1"/>
        <v>1217.2221522838536</v>
      </c>
      <c r="Z35" s="800" t="s">
        <v>2778</v>
      </c>
      <c r="AA35" s="800">
        <f>1-Table7[[#This Row],[% Female]]</f>
        <v>0.49204036182964128</v>
      </c>
      <c r="AB35" s="800">
        <v>0.50795963817035872</v>
      </c>
      <c r="AC35" s="800">
        <v>0.36703104031215061</v>
      </c>
      <c r="AD35" s="800">
        <v>0.54412519902472412</v>
      </c>
      <c r="AE35" s="800">
        <v>8.8843760663125326E-2</v>
      </c>
      <c r="AF35" s="800">
        <v>0.10766915021305525</v>
      </c>
      <c r="AG35" s="852">
        <f>Table7[[#This Row],[% Female]]*O35</f>
        <v>0</v>
      </c>
      <c r="AH35" s="852">
        <f>O35*Table7[[#This Row],[% of people with disabilities (Age 5 yrs+)]]</f>
        <v>0</v>
      </c>
    </row>
    <row r="36" spans="2:34" ht="17.55" hidden="1" customHeight="1">
      <c r="C36" s="1163"/>
      <c r="D36" s="598" t="s">
        <v>304</v>
      </c>
      <c r="E36" s="599">
        <v>1238941.7131009183</v>
      </c>
      <c r="F36" s="638">
        <v>453333.44540623878</v>
      </c>
      <c r="G36" s="688">
        <v>118568</v>
      </c>
      <c r="H36" s="937">
        <v>35147</v>
      </c>
      <c r="I36" s="694">
        <v>20138</v>
      </c>
      <c r="J36" s="693">
        <v>7339</v>
      </c>
      <c r="K36" s="693"/>
      <c r="L36" s="774"/>
      <c r="M36" s="784">
        <v>9265</v>
      </c>
      <c r="N36" s="784">
        <v>60327</v>
      </c>
      <c r="O36" s="795">
        <f t="shared" si="2"/>
        <v>250784</v>
      </c>
      <c r="P36" s="601">
        <f>O36/F36</f>
        <v>0.55319986323812653</v>
      </c>
      <c r="Q36" s="855">
        <f>1-P36</f>
        <v>0.44680013676187347</v>
      </c>
      <c r="R36" s="871">
        <f>O36*Table7[[#This Row],[% Male]]</f>
        <v>118859.37486349637</v>
      </c>
      <c r="S36" s="600">
        <f>O36*Table7[[#This Row],[% Female]]</f>
        <v>131924.62513650363</v>
      </c>
      <c r="T36" s="600">
        <f>O36*Table7[[#This Row],[% CHILDREN  (Age 18&lt;)]]</f>
        <v>92055.98959790013</v>
      </c>
      <c r="U36" s="600">
        <f>O36*Table7[[#This Row],[ % ADULTS ( Age 18-60)]]</f>
        <v>136669.17686476177</v>
      </c>
      <c r="V36" s="600">
        <f>O36*Table7[[#This Row],[% ELDERS  (Age 60+)]]</f>
        <v>22058.833537338123</v>
      </c>
      <c r="W36" s="600">
        <f>O36*Table7[[#This Row],[% of people with disabilities (Age 5 yrs+)]]</f>
        <v>43500.437794563382</v>
      </c>
      <c r="X36" s="872">
        <f t="shared" si="1"/>
        <v>202549.44540623878</v>
      </c>
      <c r="Z36" s="800" t="s">
        <v>304</v>
      </c>
      <c r="AA36" s="800">
        <f>1-Table7[[#This Row],[% Female]]</f>
        <v>0.47395118852676554</v>
      </c>
      <c r="AB36" s="800">
        <v>0.52604881147323446</v>
      </c>
      <c r="AC36" s="800">
        <v>0.36707281803424513</v>
      </c>
      <c r="AD36" s="800">
        <v>0.54496768878701107</v>
      </c>
      <c r="AE36" s="800">
        <v>8.795949317874395E-2</v>
      </c>
      <c r="AF36" s="800">
        <v>0.17345778755647642</v>
      </c>
      <c r="AG36" s="852">
        <f>Table7[[#This Row],[% Female]]*O36</f>
        <v>131924.62513650363</v>
      </c>
      <c r="AH36" s="852">
        <f>O36*Table7[[#This Row],[% of people with disabilities (Age 5 yrs+)]]</f>
        <v>43500.437794563382</v>
      </c>
    </row>
    <row r="37" spans="2:34" ht="17.55" hidden="1" customHeight="1">
      <c r="C37" s="1163"/>
      <c r="D37" s="598" t="s">
        <v>2779</v>
      </c>
      <c r="E37" s="599">
        <v>271284.15577125904</v>
      </c>
      <c r="F37" s="638">
        <v>65416.831154251813</v>
      </c>
      <c r="G37" s="688"/>
      <c r="H37" s="694">
        <v>213</v>
      </c>
      <c r="I37" s="694"/>
      <c r="J37" s="693"/>
      <c r="K37" s="693"/>
      <c r="L37" s="774"/>
      <c r="M37" s="784"/>
      <c r="N37" s="784"/>
      <c r="O37" s="795">
        <f t="shared" si="2"/>
        <v>213</v>
      </c>
      <c r="P37" s="601">
        <f t="shared" si="0"/>
        <v>3.2560427682250385E-3</v>
      </c>
      <c r="Q37" s="855">
        <f>1-P37</f>
        <v>0.996743957231775</v>
      </c>
      <c r="R37" s="871">
        <f>O37*Table7[[#This Row],[% Male]]</f>
        <v>101.45246207064731</v>
      </c>
      <c r="S37" s="600">
        <f>O37*Table7[[#This Row],[% Female]]</f>
        <v>111.54753792935269</v>
      </c>
      <c r="T37" s="600">
        <f>O37*Table7[[#This Row],[% CHILDREN  (Age 18&lt;)]]</f>
        <v>72.75709883318396</v>
      </c>
      <c r="U37" s="600">
        <f>O37*Table7[[#This Row],[ % ADULTS ( Age 18-60)]]</f>
        <v>122.32306890048663</v>
      </c>
      <c r="V37" s="600">
        <f>O37*Table7[[#This Row],[% ELDERS  (Age 60+)]]</f>
        <v>17.919832266329315</v>
      </c>
      <c r="W37" s="600">
        <f>O37*Table7[[#This Row],[% of people with disabilities (Age 5 yrs+)]]</f>
        <v>20.477272807339492</v>
      </c>
      <c r="X37" s="872">
        <f t="shared" si="1"/>
        <v>65203.831154251813</v>
      </c>
      <c r="Z37" s="800" t="s">
        <v>2779</v>
      </c>
      <c r="AA37" s="800">
        <f>1-Table7[[#This Row],[% Female]]</f>
        <v>0.4763026388293301</v>
      </c>
      <c r="AB37" s="800">
        <v>0.5236973611706699</v>
      </c>
      <c r="AC37" s="800">
        <v>0.34158262362997166</v>
      </c>
      <c r="AD37" s="800">
        <v>0.5742867084529889</v>
      </c>
      <c r="AE37" s="800">
        <v>8.4130667917039034E-2</v>
      </c>
      <c r="AF37" s="800">
        <v>9.6137431020373199E-2</v>
      </c>
      <c r="AG37" s="852">
        <f>Table7[[#This Row],[% Female]]*O37</f>
        <v>111.54753792935269</v>
      </c>
      <c r="AH37" s="852">
        <f>O37*Table7[[#This Row],[% of people with disabilities (Age 5 yrs+)]]</f>
        <v>20.477272807339492</v>
      </c>
    </row>
    <row r="38" spans="2:34" ht="17.55" hidden="1" customHeight="1">
      <c r="C38" s="1163"/>
      <c r="D38" s="598" t="s">
        <v>2780</v>
      </c>
      <c r="E38" s="599">
        <v>43761.672559015518</v>
      </c>
      <c r="F38" s="638">
        <v>6126.6341582621726</v>
      </c>
      <c r="G38" s="688"/>
      <c r="H38" s="694"/>
      <c r="I38" s="694"/>
      <c r="J38" s="693"/>
      <c r="K38" s="693"/>
      <c r="L38" s="774"/>
      <c r="M38" s="784"/>
      <c r="N38" s="784"/>
      <c r="O38" s="795">
        <f t="shared" si="2"/>
        <v>0</v>
      </c>
      <c r="P38" s="601">
        <f t="shared" si="0"/>
        <v>0</v>
      </c>
      <c r="Q38" s="855">
        <f>1-P38</f>
        <v>1</v>
      </c>
      <c r="R38" s="871">
        <f>O38*Table7[[#This Row],[% Male]]</f>
        <v>0</v>
      </c>
      <c r="S38" s="600">
        <f>O38*Table7[[#This Row],[% Female]]</f>
        <v>0</v>
      </c>
      <c r="T38" s="600">
        <f>O38*Table7[[#This Row],[% CHILDREN  (Age 18&lt;)]]</f>
        <v>0</v>
      </c>
      <c r="U38" s="600">
        <f>O38*Table7[[#This Row],[ % ADULTS ( Age 18-60)]]</f>
        <v>0</v>
      </c>
      <c r="V38" s="600">
        <f>O38*Table7[[#This Row],[% ELDERS  (Age 60+)]]</f>
        <v>0</v>
      </c>
      <c r="W38" s="600">
        <f>O38*Table7[[#This Row],[% of people with disabilities (Age 5 yrs+)]]</f>
        <v>0</v>
      </c>
      <c r="X38" s="872">
        <f t="shared" si="1"/>
        <v>6126.6341582621726</v>
      </c>
      <c r="Z38" s="800" t="s">
        <v>2780</v>
      </c>
      <c r="AA38" s="800">
        <f>1-Table7[[#This Row],[% Female]]</f>
        <v>0.52000083467853997</v>
      </c>
      <c r="AB38" s="800">
        <v>0.47999916532146003</v>
      </c>
      <c r="AC38" s="800">
        <v>0.37996649287003431</v>
      </c>
      <c r="AD38" s="800">
        <v>0.56202252854870671</v>
      </c>
      <c r="AE38" s="800">
        <v>5.8010978581259073E-2</v>
      </c>
      <c r="AF38" s="800">
        <v>8.6218050764048523E-2</v>
      </c>
      <c r="AG38" s="852">
        <f>Table7[[#This Row],[% Female]]*O38</f>
        <v>0</v>
      </c>
      <c r="AH38" s="852">
        <f>O38*Table7[[#This Row],[% of people with disabilities (Age 5 yrs+)]]</f>
        <v>0</v>
      </c>
    </row>
    <row r="39" spans="2:34" ht="17.55" customHeight="1">
      <c r="C39" s="1163"/>
      <c r="D39" s="598" t="s">
        <v>515</v>
      </c>
      <c r="E39" s="599">
        <v>154523.3477130745</v>
      </c>
      <c r="F39" s="638">
        <v>40174.069542614903</v>
      </c>
      <c r="G39" s="688">
        <f>C3</f>
        <v>9907.3333333333321</v>
      </c>
      <c r="H39" s="694"/>
      <c r="I39" s="694">
        <v>2161</v>
      </c>
      <c r="J39" s="693">
        <v>0</v>
      </c>
      <c r="K39" s="693"/>
      <c r="L39" s="774"/>
      <c r="M39" s="784"/>
      <c r="N39" s="784"/>
      <c r="O39" s="795">
        <f t="shared" si="2"/>
        <v>12068.333333333332</v>
      </c>
      <c r="P39" s="601">
        <f t="shared" si="0"/>
        <v>0.30040106642748177</v>
      </c>
      <c r="Q39" s="855">
        <f t="shared" si="3"/>
        <v>0.69959893357251823</v>
      </c>
      <c r="R39" s="871">
        <f>O39*Table7[[#This Row],[% Male]]</f>
        <v>6036.0310459228649</v>
      </c>
      <c r="S39" s="600">
        <f>O39*Table7[[#This Row],[% Female]]</f>
        <v>6032.3022874104672</v>
      </c>
      <c r="T39" s="600">
        <f>O39*Table7[[#This Row],[% CHILDREN  (Age 18&lt;)]]</f>
        <v>4585.5622914531959</v>
      </c>
      <c r="U39" s="600">
        <f>O39*Table7[[#This Row],[ % ADULTS ( Age 18-60)]]</f>
        <v>6782.6752153686384</v>
      </c>
      <c r="V39" s="600">
        <f>O39*Table7[[#This Row],[% ELDERS  (Age 60+)]]</f>
        <v>700.09582651149458</v>
      </c>
      <c r="W39" s="600">
        <f>O39*Table7[[#This Row],[% of people with disabilities (Age 5 yrs+)]]</f>
        <v>1040.5081759707916</v>
      </c>
      <c r="X39" s="872">
        <f t="shared" si="1"/>
        <v>28105.736209281571</v>
      </c>
      <c r="Z39" s="800" t="s">
        <v>515</v>
      </c>
      <c r="AA39" s="800">
        <f>1-Table7[[#This Row],[% Female]]</f>
        <v>0.50015448523045425</v>
      </c>
      <c r="AB39" s="800">
        <v>0.49984551476954575</v>
      </c>
      <c r="AC39" s="800">
        <v>0.3799664928700342</v>
      </c>
      <c r="AD39" s="800">
        <v>0.56202252854870649</v>
      </c>
      <c r="AE39" s="800">
        <v>5.8010978581259053E-2</v>
      </c>
      <c r="AF39" s="800">
        <v>8.6218050764048482E-2</v>
      </c>
      <c r="AG39" s="852">
        <f>Table7[[#This Row],[% Female]]*O39</f>
        <v>6032.3022874104672</v>
      </c>
      <c r="AH39" s="852">
        <f>O39*Table7[[#This Row],[% of people with disabilities (Age 5 yrs+)]]</f>
        <v>1040.5081759707916</v>
      </c>
    </row>
    <row r="40" spans="2:34" ht="17.55" hidden="1" customHeight="1">
      <c r="C40" s="1163"/>
      <c r="D40" s="598" t="s">
        <v>2710</v>
      </c>
      <c r="E40" s="599">
        <v>134852.16996020486</v>
      </c>
      <c r="F40" s="638">
        <v>36079.633992040974</v>
      </c>
      <c r="G40" s="688"/>
      <c r="H40" s="694"/>
      <c r="I40" s="694"/>
      <c r="J40" s="693"/>
      <c r="K40" s="693"/>
      <c r="L40" s="774"/>
      <c r="M40" s="784"/>
      <c r="N40" s="784"/>
      <c r="O40" s="795">
        <f t="shared" si="2"/>
        <v>0</v>
      </c>
      <c r="P40" s="601">
        <f t="shared" si="0"/>
        <v>0</v>
      </c>
      <c r="Q40" s="855">
        <f t="shared" si="3"/>
        <v>1</v>
      </c>
      <c r="R40" s="871">
        <f>O40*Table7[[#This Row],[% Male]]</f>
        <v>0</v>
      </c>
      <c r="S40" s="600">
        <f>O40*Table7[[#This Row],[% Female]]</f>
        <v>0</v>
      </c>
      <c r="T40" s="600">
        <f>O40*Table7[[#This Row],[% CHILDREN  (Age 18&lt;)]]</f>
        <v>0</v>
      </c>
      <c r="U40" s="600">
        <f>O40*Table7[[#This Row],[ % ADULTS ( Age 18-60)]]</f>
        <v>0</v>
      </c>
      <c r="V40" s="600">
        <f>O40*Table7[[#This Row],[% ELDERS  (Age 60+)]]</f>
        <v>0</v>
      </c>
      <c r="W40" s="600">
        <f>O40*Table7[[#This Row],[% of people with disabilities (Age 5 yrs+)]]</f>
        <v>0</v>
      </c>
      <c r="X40" s="872">
        <f t="shared" si="1"/>
        <v>36079.633992040974</v>
      </c>
      <c r="Z40" s="800" t="s">
        <v>2710</v>
      </c>
      <c r="AA40" s="800">
        <f>1-Table7[[#This Row],[% Female]]</f>
        <v>0.49609701326345523</v>
      </c>
      <c r="AB40" s="800">
        <v>0.50390298673654477</v>
      </c>
      <c r="AC40" s="800">
        <v>0.37996649287003426</v>
      </c>
      <c r="AD40" s="800">
        <v>0.56202252854870649</v>
      </c>
      <c r="AE40" s="800">
        <v>5.8010978581259053E-2</v>
      </c>
      <c r="AF40" s="800">
        <v>8.6218050764048482E-2</v>
      </c>
      <c r="AG40" s="852">
        <f>Table7[[#This Row],[% Female]]*O40</f>
        <v>0</v>
      </c>
      <c r="AH40" s="852">
        <f>O40*Table7[[#This Row],[% of people with disabilities (Age 5 yrs+)]]</f>
        <v>0</v>
      </c>
    </row>
    <row r="41" spans="2:34" ht="17.55" hidden="1" customHeight="1">
      <c r="C41" s="1163"/>
      <c r="D41" s="598" t="s">
        <v>2781</v>
      </c>
      <c r="E41" s="599">
        <v>35261.775049483891</v>
      </c>
      <c r="F41" s="638">
        <v>11838.768015834847</v>
      </c>
      <c r="G41" s="688"/>
      <c r="H41" s="694"/>
      <c r="I41" s="694"/>
      <c r="J41" s="693"/>
      <c r="K41" s="693"/>
      <c r="L41" s="774"/>
      <c r="M41" s="784"/>
      <c r="N41" s="784"/>
      <c r="O41" s="795">
        <f t="shared" si="2"/>
        <v>0</v>
      </c>
      <c r="P41" s="601">
        <f t="shared" si="0"/>
        <v>0</v>
      </c>
      <c r="Q41" s="855">
        <f t="shared" si="3"/>
        <v>1</v>
      </c>
      <c r="R41" s="871">
        <f>O41*Table7[[#This Row],[% Male]]</f>
        <v>0</v>
      </c>
      <c r="S41" s="600">
        <f>O41*Table7[[#This Row],[% Female]]</f>
        <v>0</v>
      </c>
      <c r="T41" s="600">
        <f>O41*Table7[[#This Row],[% CHILDREN  (Age 18&lt;)]]</f>
        <v>0</v>
      </c>
      <c r="U41" s="600">
        <f>O41*Table7[[#This Row],[ % ADULTS ( Age 18-60)]]</f>
        <v>0</v>
      </c>
      <c r="V41" s="600">
        <f>O41*Table7[[#This Row],[% ELDERS  (Age 60+)]]</f>
        <v>0</v>
      </c>
      <c r="W41" s="600">
        <f>O41*Table7[[#This Row],[% of people with disabilities (Age 5 yrs+)]]</f>
        <v>0</v>
      </c>
      <c r="X41" s="872">
        <f t="shared" si="1"/>
        <v>11838.768015834847</v>
      </c>
      <c r="Z41" s="800" t="s">
        <v>2781</v>
      </c>
      <c r="AA41" s="800">
        <f>1-Table7[[#This Row],[% Female]]</f>
        <v>0.49901005953066535</v>
      </c>
      <c r="AB41" s="800">
        <v>0.50098994046933465</v>
      </c>
      <c r="AC41" s="800">
        <v>0.39528940976327054</v>
      </c>
      <c r="AD41" s="800">
        <v>0.53504648179034231</v>
      </c>
      <c r="AE41" s="800">
        <v>6.9664108446387055E-2</v>
      </c>
      <c r="AF41" s="800">
        <v>0.11591688986589219</v>
      </c>
      <c r="AG41" s="852">
        <f>Table7[[#This Row],[% Female]]*O41</f>
        <v>0</v>
      </c>
      <c r="AH41" s="852">
        <f>O41*Table7[[#This Row],[% of people with disabilities (Age 5 yrs+)]]</f>
        <v>0</v>
      </c>
    </row>
    <row r="42" spans="2:34" ht="17.55" hidden="1" customHeight="1">
      <c r="C42" s="1163"/>
      <c r="D42" s="598" t="s">
        <v>2782</v>
      </c>
      <c r="E42" s="599">
        <v>727743.63049268548</v>
      </c>
      <c r="F42" s="638">
        <v>58219.49043941484</v>
      </c>
      <c r="G42" s="688"/>
      <c r="H42" s="694"/>
      <c r="I42" s="694"/>
      <c r="J42" s="693"/>
      <c r="K42" s="937">
        <v>41713</v>
      </c>
      <c r="L42" s="774"/>
      <c r="M42" s="784"/>
      <c r="N42" s="784"/>
      <c r="O42" s="795">
        <f t="shared" si="2"/>
        <v>41713</v>
      </c>
      <c r="P42" s="601">
        <f t="shared" si="0"/>
        <v>0.71647827360165495</v>
      </c>
      <c r="Q42" s="855">
        <f t="shared" si="3"/>
        <v>0.28352172639834505</v>
      </c>
      <c r="R42" s="871">
        <f>O42*Table7[[#This Row],[% Male]]</f>
        <v>20051.763890824237</v>
      </c>
      <c r="S42" s="600">
        <f>O42*Table7[[#This Row],[% Female]]</f>
        <v>21661.236109175763</v>
      </c>
      <c r="T42" s="600">
        <f>O42*Table7[[#This Row],[% CHILDREN  (Age 18&lt;)]]</f>
        <v>12085.714447247776</v>
      </c>
      <c r="U42" s="600">
        <f>O42*Table7[[#This Row],[ % ADULTS ( Age 18-60)]]</f>
        <v>26332.409287808499</v>
      </c>
      <c r="V42" s="600">
        <f>O42*Table7[[#This Row],[% ELDERS  (Age 60+)]]</f>
        <v>3294.8762649437181</v>
      </c>
      <c r="W42" s="600">
        <f>O42*Table7[[#This Row],[% of people with disabilities (Age 5 yrs+)]]</f>
        <v>5184.725823621694</v>
      </c>
      <c r="X42" s="872">
        <f t="shared" si="1"/>
        <v>16506.49043941484</v>
      </c>
      <c r="Z42" s="800" t="s">
        <v>2782</v>
      </c>
      <c r="AA42" s="800">
        <f>1-Table7[[#This Row],[% Female]]</f>
        <v>0.48070778632139233</v>
      </c>
      <c r="AB42" s="800">
        <v>0.51929221367860767</v>
      </c>
      <c r="AC42" s="800">
        <v>0.28973496145680666</v>
      </c>
      <c r="AD42" s="800">
        <v>0.63127584416868843</v>
      </c>
      <c r="AE42" s="800">
        <v>7.8989194374504787E-2</v>
      </c>
      <c r="AF42" s="800">
        <v>0.12429520350062796</v>
      </c>
      <c r="AG42" s="852">
        <f>Table7[[#This Row],[% Female]]*O42</f>
        <v>21661.236109175763</v>
      </c>
      <c r="AH42" s="852">
        <f>O42*Table7[[#This Row],[% of people with disabilities (Age 5 yrs+)]]</f>
        <v>5184.725823621694</v>
      </c>
    </row>
    <row r="43" spans="2:34" s="595" customFormat="1" ht="19.95" hidden="1" customHeight="1">
      <c r="C43" s="1164"/>
      <c r="D43" s="596" t="s">
        <v>1488</v>
      </c>
      <c r="E43" s="597">
        <f t="shared" ref="E43:N43" si="4">SUM(E25:E42)</f>
        <v>5464902.8974086875</v>
      </c>
      <c r="F43" s="597">
        <f t="shared" si="4"/>
        <v>1163473.9212898754</v>
      </c>
      <c r="G43" s="652">
        <f t="shared" si="4"/>
        <v>197685.38518518521</v>
      </c>
      <c r="H43" s="597">
        <f t="shared" si="4"/>
        <v>134673</v>
      </c>
      <c r="I43" s="597">
        <f t="shared" si="4"/>
        <v>31708</v>
      </c>
      <c r="J43" s="597">
        <f t="shared" si="4"/>
        <v>7339</v>
      </c>
      <c r="K43" s="597">
        <f t="shared" si="4"/>
        <v>90957</v>
      </c>
      <c r="L43" s="597">
        <f t="shared" si="4"/>
        <v>0</v>
      </c>
      <c r="M43" s="597">
        <f t="shared" si="4"/>
        <v>9265</v>
      </c>
      <c r="N43" s="794">
        <f t="shared" si="4"/>
        <v>60327</v>
      </c>
      <c r="O43" s="652">
        <f>SUM(O25:O42)</f>
        <v>531954.38518518512</v>
      </c>
      <c r="P43" s="608">
        <f t="shared" si="0"/>
        <v>0.4572121260745049</v>
      </c>
      <c r="Q43" s="856">
        <f t="shared" ref="Q43:Q48" si="5">1-P43</f>
        <v>0.5427878739254951</v>
      </c>
      <c r="R43" s="652">
        <f t="shared" ref="R43:X43" si="6">SUM(R25:R42)</f>
        <v>259360.36430325062</v>
      </c>
      <c r="S43" s="597">
        <f t="shared" si="6"/>
        <v>272594.02088193456</v>
      </c>
      <c r="T43" s="597">
        <f t="shared" si="6"/>
        <v>198935.54265277169</v>
      </c>
      <c r="U43" s="597">
        <f t="shared" si="6"/>
        <v>293108.71609304834</v>
      </c>
      <c r="V43" s="597">
        <f t="shared" si="6"/>
        <v>39910.126439365209</v>
      </c>
      <c r="W43" s="597">
        <f t="shared" si="6"/>
        <v>79473.25828638197</v>
      </c>
      <c r="X43" s="794">
        <f t="shared" si="6"/>
        <v>631519.5361046904</v>
      </c>
    </row>
    <row r="44" spans="2:34" ht="17.55" hidden="1" customHeight="1">
      <c r="B44" s="800">
        <f>(O44+O46+O47+O50+O51)/(F44+F46+F47+F50+F51)</f>
        <v>0.33776419793030649</v>
      </c>
      <c r="C44" s="1177" t="s">
        <v>2301</v>
      </c>
      <c r="D44" s="602" t="s">
        <v>2771</v>
      </c>
      <c r="E44" s="603">
        <v>71297.247022932934</v>
      </c>
      <c r="F44" s="639">
        <v>3124.4174106879882</v>
      </c>
      <c r="G44" s="689"/>
      <c r="H44" s="696">
        <v>150</v>
      </c>
      <c r="I44" s="696"/>
      <c r="J44" s="695"/>
      <c r="K44" s="695"/>
      <c r="L44" s="775"/>
      <c r="M44" s="785"/>
      <c r="N44" s="785"/>
      <c r="O44" s="795">
        <f>SUM(G44:N44)</f>
        <v>150</v>
      </c>
      <c r="P44" s="604">
        <f t="shared" si="0"/>
        <v>4.8008950240413108E-2</v>
      </c>
      <c r="Q44" s="857">
        <f t="shared" si="5"/>
        <v>0.95199104975958693</v>
      </c>
      <c r="R44" s="873">
        <f>O44*$AA$25</f>
        <v>71.881925835998771</v>
      </c>
      <c r="S44" s="701">
        <f>O44*$AB$25</f>
        <v>78.118074164001229</v>
      </c>
      <c r="T44" s="701">
        <f>O44*$AC$25</f>
        <v>55.054656046822601</v>
      </c>
      <c r="U44" s="701">
        <f>O44*$AD$25</f>
        <v>81.618779853708617</v>
      </c>
      <c r="V44" s="701">
        <f>O44*$AE$25</f>
        <v>13.326564099468801</v>
      </c>
      <c r="W44" s="701">
        <f>O44*$AF$25</f>
        <v>22.84156162657748</v>
      </c>
      <c r="X44" s="874">
        <f t="shared" ref="X44:X61" si="7">F44-O44</f>
        <v>2974.4174106879882</v>
      </c>
    </row>
    <row r="45" spans="2:34" ht="17.55" hidden="1" customHeight="1">
      <c r="C45" s="1178"/>
      <c r="D45" s="602" t="s">
        <v>2772</v>
      </c>
      <c r="E45" s="603">
        <v>1282240.102078954</v>
      </c>
      <c r="F45" s="639">
        <v>12822.401020789541</v>
      </c>
      <c r="G45" s="689"/>
      <c r="H45" s="695"/>
      <c r="I45" s="695"/>
      <c r="J45" s="695"/>
      <c r="K45" s="695"/>
      <c r="L45" s="695"/>
      <c r="M45" s="785"/>
      <c r="N45" s="785"/>
      <c r="O45" s="795">
        <f t="shared" ref="O45:O61" si="8">SUM(G45:N45)</f>
        <v>0</v>
      </c>
      <c r="P45" s="604">
        <f t="shared" si="0"/>
        <v>0</v>
      </c>
      <c r="Q45" s="857">
        <f t="shared" si="5"/>
        <v>1</v>
      </c>
      <c r="R45" s="873">
        <f>O45*$AA$26</f>
        <v>0</v>
      </c>
      <c r="S45" s="701">
        <f>O45*$AB$26</f>
        <v>0</v>
      </c>
      <c r="T45" s="701">
        <f>O45*$AC$26</f>
        <v>0</v>
      </c>
      <c r="U45" s="701">
        <f>O45*$AD$26</f>
        <v>0</v>
      </c>
      <c r="V45" s="701">
        <f>O45*$AE$26</f>
        <v>0</v>
      </c>
      <c r="W45" s="701">
        <f>O45*$AF$26</f>
        <v>0</v>
      </c>
      <c r="X45" s="874">
        <f t="shared" si="7"/>
        <v>12822.401020789541</v>
      </c>
    </row>
    <row r="46" spans="2:34" ht="17.55" hidden="1" customHeight="1">
      <c r="C46" s="1178"/>
      <c r="D46" s="602" t="s">
        <v>2773</v>
      </c>
      <c r="E46" s="603">
        <v>207170.43402654651</v>
      </c>
      <c r="F46" s="639">
        <v>14691.926041592791</v>
      </c>
      <c r="G46" s="689"/>
      <c r="H46" s="696"/>
      <c r="I46" s="696"/>
      <c r="J46" s="695"/>
      <c r="K46" s="695"/>
      <c r="L46" s="775"/>
      <c r="M46" s="785"/>
      <c r="N46" s="785"/>
      <c r="O46" s="795">
        <f t="shared" si="8"/>
        <v>0</v>
      </c>
      <c r="P46" s="604">
        <f t="shared" si="0"/>
        <v>0</v>
      </c>
      <c r="Q46" s="857">
        <f t="shared" si="5"/>
        <v>1</v>
      </c>
      <c r="R46" s="873">
        <f>O46*$AA$27</f>
        <v>0</v>
      </c>
      <c r="S46" s="701">
        <f>O46*$AB$27</f>
        <v>0</v>
      </c>
      <c r="T46" s="701">
        <f>O46*$AC$27</f>
        <v>0</v>
      </c>
      <c r="U46" s="701">
        <f>O46*$AD$27</f>
        <v>0</v>
      </c>
      <c r="V46" s="701">
        <f>O46*$AE$27</f>
        <v>0</v>
      </c>
      <c r="W46" s="701">
        <f>O46*$AF$27</f>
        <v>0</v>
      </c>
      <c r="X46" s="874">
        <f t="shared" si="7"/>
        <v>14691.926041592791</v>
      </c>
    </row>
    <row r="47" spans="2:34" ht="17.55" hidden="1" customHeight="1">
      <c r="C47" s="1178"/>
      <c r="D47" s="602" t="s">
        <v>2774</v>
      </c>
      <c r="E47" s="603">
        <v>138015.13245792579</v>
      </c>
      <c r="F47" s="639">
        <v>4140.4539737377736</v>
      </c>
      <c r="G47" s="689"/>
      <c r="H47" s="745"/>
      <c r="I47" s="834"/>
      <c r="J47" s="695"/>
      <c r="K47" s="695"/>
      <c r="L47" s="775"/>
      <c r="M47" s="785"/>
      <c r="N47" s="785"/>
      <c r="O47" s="795">
        <f t="shared" si="8"/>
        <v>0</v>
      </c>
      <c r="P47" s="604">
        <f t="shared" si="0"/>
        <v>0</v>
      </c>
      <c r="Q47" s="857">
        <f t="shared" si="5"/>
        <v>1</v>
      </c>
      <c r="R47" s="873">
        <f>O47*$AA$28</f>
        <v>0</v>
      </c>
      <c r="S47" s="701">
        <f>O47*$AB$28</f>
        <v>0</v>
      </c>
      <c r="T47" s="701">
        <f>O47*$AC$28</f>
        <v>0</v>
      </c>
      <c r="U47" s="701">
        <f>O47*$AD$28</f>
        <v>0</v>
      </c>
      <c r="V47" s="701">
        <f>O47*$AE$28</f>
        <v>0</v>
      </c>
      <c r="W47" s="701">
        <f>O47*$AF$28</f>
        <v>0</v>
      </c>
      <c r="X47" s="874">
        <f t="shared" si="7"/>
        <v>4140.4539737377736</v>
      </c>
    </row>
    <row r="48" spans="2:34" ht="17.55" hidden="1" customHeight="1">
      <c r="B48" s="800">
        <f>(O48+O52+O56)/(F48+F52+F56)</f>
        <v>0.18764412818371753</v>
      </c>
      <c r="C48" s="1178"/>
      <c r="D48" s="602" t="s">
        <v>613</v>
      </c>
      <c r="E48" s="603">
        <v>100473.89970888238</v>
      </c>
      <c r="F48" s="639">
        <v>25668.233982532944</v>
      </c>
      <c r="G48" s="689"/>
      <c r="H48" s="938">
        <v>13402</v>
      </c>
      <c r="I48" s="696">
        <v>0</v>
      </c>
      <c r="J48" s="695">
        <v>0</v>
      </c>
      <c r="K48" s="695"/>
      <c r="L48" s="695"/>
      <c r="M48" s="785"/>
      <c r="N48" s="785"/>
      <c r="O48" s="795">
        <f t="shared" si="8"/>
        <v>13402</v>
      </c>
      <c r="P48" s="604">
        <f t="shared" si="0"/>
        <v>0.52212396104539049</v>
      </c>
      <c r="Q48" s="857">
        <f t="shared" si="5"/>
        <v>0.47787603895460951</v>
      </c>
      <c r="R48" s="873">
        <f>O48*$AA$29</f>
        <v>6428.9622049974296</v>
      </c>
      <c r="S48" s="701">
        <f>O48*$AB$29</f>
        <v>6973.0377950025704</v>
      </c>
      <c r="T48" s="701">
        <f>O48*$AC$29</f>
        <v>6189.175106150572</v>
      </c>
      <c r="U48" s="701">
        <f>O48*$AD$29</f>
        <v>6331.6200425646557</v>
      </c>
      <c r="V48" s="701">
        <f>O48*$AE$29</f>
        <v>881.20485128477173</v>
      </c>
      <c r="W48" s="701">
        <f>O48*$AF$29</f>
        <v>2764.7938431956136</v>
      </c>
      <c r="X48" s="874">
        <f t="shared" si="7"/>
        <v>12266.233982532944</v>
      </c>
    </row>
    <row r="49" spans="2:24" ht="17.55" hidden="1" customHeight="1">
      <c r="C49" s="1178"/>
      <c r="D49" s="602" t="s">
        <v>37</v>
      </c>
      <c r="E49" s="603">
        <v>186093.36070325039</v>
      </c>
      <c r="F49" s="639">
        <v>107769.26885626004</v>
      </c>
      <c r="G49" s="689">
        <f>D2</f>
        <v>79179</v>
      </c>
      <c r="H49" s="696"/>
      <c r="I49" s="696">
        <v>3674</v>
      </c>
      <c r="J49" s="695">
        <v>0</v>
      </c>
      <c r="K49" s="695"/>
      <c r="L49" s="775"/>
      <c r="M49" s="785"/>
      <c r="N49" s="785"/>
      <c r="O49" s="795">
        <f t="shared" si="8"/>
        <v>82853</v>
      </c>
      <c r="P49" s="604">
        <f t="shared" si="0"/>
        <v>0.76879987105143366</v>
      </c>
      <c r="Q49" s="857">
        <f t="shared" ref="Q49:Q61" si="9">1-P49</f>
        <v>0.23120012894856634</v>
      </c>
      <c r="R49" s="873">
        <f>O49*$AA$30</f>
        <v>42242.347710580216</v>
      </c>
      <c r="S49" s="701">
        <f>O49*$AB$30</f>
        <v>40610.652289419784</v>
      </c>
      <c r="T49" s="701">
        <f>O49*$AC$30</f>
        <v>29835.161344889726</v>
      </c>
      <c r="U49" s="701">
        <f>O49*$AD$30</f>
        <v>48461.239112001713</v>
      </c>
      <c r="V49" s="701">
        <f>O49*$AE$30</f>
        <v>4556.5995431085539</v>
      </c>
      <c r="W49" s="701">
        <f>O49*$AF$30</f>
        <v>7372.0624279286685</v>
      </c>
      <c r="X49" s="874">
        <f t="shared" si="7"/>
        <v>24916.268856260038</v>
      </c>
    </row>
    <row r="50" spans="2:24" ht="17.55" hidden="1" customHeight="1">
      <c r="C50" s="1178"/>
      <c r="D50" s="602" t="s">
        <v>2775</v>
      </c>
      <c r="E50" s="603">
        <v>100307.37004541785</v>
      </c>
      <c r="F50" s="639">
        <v>80225.289603633428</v>
      </c>
      <c r="G50" s="689"/>
      <c r="H50" s="696"/>
      <c r="I50" s="696"/>
      <c r="J50" s="695"/>
      <c r="K50" s="938">
        <v>35400</v>
      </c>
      <c r="L50" s="775"/>
      <c r="M50" s="785"/>
      <c r="N50" s="785"/>
      <c r="O50" s="795">
        <f t="shared" si="8"/>
        <v>35400</v>
      </c>
      <c r="P50" s="604">
        <f t="shared" si="0"/>
        <v>0.44125736628561479</v>
      </c>
      <c r="Q50" s="857">
        <f t="shared" ref="Q50:Q55" si="10">1-P50</f>
        <v>0.55874263371438526</v>
      </c>
      <c r="R50" s="873">
        <f>O50*$AA$31</f>
        <v>18233.727968121726</v>
      </c>
      <c r="S50" s="701">
        <f>O50*$AB$31</f>
        <v>17166.272031878278</v>
      </c>
      <c r="T50" s="701">
        <f>O50*$AC$31</f>
        <v>14341.948246327107</v>
      </c>
      <c r="U50" s="701">
        <f>O50*$AD$31</f>
        <v>19207.816430413048</v>
      </c>
      <c r="V50" s="701">
        <f>O50*$AE$31</f>
        <v>1850.2353232598464</v>
      </c>
      <c r="W50" s="701">
        <f>O50*$AF$31</f>
        <v>3834.4905231401531</v>
      </c>
      <c r="X50" s="874">
        <f t="shared" si="7"/>
        <v>44825.289603633428</v>
      </c>
    </row>
    <row r="51" spans="2:24" ht="17.55" hidden="1" customHeight="1">
      <c r="C51" s="1178"/>
      <c r="D51" s="602" t="s">
        <v>2361</v>
      </c>
      <c r="E51" s="603">
        <v>97411.788139174037</v>
      </c>
      <c r="F51" s="639">
        <v>61094.543051133922</v>
      </c>
      <c r="G51" s="689"/>
      <c r="H51" s="938">
        <v>6578</v>
      </c>
      <c r="I51" s="696"/>
      <c r="J51" s="695"/>
      <c r="K51" s="938">
        <f>19599-6578</f>
        <v>13021</v>
      </c>
      <c r="L51" s="775"/>
      <c r="M51" s="785"/>
      <c r="N51" s="785"/>
      <c r="O51" s="795">
        <f t="shared" si="8"/>
        <v>19599</v>
      </c>
      <c r="P51" s="604">
        <f t="shared" si="0"/>
        <v>0.32079788179439112</v>
      </c>
      <c r="Q51" s="857">
        <f t="shared" si="10"/>
        <v>0.67920211820560894</v>
      </c>
      <c r="R51" s="873">
        <f>O51*$AA$32</f>
        <v>9724.1904845645986</v>
      </c>
      <c r="S51" s="701">
        <f>O51*$AB$32</f>
        <v>9874.8095154354014</v>
      </c>
      <c r="T51" s="701">
        <f>O51*$AC$32</f>
        <v>8080.4382720234844</v>
      </c>
      <c r="U51" s="701">
        <f>O51*$AD$32</f>
        <v>10138.004564835015</v>
      </c>
      <c r="V51" s="701">
        <f>O51*$AE$32</f>
        <v>1380.5571631415003</v>
      </c>
      <c r="W51" s="701">
        <f>O51*$AF$32</f>
        <v>3259.5690128321426</v>
      </c>
      <c r="X51" s="874">
        <f t="shared" si="7"/>
        <v>41495.543051133922</v>
      </c>
    </row>
    <row r="52" spans="2:24" ht="17.55" hidden="1" customHeight="1">
      <c r="C52" s="1178"/>
      <c r="D52" s="602" t="s">
        <v>2776</v>
      </c>
      <c r="E52" s="603">
        <v>308281.36095731339</v>
      </c>
      <c r="F52" s="639">
        <v>19287.0408287194</v>
      </c>
      <c r="G52" s="689"/>
      <c r="H52" s="696">
        <v>600</v>
      </c>
      <c r="I52" s="696"/>
      <c r="J52" s="695"/>
      <c r="K52" s="695"/>
      <c r="L52" s="775"/>
      <c r="M52" s="785"/>
      <c r="N52" s="785"/>
      <c r="O52" s="795">
        <f t="shared" si="8"/>
        <v>600</v>
      </c>
      <c r="P52" s="604">
        <f t="shared" si="0"/>
        <v>3.1108971320606579E-2</v>
      </c>
      <c r="Q52" s="857">
        <f t="shared" si="10"/>
        <v>0.96889102867939347</v>
      </c>
      <c r="R52" s="873">
        <f>O52*$AA$33</f>
        <v>279.74415891099716</v>
      </c>
      <c r="S52" s="701">
        <f>O52*$AB$33</f>
        <v>320.25584108900284</v>
      </c>
      <c r="T52" s="701">
        <f>O52*$AC$33</f>
        <v>191.34354763974471</v>
      </c>
      <c r="U52" s="701">
        <f>O52*$AD$33</f>
        <v>349.49869225732084</v>
      </c>
      <c r="V52" s="701">
        <f>O52*$AE$33</f>
        <v>59.157760102934461</v>
      </c>
      <c r="W52" s="701">
        <f>O52*$AF$33</f>
        <v>102.16545183330481</v>
      </c>
      <c r="X52" s="874">
        <f t="shared" si="7"/>
        <v>18687.0408287194</v>
      </c>
    </row>
    <row r="53" spans="2:24" ht="17.55" hidden="1" customHeight="1">
      <c r="C53" s="1178"/>
      <c r="D53" s="602" t="s">
        <v>2777</v>
      </c>
      <c r="E53" s="603">
        <v>336813.18381455197</v>
      </c>
      <c r="F53" s="639">
        <v>3368.1318381455199</v>
      </c>
      <c r="G53" s="689"/>
      <c r="H53" s="696"/>
      <c r="I53" s="696"/>
      <c r="J53" s="695"/>
      <c r="K53" s="695"/>
      <c r="L53" s="775"/>
      <c r="M53" s="785"/>
      <c r="N53" s="785"/>
      <c r="O53" s="795">
        <f t="shared" si="8"/>
        <v>0</v>
      </c>
      <c r="P53" s="604">
        <f t="shared" si="0"/>
        <v>0</v>
      </c>
      <c r="Q53" s="857">
        <f t="shared" si="10"/>
        <v>1</v>
      </c>
      <c r="R53" s="873">
        <f>O53*$AA$34</f>
        <v>0</v>
      </c>
      <c r="S53" s="701">
        <f>O53*$AB$34</f>
        <v>0</v>
      </c>
      <c r="T53" s="701">
        <f>O53*$AC$34</f>
        <v>0</v>
      </c>
      <c r="U53" s="701">
        <f>O53*$AD$34</f>
        <v>0</v>
      </c>
      <c r="V53" s="701">
        <f>O53*$AE$34</f>
        <v>0</v>
      </c>
      <c r="W53" s="701">
        <f>O53*$AF$34</f>
        <v>0</v>
      </c>
      <c r="X53" s="874">
        <f t="shared" si="7"/>
        <v>3368.1318381455199</v>
      </c>
    </row>
    <row r="54" spans="2:24" ht="17.55" hidden="1" customHeight="1">
      <c r="C54" s="1178"/>
      <c r="D54" s="602" t="s">
        <v>2778</v>
      </c>
      <c r="E54" s="603">
        <v>30430.553807096338</v>
      </c>
      <c r="F54" s="639">
        <v>304.30553807096339</v>
      </c>
      <c r="G54" s="689"/>
      <c r="H54" s="696"/>
      <c r="I54" s="696"/>
      <c r="J54" s="695"/>
      <c r="K54" s="695"/>
      <c r="L54" s="775"/>
      <c r="M54" s="785"/>
      <c r="N54" s="785"/>
      <c r="O54" s="795">
        <f t="shared" si="8"/>
        <v>0</v>
      </c>
      <c r="P54" s="604">
        <f t="shared" si="0"/>
        <v>0</v>
      </c>
      <c r="Q54" s="857">
        <f t="shared" si="10"/>
        <v>1</v>
      </c>
      <c r="R54" s="873">
        <f>O54*$AA$35</f>
        <v>0</v>
      </c>
      <c r="S54" s="701">
        <f>O54*$AB$35</f>
        <v>0</v>
      </c>
      <c r="T54" s="701">
        <f>O54*$AC$35</f>
        <v>0</v>
      </c>
      <c r="U54" s="701">
        <f>O54*$AD$35</f>
        <v>0</v>
      </c>
      <c r="V54" s="701">
        <f>O54*$AE$35</f>
        <v>0</v>
      </c>
      <c r="W54" s="701">
        <f>O54*$AF$35</f>
        <v>0</v>
      </c>
      <c r="X54" s="874">
        <f t="shared" si="7"/>
        <v>304.30553807096339</v>
      </c>
    </row>
    <row r="55" spans="2:24" ht="17.55" hidden="1" customHeight="1">
      <c r="C55" s="1178"/>
      <c r="D55" s="602" t="s">
        <v>304</v>
      </c>
      <c r="E55" s="603">
        <v>1238941.7131009183</v>
      </c>
      <c r="F55" s="639">
        <v>277344.1113515597</v>
      </c>
      <c r="G55" s="689">
        <v>105013</v>
      </c>
      <c r="H55" s="938">
        <v>27563</v>
      </c>
      <c r="I55" s="696">
        <v>3116</v>
      </c>
      <c r="J55" s="695">
        <v>991</v>
      </c>
      <c r="K55" s="695"/>
      <c r="L55" s="775"/>
      <c r="M55" s="785">
        <v>30</v>
      </c>
      <c r="N55" s="785">
        <v>43108</v>
      </c>
      <c r="O55" s="795">
        <f t="shared" si="8"/>
        <v>179821</v>
      </c>
      <c r="P55" s="604">
        <f t="shared" si="0"/>
        <v>0.64836783129698394</v>
      </c>
      <c r="Q55" s="857">
        <f t="shared" si="10"/>
        <v>0.35163216870301606</v>
      </c>
      <c r="R55" s="873">
        <f>O55*$AA$36</f>
        <v>85226.376672071507</v>
      </c>
      <c r="S55" s="701">
        <f>O55*$AB$36</f>
        <v>94594.623327928493</v>
      </c>
      <c r="T55" s="701">
        <f>O55*$AC$36</f>
        <v>66007.401211735996</v>
      </c>
      <c r="U55" s="701">
        <f>O55*$AD$36</f>
        <v>97996.634765369119</v>
      </c>
      <c r="V55" s="701">
        <f>O55*$AE$36</f>
        <v>15816.964022894916</v>
      </c>
      <c r="W55" s="701">
        <f>O55*$AF$36</f>
        <v>31191.352816193146</v>
      </c>
      <c r="X55" s="874">
        <f t="shared" si="7"/>
        <v>97523.111351559695</v>
      </c>
    </row>
    <row r="56" spans="2:24" ht="17.55" hidden="1" customHeight="1">
      <c r="C56" s="1178"/>
      <c r="D56" s="602" t="s">
        <v>2779</v>
      </c>
      <c r="E56" s="603">
        <v>271284.15577125904</v>
      </c>
      <c r="F56" s="639">
        <v>30304.207788562955</v>
      </c>
      <c r="G56" s="689"/>
      <c r="H56" s="696">
        <v>120</v>
      </c>
      <c r="I56" s="696"/>
      <c r="J56" s="695"/>
      <c r="K56" s="695"/>
      <c r="L56" s="775"/>
      <c r="M56" s="785"/>
      <c r="N56" s="785"/>
      <c r="O56" s="795">
        <f t="shared" si="8"/>
        <v>120</v>
      </c>
      <c r="P56" s="604">
        <f t="shared" si="0"/>
        <v>3.959846132169439E-3</v>
      </c>
      <c r="Q56" s="857">
        <f t="shared" si="9"/>
        <v>0.99604015386783051</v>
      </c>
      <c r="R56" s="873">
        <f>O56*$AA$37</f>
        <v>57.156316659519611</v>
      </c>
      <c r="S56" s="701">
        <f>O56*$AB$37</f>
        <v>62.843683340480389</v>
      </c>
      <c r="T56" s="701">
        <f>O56*$AC$37</f>
        <v>40.989914835596601</v>
      </c>
      <c r="U56" s="701">
        <f>O56*$AD$37</f>
        <v>68.914405014358664</v>
      </c>
      <c r="V56" s="701">
        <f>O56*$AE$37</f>
        <v>10.095680150044684</v>
      </c>
      <c r="W56" s="701">
        <f>O56*$AF$37</f>
        <v>11.536491722444783</v>
      </c>
      <c r="X56" s="874">
        <f t="shared" si="7"/>
        <v>30184.207788562955</v>
      </c>
    </row>
    <row r="57" spans="2:24" ht="17.55" hidden="1" customHeight="1">
      <c r="C57" s="1178"/>
      <c r="D57" s="602" t="s">
        <v>2780</v>
      </c>
      <c r="E57" s="603">
        <v>43761.672559015518</v>
      </c>
      <c r="F57" s="639">
        <v>1531.6585395655432</v>
      </c>
      <c r="G57" s="689"/>
      <c r="H57" s="696"/>
      <c r="I57" s="696"/>
      <c r="J57" s="695"/>
      <c r="K57" s="695"/>
      <c r="L57" s="775"/>
      <c r="M57" s="785"/>
      <c r="N57" s="785"/>
      <c r="O57" s="795">
        <f t="shared" si="8"/>
        <v>0</v>
      </c>
      <c r="P57" s="604">
        <f t="shared" ref="P57:P88" si="11">O57/F57</f>
        <v>0</v>
      </c>
      <c r="Q57" s="857">
        <f t="shared" si="9"/>
        <v>1</v>
      </c>
      <c r="R57" s="873">
        <f>O57*$AA$38</f>
        <v>0</v>
      </c>
      <c r="S57" s="701">
        <f>O57*$AB$38</f>
        <v>0</v>
      </c>
      <c r="T57" s="701">
        <f>O57*$AC$38</f>
        <v>0</v>
      </c>
      <c r="U57" s="701">
        <f>O57*$AD$38</f>
        <v>0</v>
      </c>
      <c r="V57" s="701">
        <f>O57*$AE$38</f>
        <v>0</v>
      </c>
      <c r="W57" s="701">
        <f>O57*$AF$38</f>
        <v>0</v>
      </c>
      <c r="X57" s="874">
        <f t="shared" si="7"/>
        <v>1531.6585395655432</v>
      </c>
    </row>
    <row r="58" spans="2:24" ht="17.55" customHeight="1">
      <c r="C58" s="1178"/>
      <c r="D58" s="602" t="s">
        <v>515</v>
      </c>
      <c r="E58" s="603">
        <v>154523.3477130745</v>
      </c>
      <c r="F58" s="639">
        <v>21630.267385653726</v>
      </c>
      <c r="G58" s="689">
        <f>D3</f>
        <v>11712</v>
      </c>
      <c r="H58" s="696">
        <v>80</v>
      </c>
      <c r="I58" s="696">
        <v>0</v>
      </c>
      <c r="J58" s="695">
        <v>0</v>
      </c>
      <c r="K58" s="695"/>
      <c r="L58" s="695">
        <f>14016-(11712+80)</f>
        <v>2224</v>
      </c>
      <c r="M58" s="785"/>
      <c r="N58" s="785"/>
      <c r="O58" s="795">
        <f t="shared" si="8"/>
        <v>14016</v>
      </c>
      <c r="P58" s="604">
        <f t="shared" si="11"/>
        <v>0.64798089409177217</v>
      </c>
      <c r="Q58" s="857">
        <f t="shared" si="9"/>
        <v>0.35201910590822783</v>
      </c>
      <c r="R58" s="873">
        <f>O58*$AA$39</f>
        <v>7010.165264990047</v>
      </c>
      <c r="S58" s="701">
        <f>O58*$AB$39</f>
        <v>7005.834735009953</v>
      </c>
      <c r="T58" s="701">
        <f>O58*$AC$39</f>
        <v>5325.6103640663996</v>
      </c>
      <c r="U58" s="701">
        <f>O58*$AD$39</f>
        <v>7877.3077601386703</v>
      </c>
      <c r="V58" s="701">
        <f>O58*$AE$39</f>
        <v>813.08187579492687</v>
      </c>
      <c r="W58" s="701">
        <f>O58*$AF$39</f>
        <v>1208.4321995089035</v>
      </c>
      <c r="X58" s="874">
        <f t="shared" si="7"/>
        <v>7614.2673856537258</v>
      </c>
    </row>
    <row r="59" spans="2:24" ht="17.55" hidden="1" customHeight="1">
      <c r="C59" s="1178"/>
      <c r="D59" s="602" t="s">
        <v>2710</v>
      </c>
      <c r="E59" s="603">
        <v>134852.16996020486</v>
      </c>
      <c r="F59" s="639">
        <v>20406.408498010242</v>
      </c>
      <c r="G59" s="689"/>
      <c r="H59" s="696"/>
      <c r="I59" s="696"/>
      <c r="J59" s="695"/>
      <c r="K59" s="695"/>
      <c r="L59" s="775"/>
      <c r="M59" s="785"/>
      <c r="N59" s="785"/>
      <c r="O59" s="795">
        <f t="shared" si="8"/>
        <v>0</v>
      </c>
      <c r="P59" s="604">
        <f t="shared" si="11"/>
        <v>0</v>
      </c>
      <c r="Q59" s="857">
        <f t="shared" si="9"/>
        <v>1</v>
      </c>
      <c r="R59" s="873">
        <f>O59*$AA$40</f>
        <v>0</v>
      </c>
      <c r="S59" s="701">
        <f>O59*$AB$40</f>
        <v>0</v>
      </c>
      <c r="T59" s="701">
        <f>O59*$AC$40</f>
        <v>0</v>
      </c>
      <c r="U59" s="701">
        <f>O59*$AD$40</f>
        <v>0</v>
      </c>
      <c r="V59" s="701">
        <f>O59*$AE$40</f>
        <v>0</v>
      </c>
      <c r="W59" s="701">
        <f>O59*$AF$40</f>
        <v>0</v>
      </c>
      <c r="X59" s="874">
        <f t="shared" si="7"/>
        <v>20406.408498010242</v>
      </c>
    </row>
    <row r="60" spans="2:24" ht="17.55" hidden="1" customHeight="1">
      <c r="C60" s="1178"/>
      <c r="D60" s="602" t="s">
        <v>2781</v>
      </c>
      <c r="E60" s="603">
        <v>35261.775049483891</v>
      </c>
      <c r="F60" s="639">
        <v>3653.4420039587117</v>
      </c>
      <c r="G60" s="689"/>
      <c r="H60" s="696"/>
      <c r="I60" s="696"/>
      <c r="J60" s="695"/>
      <c r="K60" s="695"/>
      <c r="L60" s="775"/>
      <c r="M60" s="785"/>
      <c r="N60" s="785"/>
      <c r="O60" s="795">
        <f t="shared" si="8"/>
        <v>0</v>
      </c>
      <c r="P60" s="604">
        <f t="shared" si="11"/>
        <v>0</v>
      </c>
      <c r="Q60" s="857">
        <f t="shared" si="9"/>
        <v>1</v>
      </c>
      <c r="R60" s="873">
        <f>O60*$AA$41</f>
        <v>0</v>
      </c>
      <c r="S60" s="701">
        <f>O60*$AB$41</f>
        <v>0</v>
      </c>
      <c r="T60" s="701">
        <f>O60*$AC$41</f>
        <v>0</v>
      </c>
      <c r="U60" s="701">
        <f>O60*$AD$41</f>
        <v>0</v>
      </c>
      <c r="V60" s="701">
        <f>O60*$AE$41</f>
        <v>0</v>
      </c>
      <c r="W60" s="701">
        <f>O60*$AF$41</f>
        <v>0</v>
      </c>
      <c r="X60" s="874">
        <f t="shared" si="7"/>
        <v>3653.4420039587117</v>
      </c>
    </row>
    <row r="61" spans="2:24" ht="17.55" hidden="1" customHeight="1">
      <c r="C61" s="1178"/>
      <c r="D61" s="602" t="s">
        <v>2782</v>
      </c>
      <c r="E61" s="603">
        <v>727743.63049268548</v>
      </c>
      <c r="F61" s="639">
        <v>14554.87260985371</v>
      </c>
      <c r="G61" s="689"/>
      <c r="H61" s="696"/>
      <c r="I61" s="696"/>
      <c r="J61" s="695"/>
      <c r="K61" s="938">
        <v>450</v>
      </c>
      <c r="L61" s="775"/>
      <c r="M61" s="785"/>
      <c r="N61" s="785"/>
      <c r="O61" s="795">
        <f t="shared" si="8"/>
        <v>450</v>
      </c>
      <c r="P61" s="604">
        <f t="shared" si="11"/>
        <v>3.0917481180518756E-2</v>
      </c>
      <c r="Q61" s="857">
        <f t="shared" si="9"/>
        <v>0.96908251881948126</v>
      </c>
      <c r="R61" s="873">
        <f>O61*$AA$42</f>
        <v>216.31850384462655</v>
      </c>
      <c r="S61" s="701">
        <f>O61*$AB$42</f>
        <v>233.68149615537345</v>
      </c>
      <c r="T61" s="701">
        <f>O61*$AC$42</f>
        <v>130.38073265556301</v>
      </c>
      <c r="U61" s="701">
        <f>O61*$AD$42</f>
        <v>284.07412987590982</v>
      </c>
      <c r="V61" s="701">
        <f>O61*$AE$42</f>
        <v>35.545137468527152</v>
      </c>
      <c r="W61" s="701">
        <f>O61*$AF$42</f>
        <v>55.93284157528258</v>
      </c>
      <c r="X61" s="874">
        <f t="shared" si="7"/>
        <v>14104.87260985371</v>
      </c>
    </row>
    <row r="62" spans="2:24" s="595" customFormat="1" ht="17.55" hidden="1" customHeight="1">
      <c r="C62" s="1179"/>
      <c r="D62" s="609" t="s">
        <v>1488</v>
      </c>
      <c r="E62" s="610">
        <f t="shared" ref="E62:N62" si="12">SUM(E44:E61)</f>
        <v>5464902.8974086875</v>
      </c>
      <c r="F62" s="610">
        <f t="shared" si="12"/>
        <v>701920.98032246891</v>
      </c>
      <c r="G62" s="653">
        <f t="shared" si="12"/>
        <v>195904</v>
      </c>
      <c r="H62" s="653">
        <f t="shared" si="12"/>
        <v>48493</v>
      </c>
      <c r="I62" s="653">
        <f t="shared" si="12"/>
        <v>6790</v>
      </c>
      <c r="J62" s="653">
        <f t="shared" si="12"/>
        <v>991</v>
      </c>
      <c r="K62" s="653">
        <f t="shared" si="12"/>
        <v>48871</v>
      </c>
      <c r="L62" s="653">
        <f t="shared" si="12"/>
        <v>2224</v>
      </c>
      <c r="M62" s="653">
        <f t="shared" si="12"/>
        <v>30</v>
      </c>
      <c r="N62" s="653">
        <f t="shared" si="12"/>
        <v>43108</v>
      </c>
      <c r="O62" s="653">
        <f>SUM(O44:O61)</f>
        <v>346411</v>
      </c>
      <c r="P62" s="611">
        <f t="shared" si="11"/>
        <v>0.49351851520502438</v>
      </c>
      <c r="Q62" s="858">
        <f>1-P62</f>
        <v>0.50648148479497568</v>
      </c>
      <c r="R62" s="875">
        <f t="shared" ref="R62:X62" si="13">SUM(R44:R61)</f>
        <v>169490.87121057668</v>
      </c>
      <c r="S62" s="612">
        <f t="shared" si="13"/>
        <v>176920.12878942332</v>
      </c>
      <c r="T62" s="612">
        <f>SUM(T44:T61)</f>
        <v>130197.503396371</v>
      </c>
      <c r="U62" s="612">
        <f t="shared" si="13"/>
        <v>190796.72868232356</v>
      </c>
      <c r="V62" s="612">
        <f t="shared" si="13"/>
        <v>25416.767921305487</v>
      </c>
      <c r="W62" s="612">
        <f t="shared" si="13"/>
        <v>49823.177169556235</v>
      </c>
      <c r="X62" s="797">
        <f t="shared" si="13"/>
        <v>355509.98032246891</v>
      </c>
    </row>
    <row r="63" spans="2:24" hidden="1">
      <c r="B63" s="800">
        <f>(O63+O65+O66+O69+O70)/(F63+F65+F66+F69+F70)</f>
        <v>0.60072947026341872</v>
      </c>
      <c r="C63" s="1174" t="s">
        <v>2302</v>
      </c>
      <c r="D63" s="605" t="s">
        <v>2771</v>
      </c>
      <c r="E63" s="606">
        <v>71297.247022932934</v>
      </c>
      <c r="F63" s="640">
        <v>11242.08705343994</v>
      </c>
      <c r="G63" s="814"/>
      <c r="H63" s="815">
        <v>3289</v>
      </c>
      <c r="I63" s="815"/>
      <c r="J63" s="815"/>
      <c r="K63" s="815"/>
      <c r="L63" s="815"/>
      <c r="M63" s="786"/>
      <c r="N63" s="786"/>
      <c r="O63" s="795">
        <f t="shared" ref="O63:O80" si="14">SUM(G63:N63)</f>
        <v>3289</v>
      </c>
      <c r="P63" s="607">
        <f t="shared" si="11"/>
        <v>0.29256133530771822</v>
      </c>
      <c r="Q63" s="859">
        <f>1-P63</f>
        <v>0.70743866469228178</v>
      </c>
      <c r="R63" s="814">
        <f>O63*$AA$25</f>
        <v>1576.1310271639995</v>
      </c>
      <c r="S63" s="815">
        <f>O63*$AB$25</f>
        <v>1712.8689728360005</v>
      </c>
      <c r="T63" s="815">
        <f>O63*$AC$25</f>
        <v>1207.1650915866635</v>
      </c>
      <c r="U63" s="815">
        <f>O63*$AD$25</f>
        <v>1789.6277795923177</v>
      </c>
      <c r="V63" s="815">
        <f>O63*$AE$25</f>
        <v>292.20712882101924</v>
      </c>
      <c r="W63" s="815">
        <f>O63*$AF$25</f>
        <v>500.83930793208884</v>
      </c>
      <c r="X63" s="786">
        <f t="shared" ref="X63:X80" si="15">F63-O63</f>
        <v>7953.0870534399401</v>
      </c>
    </row>
    <row r="64" spans="2:24" hidden="1">
      <c r="C64" s="1175"/>
      <c r="D64" s="605" t="s">
        <v>2772</v>
      </c>
      <c r="E64" s="606">
        <v>1282240.102078954</v>
      </c>
      <c r="F64" s="640">
        <v>64112.005103947704</v>
      </c>
      <c r="G64" s="814"/>
      <c r="H64" s="815"/>
      <c r="I64" s="815"/>
      <c r="J64" s="815"/>
      <c r="K64" s="815"/>
      <c r="L64" s="815"/>
      <c r="M64" s="786"/>
      <c r="N64" s="786"/>
      <c r="O64" s="795">
        <f t="shared" si="14"/>
        <v>0</v>
      </c>
      <c r="P64" s="607">
        <f t="shared" si="11"/>
        <v>0</v>
      </c>
      <c r="Q64" s="859">
        <f>1-P64</f>
        <v>1</v>
      </c>
      <c r="R64" s="814">
        <f>O64*$AA$26</f>
        <v>0</v>
      </c>
      <c r="S64" s="815">
        <f>O64*$AB$26</f>
        <v>0</v>
      </c>
      <c r="T64" s="815">
        <f>O64*$AC$26</f>
        <v>0</v>
      </c>
      <c r="U64" s="815">
        <f>O64*$AD$26</f>
        <v>0</v>
      </c>
      <c r="V64" s="815">
        <f>O64*$AE$26</f>
        <v>0</v>
      </c>
      <c r="W64" s="815">
        <f>O64*$AF$26</f>
        <v>0</v>
      </c>
      <c r="X64" s="786">
        <f t="shared" si="15"/>
        <v>64112.005103947704</v>
      </c>
    </row>
    <row r="65" spans="2:24" hidden="1">
      <c r="B65" s="61"/>
      <c r="C65" s="1175"/>
      <c r="D65" s="605" t="s">
        <v>2773</v>
      </c>
      <c r="E65" s="606">
        <v>207170.43402654651</v>
      </c>
      <c r="F65" s="640">
        <v>63407.63020796395</v>
      </c>
      <c r="G65" s="814"/>
      <c r="H65" s="815"/>
      <c r="I65" s="815"/>
      <c r="J65" s="815"/>
      <c r="K65" s="815"/>
      <c r="L65" s="815"/>
      <c r="M65" s="786"/>
      <c r="N65" s="786"/>
      <c r="O65" s="795">
        <f t="shared" si="14"/>
        <v>0</v>
      </c>
      <c r="P65" s="607">
        <f t="shared" si="11"/>
        <v>0</v>
      </c>
      <c r="Q65" s="859">
        <f>1-P65</f>
        <v>1</v>
      </c>
      <c r="R65" s="814">
        <f>O65*$AA$27</f>
        <v>0</v>
      </c>
      <c r="S65" s="815">
        <f>O65*$AB$27</f>
        <v>0</v>
      </c>
      <c r="T65" s="815">
        <f>O65*$AC$27</f>
        <v>0</v>
      </c>
      <c r="U65" s="815">
        <f>O65*$AD$27</f>
        <v>0</v>
      </c>
      <c r="V65" s="815">
        <f>O65*$AE$27</f>
        <v>0</v>
      </c>
      <c r="W65" s="815">
        <f>O65*$AF$27</f>
        <v>0</v>
      </c>
      <c r="X65" s="786">
        <f t="shared" si="15"/>
        <v>63407.63020796395</v>
      </c>
    </row>
    <row r="66" spans="2:24" hidden="1">
      <c r="B66" s="61"/>
      <c r="C66" s="1175"/>
      <c r="D66" s="605" t="s">
        <v>2774</v>
      </c>
      <c r="E66" s="606">
        <v>138015.13245792579</v>
      </c>
      <c r="F66" s="640">
        <v>20702.269868688869</v>
      </c>
      <c r="G66" s="814"/>
      <c r="H66" s="746"/>
      <c r="I66" s="746"/>
      <c r="J66" s="746"/>
      <c r="K66" s="746"/>
      <c r="L66" s="746"/>
      <c r="M66" s="787"/>
      <c r="N66" s="787"/>
      <c r="O66" s="795">
        <f t="shared" si="14"/>
        <v>0</v>
      </c>
      <c r="P66" s="607">
        <f t="shared" si="11"/>
        <v>0</v>
      </c>
      <c r="Q66" s="859">
        <f>1-P66</f>
        <v>1</v>
      </c>
      <c r="R66" s="876">
        <f>O66*$AA$28</f>
        <v>0</v>
      </c>
      <c r="S66" s="746">
        <f>O66*$AB$28</f>
        <v>0</v>
      </c>
      <c r="T66" s="746">
        <f>O66*$AC$28</f>
        <v>0</v>
      </c>
      <c r="U66" s="746">
        <f>O66*$AD$28</f>
        <v>0</v>
      </c>
      <c r="V66" s="746">
        <f>O66*$AE$28</f>
        <v>0</v>
      </c>
      <c r="W66" s="746">
        <f>O66*$AF$28</f>
        <v>0</v>
      </c>
      <c r="X66" s="787">
        <f t="shared" si="15"/>
        <v>20702.269868688869</v>
      </c>
    </row>
    <row r="67" spans="2:24" hidden="1">
      <c r="B67" s="800">
        <f>(O67+O71+O75)/(F67+F71+F75)</f>
        <v>0.33980140160085975</v>
      </c>
      <c r="C67" s="1175"/>
      <c r="D67" s="605" t="s">
        <v>613</v>
      </c>
      <c r="E67" s="606">
        <v>100473.89970888238</v>
      </c>
      <c r="F67" s="640">
        <v>41053.169912664715</v>
      </c>
      <c r="G67" s="814"/>
      <c r="H67" s="746">
        <v>8648</v>
      </c>
      <c r="I67" s="746">
        <v>0</v>
      </c>
      <c r="J67" s="746">
        <v>0</v>
      </c>
      <c r="K67" s="746">
        <f>(20870-H67)+6600</f>
        <v>18822</v>
      </c>
      <c r="L67" s="746"/>
      <c r="M67" s="787"/>
      <c r="N67" s="787"/>
      <c r="O67" s="795">
        <f t="shared" si="14"/>
        <v>27470</v>
      </c>
      <c r="P67" s="607">
        <f t="shared" si="11"/>
        <v>0.66913225113770403</v>
      </c>
      <c r="Q67" s="859">
        <f t="shared" ref="Q67:Q72" si="16">1-P67</f>
        <v>0.33086774886229597</v>
      </c>
      <c r="R67" s="876">
        <f>O67*$AA$29</f>
        <v>13177.405743268124</v>
      </c>
      <c r="S67" s="746">
        <f>O67*$AB$29</f>
        <v>14292.594256731876</v>
      </c>
      <c r="T67" s="746">
        <f>O67*$AC$29</f>
        <v>12685.915547377721</v>
      </c>
      <c r="U67" s="746">
        <f>O67*$AD$29</f>
        <v>12977.884089632227</v>
      </c>
      <c r="V67" s="746">
        <f>O67*$AE$29</f>
        <v>1806.2003629900523</v>
      </c>
      <c r="W67" s="746">
        <f>O67*$AF$29</f>
        <v>5666.981560407663</v>
      </c>
      <c r="X67" s="787">
        <f t="shared" si="15"/>
        <v>13583.169912664715</v>
      </c>
    </row>
    <row r="68" spans="2:24" hidden="1">
      <c r="C68" s="1175"/>
      <c r="D68" s="605" t="s">
        <v>37</v>
      </c>
      <c r="E68" s="606">
        <v>186093.36070325039</v>
      </c>
      <c r="F68" s="640">
        <v>126038.34428130016</v>
      </c>
      <c r="G68" s="814">
        <f>E2</f>
        <v>81603</v>
      </c>
      <c r="H68" s="746">
        <v>1605</v>
      </c>
      <c r="I68" s="746">
        <v>5067</v>
      </c>
      <c r="J68" s="746">
        <v>0</v>
      </c>
      <c r="K68" s="746"/>
      <c r="L68" s="746"/>
      <c r="M68" s="787"/>
      <c r="N68" s="787"/>
      <c r="O68" s="795">
        <f t="shared" si="14"/>
        <v>88275</v>
      </c>
      <c r="P68" s="607">
        <f t="shared" si="11"/>
        <v>0.70038209803028195</v>
      </c>
      <c r="Q68" s="859">
        <f t="shared" si="16"/>
        <v>0.29961790196971805</v>
      </c>
      <c r="R68" s="876">
        <f>O68*$AA$30</f>
        <v>45006.737766302591</v>
      </c>
      <c r="S68" s="746">
        <f>O68*$AB$30</f>
        <v>43268.262233697409</v>
      </c>
      <c r="T68" s="746">
        <f>O68*$AC$30</f>
        <v>31787.610197821934</v>
      </c>
      <c r="U68" s="746">
        <f>O68*$AD$30</f>
        <v>51632.600902948012</v>
      </c>
      <c r="V68" s="746">
        <f>O68*$AE$30</f>
        <v>4854.7888992300532</v>
      </c>
      <c r="W68" s="746">
        <f>O68*$AF$30</f>
        <v>7854.4990625010951</v>
      </c>
      <c r="X68" s="787">
        <f t="shared" si="15"/>
        <v>37763.34428130016</v>
      </c>
    </row>
    <row r="69" spans="2:24" hidden="1">
      <c r="C69" s="1175"/>
      <c r="D69" s="605" t="s">
        <v>2775</v>
      </c>
      <c r="E69" s="606">
        <v>100307.37004541785</v>
      </c>
      <c r="F69" s="640">
        <v>80234.448018167139</v>
      </c>
      <c r="G69" s="814"/>
      <c r="H69" s="746">
        <v>17059</v>
      </c>
      <c r="I69" s="746"/>
      <c r="J69" s="746"/>
      <c r="K69" s="746">
        <v>63350</v>
      </c>
      <c r="L69" s="746"/>
      <c r="M69" s="787"/>
      <c r="N69" s="787"/>
      <c r="O69" s="795">
        <f t="shared" si="14"/>
        <v>80409</v>
      </c>
      <c r="P69" s="607">
        <f t="shared" si="11"/>
        <v>1.0021755241812511</v>
      </c>
      <c r="Q69" s="859">
        <f t="shared" si="16"/>
        <v>-2.1755241812511095E-3</v>
      </c>
      <c r="R69" s="876">
        <f>O69*$AA$31</f>
        <v>41416.83141775988</v>
      </c>
      <c r="S69" s="746">
        <f>O69*$AB$31</f>
        <v>38992.16858224012</v>
      </c>
      <c r="T69" s="746">
        <f>O69*$AC$31</f>
        <v>32576.884647991985</v>
      </c>
      <c r="U69" s="746">
        <f>O69*$AD$31</f>
        <v>43629.415574945837</v>
      </c>
      <c r="V69" s="746">
        <f>O69*$AE$31</f>
        <v>4202.6997770621747</v>
      </c>
      <c r="W69" s="746">
        <f>O69*$AF$31</f>
        <v>8709.817753536061</v>
      </c>
      <c r="X69" s="787">
        <f t="shared" si="15"/>
        <v>-174.5519818328612</v>
      </c>
    </row>
    <row r="70" spans="2:24" hidden="1">
      <c r="C70" s="1175"/>
      <c r="D70" s="605" t="s">
        <v>2361</v>
      </c>
      <c r="E70" s="606">
        <v>97411.788139174037</v>
      </c>
      <c r="F70" s="640">
        <v>68576.715255669609</v>
      </c>
      <c r="G70" s="814"/>
      <c r="H70" s="746">
        <v>62978</v>
      </c>
      <c r="I70" s="746"/>
      <c r="J70" s="746"/>
      <c r="K70" s="746"/>
      <c r="L70" s="746"/>
      <c r="M70" s="787"/>
      <c r="N70" s="787"/>
      <c r="O70" s="795">
        <f t="shared" si="14"/>
        <v>62978</v>
      </c>
      <c r="P70" s="607">
        <f t="shared" si="11"/>
        <v>0.91835836355246347</v>
      </c>
      <c r="Q70" s="859">
        <f t="shared" si="16"/>
        <v>8.1641636447536525E-2</v>
      </c>
      <c r="R70" s="876">
        <f>O70*$AA$32</f>
        <v>31247.005884836439</v>
      </c>
      <c r="S70" s="746">
        <f>O70*$AB$32</f>
        <v>31730.994115163561</v>
      </c>
      <c r="T70" s="746">
        <f>O70*$AC$32</f>
        <v>25965.092172840195</v>
      </c>
      <c r="U70" s="746">
        <f>O70*$AD$32</f>
        <v>32576.725929087177</v>
      </c>
      <c r="V70" s="746">
        <f>O70*$AE$32</f>
        <v>4436.1818980726266</v>
      </c>
      <c r="W70" s="746">
        <f>O70*$AF$32</f>
        <v>10474.061803670731</v>
      </c>
      <c r="X70" s="787">
        <f t="shared" si="15"/>
        <v>5598.7152556696092</v>
      </c>
    </row>
    <row r="71" spans="2:24" hidden="1">
      <c r="C71" s="1175"/>
      <c r="D71" s="605" t="s">
        <v>2776</v>
      </c>
      <c r="E71" s="606">
        <v>308281.36095731339</v>
      </c>
      <c r="F71" s="640">
        <v>51819.20414359701</v>
      </c>
      <c r="G71" s="814"/>
      <c r="H71" s="746"/>
      <c r="I71" s="746"/>
      <c r="J71" s="746"/>
      <c r="K71" s="746"/>
      <c r="L71" s="746"/>
      <c r="M71" s="787"/>
      <c r="N71" s="787"/>
      <c r="O71" s="795">
        <f t="shared" si="14"/>
        <v>0</v>
      </c>
      <c r="P71" s="607">
        <f t="shared" si="11"/>
        <v>0</v>
      </c>
      <c r="Q71" s="859">
        <f t="shared" si="16"/>
        <v>1</v>
      </c>
      <c r="R71" s="876">
        <f>O71*$AA$33</f>
        <v>0</v>
      </c>
      <c r="S71" s="746">
        <f>O71*$AB$33</f>
        <v>0</v>
      </c>
      <c r="T71" s="746">
        <f>O71*$AC$33</f>
        <v>0</v>
      </c>
      <c r="U71" s="746">
        <f>O71*$AD$33</f>
        <v>0</v>
      </c>
      <c r="V71" s="746">
        <f>O71*$AE$33</f>
        <v>0</v>
      </c>
      <c r="W71" s="746">
        <f>O71*$AF$33</f>
        <v>0</v>
      </c>
      <c r="X71" s="787">
        <f t="shared" si="15"/>
        <v>51819.20414359701</v>
      </c>
    </row>
    <row r="72" spans="2:24" hidden="1">
      <c r="C72" s="1175"/>
      <c r="D72" s="605" t="s">
        <v>2777</v>
      </c>
      <c r="E72" s="606">
        <v>336813.18381455197</v>
      </c>
      <c r="F72" s="640">
        <v>16840.659190727598</v>
      </c>
      <c r="G72" s="814"/>
      <c r="H72" s="746"/>
      <c r="I72" s="746"/>
      <c r="J72" s="746"/>
      <c r="K72" s="746"/>
      <c r="L72" s="746"/>
      <c r="M72" s="787"/>
      <c r="N72" s="787"/>
      <c r="O72" s="795">
        <f t="shared" si="14"/>
        <v>0</v>
      </c>
      <c r="P72" s="607">
        <f t="shared" si="11"/>
        <v>0</v>
      </c>
      <c r="Q72" s="859">
        <f t="shared" si="16"/>
        <v>1</v>
      </c>
      <c r="R72" s="876">
        <f>O72*$AA$34</f>
        <v>0</v>
      </c>
      <c r="S72" s="746">
        <f>O72*$AB$34</f>
        <v>0</v>
      </c>
      <c r="T72" s="746">
        <f>O72*$AC$34</f>
        <v>0</v>
      </c>
      <c r="U72" s="746">
        <f>O72*$AD$34</f>
        <v>0</v>
      </c>
      <c r="V72" s="746">
        <f>O72*$AE$34</f>
        <v>0</v>
      </c>
      <c r="W72" s="746">
        <f>O72*$AF$34</f>
        <v>0</v>
      </c>
      <c r="X72" s="787">
        <f t="shared" si="15"/>
        <v>16840.659190727598</v>
      </c>
    </row>
    <row r="73" spans="2:24" hidden="1">
      <c r="C73" s="1175"/>
      <c r="D73" s="605" t="s">
        <v>2778</v>
      </c>
      <c r="E73" s="606">
        <v>30430.553807096338</v>
      </c>
      <c r="F73" s="640">
        <v>1521.527690354817</v>
      </c>
      <c r="G73" s="814"/>
      <c r="H73" s="815"/>
      <c r="I73" s="815"/>
      <c r="J73" s="815"/>
      <c r="K73" s="815"/>
      <c r="L73" s="815"/>
      <c r="M73" s="786"/>
      <c r="N73" s="786"/>
      <c r="O73" s="795">
        <f t="shared" si="14"/>
        <v>0</v>
      </c>
      <c r="P73" s="607">
        <f t="shared" si="11"/>
        <v>0</v>
      </c>
      <c r="Q73" s="859">
        <f>1-P73</f>
        <v>1</v>
      </c>
      <c r="R73" s="814">
        <f>O73*$AA$35</f>
        <v>0</v>
      </c>
      <c r="S73" s="815">
        <f>O73*$AB$35</f>
        <v>0</v>
      </c>
      <c r="T73" s="815">
        <f>O73*$AC$35</f>
        <v>0</v>
      </c>
      <c r="U73" s="815">
        <f>O73*$AD$35</f>
        <v>0</v>
      </c>
      <c r="V73" s="815">
        <f>O73*$AE$35</f>
        <v>0</v>
      </c>
      <c r="W73" s="815">
        <f>O73*$AF$35</f>
        <v>0</v>
      </c>
      <c r="X73" s="786">
        <f t="shared" si="15"/>
        <v>1521.527690354817</v>
      </c>
    </row>
    <row r="74" spans="2:24" hidden="1">
      <c r="C74" s="1175"/>
      <c r="D74" s="605" t="s">
        <v>304</v>
      </c>
      <c r="E74" s="606">
        <v>1238941.7131009183</v>
      </c>
      <c r="F74" s="640">
        <v>511996.55675779848</v>
      </c>
      <c r="G74" s="814">
        <v>118757.77402674592</v>
      </c>
      <c r="H74" s="815">
        <v>40719</v>
      </c>
      <c r="I74" s="815">
        <v>37214</v>
      </c>
      <c r="J74" s="815">
        <v>7817</v>
      </c>
      <c r="K74" s="815"/>
      <c r="L74" s="815">
        <v>120111</v>
      </c>
      <c r="M74" s="786">
        <v>34556</v>
      </c>
      <c r="N74" s="786">
        <v>47568</v>
      </c>
      <c r="O74" s="795">
        <f t="shared" si="14"/>
        <v>406742.77402674593</v>
      </c>
      <c r="P74" s="607">
        <f t="shared" si="11"/>
        <v>0.79442482309340379</v>
      </c>
      <c r="Q74" s="859">
        <f t="shared" ref="Q74:Q80" si="17">1-P74</f>
        <v>0.20557517690659621</v>
      </c>
      <c r="R74" s="814">
        <f>O74*$AA$36</f>
        <v>192776.22117464987</v>
      </c>
      <c r="S74" s="815">
        <f>O74*$AB$36</f>
        <v>213966.55285209607</v>
      </c>
      <c r="T74" s="815">
        <f>O74*$AC$36</f>
        <v>149304.2162770638</v>
      </c>
      <c r="U74" s="815">
        <f>O74*$AD$36</f>
        <v>221661.66949217324</v>
      </c>
      <c r="V74" s="815">
        <f>O74*$AE$36</f>
        <v>35776.888257508952</v>
      </c>
      <c r="W74" s="815">
        <f>O74*$AF$36</f>
        <v>70552.701687263194</v>
      </c>
      <c r="X74" s="786">
        <f t="shared" si="15"/>
        <v>105253.78273105255</v>
      </c>
    </row>
    <row r="75" spans="2:24" hidden="1">
      <c r="C75" s="1175"/>
      <c r="D75" s="605" t="s">
        <v>2779</v>
      </c>
      <c r="E75" s="606">
        <v>271284.15577125904</v>
      </c>
      <c r="F75" s="640">
        <v>77121.038942814761</v>
      </c>
      <c r="G75" s="814"/>
      <c r="H75" s="815">
        <v>30294</v>
      </c>
      <c r="I75" s="815"/>
      <c r="J75" s="815"/>
      <c r="K75" s="815"/>
      <c r="L75" s="815"/>
      <c r="M75" s="786"/>
      <c r="N75" s="786"/>
      <c r="O75" s="795">
        <f t="shared" si="14"/>
        <v>30294</v>
      </c>
      <c r="P75" s="607">
        <f t="shared" si="11"/>
        <v>0.39281109818117205</v>
      </c>
      <c r="Q75" s="859">
        <f t="shared" si="17"/>
        <v>0.6071889018188279</v>
      </c>
      <c r="R75" s="814">
        <f>O75*$AA$37</f>
        <v>14429.112140695726</v>
      </c>
      <c r="S75" s="815">
        <f>O75*$AB$37</f>
        <v>15864.887859304274</v>
      </c>
      <c r="T75" s="815">
        <f>O75*$AC$37</f>
        <v>10347.904000246361</v>
      </c>
      <c r="U75" s="815">
        <f>O75*$AD$37</f>
        <v>17397.441545874844</v>
      </c>
      <c r="V75" s="815">
        <f>O75*$AE$37</f>
        <v>2548.6544538787807</v>
      </c>
      <c r="W75" s="815">
        <f>O75*$AF$37</f>
        <v>2912.3873353311856</v>
      </c>
      <c r="X75" s="786">
        <f t="shared" si="15"/>
        <v>46827.038942814761</v>
      </c>
    </row>
    <row r="76" spans="2:24" hidden="1">
      <c r="C76" s="1175"/>
      <c r="D76" s="605" t="s">
        <v>2780</v>
      </c>
      <c r="E76" s="606">
        <v>43761.672559015518</v>
      </c>
      <c r="F76" s="640">
        <v>7658.2926978277155</v>
      </c>
      <c r="G76" s="814"/>
      <c r="H76" s="815"/>
      <c r="I76" s="815"/>
      <c r="J76" s="815"/>
      <c r="K76" s="815"/>
      <c r="L76" s="815"/>
      <c r="M76" s="786"/>
      <c r="N76" s="786"/>
      <c r="O76" s="795">
        <f t="shared" si="14"/>
        <v>0</v>
      </c>
      <c r="P76" s="607">
        <f t="shared" si="11"/>
        <v>0</v>
      </c>
      <c r="Q76" s="859">
        <f t="shared" si="17"/>
        <v>1</v>
      </c>
      <c r="R76" s="814">
        <f>O76*$AA$38</f>
        <v>0</v>
      </c>
      <c r="S76" s="815">
        <f>O76*$AB$38</f>
        <v>0</v>
      </c>
      <c r="T76" s="815">
        <f>O76*$AC$38</f>
        <v>0</v>
      </c>
      <c r="U76" s="815">
        <f>O76*$AD$38</f>
        <v>0</v>
      </c>
      <c r="V76" s="815">
        <f>O76*$AE$38</f>
        <v>0</v>
      </c>
      <c r="W76" s="815">
        <f>O76*$AF$38</f>
        <v>0</v>
      </c>
      <c r="X76" s="786">
        <f t="shared" si="15"/>
        <v>7658.2926978277155</v>
      </c>
    </row>
    <row r="77" spans="2:24">
      <c r="C77" s="1175"/>
      <c r="D77" s="605" t="s">
        <v>515</v>
      </c>
      <c r="E77" s="606">
        <v>154523.3477130745</v>
      </c>
      <c r="F77" s="640">
        <v>46355.336928268625</v>
      </c>
      <c r="G77" s="814">
        <f>E3</f>
        <v>8238</v>
      </c>
      <c r="H77" s="815">
        <v>15575</v>
      </c>
      <c r="I77" s="815">
        <v>0</v>
      </c>
      <c r="J77" s="815">
        <v>0</v>
      </c>
      <c r="K77" s="815"/>
      <c r="L77" s="815"/>
      <c r="M77" s="786"/>
      <c r="N77" s="786"/>
      <c r="O77" s="795">
        <f t="shared" si="14"/>
        <v>23813</v>
      </c>
      <c r="P77" s="607">
        <f t="shared" si="11"/>
        <v>0.51370568262396221</v>
      </c>
      <c r="Q77" s="859">
        <f t="shared" si="17"/>
        <v>0.48629431737603779</v>
      </c>
      <c r="R77" s="814">
        <f>O77*$AA$39</f>
        <v>11910.178756792808</v>
      </c>
      <c r="S77" s="815">
        <f>O77*$AB$39</f>
        <v>11902.821243207192</v>
      </c>
      <c r="T77" s="815">
        <f>O77*$AC$39</f>
        <v>9048.1420947141251</v>
      </c>
      <c r="U77" s="815">
        <f>O77*$AD$39</f>
        <v>13383.442472330347</v>
      </c>
      <c r="V77" s="815">
        <f>O77*$AE$39</f>
        <v>1381.4154329555217</v>
      </c>
      <c r="W77" s="815">
        <f>O77*$AF$39</f>
        <v>2053.1104428442864</v>
      </c>
      <c r="X77" s="786">
        <f t="shared" si="15"/>
        <v>22542.336928268625</v>
      </c>
    </row>
    <row r="78" spans="2:24" hidden="1">
      <c r="C78" s="1175"/>
      <c r="D78" s="605" t="s">
        <v>2710</v>
      </c>
      <c r="E78" s="606">
        <v>134852.16996020486</v>
      </c>
      <c r="F78" s="640">
        <v>41304.042490051215</v>
      </c>
      <c r="G78" s="814"/>
      <c r="H78" s="815">
        <v>4148</v>
      </c>
      <c r="I78" s="815"/>
      <c r="J78" s="815"/>
      <c r="K78" s="815"/>
      <c r="L78" s="815"/>
      <c r="M78" s="786"/>
      <c r="N78" s="786"/>
      <c r="O78" s="795">
        <f t="shared" si="14"/>
        <v>4148</v>
      </c>
      <c r="P78" s="607">
        <f t="shared" si="11"/>
        <v>0.100426005541688</v>
      </c>
      <c r="Q78" s="859">
        <f t="shared" si="17"/>
        <v>0.89957399445831199</v>
      </c>
      <c r="R78" s="814">
        <f>O78*$AA$40</f>
        <v>2057.8104110168124</v>
      </c>
      <c r="S78" s="815">
        <f>O78*$AB$40</f>
        <v>2090.1895889831876</v>
      </c>
      <c r="T78" s="815">
        <f>O78*$AC$40</f>
        <v>1576.1010124249021</v>
      </c>
      <c r="U78" s="815">
        <f>O78*$AD$40</f>
        <v>2331.2694484200347</v>
      </c>
      <c r="V78" s="815">
        <f>O78*$AE$40</f>
        <v>240.62953915506256</v>
      </c>
      <c r="W78" s="815">
        <f>O78*$AF$40</f>
        <v>357.63247456927309</v>
      </c>
      <c r="X78" s="786">
        <f t="shared" si="15"/>
        <v>37156.042490051215</v>
      </c>
    </row>
    <row r="79" spans="2:24" hidden="1">
      <c r="C79" s="1175"/>
      <c r="D79" s="605" t="s">
        <v>2781</v>
      </c>
      <c r="E79" s="606">
        <v>35261.775049483891</v>
      </c>
      <c r="F79" s="640">
        <v>14567.210019793558</v>
      </c>
      <c r="G79" s="814"/>
      <c r="H79" s="815"/>
      <c r="I79" s="815"/>
      <c r="J79" s="815"/>
      <c r="K79" s="815"/>
      <c r="L79" s="815"/>
      <c r="M79" s="786"/>
      <c r="N79" s="786"/>
      <c r="O79" s="795">
        <f t="shared" si="14"/>
        <v>0</v>
      </c>
      <c r="P79" s="607">
        <f t="shared" si="11"/>
        <v>0</v>
      </c>
      <c r="Q79" s="859">
        <f t="shared" si="17"/>
        <v>1</v>
      </c>
      <c r="R79" s="814">
        <f>O79*$AA$41</f>
        <v>0</v>
      </c>
      <c r="S79" s="815">
        <f>O79*$AB$41</f>
        <v>0</v>
      </c>
      <c r="T79" s="815">
        <f>O79*$AC$41</f>
        <v>0</v>
      </c>
      <c r="U79" s="815">
        <f>O79*$AD$41</f>
        <v>0</v>
      </c>
      <c r="V79" s="815">
        <f>O79*$AE$41</f>
        <v>0</v>
      </c>
      <c r="W79" s="815">
        <f>O79*$AF$41</f>
        <v>0</v>
      </c>
      <c r="X79" s="786">
        <f t="shared" si="15"/>
        <v>14567.210019793558</v>
      </c>
    </row>
    <row r="80" spans="2:24" hidden="1">
      <c r="C80" s="1175"/>
      <c r="D80" s="605" t="s">
        <v>2782</v>
      </c>
      <c r="E80" s="606">
        <v>727743.63049268548</v>
      </c>
      <c r="F80" s="640">
        <v>72774.363049268548</v>
      </c>
      <c r="G80" s="814"/>
      <c r="H80" s="815"/>
      <c r="I80" s="815"/>
      <c r="J80" s="815"/>
      <c r="K80" s="815">
        <f>5000+7500</f>
        <v>12500</v>
      </c>
      <c r="L80" s="815"/>
      <c r="M80" s="786"/>
      <c r="N80" s="786"/>
      <c r="O80" s="795">
        <f t="shared" si="14"/>
        <v>12500</v>
      </c>
      <c r="P80" s="607">
        <f t="shared" si="11"/>
        <v>0.17176378433621531</v>
      </c>
      <c r="Q80" s="859">
        <f t="shared" si="17"/>
        <v>0.82823621566378469</v>
      </c>
      <c r="R80" s="814">
        <f>O80*$AA$42</f>
        <v>6008.8473290174043</v>
      </c>
      <c r="S80" s="815">
        <f>O80*$AB$42</f>
        <v>6491.1526709825957</v>
      </c>
      <c r="T80" s="815">
        <f>O80*$AC$42</f>
        <v>3621.6870182100834</v>
      </c>
      <c r="U80" s="815">
        <f>O80*$AD$42</f>
        <v>7890.9480521086052</v>
      </c>
      <c r="V80" s="815">
        <f>O80*$AE$42</f>
        <v>987.36492968130983</v>
      </c>
      <c r="W80" s="815">
        <f>O80*$AF$42</f>
        <v>1553.6900437578495</v>
      </c>
      <c r="X80" s="786">
        <f t="shared" si="15"/>
        <v>60274.363049268548</v>
      </c>
    </row>
    <row r="81" spans="3:24" s="613" customFormat="1" ht="23.55" hidden="1" customHeight="1">
      <c r="C81" s="1176"/>
      <c r="D81" s="614" t="s">
        <v>1488</v>
      </c>
      <c r="E81" s="615">
        <f t="shared" ref="E81:N81" si="18">SUM(E63:E80)</f>
        <v>5464902.8974086875</v>
      </c>
      <c r="F81" s="615">
        <f t="shared" si="18"/>
        <v>1317324.9016123444</v>
      </c>
      <c r="G81" s="654">
        <f t="shared" si="18"/>
        <v>208598.77402674593</v>
      </c>
      <c r="H81" s="615">
        <f t="shared" si="18"/>
        <v>184315</v>
      </c>
      <c r="I81" s="615">
        <f t="shared" si="18"/>
        <v>42281</v>
      </c>
      <c r="J81" s="615">
        <f t="shared" si="18"/>
        <v>7817</v>
      </c>
      <c r="K81" s="615">
        <f t="shared" si="18"/>
        <v>94672</v>
      </c>
      <c r="L81" s="615">
        <f t="shared" si="18"/>
        <v>120111</v>
      </c>
      <c r="M81" s="615">
        <f t="shared" si="18"/>
        <v>34556</v>
      </c>
      <c r="N81" s="798">
        <f t="shared" si="18"/>
        <v>47568</v>
      </c>
      <c r="O81" s="796">
        <f>SUM(O63:O80)</f>
        <v>739918.77402674593</v>
      </c>
      <c r="P81" s="616">
        <f>O81/F81</f>
        <v>0.56168282640153522</v>
      </c>
      <c r="Q81" s="860">
        <f>1-P81</f>
        <v>0.43831717359846478</v>
      </c>
      <c r="R81" s="877">
        <f t="shared" ref="R81:X81" si="19">SUM(R63:R80)</f>
        <v>359606.28165150364</v>
      </c>
      <c r="S81" s="617">
        <f t="shared" si="19"/>
        <v>380312.49237524229</v>
      </c>
      <c r="T81" s="617">
        <f t="shared" si="19"/>
        <v>278120.71806027775</v>
      </c>
      <c r="U81" s="617">
        <f t="shared" si="19"/>
        <v>405271.02528711263</v>
      </c>
      <c r="V81" s="617">
        <f t="shared" si="19"/>
        <v>56527.03067935555</v>
      </c>
      <c r="W81" s="617">
        <f t="shared" si="19"/>
        <v>110635.72147181342</v>
      </c>
      <c r="X81" s="878">
        <f t="shared" si="19"/>
        <v>577406.12758559838</v>
      </c>
    </row>
    <row r="82" spans="3:24" hidden="1">
      <c r="C82" s="1171" t="s">
        <v>2303</v>
      </c>
      <c r="D82" s="626" t="s">
        <v>2771</v>
      </c>
      <c r="E82" s="626">
        <v>3948.1123511466467</v>
      </c>
      <c r="F82" s="627">
        <v>1157.058705343994</v>
      </c>
      <c r="G82" s="748"/>
      <c r="H82" s="749"/>
      <c r="I82" s="749"/>
      <c r="J82" s="749"/>
      <c r="K82" s="749"/>
      <c r="L82" s="776"/>
      <c r="M82" s="788"/>
      <c r="N82" s="788"/>
      <c r="O82" s="795">
        <f>SUM(G82:N82)</f>
        <v>0</v>
      </c>
      <c r="P82" s="628">
        <f t="shared" si="11"/>
        <v>0</v>
      </c>
      <c r="Q82" s="861">
        <f>1-P82</f>
        <v>1</v>
      </c>
      <c r="R82" s="879">
        <f>O82*$AA$25</f>
        <v>0</v>
      </c>
      <c r="S82" s="626">
        <f>O82*$AB$25</f>
        <v>0</v>
      </c>
      <c r="T82" s="626">
        <f>O82*$AC$25</f>
        <v>0</v>
      </c>
      <c r="U82" s="626">
        <f>O82*$AD$25</f>
        <v>0</v>
      </c>
      <c r="V82" s="626">
        <f>O82*$AE$25</f>
        <v>0</v>
      </c>
      <c r="W82" s="626">
        <f>O82*$AF$25</f>
        <v>0</v>
      </c>
      <c r="X82" s="788">
        <f t="shared" ref="X82:X99" si="20">F82-O82</f>
        <v>1157.058705343994</v>
      </c>
    </row>
    <row r="83" spans="3:24" hidden="1">
      <c r="C83" s="1172"/>
      <c r="D83" s="626" t="s">
        <v>2772</v>
      </c>
      <c r="E83" s="626">
        <v>64112.005103947704</v>
      </c>
      <c r="F83" s="627">
        <v>6411.2005103947704</v>
      </c>
      <c r="G83" s="748"/>
      <c r="H83" s="749"/>
      <c r="I83" s="749"/>
      <c r="J83" s="749"/>
      <c r="K83" s="749"/>
      <c r="L83" s="776"/>
      <c r="M83" s="788"/>
      <c r="N83" s="788"/>
      <c r="O83" s="795">
        <f t="shared" ref="O83:O99" si="21">SUM(G83:N83)</f>
        <v>0</v>
      </c>
      <c r="P83" s="628">
        <f t="shared" si="11"/>
        <v>0</v>
      </c>
      <c r="Q83" s="861">
        <f t="shared" ref="Q83:Q95" si="22">1-P83</f>
        <v>1</v>
      </c>
      <c r="R83" s="879">
        <f>O83*$AA$26</f>
        <v>0</v>
      </c>
      <c r="S83" s="626">
        <f>O83*$AB$26</f>
        <v>0</v>
      </c>
      <c r="T83" s="626">
        <f>O83*$AC$26</f>
        <v>0</v>
      </c>
      <c r="U83" s="626">
        <f>O83*$AD$26</f>
        <v>0</v>
      </c>
      <c r="V83" s="626">
        <f>O83*$AE$26</f>
        <v>0</v>
      </c>
      <c r="W83" s="626">
        <f>O83*$AF$26</f>
        <v>0</v>
      </c>
      <c r="X83" s="788">
        <f t="shared" si="20"/>
        <v>6411.2005103947704</v>
      </c>
    </row>
    <row r="84" spans="3:24" hidden="1">
      <c r="C84" s="1172"/>
      <c r="D84" s="626" t="s">
        <v>2773</v>
      </c>
      <c r="E84" s="626">
        <v>11238.071701327328</v>
      </c>
      <c r="F84" s="627">
        <v>6416.1530207963951</v>
      </c>
      <c r="G84" s="748"/>
      <c r="H84" s="749"/>
      <c r="I84" s="749"/>
      <c r="J84" s="749"/>
      <c r="K84" s="749"/>
      <c r="L84" s="776"/>
      <c r="M84" s="788"/>
      <c r="N84" s="788"/>
      <c r="O84" s="795">
        <f t="shared" si="21"/>
        <v>0</v>
      </c>
      <c r="P84" s="628">
        <f t="shared" si="11"/>
        <v>0</v>
      </c>
      <c r="Q84" s="861">
        <f t="shared" si="22"/>
        <v>1</v>
      </c>
      <c r="R84" s="879">
        <f>O84*$AA$27</f>
        <v>0</v>
      </c>
      <c r="S84" s="626">
        <f>O84*$AB$27</f>
        <v>0</v>
      </c>
      <c r="T84" s="626">
        <f>O84*$AC$27</f>
        <v>0</v>
      </c>
      <c r="U84" s="626">
        <f>O84*$AD$27</f>
        <v>0</v>
      </c>
      <c r="V84" s="626">
        <f>O84*$AE$27</f>
        <v>0</v>
      </c>
      <c r="W84" s="626">
        <f>O84*$AF$27</f>
        <v>0</v>
      </c>
      <c r="X84" s="788">
        <f t="shared" si="20"/>
        <v>6416.1530207963951</v>
      </c>
    </row>
    <row r="85" spans="3:24" hidden="1">
      <c r="C85" s="1172"/>
      <c r="D85" s="626" t="s">
        <v>2774</v>
      </c>
      <c r="E85" s="626">
        <v>6900.7566228962896</v>
      </c>
      <c r="F85" s="627">
        <v>2070.2269868688868</v>
      </c>
      <c r="G85" s="748"/>
      <c r="H85" s="749"/>
      <c r="I85" s="749"/>
      <c r="J85" s="749"/>
      <c r="K85" s="749"/>
      <c r="L85" s="776"/>
      <c r="M85" s="788"/>
      <c r="N85" s="788"/>
      <c r="O85" s="795">
        <f t="shared" si="21"/>
        <v>0</v>
      </c>
      <c r="P85" s="628">
        <f t="shared" si="11"/>
        <v>0</v>
      </c>
      <c r="Q85" s="861">
        <f t="shared" si="22"/>
        <v>1</v>
      </c>
      <c r="R85" s="879">
        <f>O85*$AA$28</f>
        <v>0</v>
      </c>
      <c r="S85" s="626">
        <f>O85*$AB$28</f>
        <v>0</v>
      </c>
      <c r="T85" s="626">
        <f>O85*$AC$28</f>
        <v>0</v>
      </c>
      <c r="U85" s="626">
        <f>O85*$AD$28</f>
        <v>0</v>
      </c>
      <c r="V85" s="626">
        <f>O85*$AE$28</f>
        <v>0</v>
      </c>
      <c r="W85" s="626">
        <f>O85*$AF$28</f>
        <v>0</v>
      </c>
      <c r="X85" s="788">
        <f t="shared" si="20"/>
        <v>2070.2269868688868</v>
      </c>
    </row>
    <row r="86" spans="3:24" hidden="1">
      <c r="C86" s="1172"/>
      <c r="D86" s="626" t="s">
        <v>613</v>
      </c>
      <c r="E86" s="626">
        <v>12661.39498544412</v>
      </c>
      <c r="F86" s="627">
        <v>4759.9769912664715</v>
      </c>
      <c r="G86" s="748"/>
      <c r="H86" s="749"/>
      <c r="I86" s="749">
        <v>0</v>
      </c>
      <c r="J86" s="749">
        <v>0</v>
      </c>
      <c r="K86" s="749"/>
      <c r="L86" s="776"/>
      <c r="M86" s="788"/>
      <c r="N86" s="788"/>
      <c r="O86" s="795">
        <f t="shared" si="21"/>
        <v>0</v>
      </c>
      <c r="P86" s="628">
        <f t="shared" si="11"/>
        <v>0</v>
      </c>
      <c r="Q86" s="861">
        <f t="shared" si="22"/>
        <v>1</v>
      </c>
      <c r="R86" s="879">
        <f>O86*$AA$29</f>
        <v>0</v>
      </c>
      <c r="S86" s="626">
        <f>O86*$AB$29</f>
        <v>0</v>
      </c>
      <c r="T86" s="626">
        <f>O86*$AC$29</f>
        <v>0</v>
      </c>
      <c r="U86" s="626">
        <f>O86*$AD$29</f>
        <v>0</v>
      </c>
      <c r="V86" s="626">
        <f>O86*$AE$29</f>
        <v>0</v>
      </c>
      <c r="W86" s="626">
        <f>O86*$AF$29</f>
        <v>0</v>
      </c>
      <c r="X86" s="788">
        <f t="shared" si="20"/>
        <v>4759.9769912664715</v>
      </c>
    </row>
    <row r="87" spans="3:24" hidden="1">
      <c r="C87" s="1172"/>
      <c r="D87" s="626" t="s">
        <v>37</v>
      </c>
      <c r="E87" s="626">
        <v>45425.368035162523</v>
      </c>
      <c r="F87" s="627">
        <v>15699.894428130017</v>
      </c>
      <c r="G87" s="748">
        <f>F2</f>
        <v>1339</v>
      </c>
      <c r="H87" s="749"/>
      <c r="I87" s="749">
        <v>26</v>
      </c>
      <c r="J87" s="749">
        <v>0</v>
      </c>
      <c r="K87" s="749"/>
      <c r="L87" s="776"/>
      <c r="M87" s="788"/>
      <c r="N87" s="788"/>
      <c r="O87" s="795">
        <f>SUM(G87:N87)</f>
        <v>1365</v>
      </c>
      <c r="P87" s="628">
        <f t="shared" si="11"/>
        <v>8.6943259793791014E-2</v>
      </c>
      <c r="Q87" s="861">
        <f t="shared" si="22"/>
        <v>0.91305674020620897</v>
      </c>
      <c r="R87" s="879">
        <f>O87*$AA$30</f>
        <v>695.94105976780554</v>
      </c>
      <c r="S87" s="626">
        <f>O87*$AB$30</f>
        <v>669.05894023219446</v>
      </c>
      <c r="T87" s="626">
        <f>O87*$AC$30</f>
        <v>491.53313984737395</v>
      </c>
      <c r="U87" s="626">
        <f>O87*$AD$30</f>
        <v>798.397057292824</v>
      </c>
      <c r="V87" s="626">
        <f>O87*$AE$30</f>
        <v>75.06980285980201</v>
      </c>
      <c r="W87" s="626">
        <f>O87*$AF$30</f>
        <v>121.45444599619366</v>
      </c>
      <c r="X87" s="788">
        <f t="shared" si="20"/>
        <v>14334.894428130017</v>
      </c>
    </row>
    <row r="88" spans="3:24" hidden="1">
      <c r="C88" s="1172"/>
      <c r="D88" s="626" t="s">
        <v>2775</v>
      </c>
      <c r="E88" s="626">
        <v>33093.418502270892</v>
      </c>
      <c r="F88" s="627">
        <v>10430.134801816714</v>
      </c>
      <c r="G88" s="748"/>
      <c r="H88" s="749"/>
      <c r="I88" s="749"/>
      <c r="J88" s="749"/>
      <c r="K88" s="749"/>
      <c r="L88" s="776"/>
      <c r="M88" s="788"/>
      <c r="N88" s="788"/>
      <c r="O88" s="795">
        <f t="shared" si="21"/>
        <v>0</v>
      </c>
      <c r="P88" s="628">
        <f t="shared" si="11"/>
        <v>0</v>
      </c>
      <c r="Q88" s="861">
        <f t="shared" si="22"/>
        <v>1</v>
      </c>
      <c r="R88" s="879">
        <f>O88*$AA$31</f>
        <v>0</v>
      </c>
      <c r="S88" s="626">
        <f>O88*$AB$31</f>
        <v>0</v>
      </c>
      <c r="T88" s="626">
        <f>O88*$AC$31</f>
        <v>0</v>
      </c>
      <c r="U88" s="626">
        <f>O88*$AD$31</f>
        <v>0</v>
      </c>
      <c r="V88" s="626">
        <f>O88*$AE$31</f>
        <v>0</v>
      </c>
      <c r="W88" s="626">
        <f>O88*$AF$31</f>
        <v>0</v>
      </c>
      <c r="X88" s="788">
        <f t="shared" si="20"/>
        <v>10430.134801816714</v>
      </c>
    </row>
    <row r="89" spans="3:24" hidden="1">
      <c r="C89" s="1172"/>
      <c r="D89" s="626" t="s">
        <v>2361</v>
      </c>
      <c r="E89" s="626">
        <v>25598.989406958703</v>
      </c>
      <c r="F89" s="627">
        <v>8634.3915255669617</v>
      </c>
      <c r="G89" s="748"/>
      <c r="H89" s="749">
        <v>150</v>
      </c>
      <c r="I89" s="749"/>
      <c r="J89" s="749"/>
      <c r="K89" s="749"/>
      <c r="L89" s="776"/>
      <c r="M89" s="788"/>
      <c r="N89" s="788"/>
      <c r="O89" s="795">
        <f>SUM(G89:N89)</f>
        <v>150</v>
      </c>
      <c r="P89" s="628">
        <f t="shared" ref="P89:P120" si="23">O89/F89</f>
        <v>1.7372388031726478E-2</v>
      </c>
      <c r="Q89" s="861">
        <f t="shared" si="22"/>
        <v>0.98262761196827353</v>
      </c>
      <c r="R89" s="879">
        <f>O89*$AA$32</f>
        <v>74.423622260558702</v>
      </c>
      <c r="S89" s="626">
        <f>O89*$AB$32</f>
        <v>75.576377739441298</v>
      </c>
      <c r="T89" s="626">
        <f>O89*$AC$32</f>
        <v>61.843244084061567</v>
      </c>
      <c r="U89" s="626">
        <f>O89*$AD$32</f>
        <v>77.590728339468967</v>
      </c>
      <c r="V89" s="626">
        <f>O89*$AE$32</f>
        <v>10.566027576469464</v>
      </c>
      <c r="W89" s="626">
        <f>O89*$AF$32</f>
        <v>24.946954024430909</v>
      </c>
      <c r="X89" s="788">
        <f t="shared" si="20"/>
        <v>8484.3915255669617</v>
      </c>
    </row>
    <row r="90" spans="3:24" hidden="1">
      <c r="C90" s="1172"/>
      <c r="D90" s="626" t="s">
        <v>2776</v>
      </c>
      <c r="E90" s="626">
        <v>19317.96804786567</v>
      </c>
      <c r="F90" s="627">
        <v>5516.5404143597007</v>
      </c>
      <c r="G90" s="748"/>
      <c r="H90" s="749"/>
      <c r="I90" s="749"/>
      <c r="J90" s="749"/>
      <c r="K90" s="749"/>
      <c r="L90" s="776"/>
      <c r="M90" s="788"/>
      <c r="N90" s="788"/>
      <c r="O90" s="795">
        <f t="shared" si="21"/>
        <v>0</v>
      </c>
      <c r="P90" s="628">
        <f t="shared" si="23"/>
        <v>0</v>
      </c>
      <c r="Q90" s="861">
        <f t="shared" si="22"/>
        <v>1</v>
      </c>
      <c r="R90" s="879">
        <f>O90*$AA$33</f>
        <v>0</v>
      </c>
      <c r="S90" s="626">
        <f>O90*$AB$33</f>
        <v>0</v>
      </c>
      <c r="T90" s="626">
        <f>O90*$AC$33</f>
        <v>0</v>
      </c>
      <c r="U90" s="626">
        <f>O90*$AD$33</f>
        <v>0</v>
      </c>
      <c r="V90" s="626">
        <f>O90*$AE$33</f>
        <v>0</v>
      </c>
      <c r="W90" s="626">
        <f>O90*$AF$33</f>
        <v>0</v>
      </c>
      <c r="X90" s="788">
        <f t="shared" si="20"/>
        <v>5516.5404143597007</v>
      </c>
    </row>
    <row r="91" spans="3:24" hidden="1">
      <c r="C91" s="1172"/>
      <c r="D91" s="626" t="s">
        <v>2777</v>
      </c>
      <c r="E91" s="626">
        <v>16840.659190727598</v>
      </c>
      <c r="F91" s="627">
        <v>1684.0659190727599</v>
      </c>
      <c r="G91" s="748"/>
      <c r="H91" s="749"/>
      <c r="I91" s="749"/>
      <c r="J91" s="749"/>
      <c r="K91" s="749"/>
      <c r="L91" s="776"/>
      <c r="M91" s="788"/>
      <c r="N91" s="788"/>
      <c r="O91" s="795">
        <f t="shared" si="21"/>
        <v>0</v>
      </c>
      <c r="P91" s="628">
        <f t="shared" si="23"/>
        <v>0</v>
      </c>
      <c r="Q91" s="861">
        <f t="shared" si="22"/>
        <v>1</v>
      </c>
      <c r="R91" s="879">
        <f>O91*$AA$34</f>
        <v>0</v>
      </c>
      <c r="S91" s="626">
        <f>O91*$AB$34</f>
        <v>0</v>
      </c>
      <c r="T91" s="626">
        <f>O91*$AC$34</f>
        <v>0</v>
      </c>
      <c r="U91" s="626">
        <f>O91*$AD$34</f>
        <v>0</v>
      </c>
      <c r="V91" s="626">
        <f>O91*$AE$34</f>
        <v>0</v>
      </c>
      <c r="W91" s="626">
        <f>O91*$AF$34</f>
        <v>0</v>
      </c>
      <c r="X91" s="788">
        <f t="shared" si="20"/>
        <v>1684.0659190727599</v>
      </c>
    </row>
    <row r="92" spans="3:24" hidden="1">
      <c r="C92" s="1172"/>
      <c r="D92" s="626" t="s">
        <v>2778</v>
      </c>
      <c r="E92" s="626">
        <v>1521.527690354817</v>
      </c>
      <c r="F92" s="627">
        <v>152.1527690354817</v>
      </c>
      <c r="G92" s="748"/>
      <c r="H92" s="749"/>
      <c r="I92" s="749"/>
      <c r="J92" s="749"/>
      <c r="K92" s="749"/>
      <c r="L92" s="776"/>
      <c r="M92" s="788"/>
      <c r="N92" s="788"/>
      <c r="O92" s="795">
        <f t="shared" si="21"/>
        <v>0</v>
      </c>
      <c r="P92" s="628">
        <f t="shared" si="23"/>
        <v>0</v>
      </c>
      <c r="Q92" s="861">
        <f t="shared" si="22"/>
        <v>1</v>
      </c>
      <c r="R92" s="879">
        <f>O92*$AA$35</f>
        <v>0</v>
      </c>
      <c r="S92" s="626">
        <f>O92*$AB$35</f>
        <v>0</v>
      </c>
      <c r="T92" s="626">
        <f>O92*$AC$35</f>
        <v>0</v>
      </c>
      <c r="U92" s="626">
        <f>O92*$AD$35</f>
        <v>0</v>
      </c>
      <c r="V92" s="626">
        <f>O92*$AE$35</f>
        <v>0</v>
      </c>
      <c r="W92" s="626">
        <f>O92*$AF$35</f>
        <v>0</v>
      </c>
      <c r="X92" s="788">
        <f t="shared" si="20"/>
        <v>152.1527690354817</v>
      </c>
    </row>
    <row r="93" spans="3:24" hidden="1">
      <c r="C93" s="1172"/>
      <c r="D93" s="626" t="s">
        <v>304</v>
      </c>
      <c r="E93" s="626">
        <v>138485.43565504593</v>
      </c>
      <c r="F93" s="627">
        <v>57760.085675779846</v>
      </c>
      <c r="G93" s="748">
        <v>1698</v>
      </c>
      <c r="H93" s="749">
        <v>817</v>
      </c>
      <c r="I93" s="749">
        <v>8</v>
      </c>
      <c r="J93" s="749">
        <v>1916</v>
      </c>
      <c r="K93" s="749"/>
      <c r="L93" s="776"/>
      <c r="M93" s="788">
        <v>7874</v>
      </c>
      <c r="N93" s="788">
        <v>34640</v>
      </c>
      <c r="O93" s="795">
        <f>SUM(G93:N93)</f>
        <v>46953</v>
      </c>
      <c r="P93" s="628">
        <f t="shared" si="23"/>
        <v>0.81289699367063939</v>
      </c>
      <c r="Q93" s="861">
        <f t="shared" si="22"/>
        <v>0.18710300632936061</v>
      </c>
      <c r="R93" s="879">
        <f>O93*$AA$36</f>
        <v>22253.430154897222</v>
      </c>
      <c r="S93" s="626">
        <f>O93*$AB$36</f>
        <v>24699.569845102778</v>
      </c>
      <c r="T93" s="626">
        <f>O93*$AC$36</f>
        <v>17235.170025161911</v>
      </c>
      <c r="U93" s="626">
        <f>O93*$AD$36</f>
        <v>25587.86789161653</v>
      </c>
      <c r="V93" s="626">
        <f>O93*$AE$36</f>
        <v>4129.9620832215651</v>
      </c>
      <c r="W93" s="626">
        <f>O93*$AF$36</f>
        <v>8144.3634991392373</v>
      </c>
      <c r="X93" s="788">
        <f t="shared" si="20"/>
        <v>10807.085675779846</v>
      </c>
    </row>
    <row r="94" spans="3:24" hidden="1">
      <c r="C94" s="1172"/>
      <c r="D94" s="626" t="s">
        <v>2779</v>
      </c>
      <c r="E94" s="626">
        <v>20074.207788562955</v>
      </c>
      <c r="F94" s="627">
        <v>8270.1038942814776</v>
      </c>
      <c r="G94" s="748"/>
      <c r="H94" s="749"/>
      <c r="I94" s="749"/>
      <c r="J94" s="749"/>
      <c r="K94" s="749"/>
      <c r="L94" s="776"/>
      <c r="M94" s="788"/>
      <c r="N94" s="788"/>
      <c r="O94" s="795">
        <f t="shared" si="21"/>
        <v>0</v>
      </c>
      <c r="P94" s="628">
        <f t="shared" si="23"/>
        <v>0</v>
      </c>
      <c r="Q94" s="861">
        <f t="shared" si="22"/>
        <v>1</v>
      </c>
      <c r="R94" s="879">
        <f>O94*$AA$37</f>
        <v>0</v>
      </c>
      <c r="S94" s="626">
        <f>O94*$AB$37</f>
        <v>0</v>
      </c>
      <c r="T94" s="626">
        <f>O94*$AC$37</f>
        <v>0</v>
      </c>
      <c r="U94" s="626">
        <f>O94*$AD$37</f>
        <v>0</v>
      </c>
      <c r="V94" s="626">
        <f>O94*$AE$37</f>
        <v>0</v>
      </c>
      <c r="W94" s="626">
        <f>O94*$AF$37</f>
        <v>0</v>
      </c>
      <c r="X94" s="788">
        <f t="shared" si="20"/>
        <v>8270.1038942814776</v>
      </c>
    </row>
    <row r="95" spans="3:24" hidden="1">
      <c r="C95" s="1172"/>
      <c r="D95" s="626" t="s">
        <v>2780</v>
      </c>
      <c r="E95" s="626">
        <v>2188.0836279507762</v>
      </c>
      <c r="F95" s="627">
        <v>765.82926978277158</v>
      </c>
      <c r="G95" s="748"/>
      <c r="H95" s="749"/>
      <c r="I95" s="749"/>
      <c r="J95" s="749"/>
      <c r="K95" s="749"/>
      <c r="L95" s="776"/>
      <c r="M95" s="788"/>
      <c r="N95" s="788"/>
      <c r="O95" s="795">
        <f t="shared" si="21"/>
        <v>0</v>
      </c>
      <c r="P95" s="628">
        <f t="shared" si="23"/>
        <v>0</v>
      </c>
      <c r="Q95" s="861">
        <f t="shared" si="22"/>
        <v>1</v>
      </c>
      <c r="R95" s="879">
        <f>O95*$AA$38</f>
        <v>0</v>
      </c>
      <c r="S95" s="626">
        <f>O95*$AB$38</f>
        <v>0</v>
      </c>
      <c r="T95" s="626">
        <f>O95*$AC$38</f>
        <v>0</v>
      </c>
      <c r="U95" s="626">
        <f>O95*$AD$38</f>
        <v>0</v>
      </c>
      <c r="V95" s="626">
        <f>O95*$AE$38</f>
        <v>0</v>
      </c>
      <c r="W95" s="626">
        <f>O95*$AF$38</f>
        <v>0</v>
      </c>
      <c r="X95" s="788">
        <f t="shared" si="20"/>
        <v>765.82926978277158</v>
      </c>
    </row>
    <row r="96" spans="3:24">
      <c r="C96" s="1172"/>
      <c r="D96" s="626" t="s">
        <v>515</v>
      </c>
      <c r="E96" s="626">
        <v>13133.317385653725</v>
      </c>
      <c r="F96" s="627">
        <v>5099.0036928268628</v>
      </c>
      <c r="G96" s="690">
        <f>F3</f>
        <v>0</v>
      </c>
      <c r="H96" s="750"/>
      <c r="I96" s="750">
        <v>0</v>
      </c>
      <c r="J96" s="750">
        <v>0</v>
      </c>
      <c r="K96" s="750"/>
      <c r="L96" s="777"/>
      <c r="M96" s="789"/>
      <c r="N96" s="789"/>
      <c r="O96" s="795">
        <f t="shared" si="21"/>
        <v>0</v>
      </c>
      <c r="P96" s="628">
        <f t="shared" si="23"/>
        <v>0</v>
      </c>
      <c r="Q96" s="861">
        <f t="shared" ref="Q96:Q112" si="24">1-P96</f>
        <v>1</v>
      </c>
      <c r="R96" s="879">
        <f>O96*$AA$39</f>
        <v>0</v>
      </c>
      <c r="S96" s="626">
        <f>O96*$AB$39</f>
        <v>0</v>
      </c>
      <c r="T96" s="626">
        <f>O96*$AC$39</f>
        <v>0</v>
      </c>
      <c r="U96" s="626">
        <f>O96*$AD$39</f>
        <v>0</v>
      </c>
      <c r="V96" s="626">
        <f>O96*$AE$39</f>
        <v>0</v>
      </c>
      <c r="W96" s="626">
        <f>O96*$AF$39</f>
        <v>0</v>
      </c>
      <c r="X96" s="788">
        <f t="shared" si="20"/>
        <v>5099.0036928268628</v>
      </c>
    </row>
    <row r="97" spans="3:24" hidden="1">
      <c r="C97" s="1172"/>
      <c r="D97" s="626" t="s">
        <v>2710</v>
      </c>
      <c r="E97" s="626">
        <v>12056.308498010243</v>
      </c>
      <c r="F97" s="627">
        <v>4585.8642490051216</v>
      </c>
      <c r="G97" s="690"/>
      <c r="H97" s="750"/>
      <c r="I97" s="750"/>
      <c r="J97" s="750"/>
      <c r="K97" s="750"/>
      <c r="L97" s="777"/>
      <c r="M97" s="789"/>
      <c r="N97" s="789"/>
      <c r="O97" s="795">
        <f t="shared" si="21"/>
        <v>0</v>
      </c>
      <c r="P97" s="628">
        <f t="shared" si="23"/>
        <v>0</v>
      </c>
      <c r="Q97" s="861">
        <f t="shared" si="24"/>
        <v>1</v>
      </c>
      <c r="R97" s="879">
        <f>O97*$AA$40</f>
        <v>0</v>
      </c>
      <c r="S97" s="626">
        <f>O97*$AB$40</f>
        <v>0</v>
      </c>
      <c r="T97" s="626">
        <f>O97*$AC$40</f>
        <v>0</v>
      </c>
      <c r="U97" s="626">
        <f>O97*$AD$40</f>
        <v>0</v>
      </c>
      <c r="V97" s="626">
        <f>O97*$AE$40</f>
        <v>0</v>
      </c>
      <c r="W97" s="626">
        <f>O97*$AF$40</f>
        <v>0</v>
      </c>
      <c r="X97" s="788">
        <f t="shared" si="20"/>
        <v>4585.8642490051216</v>
      </c>
    </row>
    <row r="98" spans="3:24" hidden="1">
      <c r="C98" s="1172"/>
      <c r="D98" s="626" t="s">
        <v>2781</v>
      </c>
      <c r="E98" s="626">
        <v>2086.8387524741947</v>
      </c>
      <c r="F98" s="627">
        <v>1484.4710019793558</v>
      </c>
      <c r="G98" s="690"/>
      <c r="H98" s="750"/>
      <c r="I98" s="750"/>
      <c r="J98" s="750"/>
      <c r="K98" s="750"/>
      <c r="L98" s="777"/>
      <c r="M98" s="789"/>
      <c r="N98" s="789"/>
      <c r="O98" s="795">
        <f t="shared" si="21"/>
        <v>0</v>
      </c>
      <c r="P98" s="628">
        <f t="shared" si="23"/>
        <v>0</v>
      </c>
      <c r="Q98" s="861">
        <f t="shared" si="24"/>
        <v>1</v>
      </c>
      <c r="R98" s="879">
        <f>O98*$AA$41</f>
        <v>0</v>
      </c>
      <c r="S98" s="626">
        <f>O98*$AB$41</f>
        <v>0</v>
      </c>
      <c r="T98" s="626">
        <f>O98*$AC$41</f>
        <v>0</v>
      </c>
      <c r="U98" s="626">
        <f>O98*$AD$41</f>
        <v>0</v>
      </c>
      <c r="V98" s="626">
        <f>O98*$AE$41</f>
        <v>0</v>
      </c>
      <c r="W98" s="626">
        <f>O98*$AF$41</f>
        <v>0</v>
      </c>
      <c r="X98" s="788">
        <f t="shared" si="20"/>
        <v>1484.4710019793558</v>
      </c>
    </row>
    <row r="99" spans="3:24" hidden="1">
      <c r="C99" s="1172"/>
      <c r="D99" s="626" t="s">
        <v>2782</v>
      </c>
      <c r="E99" s="626">
        <v>36387.181524634274</v>
      </c>
      <c r="F99" s="627">
        <v>7277.436304926855</v>
      </c>
      <c r="G99" s="690"/>
      <c r="H99" s="750"/>
      <c r="I99" s="750"/>
      <c r="J99" s="750"/>
      <c r="K99" s="750"/>
      <c r="L99" s="777"/>
      <c r="M99" s="789"/>
      <c r="N99" s="789"/>
      <c r="O99" s="795">
        <f t="shared" si="21"/>
        <v>0</v>
      </c>
      <c r="P99" s="628">
        <f t="shared" si="23"/>
        <v>0</v>
      </c>
      <c r="Q99" s="861">
        <f t="shared" si="24"/>
        <v>1</v>
      </c>
      <c r="R99" s="879">
        <f>O99*$AA$42</f>
        <v>0</v>
      </c>
      <c r="S99" s="626">
        <f>O99*$AB$42</f>
        <v>0</v>
      </c>
      <c r="T99" s="626">
        <f>O99*$AC$42</f>
        <v>0</v>
      </c>
      <c r="U99" s="626">
        <f>O99*$AD$42</f>
        <v>0</v>
      </c>
      <c r="V99" s="626">
        <f>O99*$AE$42</f>
        <v>0</v>
      </c>
      <c r="W99" s="626">
        <f>O99*$AF$42</f>
        <v>0</v>
      </c>
      <c r="X99" s="788">
        <f t="shared" si="20"/>
        <v>7277.436304926855</v>
      </c>
    </row>
    <row r="100" spans="3:24" s="595" customFormat="1" hidden="1">
      <c r="C100" s="1173"/>
      <c r="D100" s="618" t="s">
        <v>1488</v>
      </c>
      <c r="E100" s="618">
        <f>SUM(E82:E99)</f>
        <v>465069.64487043431</v>
      </c>
      <c r="F100" s="641">
        <f t="shared" ref="F100:N100" si="25">SUM(F82:F99)</f>
        <v>148174.59016123443</v>
      </c>
      <c r="G100" s="655">
        <f>SUM(G82:G99)</f>
        <v>3037</v>
      </c>
      <c r="H100" s="643">
        <f t="shared" si="25"/>
        <v>967</v>
      </c>
      <c r="I100" s="643">
        <f t="shared" si="25"/>
        <v>34</v>
      </c>
      <c r="J100" s="643">
        <f t="shared" si="25"/>
        <v>1916</v>
      </c>
      <c r="K100" s="643">
        <f t="shared" si="25"/>
        <v>0</v>
      </c>
      <c r="L100" s="643">
        <f t="shared" si="25"/>
        <v>0</v>
      </c>
      <c r="M100" s="643">
        <f t="shared" si="25"/>
        <v>7874</v>
      </c>
      <c r="N100" s="790">
        <f t="shared" si="25"/>
        <v>34640</v>
      </c>
      <c r="O100" s="799">
        <f>SUM(O82:O99)</f>
        <v>48468</v>
      </c>
      <c r="P100" s="619">
        <f t="shared" si="23"/>
        <v>0.32710061790797001</v>
      </c>
      <c r="Q100" s="862">
        <f t="shared" si="24"/>
        <v>0.67289938209202993</v>
      </c>
      <c r="R100" s="880">
        <f t="shared" ref="R100:X100" si="26">SUM(R82:R99)</f>
        <v>23023.794836925586</v>
      </c>
      <c r="S100" s="620">
        <f t="shared" si="26"/>
        <v>25444.205163074414</v>
      </c>
      <c r="T100" s="620">
        <f t="shared" si="26"/>
        <v>17788.546409093346</v>
      </c>
      <c r="U100" s="620">
        <f t="shared" si="26"/>
        <v>26463.855677248823</v>
      </c>
      <c r="V100" s="620">
        <f t="shared" si="26"/>
        <v>4215.5979136578362</v>
      </c>
      <c r="W100" s="620">
        <f t="shared" si="26"/>
        <v>8290.7648991598617</v>
      </c>
      <c r="X100" s="881">
        <f t="shared" si="26"/>
        <v>99706.590161234461</v>
      </c>
    </row>
    <row r="101" spans="3:24" hidden="1">
      <c r="C101" s="1167" t="s">
        <v>2784</v>
      </c>
      <c r="D101" s="621" t="s">
        <v>2771</v>
      </c>
      <c r="E101" s="577">
        <v>142.35</v>
      </c>
      <c r="F101" s="578">
        <v>54.75</v>
      </c>
      <c r="G101" s="691"/>
      <c r="H101" s="747"/>
      <c r="I101" s="747"/>
      <c r="J101" s="747"/>
      <c r="K101" s="747"/>
      <c r="L101" s="778"/>
      <c r="M101" s="791"/>
      <c r="N101" s="791"/>
      <c r="O101" s="795">
        <f>SUM(G101:N101)</f>
        <v>0</v>
      </c>
      <c r="P101" s="579">
        <f t="shared" si="23"/>
        <v>0</v>
      </c>
      <c r="Q101" s="863">
        <f t="shared" si="24"/>
        <v>1</v>
      </c>
      <c r="R101" s="882">
        <f>O101*$AA$25</f>
        <v>0</v>
      </c>
      <c r="S101" s="578">
        <f>O101*$AB$25</f>
        <v>0</v>
      </c>
      <c r="T101" s="578">
        <f>O101*$AC$25</f>
        <v>0</v>
      </c>
      <c r="U101" s="578">
        <f>O101*$AD$25</f>
        <v>0</v>
      </c>
      <c r="V101" s="578">
        <f>O101*$AE$25</f>
        <v>0</v>
      </c>
      <c r="W101" s="578">
        <f>O101*$AF$25</f>
        <v>0</v>
      </c>
      <c r="X101" s="883">
        <f t="shared" ref="X101:X112" si="27">F101-O101</f>
        <v>54.75</v>
      </c>
    </row>
    <row r="102" spans="3:24" hidden="1">
      <c r="C102" s="1167"/>
      <c r="D102" s="621" t="s">
        <v>2773</v>
      </c>
      <c r="E102" s="577">
        <v>326.69</v>
      </c>
      <c r="F102" s="578">
        <v>125.65</v>
      </c>
      <c r="G102" s="691"/>
      <c r="H102" s="747"/>
      <c r="I102" s="747"/>
      <c r="J102" s="747"/>
      <c r="K102" s="747"/>
      <c r="L102" s="778"/>
      <c r="M102" s="791"/>
      <c r="N102" s="791"/>
      <c r="O102" s="795">
        <f t="shared" ref="O102:O112" si="28">SUM(G102:N102)</f>
        <v>0</v>
      </c>
      <c r="P102" s="579">
        <f t="shared" si="23"/>
        <v>0</v>
      </c>
      <c r="Q102" s="863">
        <f t="shared" si="24"/>
        <v>1</v>
      </c>
      <c r="R102" s="882">
        <f>O102*$AA$27</f>
        <v>0</v>
      </c>
      <c r="S102" s="578">
        <f>O102*$AB$27</f>
        <v>0</v>
      </c>
      <c r="T102" s="578">
        <f>O102*$AC$27</f>
        <v>0</v>
      </c>
      <c r="U102" s="578">
        <f>O102*$AD$27</f>
        <v>0</v>
      </c>
      <c r="V102" s="578">
        <f>O102*$AE$27</f>
        <v>0</v>
      </c>
      <c r="W102" s="578">
        <f>O102*$AF$27</f>
        <v>0</v>
      </c>
      <c r="X102" s="883">
        <f t="shared" si="27"/>
        <v>125.65</v>
      </c>
    </row>
    <row r="103" spans="3:24" hidden="1">
      <c r="C103" s="1167"/>
      <c r="D103" s="621" t="s">
        <v>613</v>
      </c>
      <c r="E103" s="577">
        <v>2836.86</v>
      </c>
      <c r="F103" s="578">
        <v>1091.1000000000001</v>
      </c>
      <c r="G103" s="691"/>
      <c r="H103" s="747"/>
      <c r="I103" s="747"/>
      <c r="J103" s="747"/>
      <c r="K103" s="747"/>
      <c r="L103" s="778"/>
      <c r="M103" s="791"/>
      <c r="N103" s="791"/>
      <c r="O103" s="795">
        <f t="shared" si="28"/>
        <v>0</v>
      </c>
      <c r="P103" s="579">
        <f t="shared" si="23"/>
        <v>0</v>
      </c>
      <c r="Q103" s="863">
        <f t="shared" si="24"/>
        <v>1</v>
      </c>
      <c r="R103" s="882">
        <f>O103*$AA$29</f>
        <v>0</v>
      </c>
      <c r="S103" s="578">
        <f>O103*$AB$29</f>
        <v>0</v>
      </c>
      <c r="T103" s="578">
        <f>O103*$AC$29</f>
        <v>0</v>
      </c>
      <c r="U103" s="578">
        <f>O103*$AD$29</f>
        <v>0</v>
      </c>
      <c r="V103" s="578">
        <f>O103*$AE$29</f>
        <v>0</v>
      </c>
      <c r="W103" s="578">
        <f>O103*$AF$29</f>
        <v>0</v>
      </c>
      <c r="X103" s="883">
        <f t="shared" si="27"/>
        <v>1091.1000000000001</v>
      </c>
    </row>
    <row r="104" spans="3:24" hidden="1">
      <c r="C104" s="1167"/>
      <c r="D104" s="621" t="s">
        <v>37</v>
      </c>
      <c r="E104" s="577">
        <v>13416.26</v>
      </c>
      <c r="F104" s="578">
        <v>5160.1000000000004</v>
      </c>
      <c r="G104" s="691">
        <f>G2</f>
        <v>18980</v>
      </c>
      <c r="H104" s="747"/>
      <c r="I104" s="747"/>
      <c r="J104" s="747"/>
      <c r="K104" s="747"/>
      <c r="L104" s="778"/>
      <c r="M104" s="791"/>
      <c r="N104" s="791"/>
      <c r="O104" s="795">
        <f t="shared" si="28"/>
        <v>18980</v>
      </c>
      <c r="P104" s="579">
        <f t="shared" si="23"/>
        <v>3.6782232902463128</v>
      </c>
      <c r="Q104" s="863">
        <f t="shared" si="24"/>
        <v>-2.6782232902463128</v>
      </c>
      <c r="R104" s="882">
        <f>O104*$AA$30</f>
        <v>9676.8947358190107</v>
      </c>
      <c r="S104" s="578">
        <f>O104*$AB$30</f>
        <v>9303.1052641809893</v>
      </c>
      <c r="T104" s="578">
        <f>O104*$AC$30</f>
        <v>6834.6512778777715</v>
      </c>
      <c r="U104" s="578">
        <f>O104*$AD$30</f>
        <v>11101.520987119266</v>
      </c>
      <c r="V104" s="578">
        <f>O104*$AE$30</f>
        <v>1043.8277350029614</v>
      </c>
      <c r="W104" s="578">
        <f>O104*$AF$30</f>
        <v>1688.7951538518357</v>
      </c>
      <c r="X104" s="883">
        <f t="shared" si="27"/>
        <v>-13819.9</v>
      </c>
    </row>
    <row r="105" spans="3:24" hidden="1">
      <c r="C105" s="1167"/>
      <c r="D105" s="621" t="s">
        <v>2775</v>
      </c>
      <c r="E105" s="577">
        <v>10428.99</v>
      </c>
      <c r="F105" s="578">
        <v>4011.15</v>
      </c>
      <c r="G105" s="691"/>
      <c r="H105" s="747"/>
      <c r="I105" s="747"/>
      <c r="J105" s="747"/>
      <c r="K105" s="747"/>
      <c r="L105" s="778"/>
      <c r="M105" s="791"/>
      <c r="N105" s="791"/>
      <c r="O105" s="795">
        <f t="shared" si="28"/>
        <v>0</v>
      </c>
      <c r="P105" s="579">
        <f t="shared" si="23"/>
        <v>0</v>
      </c>
      <c r="Q105" s="863">
        <f t="shared" si="24"/>
        <v>1</v>
      </c>
      <c r="R105" s="882">
        <f>O105*$AA$31</f>
        <v>0</v>
      </c>
      <c r="S105" s="578">
        <f>O105*$AB$31</f>
        <v>0</v>
      </c>
      <c r="T105" s="578">
        <f>O105*$AC$31</f>
        <v>0</v>
      </c>
      <c r="U105" s="578">
        <f>O105*$AD$31</f>
        <v>0</v>
      </c>
      <c r="V105" s="578">
        <f>O105*$AE$31</f>
        <v>0</v>
      </c>
      <c r="W105" s="578">
        <f>O105*$AF$31</f>
        <v>0</v>
      </c>
      <c r="X105" s="883">
        <f t="shared" si="27"/>
        <v>4011.15</v>
      </c>
    </row>
    <row r="106" spans="3:24" hidden="1">
      <c r="C106" s="1167"/>
      <c r="D106" s="621" t="s">
        <v>2361</v>
      </c>
      <c r="E106" s="577">
        <v>7699.12</v>
      </c>
      <c r="F106" s="578">
        <v>2961.2000000000003</v>
      </c>
      <c r="G106" s="691"/>
      <c r="H106" s="747"/>
      <c r="I106" s="747"/>
      <c r="J106" s="747"/>
      <c r="K106" s="747"/>
      <c r="L106" s="778"/>
      <c r="M106" s="791"/>
      <c r="N106" s="791"/>
      <c r="O106" s="795">
        <f t="shared" si="28"/>
        <v>0</v>
      </c>
      <c r="P106" s="579">
        <f t="shared" si="23"/>
        <v>0</v>
      </c>
      <c r="Q106" s="863">
        <f t="shared" si="24"/>
        <v>1</v>
      </c>
      <c r="R106" s="882">
        <f>O106*$AA$32</f>
        <v>0</v>
      </c>
      <c r="S106" s="578">
        <f>O106*$AB$32</f>
        <v>0</v>
      </c>
      <c r="T106" s="578">
        <f>O106*$AC$32</f>
        <v>0</v>
      </c>
      <c r="U106" s="578">
        <f>O106*$AD$32</f>
        <v>0</v>
      </c>
      <c r="V106" s="578">
        <f>O106*$AE$32</f>
        <v>0</v>
      </c>
      <c r="W106" s="578">
        <f>O106*$AF$32</f>
        <v>0</v>
      </c>
      <c r="X106" s="883">
        <f t="shared" si="27"/>
        <v>2961.2000000000003</v>
      </c>
    </row>
    <row r="107" spans="3:24" hidden="1">
      <c r="C107" s="1167"/>
      <c r="D107" s="621" t="s">
        <v>2776</v>
      </c>
      <c r="E107" s="577">
        <v>1450.02</v>
      </c>
      <c r="F107" s="578">
        <v>557.70000000000005</v>
      </c>
      <c r="G107" s="691"/>
      <c r="H107" s="747"/>
      <c r="I107" s="747"/>
      <c r="J107" s="747"/>
      <c r="K107" s="747"/>
      <c r="L107" s="778"/>
      <c r="M107" s="791"/>
      <c r="N107" s="791"/>
      <c r="O107" s="795">
        <f t="shared" si="28"/>
        <v>0</v>
      </c>
      <c r="P107" s="579">
        <f t="shared" si="23"/>
        <v>0</v>
      </c>
      <c r="Q107" s="863">
        <f t="shared" si="24"/>
        <v>1</v>
      </c>
      <c r="R107" s="882">
        <f>O107*$AA$33</f>
        <v>0</v>
      </c>
      <c r="S107" s="578">
        <f>O107*$AB$33</f>
        <v>0</v>
      </c>
      <c r="T107" s="578">
        <f>O107*$AC$33</f>
        <v>0</v>
      </c>
      <c r="U107" s="578">
        <f>O107*$AD$33</f>
        <v>0</v>
      </c>
      <c r="V107" s="578">
        <f>O107*$AE$33</f>
        <v>0</v>
      </c>
      <c r="W107" s="578">
        <f>O107*$AF$33</f>
        <v>0</v>
      </c>
      <c r="X107" s="883">
        <f t="shared" si="27"/>
        <v>557.70000000000005</v>
      </c>
    </row>
    <row r="108" spans="3:24" hidden="1">
      <c r="C108" s="1167"/>
      <c r="D108" s="621" t="s">
        <v>304</v>
      </c>
      <c r="E108" s="577">
        <v>28428.530000000002</v>
      </c>
      <c r="F108" s="578">
        <v>10934.050000000001</v>
      </c>
      <c r="G108" s="691">
        <v>7400</v>
      </c>
      <c r="H108" s="747"/>
      <c r="I108" s="747"/>
      <c r="J108" s="747"/>
      <c r="K108" s="747"/>
      <c r="L108" s="778"/>
      <c r="M108" s="791"/>
      <c r="N108" s="791"/>
      <c r="O108" s="795">
        <f t="shared" si="28"/>
        <v>7400</v>
      </c>
      <c r="P108" s="579">
        <f t="shared" si="23"/>
        <v>0.67678490586745066</v>
      </c>
      <c r="Q108" s="863">
        <f t="shared" si="24"/>
        <v>0.32321509413254934</v>
      </c>
      <c r="R108" s="882">
        <f>O108*$AA$36</f>
        <v>3507.2387950980651</v>
      </c>
      <c r="S108" s="578">
        <f>O108*$AB$36</f>
        <v>3892.7612049019349</v>
      </c>
      <c r="T108" s="578">
        <f>O108*$AC$36</f>
        <v>2716.3388534534138</v>
      </c>
      <c r="U108" s="578">
        <f>O108*$AD$36</f>
        <v>4032.7608970238821</v>
      </c>
      <c r="V108" s="578">
        <f>O108*$AE$36</f>
        <v>650.90024952270528</v>
      </c>
      <c r="W108" s="578">
        <f>O108*$AF$36</f>
        <v>1283.5876279179256</v>
      </c>
      <c r="X108" s="883">
        <f t="shared" si="27"/>
        <v>3534.0500000000011</v>
      </c>
    </row>
    <row r="109" spans="3:24" hidden="1">
      <c r="C109" s="1167"/>
      <c r="D109" s="621" t="s">
        <v>2779</v>
      </c>
      <c r="E109" s="577">
        <v>2418</v>
      </c>
      <c r="F109" s="578">
        <v>930</v>
      </c>
      <c r="G109" s="691"/>
      <c r="H109" s="747"/>
      <c r="I109" s="747"/>
      <c r="J109" s="747"/>
      <c r="K109" s="747"/>
      <c r="L109" s="778"/>
      <c r="M109" s="791"/>
      <c r="N109" s="791"/>
      <c r="O109" s="795">
        <f t="shared" si="28"/>
        <v>0</v>
      </c>
      <c r="P109" s="579">
        <f t="shared" si="23"/>
        <v>0</v>
      </c>
      <c r="Q109" s="863">
        <f t="shared" si="24"/>
        <v>1</v>
      </c>
      <c r="R109" s="882">
        <f>O109*$AA$37</f>
        <v>0</v>
      </c>
      <c r="S109" s="578">
        <f>O109*$AB$37</f>
        <v>0</v>
      </c>
      <c r="T109" s="578">
        <f>O109*$AC$37</f>
        <v>0</v>
      </c>
      <c r="U109" s="578">
        <f>O109*$AD$37</f>
        <v>0</v>
      </c>
      <c r="V109" s="578">
        <f>O109*$AE$37</f>
        <v>0</v>
      </c>
      <c r="W109" s="578">
        <f>O109*$AF$37</f>
        <v>0</v>
      </c>
      <c r="X109" s="883">
        <f t="shared" si="27"/>
        <v>930</v>
      </c>
    </row>
    <row r="110" spans="3:24">
      <c r="C110" s="1167"/>
      <c r="D110" s="621" t="s">
        <v>515</v>
      </c>
      <c r="E110" s="577">
        <v>2008.3700000000001</v>
      </c>
      <c r="F110" s="578">
        <v>772.45</v>
      </c>
      <c r="G110" s="691">
        <f>G3</f>
        <v>2223</v>
      </c>
      <c r="H110" s="747"/>
      <c r="I110" s="747"/>
      <c r="J110" s="747"/>
      <c r="K110" s="747"/>
      <c r="L110" s="778"/>
      <c r="M110" s="791"/>
      <c r="N110" s="791"/>
      <c r="O110" s="795">
        <f t="shared" si="28"/>
        <v>2223</v>
      </c>
      <c r="P110" s="579">
        <f t="shared" si="23"/>
        <v>2.8778561719205125</v>
      </c>
      <c r="Q110" s="863">
        <f t="shared" si="24"/>
        <v>-1.8778561719205125</v>
      </c>
      <c r="R110" s="882">
        <f>O110*$AA$39</f>
        <v>1111.8434206672998</v>
      </c>
      <c r="S110" s="578">
        <f>O110*$AB$39</f>
        <v>1111.1565793327002</v>
      </c>
      <c r="T110" s="578">
        <f>O110*$AC$39</f>
        <v>844.66551365008604</v>
      </c>
      <c r="U110" s="578">
        <f>O110*$AD$39</f>
        <v>1249.3760809637745</v>
      </c>
      <c r="V110" s="578">
        <f>O110*$AE$39</f>
        <v>128.95840538613888</v>
      </c>
      <c r="W110" s="578">
        <f>O110*$AF$39</f>
        <v>191.66272684847976</v>
      </c>
      <c r="X110" s="883">
        <f t="shared" si="27"/>
        <v>-1450.55</v>
      </c>
    </row>
    <row r="111" spans="3:24" hidden="1">
      <c r="C111" s="1167"/>
      <c r="D111" s="621" t="s">
        <v>2710</v>
      </c>
      <c r="E111" s="577">
        <v>1973.66</v>
      </c>
      <c r="F111" s="578">
        <v>759.1</v>
      </c>
      <c r="G111" s="691"/>
      <c r="H111" s="747"/>
      <c r="I111" s="747"/>
      <c r="J111" s="747"/>
      <c r="K111" s="747"/>
      <c r="L111" s="778"/>
      <c r="M111" s="791"/>
      <c r="N111" s="791"/>
      <c r="O111" s="795">
        <f t="shared" si="28"/>
        <v>0</v>
      </c>
      <c r="P111" s="579">
        <f t="shared" si="23"/>
        <v>0</v>
      </c>
      <c r="Q111" s="863">
        <f t="shared" si="24"/>
        <v>1</v>
      </c>
      <c r="R111" s="882">
        <f>O111*$AA$40</f>
        <v>0</v>
      </c>
      <c r="S111" s="578">
        <f>O111*$AB$40</f>
        <v>0</v>
      </c>
      <c r="T111" s="578">
        <f>O111*$AC$40</f>
        <v>0</v>
      </c>
      <c r="U111" s="578">
        <f>O111*$AD$40</f>
        <v>0</v>
      </c>
      <c r="V111" s="578">
        <f>O111*$AE$40</f>
        <v>0</v>
      </c>
      <c r="W111" s="578">
        <f>O111*$AF$40</f>
        <v>0</v>
      </c>
      <c r="X111" s="883">
        <f t="shared" si="27"/>
        <v>759.1</v>
      </c>
    </row>
    <row r="112" spans="3:24" hidden="1">
      <c r="C112" s="1167"/>
      <c r="D112" s="621" t="s">
        <v>2781</v>
      </c>
      <c r="E112" s="577">
        <v>120.25</v>
      </c>
      <c r="F112" s="578">
        <v>46.25</v>
      </c>
      <c r="G112" s="691"/>
      <c r="H112" s="747"/>
      <c r="I112" s="747"/>
      <c r="J112" s="747"/>
      <c r="K112" s="747"/>
      <c r="L112" s="778"/>
      <c r="M112" s="791"/>
      <c r="N112" s="791"/>
      <c r="O112" s="795">
        <f t="shared" si="28"/>
        <v>0</v>
      </c>
      <c r="P112" s="579">
        <f t="shared" si="23"/>
        <v>0</v>
      </c>
      <c r="Q112" s="863">
        <f t="shared" si="24"/>
        <v>1</v>
      </c>
      <c r="R112" s="882">
        <f>O112*$AA$41</f>
        <v>0</v>
      </c>
      <c r="S112" s="578">
        <f>O112*$AB$41</f>
        <v>0</v>
      </c>
      <c r="T112" s="578">
        <f>O112*$AC$41</f>
        <v>0</v>
      </c>
      <c r="U112" s="578">
        <f>O112*$AD$41</f>
        <v>0</v>
      </c>
      <c r="V112" s="578">
        <f>O112*$AE$41</f>
        <v>0</v>
      </c>
      <c r="W112" s="578">
        <f>O112*$AF$41</f>
        <v>0</v>
      </c>
      <c r="X112" s="883">
        <f t="shared" si="27"/>
        <v>46.25</v>
      </c>
    </row>
    <row r="113" spans="3:24" hidden="1">
      <c r="C113" s="1167"/>
      <c r="D113" s="622" t="s">
        <v>1488</v>
      </c>
      <c r="E113" s="623">
        <f t="shared" ref="E113:O113" si="29">SUM(E101:E112)</f>
        <v>71249.100000000006</v>
      </c>
      <c r="F113" s="636">
        <f t="shared" si="29"/>
        <v>27403.500000000004</v>
      </c>
      <c r="G113" s="656">
        <f t="shared" si="29"/>
        <v>28603</v>
      </c>
      <c r="H113" s="623">
        <f t="shared" si="29"/>
        <v>0</v>
      </c>
      <c r="I113" s="623"/>
      <c r="J113" s="623">
        <f t="shared" si="29"/>
        <v>0</v>
      </c>
      <c r="K113" s="623">
        <f t="shared" si="29"/>
        <v>0</v>
      </c>
      <c r="L113" s="623">
        <f t="shared" si="29"/>
        <v>0</v>
      </c>
      <c r="M113" s="623">
        <f t="shared" si="29"/>
        <v>0</v>
      </c>
      <c r="N113" s="792">
        <f t="shared" si="29"/>
        <v>0</v>
      </c>
      <c r="O113" s="656">
        <f t="shared" si="29"/>
        <v>28603</v>
      </c>
      <c r="P113" s="624">
        <f t="shared" si="23"/>
        <v>1.0437717809768823</v>
      </c>
      <c r="Q113" s="864">
        <f>1-P113</f>
        <v>-4.377178097688228E-2</v>
      </c>
      <c r="R113" s="884">
        <f t="shared" ref="R113:X113" si="30">SUM(R101:R112)</f>
        <v>14295.976951584375</v>
      </c>
      <c r="S113" s="625">
        <f t="shared" si="30"/>
        <v>14307.023048415625</v>
      </c>
      <c r="T113" s="625">
        <f t="shared" si="30"/>
        <v>10395.655644981272</v>
      </c>
      <c r="U113" s="625">
        <f t="shared" si="30"/>
        <v>16383.657965106922</v>
      </c>
      <c r="V113" s="625">
        <f t="shared" si="30"/>
        <v>1823.6863899118055</v>
      </c>
      <c r="W113" s="625">
        <f t="shared" si="30"/>
        <v>3164.045508618241</v>
      </c>
      <c r="X113" s="885">
        <f t="shared" si="30"/>
        <v>-1199.4999999999982</v>
      </c>
    </row>
    <row r="114" spans="3:24" hidden="1">
      <c r="C114" s="1167" t="s">
        <v>2783</v>
      </c>
      <c r="D114" s="621" t="s">
        <v>2771</v>
      </c>
      <c r="E114" s="577">
        <v>109.5</v>
      </c>
      <c r="F114" s="578">
        <v>32.85</v>
      </c>
      <c r="G114" s="691"/>
      <c r="H114" s="747"/>
      <c r="I114" s="747"/>
      <c r="J114" s="747"/>
      <c r="K114" s="747"/>
      <c r="L114" s="778"/>
      <c r="M114" s="791"/>
      <c r="N114" s="791"/>
      <c r="O114" s="795">
        <f>SUM(G114:N114)</f>
        <v>0</v>
      </c>
      <c r="P114" s="579">
        <f t="shared" si="23"/>
        <v>0</v>
      </c>
      <c r="Q114" s="863">
        <f>1-P114</f>
        <v>1</v>
      </c>
      <c r="R114" s="882">
        <f>O114*$AA$25</f>
        <v>0</v>
      </c>
      <c r="S114" s="578">
        <f>O114*$AB$25</f>
        <v>0</v>
      </c>
      <c r="T114" s="578">
        <f>O114*$AC$25</f>
        <v>0</v>
      </c>
      <c r="U114" s="578">
        <f>O114*$AD$25</f>
        <v>0</v>
      </c>
      <c r="V114" s="578">
        <f>O114*$AE$25</f>
        <v>0</v>
      </c>
      <c r="W114" s="578">
        <f>O114*$AF$25</f>
        <v>0</v>
      </c>
      <c r="X114" s="883">
        <f t="shared" ref="X114:X125" si="31">F114-O114</f>
        <v>32.85</v>
      </c>
    </row>
    <row r="115" spans="3:24" hidden="1">
      <c r="C115" s="1167"/>
      <c r="D115" s="621" t="s">
        <v>2773</v>
      </c>
      <c r="E115" s="577">
        <v>251.3</v>
      </c>
      <c r="F115" s="578">
        <v>75.39</v>
      </c>
      <c r="G115" s="691"/>
      <c r="H115" s="747"/>
      <c r="I115" s="747"/>
      <c r="J115" s="747"/>
      <c r="K115" s="747"/>
      <c r="L115" s="778"/>
      <c r="M115" s="791"/>
      <c r="N115" s="791"/>
      <c r="O115" s="795">
        <f t="shared" ref="O115:O125" si="32">SUM(G115:N115)</f>
        <v>0</v>
      </c>
      <c r="P115" s="579">
        <f t="shared" si="23"/>
        <v>0</v>
      </c>
      <c r="Q115" s="863">
        <f t="shared" ref="Q115:Q125" si="33">1-P115</f>
        <v>1</v>
      </c>
      <c r="R115" s="882">
        <f>O115*$AA$27</f>
        <v>0</v>
      </c>
      <c r="S115" s="578">
        <f>O115*$AB$27</f>
        <v>0</v>
      </c>
      <c r="T115" s="578">
        <f>O115*$AC$27</f>
        <v>0</v>
      </c>
      <c r="U115" s="578">
        <f>O115*$AD$27</f>
        <v>0</v>
      </c>
      <c r="V115" s="578">
        <f>O115*$AE$27</f>
        <v>0</v>
      </c>
      <c r="W115" s="578">
        <f>O115*$AF$27</f>
        <v>0</v>
      </c>
      <c r="X115" s="883">
        <f t="shared" si="31"/>
        <v>75.39</v>
      </c>
    </row>
    <row r="116" spans="3:24" hidden="1">
      <c r="C116" s="1167"/>
      <c r="D116" s="621" t="s">
        <v>613</v>
      </c>
      <c r="E116" s="577">
        <v>2182.2000000000003</v>
      </c>
      <c r="F116" s="578">
        <v>654.66</v>
      </c>
      <c r="G116" s="691"/>
      <c r="H116" s="747"/>
      <c r="I116" s="747"/>
      <c r="J116" s="747"/>
      <c r="K116" s="747"/>
      <c r="L116" s="778"/>
      <c r="M116" s="791"/>
      <c r="N116" s="791"/>
      <c r="O116" s="795">
        <f t="shared" si="32"/>
        <v>0</v>
      </c>
      <c r="P116" s="579">
        <f t="shared" si="23"/>
        <v>0</v>
      </c>
      <c r="Q116" s="863">
        <f t="shared" si="33"/>
        <v>1</v>
      </c>
      <c r="R116" s="882">
        <f>O116*$AA$29</f>
        <v>0</v>
      </c>
      <c r="S116" s="578">
        <f>O116*$AB$29</f>
        <v>0</v>
      </c>
      <c r="T116" s="578">
        <f>O116*$AC$29</f>
        <v>0</v>
      </c>
      <c r="U116" s="578">
        <f>O116*$AD$29</f>
        <v>0</v>
      </c>
      <c r="V116" s="578">
        <f>O116*$AE$29</f>
        <v>0</v>
      </c>
      <c r="W116" s="578">
        <f>O116*$AF$29</f>
        <v>0</v>
      </c>
      <c r="X116" s="883">
        <f t="shared" si="31"/>
        <v>654.66</v>
      </c>
    </row>
    <row r="117" spans="3:24" hidden="1">
      <c r="C117" s="1167"/>
      <c r="D117" s="621" t="s">
        <v>37</v>
      </c>
      <c r="E117" s="577">
        <v>10320.200000000001</v>
      </c>
      <c r="F117" s="578">
        <v>3096.06</v>
      </c>
      <c r="G117" s="691">
        <f>H2</f>
        <v>3893</v>
      </c>
      <c r="H117" s="747"/>
      <c r="I117" s="747"/>
      <c r="J117" s="747"/>
      <c r="K117" s="747"/>
      <c r="L117" s="778"/>
      <c r="M117" s="791"/>
      <c r="N117" s="791"/>
      <c r="O117" s="795">
        <f t="shared" si="32"/>
        <v>3893</v>
      </c>
      <c r="P117" s="579">
        <f t="shared" si="23"/>
        <v>1.2574045722628115</v>
      </c>
      <c r="Q117" s="863">
        <f t="shared" si="33"/>
        <v>-0.25740457226281155</v>
      </c>
      <c r="R117" s="882">
        <f>O117*$AA$30</f>
        <v>1984.8340993963861</v>
      </c>
      <c r="S117" s="578">
        <f>O117*$AB$30</f>
        <v>1908.1659006036139</v>
      </c>
      <c r="T117" s="578">
        <f>O117*$AC$30</f>
        <v>1401.8597167954777</v>
      </c>
      <c r="U117" s="578">
        <f>O117*$AD$30</f>
        <v>2277.0401055245156</v>
      </c>
      <c r="V117" s="578">
        <f>O117*$AE$30</f>
        <v>214.10017768000677</v>
      </c>
      <c r="W117" s="578">
        <f>O117*$AF$30</f>
        <v>346.38985953346662</v>
      </c>
      <c r="X117" s="883">
        <f t="shared" si="31"/>
        <v>-796.94</v>
      </c>
    </row>
    <row r="118" spans="3:24" hidden="1">
      <c r="C118" s="1167"/>
      <c r="D118" s="621" t="s">
        <v>2775</v>
      </c>
      <c r="E118" s="577">
        <v>8022.3</v>
      </c>
      <c r="F118" s="578">
        <v>2406.69</v>
      </c>
      <c r="G118" s="691"/>
      <c r="H118" s="747"/>
      <c r="I118" s="747"/>
      <c r="J118" s="747"/>
      <c r="K118" s="747"/>
      <c r="L118" s="778"/>
      <c r="M118" s="791"/>
      <c r="N118" s="791"/>
      <c r="O118" s="795">
        <f t="shared" si="32"/>
        <v>0</v>
      </c>
      <c r="P118" s="579">
        <f t="shared" si="23"/>
        <v>0</v>
      </c>
      <c r="Q118" s="863">
        <f t="shared" si="33"/>
        <v>1</v>
      </c>
      <c r="R118" s="882">
        <f>O118*$AA$31</f>
        <v>0</v>
      </c>
      <c r="S118" s="578">
        <f>O118*$AB$31</f>
        <v>0</v>
      </c>
      <c r="T118" s="578">
        <f>O118*$AC$31</f>
        <v>0</v>
      </c>
      <c r="U118" s="578">
        <f>O118*$AD$31</f>
        <v>0</v>
      </c>
      <c r="V118" s="578">
        <f>O118*$AE$31</f>
        <v>0</v>
      </c>
      <c r="W118" s="578">
        <f>O118*$AF$31</f>
        <v>0</v>
      </c>
      <c r="X118" s="883">
        <f t="shared" si="31"/>
        <v>2406.69</v>
      </c>
    </row>
    <row r="119" spans="3:24" hidden="1">
      <c r="C119" s="1167"/>
      <c r="D119" s="621" t="s">
        <v>2361</v>
      </c>
      <c r="E119" s="577">
        <v>5922.4000000000005</v>
      </c>
      <c r="F119" s="578">
        <v>1776.72</v>
      </c>
      <c r="G119" s="691"/>
      <c r="H119" s="747"/>
      <c r="I119" s="747"/>
      <c r="J119" s="747"/>
      <c r="K119" s="747"/>
      <c r="L119" s="778"/>
      <c r="M119" s="791"/>
      <c r="N119" s="791"/>
      <c r="O119" s="795">
        <f t="shared" si="32"/>
        <v>0</v>
      </c>
      <c r="P119" s="579">
        <f t="shared" si="23"/>
        <v>0</v>
      </c>
      <c r="Q119" s="863">
        <f t="shared" si="33"/>
        <v>1</v>
      </c>
      <c r="R119" s="882">
        <f>O119*$AA$32</f>
        <v>0</v>
      </c>
      <c r="S119" s="578">
        <f>O119*$AB$32</f>
        <v>0</v>
      </c>
      <c r="T119" s="578">
        <f>O119*$AC$32</f>
        <v>0</v>
      </c>
      <c r="U119" s="578">
        <f>O119*$AD$32</f>
        <v>0</v>
      </c>
      <c r="V119" s="578">
        <f>O119*$AE$32</f>
        <v>0</v>
      </c>
      <c r="W119" s="578">
        <f>O119*$AF$32</f>
        <v>0</v>
      </c>
      <c r="X119" s="883">
        <f t="shared" si="31"/>
        <v>1776.72</v>
      </c>
    </row>
    <row r="120" spans="3:24" hidden="1">
      <c r="C120" s="1167"/>
      <c r="D120" s="621" t="s">
        <v>2776</v>
      </c>
      <c r="E120" s="577">
        <v>1115.4000000000001</v>
      </c>
      <c r="F120" s="578">
        <v>334.62</v>
      </c>
      <c r="G120" s="691"/>
      <c r="H120" s="747"/>
      <c r="I120" s="747"/>
      <c r="J120" s="747"/>
      <c r="K120" s="747"/>
      <c r="L120" s="778"/>
      <c r="M120" s="791"/>
      <c r="N120" s="791"/>
      <c r="O120" s="795">
        <f t="shared" si="32"/>
        <v>0</v>
      </c>
      <c r="P120" s="579">
        <f t="shared" si="23"/>
        <v>0</v>
      </c>
      <c r="Q120" s="863">
        <f t="shared" si="33"/>
        <v>1</v>
      </c>
      <c r="R120" s="882">
        <f>O120*$AA$33</f>
        <v>0</v>
      </c>
      <c r="S120" s="578">
        <f>O120*$AB$33</f>
        <v>0</v>
      </c>
      <c r="T120" s="578">
        <f>O120*$AC$33</f>
        <v>0</v>
      </c>
      <c r="U120" s="578">
        <f>O120*$AD$33</f>
        <v>0</v>
      </c>
      <c r="V120" s="578">
        <f>O120*$AE$33</f>
        <v>0</v>
      </c>
      <c r="W120" s="578">
        <f>O120*$AF$33</f>
        <v>0</v>
      </c>
      <c r="X120" s="883">
        <f t="shared" si="31"/>
        <v>334.62</v>
      </c>
    </row>
    <row r="121" spans="3:24" hidden="1">
      <c r="C121" s="1167"/>
      <c r="D121" s="621" t="s">
        <v>304</v>
      </c>
      <c r="E121" s="577">
        <v>21868.100000000002</v>
      </c>
      <c r="F121" s="578">
        <v>6560.4299999999994</v>
      </c>
      <c r="G121" s="691">
        <v>600</v>
      </c>
      <c r="H121" s="747"/>
      <c r="I121" s="747"/>
      <c r="J121" s="747"/>
      <c r="K121" s="747"/>
      <c r="L121" s="778"/>
      <c r="M121" s="791"/>
      <c r="N121" s="791"/>
      <c r="O121" s="795">
        <f t="shared" si="32"/>
        <v>600</v>
      </c>
      <c r="P121" s="579">
        <f t="shared" ref="P121:P163" si="34">O121/F121</f>
        <v>9.1457419711817672E-2</v>
      </c>
      <c r="Q121" s="863">
        <f t="shared" si="33"/>
        <v>0.90854258028818236</v>
      </c>
      <c r="R121" s="882">
        <f>O121*$AA$36</f>
        <v>284.37071311605933</v>
      </c>
      <c r="S121" s="578">
        <f>O121*$AB$36</f>
        <v>315.62928688394067</v>
      </c>
      <c r="T121" s="578">
        <f>O121*$AC$36</f>
        <v>220.24369082054707</v>
      </c>
      <c r="U121" s="578">
        <f>O121*$AD$36</f>
        <v>326.98061327220665</v>
      </c>
      <c r="V121" s="578">
        <f>O121*$AE$36</f>
        <v>52.775695907246373</v>
      </c>
      <c r="W121" s="578">
        <f>O121*$AF$36</f>
        <v>104.07467253388586</v>
      </c>
      <c r="X121" s="883">
        <f t="shared" si="31"/>
        <v>5960.4299999999994</v>
      </c>
    </row>
    <row r="122" spans="3:24" hidden="1">
      <c r="C122" s="1167"/>
      <c r="D122" s="621" t="s">
        <v>2779</v>
      </c>
      <c r="E122" s="577">
        <v>1860</v>
      </c>
      <c r="F122" s="578">
        <v>558</v>
      </c>
      <c r="G122" s="691"/>
      <c r="H122" s="747"/>
      <c r="I122" s="747"/>
      <c r="J122" s="747"/>
      <c r="K122" s="747"/>
      <c r="L122" s="778"/>
      <c r="M122" s="791"/>
      <c r="N122" s="791"/>
      <c r="O122" s="795">
        <f t="shared" si="32"/>
        <v>0</v>
      </c>
      <c r="P122" s="579">
        <f t="shared" si="34"/>
        <v>0</v>
      </c>
      <c r="Q122" s="863">
        <f t="shared" si="33"/>
        <v>1</v>
      </c>
      <c r="R122" s="882">
        <f>O122*$AA$37</f>
        <v>0</v>
      </c>
      <c r="S122" s="578">
        <f>O122*$AB$37</f>
        <v>0</v>
      </c>
      <c r="T122" s="578">
        <f>O122*$AC$37</f>
        <v>0</v>
      </c>
      <c r="U122" s="578">
        <f>O122*$AD$37</f>
        <v>0</v>
      </c>
      <c r="V122" s="578">
        <f>O122*$AE$37</f>
        <v>0</v>
      </c>
      <c r="W122" s="578">
        <f>O122*$AF$37</f>
        <v>0</v>
      </c>
      <c r="X122" s="883">
        <f t="shared" si="31"/>
        <v>558</v>
      </c>
    </row>
    <row r="123" spans="3:24">
      <c r="C123" s="1167"/>
      <c r="D123" s="621" t="s">
        <v>515</v>
      </c>
      <c r="E123" s="577">
        <v>1544.9</v>
      </c>
      <c r="F123" s="578">
        <v>463.46999999999997</v>
      </c>
      <c r="G123" s="691">
        <f>H3</f>
        <v>0</v>
      </c>
      <c r="H123" s="747"/>
      <c r="I123" s="747"/>
      <c r="J123" s="747"/>
      <c r="K123" s="747"/>
      <c r="L123" s="778"/>
      <c r="M123" s="791"/>
      <c r="N123" s="791"/>
      <c r="O123" s="795">
        <f t="shared" si="32"/>
        <v>0</v>
      </c>
      <c r="P123" s="579">
        <f t="shared" si="34"/>
        <v>0</v>
      </c>
      <c r="Q123" s="863">
        <f t="shared" si="33"/>
        <v>1</v>
      </c>
      <c r="R123" s="882">
        <f>O123*$AA$39</f>
        <v>0</v>
      </c>
      <c r="S123" s="578">
        <f>O123*$AB$39</f>
        <v>0</v>
      </c>
      <c r="T123" s="578">
        <f>O123*$AC$39</f>
        <v>0</v>
      </c>
      <c r="U123" s="578">
        <f>O123*$AD$39</f>
        <v>0</v>
      </c>
      <c r="V123" s="578">
        <f>O123*$AE$39</f>
        <v>0</v>
      </c>
      <c r="W123" s="578">
        <f>O123*$AF$39</f>
        <v>0</v>
      </c>
      <c r="X123" s="883">
        <f t="shared" si="31"/>
        <v>463.46999999999997</v>
      </c>
    </row>
    <row r="124" spans="3:24" hidden="1">
      <c r="C124" s="1167"/>
      <c r="D124" s="621" t="s">
        <v>2710</v>
      </c>
      <c r="E124" s="577">
        <v>1518.2</v>
      </c>
      <c r="F124" s="578">
        <v>455.46</v>
      </c>
      <c r="G124" s="691"/>
      <c r="H124" s="747"/>
      <c r="I124" s="747"/>
      <c r="J124" s="747"/>
      <c r="K124" s="747"/>
      <c r="L124" s="778"/>
      <c r="M124" s="791"/>
      <c r="N124" s="791"/>
      <c r="O124" s="795">
        <f t="shared" si="32"/>
        <v>0</v>
      </c>
      <c r="P124" s="579">
        <f t="shared" si="34"/>
        <v>0</v>
      </c>
      <c r="Q124" s="863">
        <f t="shared" si="33"/>
        <v>1</v>
      </c>
      <c r="R124" s="882">
        <f>O124*$AA$40</f>
        <v>0</v>
      </c>
      <c r="S124" s="578">
        <f>O124*$AB$40</f>
        <v>0</v>
      </c>
      <c r="T124" s="578">
        <f>O124*$AC$40</f>
        <v>0</v>
      </c>
      <c r="U124" s="578">
        <f>O124*$AD$40</f>
        <v>0</v>
      </c>
      <c r="V124" s="578">
        <f>O124*$AE$40</f>
        <v>0</v>
      </c>
      <c r="W124" s="578">
        <f>O124*$AF$40</f>
        <v>0</v>
      </c>
      <c r="X124" s="883">
        <f t="shared" si="31"/>
        <v>455.46</v>
      </c>
    </row>
    <row r="125" spans="3:24" hidden="1">
      <c r="C125" s="1167"/>
      <c r="D125" s="621" t="s">
        <v>2781</v>
      </c>
      <c r="E125" s="577">
        <v>92.5</v>
      </c>
      <c r="F125" s="578">
        <v>27.75</v>
      </c>
      <c r="G125" s="691"/>
      <c r="H125" s="747"/>
      <c r="I125" s="747"/>
      <c r="J125" s="747"/>
      <c r="K125" s="747"/>
      <c r="L125" s="778"/>
      <c r="M125" s="791"/>
      <c r="N125" s="791"/>
      <c r="O125" s="795">
        <f t="shared" si="32"/>
        <v>0</v>
      </c>
      <c r="P125" s="579">
        <f t="shared" si="34"/>
        <v>0</v>
      </c>
      <c r="Q125" s="863">
        <f t="shared" si="33"/>
        <v>1</v>
      </c>
      <c r="R125" s="882">
        <f>O125*$AA$41</f>
        <v>0</v>
      </c>
      <c r="S125" s="578">
        <f>O125*$AB$41</f>
        <v>0</v>
      </c>
      <c r="T125" s="578">
        <f>O125*$AC$41</f>
        <v>0</v>
      </c>
      <c r="U125" s="578">
        <f>O125*$AD$41</f>
        <v>0</v>
      </c>
      <c r="V125" s="578">
        <f>O125*$AE$41</f>
        <v>0</v>
      </c>
      <c r="W125" s="578">
        <f>O125*$AF$41</f>
        <v>0</v>
      </c>
      <c r="X125" s="883">
        <f t="shared" si="31"/>
        <v>27.75</v>
      </c>
    </row>
    <row r="126" spans="3:24" hidden="1">
      <c r="C126" s="1167"/>
      <c r="D126" s="622" t="s">
        <v>1488</v>
      </c>
      <c r="E126" s="623">
        <f>SUM(E114:E125)</f>
        <v>54807.000000000007</v>
      </c>
      <c r="F126" s="636">
        <f>SUM(F114:F125)</f>
        <v>16442.099999999999</v>
      </c>
      <c r="G126" s="656">
        <f>SUM(G114:G125)</f>
        <v>4493</v>
      </c>
      <c r="H126" s="623">
        <f>SUM(H114:H125)</f>
        <v>0</v>
      </c>
      <c r="I126" s="623"/>
      <c r="J126" s="623">
        <f t="shared" ref="J126:O126" si="35">SUM(J114:J125)</f>
        <v>0</v>
      </c>
      <c r="K126" s="623">
        <f t="shared" si="35"/>
        <v>0</v>
      </c>
      <c r="L126" s="623">
        <f t="shared" si="35"/>
        <v>0</v>
      </c>
      <c r="M126" s="623">
        <f t="shared" si="35"/>
        <v>0</v>
      </c>
      <c r="N126" s="792">
        <f t="shared" si="35"/>
        <v>0</v>
      </c>
      <c r="O126" s="656">
        <f t="shared" si="35"/>
        <v>4493</v>
      </c>
      <c r="P126" s="624">
        <f t="shared" si="34"/>
        <v>0.2732619312618218</v>
      </c>
      <c r="Q126" s="864">
        <f t="shared" ref="Q126:Q164" si="36">1-P126</f>
        <v>0.72673806873817814</v>
      </c>
      <c r="R126" s="884">
        <f t="shared" ref="R126:X126" si="37">SUM(R114:R125)</f>
        <v>2269.2048125124456</v>
      </c>
      <c r="S126" s="625">
        <f t="shared" si="37"/>
        <v>2223.7951874875544</v>
      </c>
      <c r="T126" s="625">
        <f t="shared" si="37"/>
        <v>1622.1034076160247</v>
      </c>
      <c r="U126" s="625">
        <f t="shared" si="37"/>
        <v>2604.0207187967221</v>
      </c>
      <c r="V126" s="625">
        <f t="shared" si="37"/>
        <v>266.87587358725312</v>
      </c>
      <c r="W126" s="625">
        <f t="shared" si="37"/>
        <v>450.46453206735248</v>
      </c>
      <c r="X126" s="885">
        <f t="shared" si="37"/>
        <v>11949.099999999997</v>
      </c>
    </row>
    <row r="127" spans="3:24" hidden="1">
      <c r="C127" s="1168" t="s">
        <v>2877</v>
      </c>
      <c r="D127" s="837" t="s">
        <v>2771</v>
      </c>
      <c r="E127" s="838">
        <v>71297.247022932934</v>
      </c>
      <c r="F127" s="839">
        <v>11242.08705343994</v>
      </c>
      <c r="G127" s="692"/>
      <c r="H127" s="697">
        <v>3139</v>
      </c>
      <c r="I127" s="697"/>
      <c r="J127" s="697"/>
      <c r="K127" s="697"/>
      <c r="L127" s="697"/>
      <c r="M127" s="793"/>
      <c r="N127" s="793"/>
      <c r="O127" s="692">
        <f>SUM(G127:N127)</f>
        <v>3139</v>
      </c>
      <c r="P127" s="840">
        <f t="shared" si="34"/>
        <v>0.2792186170662595</v>
      </c>
      <c r="Q127" s="865">
        <f t="shared" si="36"/>
        <v>0.7207813829337405</v>
      </c>
      <c r="R127" s="886">
        <f>O127*$AA$25</f>
        <v>1504.249101328001</v>
      </c>
      <c r="S127" s="837">
        <f>O127*$AB$25</f>
        <v>1634.750898671999</v>
      </c>
      <c r="T127" s="837">
        <f>O127*$AC$25</f>
        <v>1152.1104355398409</v>
      </c>
      <c r="U127" s="837">
        <f>O127*$AD$25</f>
        <v>1708.008999738609</v>
      </c>
      <c r="V127" s="837">
        <f>O127*$AE$25</f>
        <v>278.88056472155046</v>
      </c>
      <c r="W127" s="837">
        <f>O127*$AF$25</f>
        <v>477.99774630551138</v>
      </c>
      <c r="X127" s="853">
        <f t="shared" ref="X127:X144" si="38">F127-O127</f>
        <v>8103.0870534399401</v>
      </c>
    </row>
    <row r="128" spans="3:24" hidden="1">
      <c r="C128" s="1169"/>
      <c r="D128" s="837" t="s">
        <v>2772</v>
      </c>
      <c r="E128" s="838">
        <v>1282240.102078954</v>
      </c>
      <c r="F128" s="839">
        <v>64112.005103947704</v>
      </c>
      <c r="G128" s="692"/>
      <c r="H128" s="697"/>
      <c r="I128" s="697"/>
      <c r="J128" s="697"/>
      <c r="K128" s="697"/>
      <c r="L128" s="697"/>
      <c r="M128" s="793"/>
      <c r="N128" s="793"/>
      <c r="O128" s="692">
        <f t="shared" ref="O128:O144" si="39">SUM(G128:N128)</f>
        <v>0</v>
      </c>
      <c r="P128" s="840">
        <f t="shared" si="34"/>
        <v>0</v>
      </c>
      <c r="Q128" s="865">
        <f t="shared" si="36"/>
        <v>1</v>
      </c>
      <c r="R128" s="886">
        <f>O128*$AA$26</f>
        <v>0</v>
      </c>
      <c r="S128" s="837">
        <f>O128*$AB$26</f>
        <v>0</v>
      </c>
      <c r="T128" s="837">
        <f>O128*$AC$26</f>
        <v>0</v>
      </c>
      <c r="U128" s="837">
        <f>O128*$AD$26</f>
        <v>0</v>
      </c>
      <c r="V128" s="837">
        <f>O128*$AE$26</f>
        <v>0</v>
      </c>
      <c r="W128" s="837">
        <f>O128*$AF$26</f>
        <v>0</v>
      </c>
      <c r="X128" s="853">
        <f t="shared" si="38"/>
        <v>64112.005103947704</v>
      </c>
    </row>
    <row r="129" spans="3:24" hidden="1">
      <c r="C129" s="1169"/>
      <c r="D129" s="837" t="s">
        <v>2773</v>
      </c>
      <c r="E129" s="838">
        <v>207170.43402654651</v>
      </c>
      <c r="F129" s="839">
        <v>63407.63020796395</v>
      </c>
      <c r="G129" s="692"/>
      <c r="H129" s="697"/>
      <c r="I129" s="697"/>
      <c r="J129" s="697"/>
      <c r="K129" s="697"/>
      <c r="L129" s="697"/>
      <c r="M129" s="793"/>
      <c r="N129" s="793"/>
      <c r="O129" s="692">
        <f t="shared" si="39"/>
        <v>0</v>
      </c>
      <c r="P129" s="840">
        <f t="shared" si="34"/>
        <v>0</v>
      </c>
      <c r="Q129" s="865">
        <f t="shared" si="36"/>
        <v>1</v>
      </c>
      <c r="R129" s="886">
        <f>O129*$AA$27</f>
        <v>0</v>
      </c>
      <c r="S129" s="837">
        <f>O129*$AB$27</f>
        <v>0</v>
      </c>
      <c r="T129" s="837">
        <f>O129*$AC$27</f>
        <v>0</v>
      </c>
      <c r="U129" s="837">
        <f>O129*$AD$27</f>
        <v>0</v>
      </c>
      <c r="V129" s="837">
        <f>O129*$AE$27</f>
        <v>0</v>
      </c>
      <c r="W129" s="837">
        <f>O129*$AF$27</f>
        <v>0</v>
      </c>
      <c r="X129" s="853">
        <f t="shared" si="38"/>
        <v>63407.63020796395</v>
      </c>
    </row>
    <row r="130" spans="3:24" hidden="1">
      <c r="C130" s="1169"/>
      <c r="D130" s="837" t="s">
        <v>2774</v>
      </c>
      <c r="E130" s="838">
        <v>138015.13245792579</v>
      </c>
      <c r="F130" s="839">
        <v>20702.269868688869</v>
      </c>
      <c r="G130" s="692"/>
      <c r="H130" s="841"/>
      <c r="I130" s="841"/>
      <c r="J130" s="841"/>
      <c r="K130" s="841"/>
      <c r="L130" s="841"/>
      <c r="M130" s="842"/>
      <c r="N130" s="842"/>
      <c r="O130" s="692">
        <f t="shared" si="39"/>
        <v>0</v>
      </c>
      <c r="P130" s="840">
        <f t="shared" si="34"/>
        <v>0</v>
      </c>
      <c r="Q130" s="865">
        <f t="shared" si="36"/>
        <v>1</v>
      </c>
      <c r="R130" s="886">
        <f>O130*$AA$28</f>
        <v>0</v>
      </c>
      <c r="S130" s="837">
        <f>O130*$AB$28</f>
        <v>0</v>
      </c>
      <c r="T130" s="837">
        <f>O130*$AC$28</f>
        <v>0</v>
      </c>
      <c r="U130" s="837">
        <f>O130*$AD$28</f>
        <v>0</v>
      </c>
      <c r="V130" s="837">
        <f>O130*$AE$28</f>
        <v>0</v>
      </c>
      <c r="W130" s="837">
        <f>O130*$AF$28</f>
        <v>0</v>
      </c>
      <c r="X130" s="853">
        <f t="shared" si="38"/>
        <v>20702.269868688869</v>
      </c>
    </row>
    <row r="131" spans="3:24" hidden="1">
      <c r="C131" s="1169"/>
      <c r="D131" s="837" t="s">
        <v>613</v>
      </c>
      <c r="E131" s="838">
        <v>100473.89970888238</v>
      </c>
      <c r="F131" s="839">
        <v>41053.169912664715</v>
      </c>
      <c r="G131" s="692"/>
      <c r="H131" s="850">
        <f>5343+1706</f>
        <v>7049</v>
      </c>
      <c r="I131" s="841"/>
      <c r="J131" s="841"/>
      <c r="K131" s="841"/>
      <c r="L131" s="841"/>
      <c r="M131" s="842"/>
      <c r="N131" s="842"/>
      <c r="O131" s="692">
        <f t="shared" si="39"/>
        <v>7049</v>
      </c>
      <c r="P131" s="840">
        <f t="shared" si="34"/>
        <v>0.1717041586556125</v>
      </c>
      <c r="Q131" s="865">
        <f t="shared" si="36"/>
        <v>0.8282958413443875</v>
      </c>
      <c r="R131" s="886">
        <f>O131*$AA$29</f>
        <v>3381.4172946595195</v>
      </c>
      <c r="S131" s="837">
        <f>O131*$AB$29</f>
        <v>3667.5827053404805</v>
      </c>
      <c r="T131" s="837">
        <f>O131*$AC$29</f>
        <v>3255.2973677999839</v>
      </c>
      <c r="U131" s="837">
        <f>O131*$AD$29</f>
        <v>3330.2186002117787</v>
      </c>
      <c r="V131" s="837">
        <f>O131*$AE$29</f>
        <v>463.48403198823729</v>
      </c>
      <c r="W131" s="837">
        <f>O131*$AF$29</f>
        <v>1454.1883152280166</v>
      </c>
      <c r="X131" s="853">
        <f t="shared" si="38"/>
        <v>34004.169912664715</v>
      </c>
    </row>
    <row r="132" spans="3:24" hidden="1">
      <c r="C132" s="1169"/>
      <c r="D132" s="837" t="s">
        <v>37</v>
      </c>
      <c r="E132" s="838">
        <v>186093.36070325039</v>
      </c>
      <c r="F132" s="839">
        <v>126038.34428130016</v>
      </c>
      <c r="G132" s="692">
        <f>J2</f>
        <v>74739</v>
      </c>
      <c r="H132" s="841"/>
      <c r="I132" s="841">
        <v>2421</v>
      </c>
      <c r="J132" s="841"/>
      <c r="K132" s="841"/>
      <c r="L132" s="841"/>
      <c r="M132" s="842"/>
      <c r="N132" s="842"/>
      <c r="O132" s="692">
        <f t="shared" si="39"/>
        <v>77160</v>
      </c>
      <c r="P132" s="840">
        <f t="shared" si="34"/>
        <v>0.61219464949324898</v>
      </c>
      <c r="Q132" s="865">
        <f t="shared" si="36"/>
        <v>0.38780535050675102</v>
      </c>
      <c r="R132" s="886">
        <f>O132*$AA$30</f>
        <v>39339.789136764746</v>
      </c>
      <c r="S132" s="837">
        <f>O132*$AB$30</f>
        <v>37820.210863235254</v>
      </c>
      <c r="T132" s="837">
        <f>O132*$AC$30</f>
        <v>27785.126059064743</v>
      </c>
      <c r="U132" s="837">
        <f>O132*$AD$30</f>
        <v>45131.367722135015</v>
      </c>
      <c r="V132" s="837">
        <f>O132*$AE$30</f>
        <v>4243.5062188002366</v>
      </c>
      <c r="W132" s="837">
        <f>O132*$AF$30</f>
        <v>6865.5128593892323</v>
      </c>
      <c r="X132" s="853">
        <f t="shared" si="38"/>
        <v>48878.34428130016</v>
      </c>
    </row>
    <row r="133" spans="3:24" hidden="1">
      <c r="C133" s="1169"/>
      <c r="D133" s="837" t="s">
        <v>2775</v>
      </c>
      <c r="E133" s="838">
        <v>100307.37004541785</v>
      </c>
      <c r="F133" s="839">
        <v>80234.448018167139</v>
      </c>
      <c r="G133" s="692"/>
      <c r="H133" s="841">
        <v>5613</v>
      </c>
      <c r="I133" s="841"/>
      <c r="J133" s="841"/>
      <c r="K133" s="841"/>
      <c r="L133" s="841"/>
      <c r="M133" s="842"/>
      <c r="N133" s="842"/>
      <c r="O133" s="692">
        <f t="shared" si="39"/>
        <v>5613</v>
      </c>
      <c r="P133" s="840">
        <f t="shared" si="34"/>
        <v>6.9957482585647907E-2</v>
      </c>
      <c r="Q133" s="865">
        <f t="shared" si="36"/>
        <v>0.93004251741435207</v>
      </c>
      <c r="R133" s="886">
        <f>O133*$AA$31</f>
        <v>2891.1275447759108</v>
      </c>
      <c r="S133" s="837">
        <f>O133*$AB$31</f>
        <v>2721.8724552240897</v>
      </c>
      <c r="T133" s="837">
        <f>O133*$AC$31</f>
        <v>2274.049590582883</v>
      </c>
      <c r="U133" s="837">
        <f>O133*$AD$31</f>
        <v>3045.5783509578655</v>
      </c>
      <c r="V133" s="837">
        <f>O133*$AE$31</f>
        <v>293.37205845925189</v>
      </c>
      <c r="W133" s="837">
        <f>O133*$AF$31</f>
        <v>607.99421769451067</v>
      </c>
      <c r="X133" s="853">
        <f t="shared" si="38"/>
        <v>74621.448018167139</v>
      </c>
    </row>
    <row r="134" spans="3:24" hidden="1">
      <c r="C134" s="1169"/>
      <c r="D134" s="837" t="s">
        <v>2361</v>
      </c>
      <c r="E134" s="838">
        <v>97411.788139174037</v>
      </c>
      <c r="F134" s="839">
        <v>68576.715255669609</v>
      </c>
      <c r="G134" s="692"/>
      <c r="H134" s="841">
        <v>6826</v>
      </c>
      <c r="I134" s="841"/>
      <c r="J134" s="841"/>
      <c r="K134" s="841">
        <v>24631</v>
      </c>
      <c r="L134" s="841"/>
      <c r="M134" s="842"/>
      <c r="N134" s="842"/>
      <c r="O134" s="692">
        <f t="shared" si="39"/>
        <v>31457</v>
      </c>
      <c r="P134" s="840">
        <f t="shared" si="34"/>
        <v>0.45871255108561471</v>
      </c>
      <c r="Q134" s="865">
        <f t="shared" si="36"/>
        <v>0.54128744891438529</v>
      </c>
      <c r="R134" s="886">
        <f>O134*$AA$32</f>
        <v>15607.625903002632</v>
      </c>
      <c r="S134" s="837">
        <f>O134*$AB$32</f>
        <v>15849.374096997368</v>
      </c>
      <c r="T134" s="837">
        <f>O134*$AC$32</f>
        <v>12969.352861015497</v>
      </c>
      <c r="U134" s="837">
        <f>O134*$AD$32</f>
        <v>16271.810275831169</v>
      </c>
      <c r="V134" s="837">
        <f>O134*$AE$32</f>
        <v>2215.8368631533331</v>
      </c>
      <c r="W134" s="837">
        <f>O134*$AF$32</f>
        <v>5231.7088849768206</v>
      </c>
      <c r="X134" s="853">
        <f t="shared" si="38"/>
        <v>37119.715255669609</v>
      </c>
    </row>
    <row r="135" spans="3:24" hidden="1">
      <c r="C135" s="1169"/>
      <c r="D135" s="837" t="s">
        <v>2776</v>
      </c>
      <c r="E135" s="838">
        <v>308281.36095731339</v>
      </c>
      <c r="F135" s="839">
        <v>51819.20414359701</v>
      </c>
      <c r="G135" s="692"/>
      <c r="H135" s="850">
        <v>952</v>
      </c>
      <c r="I135" s="841"/>
      <c r="J135" s="841"/>
      <c r="K135" s="841"/>
      <c r="L135" s="841"/>
      <c r="M135" s="842"/>
      <c r="N135" s="842"/>
      <c r="O135" s="692">
        <f t="shared" si="39"/>
        <v>952</v>
      </c>
      <c r="P135" s="840">
        <f t="shared" si="34"/>
        <v>1.8371567370311166E-2</v>
      </c>
      <c r="Q135" s="865">
        <f t="shared" si="36"/>
        <v>0.9816284326296888</v>
      </c>
      <c r="R135" s="886">
        <f>O135*$AA$33</f>
        <v>443.86073213878217</v>
      </c>
      <c r="S135" s="837">
        <f>O135*$AB$33</f>
        <v>508.13926786121783</v>
      </c>
      <c r="T135" s="837">
        <f>O135*$AC$33</f>
        <v>303.59842892172827</v>
      </c>
      <c r="U135" s="837">
        <f>O135*$AD$33</f>
        <v>554.53792504828243</v>
      </c>
      <c r="V135" s="837">
        <f>O135*$AE$33</f>
        <v>93.86364602998934</v>
      </c>
      <c r="W135" s="837">
        <f>O135*$AF$33</f>
        <v>162.10251690884363</v>
      </c>
      <c r="X135" s="853">
        <f t="shared" si="38"/>
        <v>50867.20414359701</v>
      </c>
    </row>
    <row r="136" spans="3:24" hidden="1">
      <c r="C136" s="1169"/>
      <c r="D136" s="837" t="s">
        <v>2777</v>
      </c>
      <c r="E136" s="838">
        <v>336813.18381455197</v>
      </c>
      <c r="F136" s="839">
        <v>16840.659190727598</v>
      </c>
      <c r="G136" s="692"/>
      <c r="H136" s="841"/>
      <c r="I136" s="841"/>
      <c r="J136" s="841"/>
      <c r="K136" s="841"/>
      <c r="L136" s="841"/>
      <c r="M136" s="842"/>
      <c r="N136" s="842"/>
      <c r="O136" s="692">
        <f t="shared" si="39"/>
        <v>0</v>
      </c>
      <c r="P136" s="840">
        <f t="shared" si="34"/>
        <v>0</v>
      </c>
      <c r="Q136" s="865">
        <f t="shared" si="36"/>
        <v>1</v>
      </c>
      <c r="R136" s="886">
        <f>O136*$AA$34</f>
        <v>0</v>
      </c>
      <c r="S136" s="837">
        <f>O136*$AB$34</f>
        <v>0</v>
      </c>
      <c r="T136" s="837">
        <f>O136*$AC$34</f>
        <v>0</v>
      </c>
      <c r="U136" s="837">
        <f>O136*$AD$34</f>
        <v>0</v>
      </c>
      <c r="V136" s="837">
        <f>O136*$AE$34</f>
        <v>0</v>
      </c>
      <c r="W136" s="837">
        <f>O136*$AF$34</f>
        <v>0</v>
      </c>
      <c r="X136" s="853">
        <f t="shared" si="38"/>
        <v>16840.659190727598</v>
      </c>
    </row>
    <row r="137" spans="3:24" hidden="1">
      <c r="C137" s="1169"/>
      <c r="D137" s="837" t="s">
        <v>2778</v>
      </c>
      <c r="E137" s="838">
        <v>30430.553807096338</v>
      </c>
      <c r="F137" s="839">
        <v>1521.527690354817</v>
      </c>
      <c r="G137" s="692"/>
      <c r="H137" s="697"/>
      <c r="I137" s="697"/>
      <c r="J137" s="697"/>
      <c r="K137" s="697"/>
      <c r="L137" s="697"/>
      <c r="M137" s="793"/>
      <c r="N137" s="793"/>
      <c r="O137" s="692">
        <f t="shared" si="39"/>
        <v>0</v>
      </c>
      <c r="P137" s="840">
        <f t="shared" si="34"/>
        <v>0</v>
      </c>
      <c r="Q137" s="865">
        <f t="shared" si="36"/>
        <v>1</v>
      </c>
      <c r="R137" s="886">
        <f>O137*$AA$35</f>
        <v>0</v>
      </c>
      <c r="S137" s="837">
        <f>O137*$AB$35</f>
        <v>0</v>
      </c>
      <c r="T137" s="837">
        <f>O137*$AC$35</f>
        <v>0</v>
      </c>
      <c r="U137" s="837">
        <f>O137*$AD$35</f>
        <v>0</v>
      </c>
      <c r="V137" s="837">
        <f>O137*$AE$35</f>
        <v>0</v>
      </c>
      <c r="W137" s="837">
        <f>O137*$AF$35</f>
        <v>0</v>
      </c>
      <c r="X137" s="853">
        <f t="shared" si="38"/>
        <v>1521.527690354817</v>
      </c>
    </row>
    <row r="138" spans="3:24" hidden="1">
      <c r="C138" s="1169"/>
      <c r="D138" s="837" t="s">
        <v>304</v>
      </c>
      <c r="E138" s="838">
        <v>1238941.7131009183</v>
      </c>
      <c r="F138" s="839">
        <v>511996.55675779848</v>
      </c>
      <c r="G138" s="692">
        <v>56731</v>
      </c>
      <c r="H138" s="697">
        <v>7120</v>
      </c>
      <c r="I138" s="697">
        <v>14350</v>
      </c>
      <c r="J138" s="697">
        <v>6804</v>
      </c>
      <c r="K138" s="697"/>
      <c r="L138" s="697"/>
      <c r="M138" s="793">
        <v>34556</v>
      </c>
      <c r="N138" s="793">
        <v>47568</v>
      </c>
      <c r="O138" s="692">
        <f t="shared" si="39"/>
        <v>167129</v>
      </c>
      <c r="P138" s="840">
        <f t="shared" si="34"/>
        <v>0.32642602336691273</v>
      </c>
      <c r="Q138" s="865">
        <f t="shared" si="36"/>
        <v>0.67357397663308727</v>
      </c>
      <c r="R138" s="886">
        <f>O138*$AA$36</f>
        <v>79210.988187289797</v>
      </c>
      <c r="S138" s="837">
        <f>O138*$AB$36</f>
        <v>87918.011812710203</v>
      </c>
      <c r="T138" s="837">
        <f>O138*$AC$36</f>
        <v>61348.513005245353</v>
      </c>
      <c r="U138" s="837">
        <f>O138*$AD$36</f>
        <v>91079.904859284376</v>
      </c>
      <c r="V138" s="837">
        <f>O138*$AE$36</f>
        <v>14700.582135470298</v>
      </c>
      <c r="W138" s="837">
        <f>O138*$AF$36</f>
        <v>28989.82657652635</v>
      </c>
      <c r="X138" s="853">
        <f t="shared" si="38"/>
        <v>344867.55675779848</v>
      </c>
    </row>
    <row r="139" spans="3:24" hidden="1">
      <c r="C139" s="1169"/>
      <c r="D139" s="837" t="s">
        <v>2779</v>
      </c>
      <c r="E139" s="838">
        <v>271284.15577125904</v>
      </c>
      <c r="F139" s="839">
        <v>77121.038942814761</v>
      </c>
      <c r="G139" s="692"/>
      <c r="H139" s="697">
        <v>193</v>
      </c>
      <c r="I139" s="697"/>
      <c r="J139" s="697"/>
      <c r="K139" s="697"/>
      <c r="L139" s="697"/>
      <c r="M139" s="793"/>
      <c r="N139" s="793"/>
      <c r="O139" s="692">
        <f t="shared" si="39"/>
        <v>193</v>
      </c>
      <c r="P139" s="840">
        <f t="shared" si="34"/>
        <v>2.5025596470907175E-3</v>
      </c>
      <c r="Q139" s="865">
        <f t="shared" si="36"/>
        <v>0.99749744035290933</v>
      </c>
      <c r="R139" s="886">
        <f>O139*$AA$37</f>
        <v>91.926409294060704</v>
      </c>
      <c r="S139" s="837">
        <f>O139*$AB$37</f>
        <v>101.0735907059393</v>
      </c>
      <c r="T139" s="837">
        <f>O139*$AC$37</f>
        <v>65.92544636058453</v>
      </c>
      <c r="U139" s="837">
        <f>O139*$AD$37</f>
        <v>110.83733473142686</v>
      </c>
      <c r="V139" s="837">
        <f>O139*$AE$37</f>
        <v>16.237218907988535</v>
      </c>
      <c r="W139" s="837">
        <f>O139*$AF$37</f>
        <v>18.554524186932028</v>
      </c>
      <c r="X139" s="853">
        <f t="shared" si="38"/>
        <v>76928.038942814761</v>
      </c>
    </row>
    <row r="140" spans="3:24" hidden="1">
      <c r="C140" s="1169"/>
      <c r="D140" s="837" t="s">
        <v>2780</v>
      </c>
      <c r="E140" s="838">
        <v>43761.672559015518</v>
      </c>
      <c r="F140" s="839">
        <v>7658.2926978277155</v>
      </c>
      <c r="G140" s="692"/>
      <c r="H140" s="697"/>
      <c r="I140" s="697"/>
      <c r="J140" s="697"/>
      <c r="K140" s="697"/>
      <c r="L140" s="697"/>
      <c r="M140" s="793"/>
      <c r="N140" s="793"/>
      <c r="O140" s="692">
        <f t="shared" si="39"/>
        <v>0</v>
      </c>
      <c r="P140" s="840">
        <f t="shared" si="34"/>
        <v>0</v>
      </c>
      <c r="Q140" s="865">
        <f t="shared" si="36"/>
        <v>1</v>
      </c>
      <c r="R140" s="886">
        <f>O140*$AA$38</f>
        <v>0</v>
      </c>
      <c r="S140" s="837">
        <f>O140*$AB$38</f>
        <v>0</v>
      </c>
      <c r="T140" s="837">
        <f>O140*$AC$38</f>
        <v>0</v>
      </c>
      <c r="U140" s="837">
        <f>O140*$AD$38</f>
        <v>0</v>
      </c>
      <c r="V140" s="837">
        <f>O140*$AE$38</f>
        <v>0</v>
      </c>
      <c r="W140" s="837">
        <f>O140*$AF$38</f>
        <v>0</v>
      </c>
      <c r="X140" s="853">
        <f t="shared" si="38"/>
        <v>7658.2926978277155</v>
      </c>
    </row>
    <row r="141" spans="3:24">
      <c r="C141" s="1169"/>
      <c r="D141" s="837" t="s">
        <v>515</v>
      </c>
      <c r="E141" s="838">
        <v>154523.3477130745</v>
      </c>
      <c r="F141" s="839">
        <v>46355.336928268625</v>
      </c>
      <c r="G141" s="692">
        <f>J3</f>
        <v>6768</v>
      </c>
      <c r="H141" s="697">
        <v>10151</v>
      </c>
      <c r="I141" s="697"/>
      <c r="J141" s="697"/>
      <c r="K141" s="697"/>
      <c r="L141" s="697"/>
      <c r="M141" s="793"/>
      <c r="N141" s="793"/>
      <c r="O141" s="692">
        <f t="shared" si="39"/>
        <v>16919</v>
      </c>
      <c r="P141" s="840">
        <f t="shared" si="34"/>
        <v>0.36498494285956484</v>
      </c>
      <c r="Q141" s="865">
        <f t="shared" si="36"/>
        <v>0.63501505714043516</v>
      </c>
      <c r="R141" s="886">
        <f>O141*$AA$39</f>
        <v>8462.1137356140553</v>
      </c>
      <c r="S141" s="837">
        <f>O141*$AB$39</f>
        <v>8456.8862643859447</v>
      </c>
      <c r="T141" s="837">
        <f>O141*$AC$39</f>
        <v>6428.6530928681086</v>
      </c>
      <c r="U141" s="837">
        <f>O141*$AD$39</f>
        <v>9508.8591605155652</v>
      </c>
      <c r="V141" s="837">
        <f>O141*$AE$39</f>
        <v>981.48774661632194</v>
      </c>
      <c r="W141" s="837">
        <f>O141*$AF$39</f>
        <v>1458.7232008769363</v>
      </c>
      <c r="X141" s="853">
        <f t="shared" si="38"/>
        <v>29436.336928268625</v>
      </c>
    </row>
    <row r="142" spans="3:24" hidden="1">
      <c r="C142" s="1169"/>
      <c r="D142" s="837" t="s">
        <v>2710</v>
      </c>
      <c r="E142" s="838">
        <v>134852.16996020486</v>
      </c>
      <c r="F142" s="839">
        <v>41304.042490051215</v>
      </c>
      <c r="G142" s="692"/>
      <c r="H142" s="697">
        <v>1530</v>
      </c>
      <c r="I142" s="697"/>
      <c r="J142" s="697"/>
      <c r="K142" s="697"/>
      <c r="L142" s="697"/>
      <c r="M142" s="793"/>
      <c r="N142" s="793"/>
      <c r="O142" s="692">
        <f t="shared" si="39"/>
        <v>1530</v>
      </c>
      <c r="P142" s="840">
        <f t="shared" si="34"/>
        <v>3.7042379093245571E-2</v>
      </c>
      <c r="Q142" s="865">
        <f t="shared" si="36"/>
        <v>0.96295762090675441</v>
      </c>
      <c r="R142" s="886">
        <f>O142*$AA$40</f>
        <v>759.02843029308656</v>
      </c>
      <c r="S142" s="837">
        <f>O142*$AB$40</f>
        <v>770.97156970691344</v>
      </c>
      <c r="T142" s="837">
        <f>O142*$AC$40</f>
        <v>581.34873409115244</v>
      </c>
      <c r="U142" s="837">
        <f>O142*$AD$40</f>
        <v>859.89446867952097</v>
      </c>
      <c r="V142" s="837">
        <f>O142*$AE$40</f>
        <v>88.756797229326352</v>
      </c>
      <c r="W142" s="837">
        <f>O142*$AF$40</f>
        <v>131.91361766899416</v>
      </c>
      <c r="X142" s="853">
        <f t="shared" si="38"/>
        <v>39774.042490051215</v>
      </c>
    </row>
    <row r="143" spans="3:24" hidden="1">
      <c r="C143" s="1169"/>
      <c r="D143" s="837" t="s">
        <v>2781</v>
      </c>
      <c r="E143" s="838">
        <v>35261.775049483891</v>
      </c>
      <c r="F143" s="839">
        <v>14567.210019793558</v>
      </c>
      <c r="G143" s="692"/>
      <c r="H143" s="697"/>
      <c r="I143" s="697"/>
      <c r="J143" s="697"/>
      <c r="K143" s="697"/>
      <c r="L143" s="697"/>
      <c r="M143" s="793"/>
      <c r="N143" s="793"/>
      <c r="O143" s="692">
        <f t="shared" si="39"/>
        <v>0</v>
      </c>
      <c r="P143" s="840">
        <f t="shared" si="34"/>
        <v>0</v>
      </c>
      <c r="Q143" s="865">
        <f t="shared" si="36"/>
        <v>1</v>
      </c>
      <c r="R143" s="886">
        <f>O143*$AA$41</f>
        <v>0</v>
      </c>
      <c r="S143" s="837">
        <f>O143*$AB$41</f>
        <v>0</v>
      </c>
      <c r="T143" s="837">
        <f>O143*$AC$41</f>
        <v>0</v>
      </c>
      <c r="U143" s="837">
        <f>O143*$AD$41</f>
        <v>0</v>
      </c>
      <c r="V143" s="837">
        <f>O143*$AE$41</f>
        <v>0</v>
      </c>
      <c r="W143" s="837">
        <f>O143*$AF$41</f>
        <v>0</v>
      </c>
      <c r="X143" s="853">
        <f t="shared" si="38"/>
        <v>14567.210019793558</v>
      </c>
    </row>
    <row r="144" spans="3:24" hidden="1">
      <c r="C144" s="1169"/>
      <c r="D144" s="837" t="s">
        <v>2782</v>
      </c>
      <c r="E144" s="838">
        <v>727743.63049268548</v>
      </c>
      <c r="F144" s="839">
        <v>72774.363049268548</v>
      </c>
      <c r="G144" s="692"/>
      <c r="H144" s="697"/>
      <c r="I144" s="697"/>
      <c r="J144" s="697"/>
      <c r="K144" s="697">
        <v>5883</v>
      </c>
      <c r="L144" s="697"/>
      <c r="M144" s="793"/>
      <c r="N144" s="793"/>
      <c r="O144" s="692">
        <f t="shared" si="39"/>
        <v>5883</v>
      </c>
      <c r="P144" s="840">
        <f t="shared" si="34"/>
        <v>8.0838907459996376E-2</v>
      </c>
      <c r="Q144" s="865">
        <f t="shared" si="36"/>
        <v>0.91916109254000367</v>
      </c>
      <c r="R144" s="886">
        <f>O144*$AA$42</f>
        <v>2828.0039069287509</v>
      </c>
      <c r="S144" s="837">
        <f>O144*$AB$42</f>
        <v>3054.9960930712491</v>
      </c>
      <c r="T144" s="837">
        <f>O144*$AC$42</f>
        <v>1704.5107782503935</v>
      </c>
      <c r="U144" s="837">
        <f>O144*$AD$42</f>
        <v>3713.795791244394</v>
      </c>
      <c r="V144" s="837">
        <f>O144*$AE$42</f>
        <v>464.69343050521167</v>
      </c>
      <c r="W144" s="837">
        <f>O144*$AF$42</f>
        <v>731.22868219419433</v>
      </c>
      <c r="X144" s="853">
        <f t="shared" si="38"/>
        <v>66891.363049268548</v>
      </c>
    </row>
    <row r="145" spans="3:24" s="613" customFormat="1" ht="23.55" hidden="1" customHeight="1">
      <c r="C145" s="1170"/>
      <c r="D145" s="843" t="s">
        <v>1488</v>
      </c>
      <c r="E145" s="844">
        <f t="shared" ref="E145:O145" si="40">SUM(E127:E144)</f>
        <v>5464902.8974086875</v>
      </c>
      <c r="F145" s="844">
        <f t="shared" si="40"/>
        <v>1317324.9016123444</v>
      </c>
      <c r="G145" s="845">
        <f t="shared" si="40"/>
        <v>138238</v>
      </c>
      <c r="H145" s="844">
        <f t="shared" si="40"/>
        <v>42573</v>
      </c>
      <c r="I145" s="844">
        <f t="shared" si="40"/>
        <v>16771</v>
      </c>
      <c r="J145" s="844">
        <f t="shared" si="40"/>
        <v>6804</v>
      </c>
      <c r="K145" s="844">
        <f t="shared" si="40"/>
        <v>30514</v>
      </c>
      <c r="L145" s="844">
        <f t="shared" si="40"/>
        <v>0</v>
      </c>
      <c r="M145" s="844">
        <f t="shared" si="40"/>
        <v>34556</v>
      </c>
      <c r="N145" s="846">
        <f t="shared" si="40"/>
        <v>47568</v>
      </c>
      <c r="O145" s="847">
        <f t="shared" si="40"/>
        <v>317024</v>
      </c>
      <c r="P145" s="848">
        <f t="shared" si="34"/>
        <v>0.2406574107966663</v>
      </c>
      <c r="Q145" s="866">
        <f t="shared" si="36"/>
        <v>0.75934258920333364</v>
      </c>
      <c r="R145" s="887">
        <f t="shared" ref="R145:W145" si="41">SUM(R127:R144)</f>
        <v>154520.13038208935</v>
      </c>
      <c r="S145" s="849">
        <f t="shared" si="41"/>
        <v>162503.86961791065</v>
      </c>
      <c r="T145" s="849">
        <f t="shared" si="41"/>
        <v>117868.48579974027</v>
      </c>
      <c r="U145" s="849">
        <f t="shared" si="41"/>
        <v>175314.81348837799</v>
      </c>
      <c r="V145" s="849">
        <f t="shared" si="41"/>
        <v>23840.700711881746</v>
      </c>
      <c r="W145" s="849">
        <f t="shared" si="41"/>
        <v>46129.751141956345</v>
      </c>
      <c r="X145" s="888">
        <f>SUM(X127:X144)</f>
        <v>1000300.9016123444</v>
      </c>
    </row>
    <row r="146" spans="3:24" hidden="1">
      <c r="C146" s="1168" t="s">
        <v>2876</v>
      </c>
      <c r="D146" s="837" t="s">
        <v>2771</v>
      </c>
      <c r="E146" s="838">
        <v>71297.247022932934</v>
      </c>
      <c r="F146" s="839">
        <v>11242.08705343994</v>
      </c>
      <c r="G146" s="692"/>
      <c r="H146" s="697">
        <v>3289</v>
      </c>
      <c r="I146" s="697"/>
      <c r="J146" s="697"/>
      <c r="K146" s="697"/>
      <c r="L146" s="697"/>
      <c r="M146" s="697"/>
      <c r="N146" s="793"/>
      <c r="O146" s="692">
        <f>SUM(G146:N146)</f>
        <v>3289</v>
      </c>
      <c r="P146" s="840">
        <f t="shared" si="34"/>
        <v>0.29256133530771822</v>
      </c>
      <c r="Q146" s="865">
        <f t="shared" si="36"/>
        <v>0.70743866469228178</v>
      </c>
      <c r="R146" s="886">
        <f>O146*$AA$25</f>
        <v>1576.1310271639995</v>
      </c>
      <c r="S146" s="837">
        <f>O146*$AB$25</f>
        <v>1712.8689728360005</v>
      </c>
      <c r="T146" s="837">
        <f>O146*$AC$25</f>
        <v>1207.1650915866635</v>
      </c>
      <c r="U146" s="837">
        <f>O146*$AD$25</f>
        <v>1789.6277795923177</v>
      </c>
      <c r="V146" s="837">
        <f>O146*$AE$25</f>
        <v>292.20712882101924</v>
      </c>
      <c r="W146" s="837">
        <f>O146*$AF$25</f>
        <v>500.83930793208884</v>
      </c>
      <c r="X146" s="853">
        <f t="shared" ref="X146:X163" si="42">F146-O146</f>
        <v>7953.0870534399401</v>
      </c>
    </row>
    <row r="147" spans="3:24" hidden="1">
      <c r="C147" s="1169"/>
      <c r="D147" s="837" t="s">
        <v>2772</v>
      </c>
      <c r="E147" s="838">
        <v>1282240.102078954</v>
      </c>
      <c r="F147" s="839">
        <v>64112.005103947704</v>
      </c>
      <c r="G147" s="692"/>
      <c r="H147" s="697"/>
      <c r="I147" s="697"/>
      <c r="J147" s="697"/>
      <c r="K147" s="697"/>
      <c r="L147" s="697"/>
      <c r="M147" s="697"/>
      <c r="N147" s="793"/>
      <c r="O147" s="692">
        <f t="shared" ref="O147:O163" si="43">SUM(G147:N147)</f>
        <v>0</v>
      </c>
      <c r="P147" s="840">
        <f t="shared" si="34"/>
        <v>0</v>
      </c>
      <c r="Q147" s="865">
        <f t="shared" si="36"/>
        <v>1</v>
      </c>
      <c r="R147" s="886">
        <f>O147*$AA$26</f>
        <v>0</v>
      </c>
      <c r="S147" s="837">
        <f>O147*$AB$26</f>
        <v>0</v>
      </c>
      <c r="T147" s="837">
        <f>O147*$AC$26</f>
        <v>0</v>
      </c>
      <c r="U147" s="837">
        <f>O147*$AD$26</f>
        <v>0</v>
      </c>
      <c r="V147" s="837">
        <f>O147*$AE$26</f>
        <v>0</v>
      </c>
      <c r="W147" s="837">
        <f>O147*$AF$26</f>
        <v>0</v>
      </c>
      <c r="X147" s="853">
        <f t="shared" si="42"/>
        <v>64112.005103947704</v>
      </c>
    </row>
    <row r="148" spans="3:24" hidden="1">
      <c r="C148" s="1169"/>
      <c r="D148" s="837" t="s">
        <v>2773</v>
      </c>
      <c r="E148" s="838">
        <v>207170.43402654651</v>
      </c>
      <c r="F148" s="839">
        <v>63407.63020796395</v>
      </c>
      <c r="G148" s="692"/>
      <c r="H148" s="697"/>
      <c r="I148" s="697"/>
      <c r="J148" s="697"/>
      <c r="K148" s="697"/>
      <c r="L148" s="697"/>
      <c r="M148" s="697"/>
      <c r="N148" s="793"/>
      <c r="O148" s="692">
        <f t="shared" si="43"/>
        <v>0</v>
      </c>
      <c r="P148" s="840">
        <f t="shared" si="34"/>
        <v>0</v>
      </c>
      <c r="Q148" s="865">
        <f t="shared" si="36"/>
        <v>1</v>
      </c>
      <c r="R148" s="886">
        <f>O148*$AA$27</f>
        <v>0</v>
      </c>
      <c r="S148" s="837">
        <f>O148*$AB$27</f>
        <v>0</v>
      </c>
      <c r="T148" s="837">
        <f>O148*$AC$27</f>
        <v>0</v>
      </c>
      <c r="U148" s="837">
        <f>O148*$AD$27</f>
        <v>0</v>
      </c>
      <c r="V148" s="837">
        <f>O148*$AE$27</f>
        <v>0</v>
      </c>
      <c r="W148" s="837">
        <f>O148*$AF$27</f>
        <v>0</v>
      </c>
      <c r="X148" s="853">
        <f t="shared" si="42"/>
        <v>63407.63020796395</v>
      </c>
    </row>
    <row r="149" spans="3:24" hidden="1">
      <c r="C149" s="1169"/>
      <c r="D149" s="837" t="s">
        <v>2774</v>
      </c>
      <c r="E149" s="838">
        <v>138015.13245792579</v>
      </c>
      <c r="F149" s="839">
        <v>20702.269868688869</v>
      </c>
      <c r="G149" s="692"/>
      <c r="H149" s="841"/>
      <c r="I149" s="841"/>
      <c r="J149" s="841"/>
      <c r="K149" s="841"/>
      <c r="L149" s="841"/>
      <c r="M149" s="697"/>
      <c r="N149" s="793"/>
      <c r="O149" s="692">
        <f t="shared" si="43"/>
        <v>0</v>
      </c>
      <c r="P149" s="840">
        <f t="shared" si="34"/>
        <v>0</v>
      </c>
      <c r="Q149" s="865">
        <f t="shared" si="36"/>
        <v>1</v>
      </c>
      <c r="R149" s="886">
        <f>O149*$AA$28</f>
        <v>0</v>
      </c>
      <c r="S149" s="837">
        <f>O149*$AB$28</f>
        <v>0</v>
      </c>
      <c r="T149" s="837">
        <f>O149*$AC$28</f>
        <v>0</v>
      </c>
      <c r="U149" s="837">
        <f>O149*$AD$28</f>
        <v>0</v>
      </c>
      <c r="V149" s="837">
        <f>O149*$AE$28</f>
        <v>0</v>
      </c>
      <c r="W149" s="837">
        <f>O149*$AF$28</f>
        <v>0</v>
      </c>
      <c r="X149" s="853">
        <f t="shared" si="42"/>
        <v>20702.269868688869</v>
      </c>
    </row>
    <row r="150" spans="3:24" hidden="1">
      <c r="C150" s="1169"/>
      <c r="D150" s="837" t="s">
        <v>613</v>
      </c>
      <c r="E150" s="838">
        <v>100473.89970888238</v>
      </c>
      <c r="F150" s="839">
        <v>41053.169912664715</v>
      </c>
      <c r="G150" s="692"/>
      <c r="H150" s="841">
        <v>7775</v>
      </c>
      <c r="I150" s="841"/>
      <c r="J150" s="841"/>
      <c r="K150" s="697">
        <f>13246+20</f>
        <v>13266</v>
      </c>
      <c r="L150" s="841"/>
      <c r="M150" s="697"/>
      <c r="N150" s="793"/>
      <c r="O150" s="692">
        <f t="shared" si="43"/>
        <v>21041</v>
      </c>
      <c r="P150" s="840">
        <f t="shared" si="34"/>
        <v>0.51253045854344481</v>
      </c>
      <c r="Q150" s="865">
        <f t="shared" si="36"/>
        <v>0.48746954145655519</v>
      </c>
      <c r="R150" s="886">
        <f>O150*$AA$29</f>
        <v>10093.403503607738</v>
      </c>
      <c r="S150" s="837">
        <f>O150*$AB$29</f>
        <v>10947.596496392262</v>
      </c>
      <c r="T150" s="837">
        <f>O150*$AC$29</f>
        <v>9716.9402632826586</v>
      </c>
      <c r="U150" s="837">
        <f>O150*$AD$29</f>
        <v>9940.577325444181</v>
      </c>
      <c r="V150" s="837">
        <f>O150*$AE$29</f>
        <v>1383.4824112731594</v>
      </c>
      <c r="W150" s="837">
        <f>O150*$AF$29</f>
        <v>4340.6974522219743</v>
      </c>
      <c r="X150" s="853">
        <f t="shared" si="42"/>
        <v>20012.169912664715</v>
      </c>
    </row>
    <row r="151" spans="3:24" hidden="1">
      <c r="C151" s="1169"/>
      <c r="D151" s="837" t="s">
        <v>37</v>
      </c>
      <c r="E151" s="838">
        <v>186093.36070325039</v>
      </c>
      <c r="F151" s="839">
        <v>126038.34428130016</v>
      </c>
      <c r="G151" s="692">
        <f>I2</f>
        <v>55703</v>
      </c>
      <c r="H151" s="841">
        <v>1605</v>
      </c>
      <c r="I151" s="841">
        <v>4180</v>
      </c>
      <c r="J151" s="841"/>
      <c r="K151" s="841"/>
      <c r="L151" s="841"/>
      <c r="M151" s="697"/>
      <c r="N151" s="793"/>
      <c r="O151" s="692">
        <f t="shared" si="43"/>
        <v>61488</v>
      </c>
      <c r="P151" s="840">
        <f t="shared" si="34"/>
        <v>0.48785153717004792</v>
      </c>
      <c r="Q151" s="865">
        <f t="shared" si="36"/>
        <v>0.51214846282995208</v>
      </c>
      <c r="R151" s="886">
        <f>O151*$AA$30</f>
        <v>31349.468046155918</v>
      </c>
      <c r="S151" s="837">
        <f>O151*$AB$30</f>
        <v>30138.531953844082</v>
      </c>
      <c r="T151" s="837">
        <f>O151*$AC$30</f>
        <v>22141.67743804786</v>
      </c>
      <c r="U151" s="837">
        <f>O151*$AD$30</f>
        <v>35964.716673129056</v>
      </c>
      <c r="V151" s="837">
        <f>O151*$AE$30</f>
        <v>3381.6058888230814</v>
      </c>
      <c r="W151" s="837">
        <f>O151*$AF$30</f>
        <v>5471.0556596439237</v>
      </c>
      <c r="X151" s="853">
        <f t="shared" si="42"/>
        <v>64550.34428130016</v>
      </c>
    </row>
    <row r="152" spans="3:24" hidden="1">
      <c r="C152" s="1169"/>
      <c r="D152" s="837" t="s">
        <v>2775</v>
      </c>
      <c r="E152" s="838">
        <v>100307.37004541785</v>
      </c>
      <c r="F152" s="839">
        <v>80234.448018167139</v>
      </c>
      <c r="G152" s="692"/>
      <c r="H152" s="841">
        <v>30007</v>
      </c>
      <c r="I152" s="841"/>
      <c r="J152" s="841"/>
      <c r="K152" s="841"/>
      <c r="L152" s="841"/>
      <c r="M152" s="697"/>
      <c r="N152" s="793"/>
      <c r="O152" s="692">
        <f t="shared" si="43"/>
        <v>30007</v>
      </c>
      <c r="P152" s="840">
        <f t="shared" si="34"/>
        <v>0.37399148048236891</v>
      </c>
      <c r="Q152" s="865">
        <f t="shared" si="36"/>
        <v>0.62600851951763103</v>
      </c>
      <c r="R152" s="886">
        <f>O152*$AA$31</f>
        <v>15455.917376820018</v>
      </c>
      <c r="S152" s="837">
        <f>O152*$AB$31</f>
        <v>14551.082623179984</v>
      </c>
      <c r="T152" s="837">
        <f>O152*$AC$31</f>
        <v>12157.029407557557</v>
      </c>
      <c r="U152" s="837">
        <f>O152*$AD$31</f>
        <v>16281.608690039669</v>
      </c>
      <c r="V152" s="837">
        <f>O152*$AE$31</f>
        <v>1568.3619024027744</v>
      </c>
      <c r="W152" s="837">
        <f>O152*$AF$31</f>
        <v>3250.3264725386039</v>
      </c>
      <c r="X152" s="853">
        <f t="shared" si="42"/>
        <v>50227.448018167139</v>
      </c>
    </row>
    <row r="153" spans="3:24" hidden="1">
      <c r="C153" s="1169"/>
      <c r="D153" s="837" t="s">
        <v>2361</v>
      </c>
      <c r="E153" s="838">
        <v>97411.788139174037</v>
      </c>
      <c r="F153" s="839">
        <v>68576.715255669609</v>
      </c>
      <c r="G153" s="692"/>
      <c r="H153" s="841">
        <v>62902</v>
      </c>
      <c r="I153" s="841"/>
      <c r="J153" s="841"/>
      <c r="K153" s="841"/>
      <c r="L153" s="841"/>
      <c r="M153" s="697"/>
      <c r="N153" s="793"/>
      <c r="O153" s="692">
        <f t="shared" si="43"/>
        <v>62902</v>
      </c>
      <c r="P153" s="840">
        <f t="shared" si="34"/>
        <v>0.91725011566224801</v>
      </c>
      <c r="Q153" s="865">
        <f t="shared" si="36"/>
        <v>8.2749884337751989E-2</v>
      </c>
      <c r="R153" s="886">
        <f>O153*$AA$32</f>
        <v>31209.297916224423</v>
      </c>
      <c r="S153" s="837">
        <f>O153*$AB$32</f>
        <v>31692.702083775577</v>
      </c>
      <c r="T153" s="837">
        <f>O153*$AC$32</f>
        <v>25933.758262504271</v>
      </c>
      <c r="U153" s="837">
        <f>O153*$AD$32</f>
        <v>32537.413293395181</v>
      </c>
      <c r="V153" s="837">
        <f>O153*$AE$32</f>
        <v>4430.828444100548</v>
      </c>
      <c r="W153" s="837">
        <f>O153*$AF$32</f>
        <v>10461.422013631687</v>
      </c>
      <c r="X153" s="853">
        <f t="shared" si="42"/>
        <v>5674.7152556696092</v>
      </c>
    </row>
    <row r="154" spans="3:24" hidden="1">
      <c r="C154" s="1169"/>
      <c r="D154" s="837" t="s">
        <v>2776</v>
      </c>
      <c r="E154" s="838">
        <v>308281.36095731339</v>
      </c>
      <c r="F154" s="839">
        <v>51819.20414359701</v>
      </c>
      <c r="G154" s="692"/>
      <c r="H154" s="841"/>
      <c r="I154" s="841"/>
      <c r="J154" s="841"/>
      <c r="K154" s="841"/>
      <c r="L154" s="841"/>
      <c r="M154" s="697"/>
      <c r="N154" s="793"/>
      <c r="O154" s="692">
        <f t="shared" si="43"/>
        <v>0</v>
      </c>
      <c r="P154" s="840">
        <f t="shared" si="34"/>
        <v>0</v>
      </c>
      <c r="Q154" s="865">
        <f t="shared" si="36"/>
        <v>1</v>
      </c>
      <c r="R154" s="886">
        <f>O154*$AA$33</f>
        <v>0</v>
      </c>
      <c r="S154" s="837">
        <f>O154*$AB$33</f>
        <v>0</v>
      </c>
      <c r="T154" s="837">
        <f>O154*$AC$33</f>
        <v>0</v>
      </c>
      <c r="U154" s="837">
        <f>O154*$AD$33</f>
        <v>0</v>
      </c>
      <c r="V154" s="837">
        <f>O154*$AE$33</f>
        <v>0</v>
      </c>
      <c r="W154" s="837">
        <f>O154*$AF$33</f>
        <v>0</v>
      </c>
      <c r="X154" s="853">
        <f t="shared" si="42"/>
        <v>51819.20414359701</v>
      </c>
    </row>
    <row r="155" spans="3:24" hidden="1">
      <c r="C155" s="1169"/>
      <c r="D155" s="837" t="s">
        <v>2777</v>
      </c>
      <c r="E155" s="838">
        <v>336813.18381455197</v>
      </c>
      <c r="F155" s="839">
        <v>16840.659190727598</v>
      </c>
      <c r="G155" s="692"/>
      <c r="H155" s="841"/>
      <c r="I155" s="841"/>
      <c r="J155" s="841"/>
      <c r="K155" s="841"/>
      <c r="L155" s="841"/>
      <c r="M155" s="697"/>
      <c r="N155" s="793"/>
      <c r="O155" s="692">
        <f t="shared" si="43"/>
        <v>0</v>
      </c>
      <c r="P155" s="840">
        <f t="shared" si="34"/>
        <v>0</v>
      </c>
      <c r="Q155" s="865">
        <f t="shared" si="36"/>
        <v>1</v>
      </c>
      <c r="R155" s="886">
        <f>O155*$AA$34</f>
        <v>0</v>
      </c>
      <c r="S155" s="837">
        <f>O155*$AB$34</f>
        <v>0</v>
      </c>
      <c r="T155" s="837">
        <f>O155*$AC$34</f>
        <v>0</v>
      </c>
      <c r="U155" s="837">
        <f>O155*$AD$34</f>
        <v>0</v>
      </c>
      <c r="V155" s="837">
        <f>O155*$AE$34</f>
        <v>0</v>
      </c>
      <c r="W155" s="837">
        <f>O155*$AF$34</f>
        <v>0</v>
      </c>
      <c r="X155" s="853">
        <f t="shared" si="42"/>
        <v>16840.659190727598</v>
      </c>
    </row>
    <row r="156" spans="3:24" hidden="1">
      <c r="C156" s="1169"/>
      <c r="D156" s="837" t="s">
        <v>2778</v>
      </c>
      <c r="E156" s="838">
        <v>30430.553807096338</v>
      </c>
      <c r="F156" s="839">
        <v>1521.527690354817</v>
      </c>
      <c r="G156" s="692"/>
      <c r="H156" s="697"/>
      <c r="I156" s="697"/>
      <c r="J156" s="697"/>
      <c r="K156" s="697"/>
      <c r="L156" s="697"/>
      <c r="M156" s="697"/>
      <c r="N156" s="793"/>
      <c r="O156" s="692">
        <f t="shared" si="43"/>
        <v>0</v>
      </c>
      <c r="P156" s="840">
        <f t="shared" si="34"/>
        <v>0</v>
      </c>
      <c r="Q156" s="865">
        <f t="shared" si="36"/>
        <v>1</v>
      </c>
      <c r="R156" s="886">
        <f>O156*$AA$35</f>
        <v>0</v>
      </c>
      <c r="S156" s="837">
        <f>O156*$AB$35</f>
        <v>0</v>
      </c>
      <c r="T156" s="837">
        <f>O156*$AC$35</f>
        <v>0</v>
      </c>
      <c r="U156" s="837">
        <f>O156*$AD$35</f>
        <v>0</v>
      </c>
      <c r="V156" s="837">
        <f>O156*$AE$35</f>
        <v>0</v>
      </c>
      <c r="W156" s="837">
        <f>O156*$AF$35</f>
        <v>0</v>
      </c>
      <c r="X156" s="853">
        <f t="shared" si="42"/>
        <v>1521.527690354817</v>
      </c>
    </row>
    <row r="157" spans="3:24" hidden="1">
      <c r="C157" s="1169"/>
      <c r="D157" s="837" t="s">
        <v>304</v>
      </c>
      <c r="E157" s="838">
        <v>1238941.7131009183</v>
      </c>
      <c r="F157" s="839">
        <v>511996.55675779848</v>
      </c>
      <c r="G157" s="692">
        <v>116925.77402674592</v>
      </c>
      <c r="H157" s="697">
        <v>40163</v>
      </c>
      <c r="I157" s="697">
        <v>35054</v>
      </c>
      <c r="J157" s="697">
        <v>7817</v>
      </c>
      <c r="K157" s="697"/>
      <c r="L157" s="697">
        <v>120111</v>
      </c>
      <c r="M157" s="697">
        <v>34556</v>
      </c>
      <c r="N157" s="793">
        <v>47568</v>
      </c>
      <c r="O157" s="692">
        <f t="shared" si="43"/>
        <v>402194.77402674593</v>
      </c>
      <c r="P157" s="840">
        <f t="shared" si="34"/>
        <v>0.78554195085535583</v>
      </c>
      <c r="Q157" s="865">
        <f t="shared" si="36"/>
        <v>0.21445804914464417</v>
      </c>
      <c r="R157" s="886">
        <f>O157*$AA$36</f>
        <v>190620.69116923012</v>
      </c>
      <c r="S157" s="837">
        <f>O157*$AB$36</f>
        <v>211574.08285751581</v>
      </c>
      <c r="T157" s="837">
        <f>O157*$AC$36</f>
        <v>147634.76910064404</v>
      </c>
      <c r="U157" s="837">
        <f>O157*$AD$36</f>
        <v>219183.15644356993</v>
      </c>
      <c r="V157" s="837">
        <f>O157*$AE$36</f>
        <v>35376.848482532027</v>
      </c>
      <c r="W157" s="837">
        <f>O157*$AF$36</f>
        <v>69763.815669456337</v>
      </c>
      <c r="X157" s="853">
        <f t="shared" si="42"/>
        <v>109801.78273105255</v>
      </c>
    </row>
    <row r="158" spans="3:24" hidden="1">
      <c r="C158" s="1169"/>
      <c r="D158" s="837" t="s">
        <v>2779</v>
      </c>
      <c r="E158" s="838">
        <v>271284.15577125904</v>
      </c>
      <c r="F158" s="839">
        <v>77121.038942814761</v>
      </c>
      <c r="G158" s="692"/>
      <c r="H158" s="697">
        <v>30294</v>
      </c>
      <c r="I158" s="697"/>
      <c r="J158" s="697"/>
      <c r="K158" s="697"/>
      <c r="L158" s="697"/>
      <c r="M158" s="697"/>
      <c r="N158" s="793"/>
      <c r="O158" s="692">
        <f t="shared" si="43"/>
        <v>30294</v>
      </c>
      <c r="P158" s="840">
        <f t="shared" si="34"/>
        <v>0.39281109818117205</v>
      </c>
      <c r="Q158" s="865">
        <f t="shared" si="36"/>
        <v>0.6071889018188279</v>
      </c>
      <c r="R158" s="886">
        <f>O158*$AA$37</f>
        <v>14429.112140695726</v>
      </c>
      <c r="S158" s="837">
        <f>O158*$AB$37</f>
        <v>15864.887859304274</v>
      </c>
      <c r="T158" s="837">
        <f>O158*$AC$37</f>
        <v>10347.904000246361</v>
      </c>
      <c r="U158" s="837">
        <f>O158*$AD$37</f>
        <v>17397.441545874844</v>
      </c>
      <c r="V158" s="837">
        <f>O158*$AE$37</f>
        <v>2548.6544538787807</v>
      </c>
      <c r="W158" s="837">
        <f>O158*$AF$37</f>
        <v>2912.3873353311856</v>
      </c>
      <c r="X158" s="853">
        <f t="shared" si="42"/>
        <v>46827.038942814761</v>
      </c>
    </row>
    <row r="159" spans="3:24" hidden="1">
      <c r="C159" s="1169"/>
      <c r="D159" s="837" t="s">
        <v>2780</v>
      </c>
      <c r="E159" s="838">
        <v>43761.672559015518</v>
      </c>
      <c r="F159" s="839">
        <v>7658.2926978277155</v>
      </c>
      <c r="G159" s="692"/>
      <c r="H159" s="697"/>
      <c r="I159" s="697"/>
      <c r="J159" s="697"/>
      <c r="K159" s="697"/>
      <c r="L159" s="697"/>
      <c r="M159" s="697"/>
      <c r="N159" s="793"/>
      <c r="O159" s="692">
        <f t="shared" si="43"/>
        <v>0</v>
      </c>
      <c r="P159" s="840">
        <f t="shared" si="34"/>
        <v>0</v>
      </c>
      <c r="Q159" s="865">
        <f t="shared" si="36"/>
        <v>1</v>
      </c>
      <c r="R159" s="886">
        <f>O159*$AA$38</f>
        <v>0</v>
      </c>
      <c r="S159" s="837">
        <f>O159*$AB$38</f>
        <v>0</v>
      </c>
      <c r="T159" s="837">
        <f>O159*$AC$38</f>
        <v>0</v>
      </c>
      <c r="U159" s="837">
        <f>O159*$AD$38</f>
        <v>0</v>
      </c>
      <c r="V159" s="837">
        <f>O159*$AE$38</f>
        <v>0</v>
      </c>
      <c r="W159" s="837">
        <f>O159*$AF$38</f>
        <v>0</v>
      </c>
      <c r="X159" s="853">
        <f t="shared" si="42"/>
        <v>7658.2926978277155</v>
      </c>
    </row>
    <row r="160" spans="3:24">
      <c r="C160" s="1169"/>
      <c r="D160" s="837" t="s">
        <v>515</v>
      </c>
      <c r="E160" s="838">
        <v>154523.3477130745</v>
      </c>
      <c r="F160" s="839">
        <v>46355.336928268625</v>
      </c>
      <c r="G160" s="692">
        <f>I3</f>
        <v>6244</v>
      </c>
      <c r="H160" s="697">
        <v>15575</v>
      </c>
      <c r="I160" s="697"/>
      <c r="J160" s="697"/>
      <c r="K160" s="697"/>
      <c r="L160" s="697"/>
      <c r="M160" s="697"/>
      <c r="N160" s="793"/>
      <c r="O160" s="692">
        <f t="shared" si="43"/>
        <v>21819</v>
      </c>
      <c r="P160" s="840">
        <f t="shared" si="34"/>
        <v>0.47069013938488358</v>
      </c>
      <c r="Q160" s="865">
        <f t="shared" si="36"/>
        <v>0.52930986061511642</v>
      </c>
      <c r="R160" s="886">
        <f>O160*$AA$39</f>
        <v>10912.870713243281</v>
      </c>
      <c r="S160" s="837">
        <f>O160*$AB$39</f>
        <v>10906.129286756719</v>
      </c>
      <c r="T160" s="837">
        <f>O160*$AC$39</f>
        <v>8290.4889079312761</v>
      </c>
      <c r="U160" s="837">
        <f>O160*$AD$39</f>
        <v>12262.769550404228</v>
      </c>
      <c r="V160" s="837">
        <f>O160*$AE$39</f>
        <v>1265.7415416644913</v>
      </c>
      <c r="W160" s="837">
        <f>O160*$AF$39</f>
        <v>1881.1916496207739</v>
      </c>
      <c r="X160" s="853">
        <f t="shared" si="42"/>
        <v>24536.336928268625</v>
      </c>
    </row>
    <row r="161" spans="1:60" hidden="1">
      <c r="C161" s="1169"/>
      <c r="D161" s="837" t="s">
        <v>2710</v>
      </c>
      <c r="E161" s="838">
        <v>134852.16996020486</v>
      </c>
      <c r="F161" s="839">
        <v>41304.042490051215</v>
      </c>
      <c r="G161" s="692"/>
      <c r="H161" s="697">
        <v>3921</v>
      </c>
      <c r="I161" s="697"/>
      <c r="J161" s="697"/>
      <c r="K161" s="697"/>
      <c r="L161" s="697"/>
      <c r="M161" s="697"/>
      <c r="N161" s="793"/>
      <c r="O161" s="692">
        <f t="shared" si="43"/>
        <v>3921</v>
      </c>
      <c r="P161" s="840">
        <f t="shared" si="34"/>
        <v>9.4930175440925427E-2</v>
      </c>
      <c r="Q161" s="865">
        <f t="shared" si="36"/>
        <v>0.90506982455907459</v>
      </c>
      <c r="R161" s="886">
        <f>O161*$AA$40</f>
        <v>1945.1963890060081</v>
      </c>
      <c r="S161" s="837">
        <f>O161*$AB$40</f>
        <v>1975.8036109939919</v>
      </c>
      <c r="T161" s="837">
        <f>O161*$AC$40</f>
        <v>1489.8486185434044</v>
      </c>
      <c r="U161" s="837">
        <f>O161*$AD$40</f>
        <v>2203.6903344394782</v>
      </c>
      <c r="V161" s="837">
        <f>O161*$AE$40</f>
        <v>227.46104701711675</v>
      </c>
      <c r="W161" s="837">
        <f>O161*$AF$40</f>
        <v>338.06097704583408</v>
      </c>
      <c r="X161" s="853">
        <f t="shared" si="42"/>
        <v>37383.042490051215</v>
      </c>
    </row>
    <row r="162" spans="1:60" hidden="1">
      <c r="C162" s="1169"/>
      <c r="D162" s="837" t="s">
        <v>2781</v>
      </c>
      <c r="E162" s="838">
        <v>35261.775049483891</v>
      </c>
      <c r="F162" s="839">
        <v>14567.210019793558</v>
      </c>
      <c r="G162" s="692"/>
      <c r="H162" s="697"/>
      <c r="I162" s="697"/>
      <c r="J162" s="697"/>
      <c r="K162" s="697"/>
      <c r="L162" s="697"/>
      <c r="M162" s="697"/>
      <c r="N162" s="793"/>
      <c r="O162" s="692">
        <f t="shared" si="43"/>
        <v>0</v>
      </c>
      <c r="P162" s="840">
        <f t="shared" si="34"/>
        <v>0</v>
      </c>
      <c r="Q162" s="865">
        <f t="shared" si="36"/>
        <v>1</v>
      </c>
      <c r="R162" s="886">
        <f>O162*$AA$41</f>
        <v>0</v>
      </c>
      <c r="S162" s="837">
        <f>O162*$AB$41</f>
        <v>0</v>
      </c>
      <c r="T162" s="837">
        <f>O162*$AC$41</f>
        <v>0</v>
      </c>
      <c r="U162" s="837">
        <f>O162*$AD$41</f>
        <v>0</v>
      </c>
      <c r="V162" s="837">
        <f>O162*$AE$41</f>
        <v>0</v>
      </c>
      <c r="W162" s="837">
        <f>O162*$AF$41</f>
        <v>0</v>
      </c>
      <c r="X162" s="853">
        <f t="shared" si="42"/>
        <v>14567.210019793558</v>
      </c>
    </row>
    <row r="163" spans="1:60" hidden="1">
      <c r="C163" s="1169"/>
      <c r="D163" s="837" t="s">
        <v>2782</v>
      </c>
      <c r="E163" s="838">
        <v>727743.63049268548</v>
      </c>
      <c r="F163" s="839">
        <v>72774.363049268548</v>
      </c>
      <c r="G163" s="692"/>
      <c r="H163" s="697"/>
      <c r="I163" s="697"/>
      <c r="J163" s="697"/>
      <c r="K163" s="697">
        <v>12500</v>
      </c>
      <c r="L163" s="697"/>
      <c r="M163" s="697"/>
      <c r="N163" s="793"/>
      <c r="O163" s="692">
        <f t="shared" si="43"/>
        <v>12500</v>
      </c>
      <c r="P163" s="840">
        <f t="shared" si="34"/>
        <v>0.17176378433621531</v>
      </c>
      <c r="Q163" s="865">
        <f t="shared" si="36"/>
        <v>0.82823621566378469</v>
      </c>
      <c r="R163" s="886">
        <f>O163*$AA$42</f>
        <v>6008.8473290174043</v>
      </c>
      <c r="S163" s="837">
        <f>O163*$AB$42</f>
        <v>6491.1526709825957</v>
      </c>
      <c r="T163" s="837">
        <f>O163*$AC$42</f>
        <v>3621.6870182100834</v>
      </c>
      <c r="U163" s="837">
        <f>O163*$AD$42</f>
        <v>7890.9480521086052</v>
      </c>
      <c r="V163" s="837">
        <f>O163*$AE$42</f>
        <v>987.36492968130983</v>
      </c>
      <c r="W163" s="837">
        <f>O163*$AF$42</f>
        <v>1553.6900437578495</v>
      </c>
      <c r="X163" s="853">
        <f t="shared" si="42"/>
        <v>60274.363049268548</v>
      </c>
    </row>
    <row r="164" spans="1:60" s="613" customFormat="1" ht="23.55" hidden="1" customHeight="1" thickBot="1">
      <c r="C164" s="1170"/>
      <c r="D164" s="843" t="s">
        <v>1488</v>
      </c>
      <c r="E164" s="844">
        <f t="shared" ref="E164:L164" si="44">SUM(E146:E163)</f>
        <v>5464902.8974086875</v>
      </c>
      <c r="F164" s="844">
        <f t="shared" si="44"/>
        <v>1317324.9016123444</v>
      </c>
      <c r="G164" s="845">
        <f t="shared" si="44"/>
        <v>178872.77402674593</v>
      </c>
      <c r="H164" s="844">
        <f t="shared" si="44"/>
        <v>195531</v>
      </c>
      <c r="I164" s="844">
        <f t="shared" si="44"/>
        <v>39234</v>
      </c>
      <c r="J164" s="844">
        <f t="shared" si="44"/>
        <v>7817</v>
      </c>
      <c r="K164" s="844">
        <f t="shared" si="44"/>
        <v>25766</v>
      </c>
      <c r="L164" s="844">
        <f t="shared" si="44"/>
        <v>120111</v>
      </c>
      <c r="M164" s="847">
        <f>SUM(M146:M163)</f>
        <v>34556</v>
      </c>
      <c r="N164" s="847">
        <f>SUM(N146:N163)</f>
        <v>47568</v>
      </c>
      <c r="O164" s="847">
        <f>SUM(O146:O163)</f>
        <v>649455.77402674593</v>
      </c>
      <c r="P164" s="918">
        <f>O164/F164</f>
        <v>0.49301108119328974</v>
      </c>
      <c r="Q164" s="919">
        <f t="shared" si="36"/>
        <v>0.50698891880671026</v>
      </c>
      <c r="R164" s="920">
        <f t="shared" ref="R164:X164" si="45">SUM(R146:R163)</f>
        <v>313600.9356111646</v>
      </c>
      <c r="S164" s="889">
        <f t="shared" si="45"/>
        <v>335854.83841558133</v>
      </c>
      <c r="T164" s="889">
        <f t="shared" si="45"/>
        <v>242541.26810855424</v>
      </c>
      <c r="U164" s="889">
        <f t="shared" si="45"/>
        <v>355451.94968799746</v>
      </c>
      <c r="V164" s="889">
        <f t="shared" si="45"/>
        <v>51462.556230194306</v>
      </c>
      <c r="W164" s="890">
        <f t="shared" si="45"/>
        <v>100473.48658118024</v>
      </c>
      <c r="X164" s="890">
        <f t="shared" si="45"/>
        <v>667869.1275855985</v>
      </c>
    </row>
    <row r="165" spans="1:60">
      <c r="V165"/>
      <c r="W165"/>
    </row>
    <row r="166" spans="1:60" ht="23.4">
      <c r="A166" s="360" t="s">
        <v>1589</v>
      </c>
      <c r="B166" s="358"/>
      <c r="C166" s="358"/>
      <c r="D166" s="358"/>
      <c r="E166" s="358"/>
      <c r="F166" s="358"/>
      <c r="G166" s="358"/>
      <c r="H166" s="358"/>
      <c r="I166" s="358"/>
      <c r="J166" s="358"/>
      <c r="K166" s="358"/>
      <c r="L166" s="358"/>
      <c r="M166" s="358"/>
      <c r="N166" s="358"/>
      <c r="O166" s="358"/>
      <c r="P166" s="358"/>
      <c r="Q166" s="358"/>
      <c r="R166" s="358"/>
      <c r="S166" s="358"/>
      <c r="T166" s="358"/>
      <c r="U166" s="358"/>
      <c r="V166" s="359"/>
      <c r="W166" s="359"/>
      <c r="X166" s="358"/>
      <c r="Y166" s="358"/>
      <c r="Z166" s="358"/>
      <c r="AA166" s="358"/>
      <c r="AB166" s="358"/>
      <c r="AC166" s="358"/>
      <c r="AD166" s="358"/>
      <c r="AE166" s="358"/>
      <c r="AF166" s="358"/>
      <c r="AG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c r="BE166" s="358"/>
      <c r="BF166" s="358"/>
      <c r="BG166" s="358"/>
      <c r="BH166" s="358"/>
    </row>
    <row r="167" spans="1:60">
      <c r="V167"/>
      <c r="W167"/>
    </row>
    <row r="168" spans="1:60">
      <c r="J168" s="60"/>
      <c r="AP168" s="465"/>
      <c r="AQ168" s="465"/>
    </row>
    <row r="169" spans="1:60">
      <c r="AP169" s="465"/>
      <c r="AQ169" s="465"/>
    </row>
    <row r="170" spans="1:60">
      <c r="C170" s="156" t="s">
        <v>1589</v>
      </c>
      <c r="D170" t="s">
        <v>43</v>
      </c>
      <c r="E170"/>
      <c r="F170"/>
      <c r="J170"/>
      <c r="Q170" s="466" t="s">
        <v>1589</v>
      </c>
      <c r="R170" s="467" t="s">
        <v>2141</v>
      </c>
      <c r="S170" s="468"/>
      <c r="T170" s="468"/>
      <c r="U170"/>
      <c r="AA170" s="466" t="s">
        <v>1589</v>
      </c>
      <c r="AB170" s="468"/>
      <c r="AC170" s="468"/>
      <c r="AD170" s="468"/>
      <c r="AP170" s="465"/>
      <c r="AQ170" s="465"/>
      <c r="AR170"/>
    </row>
    <row r="171" spans="1:60">
      <c r="C171" s="78" t="s">
        <v>1286</v>
      </c>
      <c r="D171" s="79" t="s">
        <v>1510</v>
      </c>
      <c r="E171" s="81" t="s">
        <v>1290</v>
      </c>
      <c r="F171" s="81" t="s">
        <v>1291</v>
      </c>
      <c r="J171"/>
      <c r="Q171" s="469" t="s">
        <v>1286</v>
      </c>
      <c r="R171" s="470" t="s">
        <v>1510</v>
      </c>
      <c r="S171" s="471" t="s">
        <v>1290</v>
      </c>
      <c r="T171" s="471" t="s">
        <v>1291</v>
      </c>
      <c r="U171"/>
      <c r="AA171" s="469" t="s">
        <v>1286</v>
      </c>
      <c r="AB171" s="470" t="s">
        <v>1510</v>
      </c>
      <c r="AC171" s="471" t="s">
        <v>1290</v>
      </c>
      <c r="AD171" s="471" t="s">
        <v>1291</v>
      </c>
      <c r="AP171" s="421"/>
      <c r="AQ171"/>
      <c r="AR171"/>
    </row>
    <row r="172" spans="1:60" ht="94.95" customHeight="1">
      <c r="A172" s="458" t="s">
        <v>2167</v>
      </c>
      <c r="C172" s="580" t="s">
        <v>2783</v>
      </c>
      <c r="D172" s="582">
        <v>16442.099999999999</v>
      </c>
      <c r="E172" s="586">
        <f>G126+H126+K126</f>
        <v>4493</v>
      </c>
      <c r="F172" s="586">
        <f t="shared" ref="F172:F177" si="46">D172-E172</f>
        <v>11949.099999999999</v>
      </c>
      <c r="G172" s="586"/>
      <c r="J172"/>
      <c r="K172"/>
      <c r="Q172" s="580" t="s">
        <v>2783</v>
      </c>
      <c r="R172" s="582"/>
      <c r="S172" s="583"/>
      <c r="T172" s="583">
        <f>R172-S172</f>
        <v>0</v>
      </c>
      <c r="U172"/>
      <c r="AA172" s="580" t="s">
        <v>2304</v>
      </c>
      <c r="AB172" s="588">
        <f t="shared" ref="AB172:AC177" si="47">D172+R172</f>
        <v>16442.099999999999</v>
      </c>
      <c r="AC172" s="588">
        <f t="shared" si="47"/>
        <v>4493</v>
      </c>
      <c r="AD172" s="588">
        <f t="shared" ref="AD172:AD177" si="48">AB172-AC172</f>
        <v>11949.099999999999</v>
      </c>
      <c r="AP172"/>
      <c r="AQ172"/>
      <c r="AR172"/>
    </row>
    <row r="173" spans="1:60" ht="94.95" customHeight="1">
      <c r="A173" s="458"/>
      <c r="C173" s="580" t="s">
        <v>2899</v>
      </c>
      <c r="D173" s="582">
        <v>27403.5</v>
      </c>
      <c r="E173" s="586">
        <f>G113+H113+K113</f>
        <v>28603</v>
      </c>
      <c r="F173" s="586"/>
      <c r="G173" s="909">
        <f>D173-E173</f>
        <v>-1199.5</v>
      </c>
      <c r="J173" s="421"/>
      <c r="K173" s="421"/>
      <c r="Q173" s="580" t="s">
        <v>2899</v>
      </c>
      <c r="R173" s="582"/>
      <c r="S173" s="583"/>
      <c r="T173" s="583"/>
      <c r="U173" s="421"/>
      <c r="AA173" s="580" t="s">
        <v>2899</v>
      </c>
      <c r="AB173" s="588">
        <f t="shared" si="47"/>
        <v>27403.5</v>
      </c>
      <c r="AC173" s="588">
        <f t="shared" si="47"/>
        <v>28603</v>
      </c>
      <c r="AD173" s="588"/>
      <c r="AE173" s="61">
        <f>AB173-AC173</f>
        <v>-1199.5</v>
      </c>
      <c r="AP173" s="421"/>
      <c r="AQ173" s="421"/>
      <c r="AR173" s="421"/>
    </row>
    <row r="174" spans="1:60" ht="57.6" customHeight="1">
      <c r="C174" s="581" t="s">
        <v>2303</v>
      </c>
      <c r="D174" s="587">
        <v>71249.100000000006</v>
      </c>
      <c r="E174" s="587">
        <f>G100+H100+K100</f>
        <v>4004</v>
      </c>
      <c r="F174" s="587">
        <f t="shared" si="46"/>
        <v>67245.100000000006</v>
      </c>
      <c r="J174"/>
      <c r="K174"/>
      <c r="Q174" s="581" t="s">
        <v>2303</v>
      </c>
      <c r="R174" s="584">
        <v>76925.49016123444</v>
      </c>
      <c r="S174" s="585">
        <f>I100+J100+L100+N100+M100</f>
        <v>44464</v>
      </c>
      <c r="T174" s="585">
        <f>R174-S174</f>
        <v>32461.49016123444</v>
      </c>
      <c r="U174"/>
      <c r="AA174" s="581" t="s">
        <v>2303</v>
      </c>
      <c r="AB174" s="589">
        <f t="shared" si="47"/>
        <v>148174.59016123443</v>
      </c>
      <c r="AC174" s="589">
        <f t="shared" si="47"/>
        <v>48468</v>
      </c>
      <c r="AD174" s="589">
        <f t="shared" si="48"/>
        <v>99706.590161234431</v>
      </c>
      <c r="AP174"/>
      <c r="AQ174"/>
      <c r="AR174"/>
    </row>
    <row r="175" spans="1:60" ht="73.2" customHeight="1">
      <c r="C175" s="77" t="s">
        <v>2079</v>
      </c>
      <c r="D175" s="84">
        <v>548070</v>
      </c>
      <c r="E175" s="84">
        <f>G81+H81+K81</f>
        <v>487585.77402674593</v>
      </c>
      <c r="F175" s="84">
        <f t="shared" si="46"/>
        <v>60484.22597325407</v>
      </c>
      <c r="H175" s="158">
        <v>112517.49333333335</v>
      </c>
      <c r="J175"/>
      <c r="K175"/>
      <c r="Q175" s="77" t="s">
        <v>2079</v>
      </c>
      <c r="R175" s="86">
        <v>769254.90161234443</v>
      </c>
      <c r="S175" s="86">
        <f>I81+J81+L81+N81+M81</f>
        <v>252333</v>
      </c>
      <c r="T175" s="86">
        <f>R175-S175</f>
        <v>516921.90161234443</v>
      </c>
      <c r="U175"/>
      <c r="AA175" s="77" t="s">
        <v>2079</v>
      </c>
      <c r="AB175" s="86">
        <f t="shared" si="47"/>
        <v>1317324.9016123444</v>
      </c>
      <c r="AC175" s="86">
        <f t="shared" si="47"/>
        <v>739918.77402674593</v>
      </c>
      <c r="AD175" s="86">
        <f t="shared" si="48"/>
        <v>577406.1275855985</v>
      </c>
      <c r="AP175"/>
      <c r="AQ175"/>
      <c r="AR175"/>
    </row>
    <row r="176" spans="1:60" ht="72.599999999999994" customHeight="1">
      <c r="C176" s="76" t="s">
        <v>2080</v>
      </c>
      <c r="D176" s="83">
        <v>548070</v>
      </c>
      <c r="E176" s="83">
        <f>G62+H62+K62</f>
        <v>293268</v>
      </c>
      <c r="F176" s="83">
        <f t="shared" si="46"/>
        <v>254802</v>
      </c>
      <c r="H176" s="61">
        <f>SUM(E175:E177)</f>
        <v>1204169.1592119313</v>
      </c>
      <c r="J176"/>
      <c r="K176"/>
      <c r="Q176" s="76" t="s">
        <v>2080</v>
      </c>
      <c r="R176" s="160">
        <v>153850.98032246888</v>
      </c>
      <c r="S176" s="160">
        <f>I62+J62+L62+N62+M62</f>
        <v>53143</v>
      </c>
      <c r="T176" s="160">
        <f>R176-S176</f>
        <v>100707.98032246888</v>
      </c>
      <c r="U176"/>
      <c r="X176" s="61">
        <f>SUM(S175:S177)</f>
        <v>414115</v>
      </c>
      <c r="AA176" s="76" t="s">
        <v>2080</v>
      </c>
      <c r="AB176" s="160">
        <f t="shared" si="47"/>
        <v>701920.98032246891</v>
      </c>
      <c r="AC176" s="160">
        <f t="shared" si="47"/>
        <v>346411</v>
      </c>
      <c r="AD176" s="160">
        <f t="shared" si="48"/>
        <v>355509.98032246891</v>
      </c>
      <c r="AP176"/>
      <c r="AQ176"/>
      <c r="AR176"/>
      <c r="AU176" s="61">
        <f>SUM(AC175:AC177)</f>
        <v>1618284.1592119313</v>
      </c>
    </row>
    <row r="177" spans="1:60" ht="55.2" customHeight="1">
      <c r="C177" s="80" t="s">
        <v>2081</v>
      </c>
      <c r="D177" s="82">
        <v>548070</v>
      </c>
      <c r="E177" s="82">
        <f>G43+H43+K43</f>
        <v>423315.38518518524</v>
      </c>
      <c r="F177" s="82">
        <f t="shared" si="46"/>
        <v>124754.61481481476</v>
      </c>
      <c r="H177" s="61"/>
      <c r="Q177" s="80" t="s">
        <v>2081</v>
      </c>
      <c r="R177" s="85">
        <v>615403.92128987552</v>
      </c>
      <c r="S177" s="85">
        <f>I43+J43+L43+N43+M43</f>
        <v>108639</v>
      </c>
      <c r="T177" s="85">
        <f>R177-S177</f>
        <v>506764.92128987552</v>
      </c>
      <c r="W177" s="61">
        <f>487648-203446</f>
        <v>284202</v>
      </c>
      <c r="AA177" s="80" t="s">
        <v>2081</v>
      </c>
      <c r="AB177" s="472">
        <f t="shared" si="47"/>
        <v>1163473.9212898756</v>
      </c>
      <c r="AC177" s="472">
        <f t="shared" si="47"/>
        <v>531954.38518518524</v>
      </c>
      <c r="AD177" s="472">
        <f t="shared" si="48"/>
        <v>631519.5361046904</v>
      </c>
      <c r="AP177"/>
      <c r="AQ177"/>
    </row>
    <row r="178" spans="1:60">
      <c r="C178"/>
      <c r="D178"/>
      <c r="E178"/>
      <c r="S178"/>
      <c r="T178"/>
      <c r="V178"/>
      <c r="W178"/>
      <c r="AP178"/>
      <c r="AQ178"/>
    </row>
    <row r="179" spans="1:60">
      <c r="C179" s="421"/>
      <c r="D179" s="421"/>
      <c r="E179" s="421"/>
      <c r="S179" s="421"/>
      <c r="T179" s="421"/>
      <c r="V179" s="421"/>
      <c r="W179" s="421"/>
      <c r="AP179" s="421"/>
      <c r="AQ179" s="421"/>
    </row>
    <row r="180" spans="1:60">
      <c r="C180" s="421"/>
      <c r="D180" s="421"/>
      <c r="E180" s="421"/>
      <c r="S180" s="421"/>
      <c r="T180" s="421"/>
      <c r="V180" s="421"/>
      <c r="W180" s="421"/>
      <c r="AP180" s="421"/>
      <c r="AQ180" s="421"/>
    </row>
    <row r="181" spans="1:60">
      <c r="C181"/>
      <c r="D181"/>
      <c r="S181"/>
      <c r="T181"/>
    </row>
    <row r="182" spans="1:60" ht="23.4">
      <c r="A182" s="360" t="s">
        <v>37</v>
      </c>
      <c r="B182" s="358"/>
      <c r="C182" s="358"/>
      <c r="D182" s="358"/>
      <c r="E182" s="358"/>
      <c r="F182" s="358"/>
      <c r="G182" s="358"/>
      <c r="H182" s="358"/>
      <c r="I182" s="358"/>
      <c r="J182" s="358"/>
      <c r="K182" s="358"/>
      <c r="L182" s="358"/>
      <c r="M182" s="358"/>
      <c r="N182" s="358"/>
      <c r="O182" s="358"/>
      <c r="P182" s="358"/>
      <c r="Q182" s="358"/>
      <c r="R182" s="358"/>
      <c r="S182" s="358"/>
      <c r="T182" s="358"/>
      <c r="U182" s="358"/>
      <c r="V182" s="359"/>
      <c r="W182" s="359"/>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c r="BE182" s="358"/>
      <c r="BF182" s="358"/>
      <c r="BG182" s="358"/>
      <c r="BH182" s="358"/>
    </row>
    <row r="183" spans="1:60" s="155" customFormat="1" ht="23.4">
      <c r="A183" s="372"/>
      <c r="C183" s="59"/>
      <c r="D183" s="59"/>
      <c r="E183" s="59"/>
      <c r="F183" s="59"/>
      <c r="V183" s="368"/>
      <c r="W183" s="368"/>
    </row>
    <row r="185" spans="1:60">
      <c r="H185" s="1165"/>
      <c r="I185" s="1165"/>
    </row>
    <row r="186" spans="1:60">
      <c r="C186" s="506"/>
      <c r="D186" s="506"/>
      <c r="H186" s="373"/>
      <c r="I186" s="373"/>
    </row>
    <row r="187" spans="1:60">
      <c r="C187" s="506"/>
      <c r="D187" s="506"/>
    </row>
    <row r="188" spans="1:60">
      <c r="C188" s="156" t="s">
        <v>37</v>
      </c>
    </row>
    <row r="189" spans="1:60" ht="65.25" customHeight="1">
      <c r="C189" s="78" t="s">
        <v>1286</v>
      </c>
      <c r="D189" s="79" t="s">
        <v>1510</v>
      </c>
      <c r="E189" s="81" t="s">
        <v>1290</v>
      </c>
      <c r="F189" s="81" t="s">
        <v>1291</v>
      </c>
    </row>
    <row r="190" spans="1:60" ht="65.25" customHeight="1">
      <c r="C190" s="580" t="s">
        <v>2783</v>
      </c>
      <c r="D190" s="582">
        <f>F117</f>
        <v>3096.06</v>
      </c>
      <c r="E190" s="586">
        <f>O117</f>
        <v>3893</v>
      </c>
      <c r="F190" s="586"/>
      <c r="G190" s="586">
        <f>D190-E190</f>
        <v>-796.94</v>
      </c>
    </row>
    <row r="191" spans="1:60" ht="65.25" customHeight="1">
      <c r="C191" s="580" t="s">
        <v>2899</v>
      </c>
      <c r="D191" s="582">
        <f>F104</f>
        <v>5160.1000000000004</v>
      </c>
      <c r="E191" s="586">
        <f>O104</f>
        <v>18980</v>
      </c>
      <c r="F191" s="586"/>
      <c r="G191" s="909">
        <f>D191-E191</f>
        <v>-13819.9</v>
      </c>
    </row>
    <row r="192" spans="1:60" ht="65.25" customHeight="1">
      <c r="C192" s="581" t="s">
        <v>2303</v>
      </c>
      <c r="D192" s="587">
        <f>F87</f>
        <v>15699.894428130017</v>
      </c>
      <c r="E192" s="587">
        <f>O87</f>
        <v>1365</v>
      </c>
      <c r="F192" s="587">
        <f>D192-E192</f>
        <v>14334.894428130017</v>
      </c>
    </row>
    <row r="193" spans="1:60" ht="69" customHeight="1">
      <c r="C193" s="77" t="s">
        <v>2079</v>
      </c>
      <c r="D193" s="84">
        <f>F68</f>
        <v>126038.34428130016</v>
      </c>
      <c r="E193" s="84">
        <f>O68</f>
        <v>88275</v>
      </c>
      <c r="F193" s="84">
        <f>D193-E193</f>
        <v>37763.34428130016</v>
      </c>
    </row>
    <row r="194" spans="1:60" ht="46.8">
      <c r="C194" s="76" t="s">
        <v>2080</v>
      </c>
      <c r="D194" s="83">
        <f>F49</f>
        <v>107769.26885626004</v>
      </c>
      <c r="E194" s="83">
        <f>O49</f>
        <v>82853</v>
      </c>
      <c r="F194" s="83">
        <f>D194-E194</f>
        <v>24916.268856260038</v>
      </c>
    </row>
    <row r="195" spans="1:60" ht="46.8">
      <c r="C195" s="80" t="s">
        <v>2081</v>
      </c>
      <c r="D195" s="82">
        <f>F30</f>
        <v>121471.07542504012</v>
      </c>
      <c r="E195" s="82">
        <f>O30</f>
        <v>78619.051851851851</v>
      </c>
      <c r="F195" s="82">
        <f>D195-E195</f>
        <v>42852.023573188271</v>
      </c>
    </row>
    <row r="196" spans="1:60">
      <c r="E196" s="61"/>
    </row>
    <row r="197" spans="1:60">
      <c r="C197"/>
      <c r="D197"/>
    </row>
    <row r="198" spans="1:60">
      <c r="C198"/>
      <c r="D198"/>
      <c r="AD198" s="155"/>
      <c r="AE198" s="155"/>
      <c r="AF198" s="155"/>
      <c r="AG198" s="155"/>
    </row>
    <row r="199" spans="1:60" ht="23.4">
      <c r="A199" s="360" t="s">
        <v>515</v>
      </c>
      <c r="B199" s="358"/>
      <c r="C199" s="358"/>
      <c r="D199" s="358"/>
      <c r="E199" s="358"/>
      <c r="F199" s="358"/>
      <c r="G199" s="358"/>
      <c r="H199" s="358"/>
      <c r="I199" s="358"/>
      <c r="J199" s="358"/>
      <c r="K199" s="358"/>
      <c r="L199" s="358"/>
      <c r="M199" s="358"/>
      <c r="N199" s="358"/>
      <c r="O199" s="358"/>
      <c r="P199" s="358"/>
      <c r="Q199" s="358"/>
      <c r="R199" s="358"/>
      <c r="S199" s="358"/>
      <c r="T199" s="358"/>
      <c r="U199" s="358"/>
      <c r="V199" s="359"/>
      <c r="W199" s="359"/>
      <c r="X199" s="358"/>
      <c r="Y199" s="358"/>
      <c r="Z199" s="358"/>
      <c r="AA199" s="358"/>
      <c r="AB199" s="358"/>
      <c r="AC199" s="358"/>
      <c r="AD199" s="358"/>
      <c r="AE199" s="358"/>
      <c r="AF199" s="358"/>
      <c r="AG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c r="BE199" s="358"/>
      <c r="BF199" s="358"/>
      <c r="BG199" s="358"/>
      <c r="BH199" s="358"/>
    </row>
    <row r="200" spans="1:60" s="155" customFormat="1" ht="23.4">
      <c r="A200" s="372"/>
      <c r="V200" s="368"/>
      <c r="W200" s="368"/>
      <c r="AD200" s="59"/>
      <c r="AE200" s="59"/>
      <c r="AF200" s="59"/>
      <c r="AG200" s="59"/>
    </row>
    <row r="201" spans="1:60">
      <c r="C201" s="506"/>
      <c r="D201" s="506"/>
    </row>
    <row r="202" spans="1:60">
      <c r="C202" s="506"/>
      <c r="D202" s="506"/>
    </row>
    <row r="203" spans="1:60">
      <c r="C203" s="506"/>
      <c r="D203" s="506"/>
      <c r="AD203" s="371"/>
      <c r="AE203" s="371"/>
      <c r="AF203" s="371"/>
      <c r="AG203" s="371"/>
    </row>
    <row r="204" spans="1:60">
      <c r="C204" s="156" t="s">
        <v>515</v>
      </c>
      <c r="E204" s="1166"/>
      <c r="F204" s="1166"/>
    </row>
    <row r="205" spans="1:60">
      <c r="C205" s="78" t="s">
        <v>1286</v>
      </c>
      <c r="D205" s="79" t="s">
        <v>1510</v>
      </c>
      <c r="E205" s="81" t="s">
        <v>1290</v>
      </c>
      <c r="F205" s="81" t="s">
        <v>1291</v>
      </c>
      <c r="S205" s="421"/>
      <c r="T205" s="421"/>
      <c r="AC205" s="371"/>
      <c r="AH205" s="371"/>
      <c r="AI205" s="371"/>
      <c r="AJ205" s="371"/>
      <c r="AK205" s="371"/>
      <c r="AL205" s="371"/>
      <c r="AM205" s="371"/>
      <c r="AN205" s="371"/>
      <c r="AO205" s="371"/>
      <c r="AP205" s="371"/>
      <c r="AQ205" s="371"/>
      <c r="AR205" s="371"/>
      <c r="AS205" s="371"/>
      <c r="AT205" s="371"/>
      <c r="AU205" s="371"/>
      <c r="AV205" s="371"/>
      <c r="AW205" s="371"/>
      <c r="AX205" s="371"/>
      <c r="AY205" s="371"/>
      <c r="AZ205" s="371"/>
      <c r="BA205" s="371"/>
      <c r="BB205" s="371"/>
      <c r="BC205" s="371"/>
      <c r="BD205" s="371"/>
      <c r="BE205" s="371"/>
      <c r="BF205" s="371"/>
      <c r="BG205" s="371"/>
      <c r="BH205" s="371"/>
    </row>
    <row r="206" spans="1:60" ht="62.4">
      <c r="C206" s="580" t="s">
        <v>2783</v>
      </c>
      <c r="D206" s="910">
        <f>F123</f>
        <v>463.46999999999997</v>
      </c>
      <c r="E206" s="910">
        <f>O123</f>
        <v>0</v>
      </c>
      <c r="F206" s="910">
        <f>D206-E206</f>
        <v>463.46999999999997</v>
      </c>
      <c r="S206" s="421"/>
      <c r="T206" s="421"/>
      <c r="AC206" s="371"/>
      <c r="AH206" s="371"/>
      <c r="AI206" s="371"/>
      <c r="AJ206" s="371"/>
      <c r="AK206" s="371"/>
      <c r="AL206" s="371"/>
      <c r="AM206" s="371"/>
      <c r="AN206" s="371"/>
      <c r="AO206" s="371"/>
      <c r="AP206" s="371"/>
      <c r="AQ206" s="371"/>
      <c r="AR206" s="371"/>
      <c r="AS206" s="371"/>
      <c r="AT206" s="371"/>
      <c r="AU206" s="371"/>
      <c r="AV206" s="371"/>
      <c r="AW206" s="371"/>
      <c r="AX206" s="371"/>
      <c r="AY206" s="371"/>
      <c r="AZ206" s="371"/>
      <c r="BA206" s="371"/>
      <c r="BB206" s="371"/>
      <c r="BC206" s="371"/>
      <c r="BD206" s="371"/>
      <c r="BE206" s="371"/>
      <c r="BF206" s="371"/>
      <c r="BG206" s="371"/>
      <c r="BH206" s="371"/>
    </row>
    <row r="207" spans="1:60" ht="62.4">
      <c r="C207" s="580" t="s">
        <v>2899</v>
      </c>
      <c r="D207" s="910">
        <f>F110</f>
        <v>772.45</v>
      </c>
      <c r="E207" s="910">
        <f>O110</f>
        <v>2223</v>
      </c>
      <c r="F207" s="910"/>
      <c r="G207" s="61">
        <f>D207-E207</f>
        <v>-1450.55</v>
      </c>
      <c r="S207" s="421"/>
      <c r="T207" s="421"/>
      <c r="AC207" s="371"/>
      <c r="AH207" s="371"/>
      <c r="AI207" s="371"/>
      <c r="AJ207" s="371"/>
      <c r="AK207" s="371"/>
      <c r="AL207" s="371"/>
      <c r="AM207" s="371"/>
      <c r="AN207" s="371"/>
      <c r="AO207" s="371"/>
      <c r="AP207" s="371"/>
      <c r="AQ207" s="371"/>
      <c r="AR207" s="371"/>
      <c r="AS207" s="371"/>
      <c r="AT207" s="371"/>
      <c r="AU207" s="371"/>
      <c r="AV207" s="371"/>
      <c r="AW207" s="371"/>
      <c r="AX207" s="371"/>
      <c r="AY207" s="371"/>
      <c r="AZ207" s="371"/>
      <c r="BA207" s="371"/>
      <c r="BB207" s="371"/>
      <c r="BC207" s="371"/>
      <c r="BD207" s="371"/>
      <c r="BE207" s="371"/>
      <c r="BF207" s="371"/>
      <c r="BG207" s="371"/>
      <c r="BH207" s="371"/>
    </row>
    <row r="208" spans="1:60" ht="62.4">
      <c r="C208" s="581" t="s">
        <v>2303</v>
      </c>
      <c r="D208" s="587">
        <f>F96</f>
        <v>5099.0036928268628</v>
      </c>
      <c r="E208" s="587">
        <f>O96</f>
        <v>0</v>
      </c>
      <c r="F208" s="587">
        <f>D208-E208</f>
        <v>5099.0036928268628</v>
      </c>
      <c r="S208" s="421"/>
      <c r="T208" s="421"/>
      <c r="AC208" s="371"/>
      <c r="AH208" s="371"/>
      <c r="AI208" s="371"/>
      <c r="AJ208" s="371"/>
      <c r="AK208" s="371"/>
      <c r="AL208" s="371"/>
      <c r="AM208" s="371"/>
      <c r="AN208" s="371"/>
      <c r="AO208" s="371"/>
      <c r="AP208" s="371"/>
      <c r="AQ208" s="371"/>
      <c r="AR208" s="371"/>
      <c r="AS208" s="371"/>
      <c r="AT208" s="371"/>
      <c r="AU208" s="371"/>
      <c r="AV208" s="371"/>
      <c r="AW208" s="371"/>
      <c r="AX208" s="371"/>
      <c r="AY208" s="371"/>
      <c r="AZ208" s="371"/>
      <c r="BA208" s="371"/>
      <c r="BB208" s="371"/>
      <c r="BC208" s="371"/>
      <c r="BD208" s="371"/>
      <c r="BE208" s="371"/>
      <c r="BF208" s="371"/>
      <c r="BG208" s="371"/>
      <c r="BH208" s="371"/>
    </row>
    <row r="209" spans="3:21" ht="62.4">
      <c r="C209" s="77" t="s">
        <v>2079</v>
      </c>
      <c r="D209" s="84">
        <f>F77</f>
        <v>46355.336928268625</v>
      </c>
      <c r="E209" s="84">
        <f>O77</f>
        <v>23813</v>
      </c>
      <c r="F209" s="84">
        <f>D209-E209</f>
        <v>22542.336928268625</v>
      </c>
      <c r="S209"/>
      <c r="T209"/>
    </row>
    <row r="210" spans="3:21" ht="46.8">
      <c r="C210" s="76" t="s">
        <v>2080</v>
      </c>
      <c r="D210" s="83">
        <f>F58</f>
        <v>21630.267385653726</v>
      </c>
      <c r="E210" s="83">
        <f>O58</f>
        <v>14016</v>
      </c>
      <c r="F210" s="83">
        <f>D210-E210</f>
        <v>7614.2673856537258</v>
      </c>
      <c r="S210"/>
      <c r="T210"/>
    </row>
    <row r="211" spans="3:21" ht="46.8">
      <c r="C211" s="80" t="s">
        <v>2081</v>
      </c>
      <c r="D211" s="82">
        <f>F39</f>
        <v>40174.069542614903</v>
      </c>
      <c r="E211" s="82">
        <f>O39</f>
        <v>12068.333333333332</v>
      </c>
      <c r="F211" s="82">
        <f>D211-E211</f>
        <v>28105.736209281571</v>
      </c>
      <c r="S211"/>
      <c r="T211"/>
    </row>
    <row r="212" spans="3:21">
      <c r="C212"/>
      <c r="D212"/>
      <c r="E212" s="61"/>
    </row>
    <row r="218" spans="3:21">
      <c r="C218" s="595" t="s">
        <v>2361</v>
      </c>
      <c r="Q218" s="59" t="s">
        <v>2775</v>
      </c>
    </row>
    <row r="219" spans="3:21">
      <c r="C219" s="78" t="s">
        <v>1286</v>
      </c>
      <c r="D219" s="79" t="s">
        <v>1510</v>
      </c>
      <c r="E219" s="81" t="s">
        <v>1290</v>
      </c>
      <c r="F219" s="81" t="s">
        <v>1291</v>
      </c>
      <c r="Q219" s="78" t="s">
        <v>1286</v>
      </c>
      <c r="R219" s="79" t="s">
        <v>1510</v>
      </c>
      <c r="S219" s="81" t="s">
        <v>1290</v>
      </c>
      <c r="T219" s="81" t="s">
        <v>1291</v>
      </c>
    </row>
    <row r="220" spans="3:21" ht="49.2" customHeight="1">
      <c r="C220" s="580" t="s">
        <v>2783</v>
      </c>
      <c r="D220" s="910">
        <f>F119</f>
        <v>1776.72</v>
      </c>
      <c r="E220" s="910">
        <f>O119</f>
        <v>0</v>
      </c>
      <c r="F220" s="910">
        <f t="shared" ref="F220:F224" si="49">D220-E220</f>
        <v>1776.72</v>
      </c>
      <c r="Q220" s="580" t="s">
        <v>2783</v>
      </c>
      <c r="R220" s="910">
        <f>F118</f>
        <v>2406.69</v>
      </c>
      <c r="S220" s="910">
        <f>O118</f>
        <v>0</v>
      </c>
      <c r="T220" s="910">
        <f t="shared" ref="T220:T225" si="50">R220-S220</f>
        <v>2406.69</v>
      </c>
    </row>
    <row r="221" spans="3:21" ht="43.2" customHeight="1">
      <c r="C221" s="580" t="s">
        <v>2899</v>
      </c>
      <c r="D221" s="910">
        <f>F106</f>
        <v>2961.2000000000003</v>
      </c>
      <c r="E221" s="910">
        <f>O106</f>
        <v>0</v>
      </c>
      <c r="F221" s="910">
        <f t="shared" si="49"/>
        <v>2961.2000000000003</v>
      </c>
      <c r="Q221" s="580" t="s">
        <v>2899</v>
      </c>
      <c r="R221" s="910">
        <f>F105</f>
        <v>4011.15</v>
      </c>
      <c r="S221" s="910">
        <f>O105</f>
        <v>0</v>
      </c>
      <c r="T221" s="910">
        <f t="shared" si="50"/>
        <v>4011.15</v>
      </c>
    </row>
    <row r="222" spans="3:21" ht="84" customHeight="1">
      <c r="C222" s="581" t="s">
        <v>2303</v>
      </c>
      <c r="D222" s="587">
        <f>F89</f>
        <v>8634.3915255669617</v>
      </c>
      <c r="E222" s="587">
        <f>O89</f>
        <v>150</v>
      </c>
      <c r="F222" s="587">
        <f t="shared" si="49"/>
        <v>8484.3915255669617</v>
      </c>
      <c r="Q222" s="581" t="s">
        <v>2303</v>
      </c>
      <c r="R222" s="587">
        <f>F88</f>
        <v>10430.134801816714</v>
      </c>
      <c r="S222" s="587">
        <f>O88</f>
        <v>0</v>
      </c>
      <c r="T222" s="587">
        <f t="shared" si="50"/>
        <v>10430.134801816714</v>
      </c>
    </row>
    <row r="223" spans="3:21" ht="81" customHeight="1">
      <c r="C223" s="77" t="s">
        <v>2079</v>
      </c>
      <c r="D223" s="84">
        <f>F70</f>
        <v>68576.715255669609</v>
      </c>
      <c r="E223" s="84">
        <f>O70</f>
        <v>62978</v>
      </c>
      <c r="F223" s="84">
        <f t="shared" si="49"/>
        <v>5598.7152556696092</v>
      </c>
      <c r="Q223" s="77" t="s">
        <v>2079</v>
      </c>
      <c r="R223" s="84">
        <f>F69</f>
        <v>80234.448018167139</v>
      </c>
      <c r="S223" s="84">
        <f>O69</f>
        <v>80409</v>
      </c>
      <c r="T223" s="84"/>
      <c r="U223" s="61">
        <f>R223-S223</f>
        <v>-174.5519818328612</v>
      </c>
    </row>
    <row r="224" spans="3:21" ht="81" customHeight="1">
      <c r="C224" s="76" t="s">
        <v>2080</v>
      </c>
      <c r="D224" s="83">
        <f>F51</f>
        <v>61094.543051133922</v>
      </c>
      <c r="E224" s="83">
        <f>O51</f>
        <v>19599</v>
      </c>
      <c r="F224" s="83">
        <f t="shared" si="49"/>
        <v>41495.543051133922</v>
      </c>
      <c r="Q224" s="76" t="s">
        <v>2080</v>
      </c>
      <c r="R224" s="83">
        <f>F50</f>
        <v>80225.289603633428</v>
      </c>
      <c r="S224" s="83">
        <f>O50</f>
        <v>35400</v>
      </c>
      <c r="T224" s="83">
        <f t="shared" si="50"/>
        <v>44825.289603633428</v>
      </c>
    </row>
    <row r="225" spans="3:20" ht="81" customHeight="1">
      <c r="C225" s="80" t="s">
        <v>2081</v>
      </c>
      <c r="D225" s="82">
        <f>F32</f>
        <v>66706.172204535687</v>
      </c>
      <c r="E225" s="82">
        <f>O32</f>
        <v>75638</v>
      </c>
      <c r="F225" s="82"/>
      <c r="G225" s="61">
        <f>D225-E225</f>
        <v>-8931.8277954643127</v>
      </c>
      <c r="Q225" s="80" t="s">
        <v>2081</v>
      </c>
      <c r="R225" s="82">
        <f>F31</f>
        <v>80232.158414533711</v>
      </c>
      <c r="S225" s="82">
        <f>O31</f>
        <v>49244</v>
      </c>
      <c r="T225" s="82">
        <f t="shared" si="50"/>
        <v>30988.158414533711</v>
      </c>
    </row>
    <row r="229" spans="3:20">
      <c r="C229" s="595" t="s">
        <v>2771</v>
      </c>
      <c r="Q229" s="1079" t="s">
        <v>3179</v>
      </c>
      <c r="R229" s="60"/>
      <c r="S229" s="60"/>
      <c r="T229" s="60"/>
    </row>
    <row r="230" spans="3:20">
      <c r="C230" s="78" t="s">
        <v>1286</v>
      </c>
      <c r="D230" s="79" t="s">
        <v>1510</v>
      </c>
      <c r="E230" s="81" t="s">
        <v>1290</v>
      </c>
      <c r="F230" s="81" t="s">
        <v>1291</v>
      </c>
      <c r="Q230" s="469" t="s">
        <v>1286</v>
      </c>
      <c r="R230" s="470" t="s">
        <v>1510</v>
      </c>
      <c r="S230" s="471" t="s">
        <v>1290</v>
      </c>
      <c r="T230" s="471" t="s">
        <v>1291</v>
      </c>
    </row>
    <row r="231" spans="3:20" ht="62.4">
      <c r="C231" s="580" t="s">
        <v>2783</v>
      </c>
      <c r="D231" s="910">
        <f>F114</f>
        <v>32.85</v>
      </c>
      <c r="E231" s="910">
        <f>O114</f>
        <v>0</v>
      </c>
      <c r="F231" s="910">
        <f t="shared" ref="F231:F236" si="51">D231-E231</f>
        <v>32.85</v>
      </c>
      <c r="Q231" s="580" t="s">
        <v>2783</v>
      </c>
      <c r="R231" s="910">
        <f>F124</f>
        <v>455.46</v>
      </c>
      <c r="S231" s="910">
        <f>O124</f>
        <v>0</v>
      </c>
      <c r="T231" s="910">
        <f t="shared" ref="T231:T236" si="52">R231-S231</f>
        <v>455.46</v>
      </c>
    </row>
    <row r="232" spans="3:20" ht="62.4">
      <c r="C232" s="580" t="s">
        <v>2899</v>
      </c>
      <c r="D232" s="910">
        <f>F101</f>
        <v>54.75</v>
      </c>
      <c r="E232" s="910">
        <f>O101</f>
        <v>0</v>
      </c>
      <c r="F232" s="910">
        <f t="shared" si="51"/>
        <v>54.75</v>
      </c>
      <c r="Q232" s="580" t="s">
        <v>2899</v>
      </c>
      <c r="R232" s="910">
        <f>F111</f>
        <v>759.1</v>
      </c>
      <c r="S232" s="910">
        <f>O111</f>
        <v>0</v>
      </c>
      <c r="T232" s="910">
        <f t="shared" si="52"/>
        <v>759.1</v>
      </c>
    </row>
    <row r="233" spans="3:20" ht="62.4">
      <c r="C233" s="581" t="s">
        <v>2303</v>
      </c>
      <c r="D233" s="587">
        <f>F82</f>
        <v>1157.058705343994</v>
      </c>
      <c r="E233" s="587">
        <f>O82</f>
        <v>0</v>
      </c>
      <c r="F233" s="587">
        <f t="shared" si="51"/>
        <v>1157.058705343994</v>
      </c>
      <c r="Q233" s="581" t="s">
        <v>2303</v>
      </c>
      <c r="R233" s="1080">
        <f>F97</f>
        <v>4585.8642490051216</v>
      </c>
      <c r="S233" s="1080">
        <f>O97</f>
        <v>0</v>
      </c>
      <c r="T233" s="1080">
        <f t="shared" si="52"/>
        <v>4585.8642490051216</v>
      </c>
    </row>
    <row r="234" spans="3:20" ht="62.4">
      <c r="C234" s="77" t="s">
        <v>2079</v>
      </c>
      <c r="D234" s="84">
        <f>F63</f>
        <v>11242.08705343994</v>
      </c>
      <c r="E234" s="84">
        <f>O63</f>
        <v>3289</v>
      </c>
      <c r="F234" s="84">
        <f t="shared" si="51"/>
        <v>7953.0870534399401</v>
      </c>
      <c r="Q234" s="77" t="s">
        <v>2079</v>
      </c>
      <c r="R234" s="1081">
        <f>F78</f>
        <v>41304.042490051215</v>
      </c>
      <c r="S234" s="1081">
        <f>O78</f>
        <v>4148</v>
      </c>
      <c r="T234" s="1081">
        <f t="shared" si="52"/>
        <v>37156.042490051215</v>
      </c>
    </row>
    <row r="235" spans="3:20" ht="46.8">
      <c r="C235" s="76" t="s">
        <v>2080</v>
      </c>
      <c r="D235" s="83">
        <f>F44</f>
        <v>3124.4174106879882</v>
      </c>
      <c r="E235" s="83">
        <f>O44</f>
        <v>150</v>
      </c>
      <c r="F235" s="83">
        <f t="shared" si="51"/>
        <v>2974.4174106879882</v>
      </c>
      <c r="Q235" s="76" t="s">
        <v>2080</v>
      </c>
      <c r="R235" s="1082">
        <f>F59</f>
        <v>20406.408498010242</v>
      </c>
      <c r="S235" s="1082">
        <f>O59</f>
        <v>0</v>
      </c>
      <c r="T235" s="1082">
        <f t="shared" si="52"/>
        <v>20406.408498010242</v>
      </c>
    </row>
    <row r="236" spans="3:20" ht="46.8">
      <c r="C236" s="80" t="s">
        <v>2081</v>
      </c>
      <c r="D236" s="82">
        <f>F25</f>
        <v>9212.6696427519528</v>
      </c>
      <c r="E236" s="82">
        <f>O25</f>
        <v>150</v>
      </c>
      <c r="F236" s="82">
        <f t="shared" si="51"/>
        <v>9062.6696427519528</v>
      </c>
      <c r="Q236" s="80" t="s">
        <v>2081</v>
      </c>
      <c r="R236" s="1083">
        <f>F40</f>
        <v>36079.633992040974</v>
      </c>
      <c r="S236" s="1083">
        <f>O40</f>
        <v>0</v>
      </c>
      <c r="T236" s="1083">
        <f t="shared" si="52"/>
        <v>36079.633992040974</v>
      </c>
    </row>
  </sheetData>
  <autoFilter ref="C22:Y164" xr:uid="{0963DAC5-F240-4556-B567-D1458AD5EEAC}">
    <filterColumn colId="1">
      <filters>
        <filter val="Shan (North)"/>
      </filters>
    </filterColumn>
  </autoFilter>
  <mergeCells count="12">
    <mergeCell ref="R23:S23"/>
    <mergeCell ref="A2:A3"/>
    <mergeCell ref="C25:C43"/>
    <mergeCell ref="H185:I185"/>
    <mergeCell ref="E204:F204"/>
    <mergeCell ref="C114:C126"/>
    <mergeCell ref="C127:C145"/>
    <mergeCell ref="C146:C164"/>
    <mergeCell ref="C82:C100"/>
    <mergeCell ref="C101:C113"/>
    <mergeCell ref="C63:C81"/>
    <mergeCell ref="C44:C62"/>
  </mergeCells>
  <phoneticPr fontId="148" type="noConversion"/>
  <pageMargins left="0.7" right="0.7" top="0.75" bottom="0.75" header="0.3" footer="0.3"/>
  <pageSetup orientation="portrait" r:id="rId2"/>
  <drawing r:id="rId3"/>
  <legacy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40"/>
  <sheetViews>
    <sheetView showGridLines="0" topLeftCell="C4" workbookViewId="0">
      <selection activeCell="P4" sqref="P4"/>
    </sheetView>
  </sheetViews>
  <sheetFormatPr defaultRowHeight="15.6"/>
  <cols>
    <col min="1" max="1" width="18.19921875" customWidth="1"/>
    <col min="2" max="2" width="25.5" customWidth="1"/>
    <col min="3" max="4" width="10.69921875" customWidth="1"/>
    <col min="5" max="6" width="7.59765625" bestFit="1" customWidth="1"/>
    <col min="7" max="7" width="8.8984375" customWidth="1"/>
    <col min="8" max="8" width="7.59765625" bestFit="1" customWidth="1"/>
    <col min="9" max="10" width="13.59765625" customWidth="1"/>
    <col min="11" max="11" width="20.19921875" customWidth="1"/>
    <col min="12" max="13" width="15" customWidth="1"/>
    <col min="14" max="15" width="15" style="421" customWidth="1"/>
    <col min="16" max="16" width="15" customWidth="1"/>
    <col min="17" max="17" width="14.69921875" customWidth="1"/>
    <col min="18" max="18" width="17" customWidth="1"/>
    <col min="19" max="19" width="8.5" bestFit="1" customWidth="1"/>
    <col min="20" max="20" width="11.796875" customWidth="1"/>
    <col min="21" max="23" width="6.796875" bestFit="1" customWidth="1"/>
    <col min="24" max="24" width="9.3984375" customWidth="1"/>
    <col min="25" max="25" width="7.69921875" bestFit="1" customWidth="1"/>
    <col min="26" max="26" width="15.09765625" style="468" customWidth="1"/>
    <col min="27" max="27" width="14.19921875" style="468" customWidth="1"/>
    <col min="28" max="30" width="13" style="468" customWidth="1"/>
    <col min="31" max="31" width="10.5" customWidth="1"/>
  </cols>
  <sheetData>
    <row r="1" spans="1:31">
      <c r="A1" s="995" t="s">
        <v>34</v>
      </c>
      <c r="B1" s="996" t="s">
        <v>34</v>
      </c>
      <c r="C1" s="59"/>
      <c r="D1" s="59"/>
      <c r="E1" s="59"/>
      <c r="F1" s="59"/>
      <c r="G1" s="59"/>
      <c r="H1" s="60"/>
      <c r="I1" s="60"/>
      <c r="J1" s="60"/>
      <c r="K1" s="60"/>
      <c r="L1" s="60"/>
      <c r="M1" s="60"/>
      <c r="N1" s="60"/>
      <c r="O1" s="60"/>
      <c r="P1" s="60"/>
      <c r="Q1" s="995" t="s">
        <v>34</v>
      </c>
      <c r="R1" s="996" t="s">
        <v>34</v>
      </c>
      <c r="S1" s="59"/>
      <c r="T1" s="59"/>
      <c r="U1" s="59"/>
      <c r="V1" s="59"/>
      <c r="W1" s="59"/>
      <c r="X1" s="60"/>
      <c r="Y1" s="60"/>
      <c r="Z1" s="60"/>
      <c r="AA1" s="60"/>
      <c r="AB1" s="60"/>
      <c r="AC1" s="60"/>
      <c r="AD1" s="60"/>
    </row>
    <row r="2" spans="1:31">
      <c r="A2" s="995" t="s">
        <v>134</v>
      </c>
      <c r="B2" s="996" t="s">
        <v>1284</v>
      </c>
      <c r="C2" s="59"/>
      <c r="D2" s="59"/>
      <c r="E2" s="59"/>
      <c r="F2" s="59"/>
      <c r="G2" s="59"/>
      <c r="H2" s="59"/>
      <c r="I2" s="59"/>
      <c r="J2" s="59"/>
      <c r="K2" s="59"/>
      <c r="L2" s="59"/>
      <c r="M2" s="59"/>
      <c r="N2" s="59"/>
      <c r="O2" s="59"/>
      <c r="P2" s="59"/>
      <c r="Q2" s="995" t="s">
        <v>134</v>
      </c>
      <c r="R2" s="996" t="s">
        <v>1284</v>
      </c>
      <c r="S2" s="59"/>
      <c r="T2" s="59"/>
      <c r="U2" s="59"/>
      <c r="V2" s="59"/>
      <c r="W2" s="59"/>
      <c r="X2" s="59"/>
      <c r="Y2" s="59"/>
      <c r="Z2" s="60"/>
      <c r="AA2" s="60"/>
      <c r="AB2" s="60"/>
      <c r="AC2" s="60"/>
      <c r="AD2" s="60"/>
    </row>
    <row r="3" spans="1:31">
      <c r="A3" s="995" t="s">
        <v>21</v>
      </c>
      <c r="B3" s="996" t="s">
        <v>37</v>
      </c>
      <c r="C3" s="374" t="s">
        <v>2092</v>
      </c>
      <c r="D3" s="421"/>
      <c r="E3" s="421"/>
      <c r="F3" s="421"/>
      <c r="G3" s="421"/>
      <c r="H3" s="421"/>
      <c r="I3" s="421"/>
      <c r="J3" s="421"/>
      <c r="K3" s="59"/>
      <c r="L3" s="59"/>
      <c r="M3" s="59"/>
      <c r="N3" s="59"/>
      <c r="O3" s="59"/>
      <c r="P3" s="59"/>
      <c r="Q3" s="995" t="s">
        <v>21</v>
      </c>
      <c r="R3" s="996" t="s">
        <v>515</v>
      </c>
      <c r="S3" s="374" t="s">
        <v>2092</v>
      </c>
      <c r="T3" s="421"/>
      <c r="U3" s="421"/>
      <c r="V3" s="421"/>
      <c r="W3" s="421"/>
      <c r="X3" s="421"/>
      <c r="Y3" s="421"/>
      <c r="AA3" s="60"/>
      <c r="AB3" s="60"/>
      <c r="AC3" s="60"/>
      <c r="AD3" s="60"/>
    </row>
    <row r="4" spans="1:31" s="670" customFormat="1">
      <c r="B4" s="671"/>
      <c r="C4" s="671">
        <f>SUM(C6:C153)</f>
        <v>69210.051851851851</v>
      </c>
      <c r="D4" s="671">
        <f t="shared" ref="D4:O4" si="0">SUM(D6:D153)</f>
        <v>79179</v>
      </c>
      <c r="E4" s="671">
        <f t="shared" si="0"/>
        <v>81603</v>
      </c>
      <c r="F4" s="671">
        <f t="shared" si="0"/>
        <v>1339</v>
      </c>
      <c r="G4" s="671">
        <f t="shared" si="0"/>
        <v>18980</v>
      </c>
      <c r="H4" s="671">
        <f t="shared" si="0"/>
        <v>3893</v>
      </c>
      <c r="I4" s="671">
        <f t="shared" si="0"/>
        <v>55703</v>
      </c>
      <c r="J4" s="671">
        <f t="shared" si="0"/>
        <v>74739</v>
      </c>
      <c r="K4" s="671">
        <f t="shared" si="0"/>
        <v>52715</v>
      </c>
      <c r="L4" s="671">
        <f t="shared" si="0"/>
        <v>18675</v>
      </c>
      <c r="M4" s="671">
        <f t="shared" si="0"/>
        <v>293</v>
      </c>
      <c r="N4" s="671">
        <f t="shared" si="0"/>
        <v>795</v>
      </c>
      <c r="O4" s="671">
        <f t="shared" si="0"/>
        <v>3800</v>
      </c>
      <c r="P4" s="671"/>
      <c r="R4" s="671"/>
      <c r="S4" s="671">
        <f t="shared" ref="S4:AE4" si="1">SUM(S6:S48)</f>
        <v>9907.3333333333321</v>
      </c>
      <c r="T4" s="671">
        <f t="shared" si="1"/>
        <v>11712</v>
      </c>
      <c r="U4" s="671">
        <f t="shared" si="1"/>
        <v>8238</v>
      </c>
      <c r="V4" s="671">
        <f t="shared" si="1"/>
        <v>0</v>
      </c>
      <c r="W4" s="671">
        <f t="shared" si="1"/>
        <v>2223</v>
      </c>
      <c r="X4" s="671">
        <f t="shared" si="1"/>
        <v>0</v>
      </c>
      <c r="Y4" s="671">
        <f t="shared" si="1"/>
        <v>6244</v>
      </c>
      <c r="Z4" s="674">
        <f t="shared" si="1"/>
        <v>6768</v>
      </c>
      <c r="AA4" s="674">
        <f t="shared" si="1"/>
        <v>7091</v>
      </c>
      <c r="AB4" s="674">
        <f t="shared" si="1"/>
        <v>2223</v>
      </c>
      <c r="AC4" s="674">
        <f t="shared" si="1"/>
        <v>0</v>
      </c>
      <c r="AD4" s="674">
        <f t="shared" si="1"/>
        <v>0</v>
      </c>
      <c r="AE4" s="674">
        <f t="shared" si="1"/>
        <v>0</v>
      </c>
    </row>
    <row r="5" spans="1:31" s="669" customFormat="1" ht="71.55" customHeight="1">
      <c r="A5" s="996"/>
      <c r="B5" s="1003" t="s">
        <v>2651</v>
      </c>
      <c r="C5" s="1015" t="s">
        <v>2652</v>
      </c>
      <c r="D5" s="1016" t="s">
        <v>2653</v>
      </c>
      <c r="E5" s="1007" t="s">
        <v>2654</v>
      </c>
      <c r="F5" s="1017" t="s">
        <v>2655</v>
      </c>
      <c r="G5" s="1018" t="s">
        <v>2656</v>
      </c>
      <c r="H5" s="1018" t="s">
        <v>2867</v>
      </c>
      <c r="I5" s="1009" t="s">
        <v>2657</v>
      </c>
      <c r="J5" s="1009" t="s">
        <v>2658</v>
      </c>
      <c r="K5" s="1009" t="s">
        <v>2659</v>
      </c>
      <c r="L5" s="1019" t="s">
        <v>2869</v>
      </c>
      <c r="M5" s="1014" t="s">
        <v>2870</v>
      </c>
      <c r="N5" s="1014" t="s">
        <v>2660</v>
      </c>
      <c r="O5" s="1014" t="s">
        <v>2871</v>
      </c>
      <c r="P5"/>
      <c r="Q5" s="996"/>
      <c r="R5" s="1003" t="s">
        <v>2651</v>
      </c>
      <c r="S5" s="1015" t="s">
        <v>2652</v>
      </c>
      <c r="T5" s="1016" t="s">
        <v>2653</v>
      </c>
      <c r="U5" s="1007" t="s">
        <v>2654</v>
      </c>
      <c r="V5" s="1017" t="s">
        <v>2655</v>
      </c>
      <c r="W5" s="1018" t="s">
        <v>2656</v>
      </c>
      <c r="X5" s="1018" t="s">
        <v>2867</v>
      </c>
      <c r="Y5" s="1009" t="s">
        <v>2657</v>
      </c>
      <c r="Z5" s="1009" t="s">
        <v>2658</v>
      </c>
      <c r="AA5" s="1009" t="s">
        <v>2659</v>
      </c>
      <c r="AB5" s="1014" t="s">
        <v>2869</v>
      </c>
      <c r="AC5" s="1014" t="s">
        <v>2870</v>
      </c>
      <c r="AD5" s="1014" t="s">
        <v>2660</v>
      </c>
      <c r="AE5" s="1014" t="s">
        <v>2871</v>
      </c>
    </row>
    <row r="6" spans="1:31">
      <c r="A6" s="996" t="s">
        <v>814</v>
      </c>
      <c r="B6" s="1002">
        <v>54</v>
      </c>
      <c r="C6" s="999">
        <v>54</v>
      </c>
      <c r="D6" s="1000">
        <v>54</v>
      </c>
      <c r="E6" s="1001">
        <v>0</v>
      </c>
      <c r="F6" s="1010">
        <v>0</v>
      </c>
      <c r="G6" s="1011">
        <v>0</v>
      </c>
      <c r="H6" s="1011">
        <v>0</v>
      </c>
      <c r="I6" s="1008">
        <v>0</v>
      </c>
      <c r="J6" s="1008">
        <v>0</v>
      </c>
      <c r="K6" s="1008">
        <v>54</v>
      </c>
      <c r="L6" s="998">
        <v>0</v>
      </c>
      <c r="M6" s="998">
        <v>0</v>
      </c>
      <c r="N6" s="998">
        <v>0</v>
      </c>
      <c r="O6" s="998">
        <v>0</v>
      </c>
      <c r="Q6" s="996" t="s">
        <v>2160</v>
      </c>
      <c r="R6" s="1002">
        <v>103</v>
      </c>
      <c r="S6" s="999">
        <v>103</v>
      </c>
      <c r="T6" s="1000">
        <v>103</v>
      </c>
      <c r="U6" s="1001">
        <v>103</v>
      </c>
      <c r="V6" s="1010">
        <v>0</v>
      </c>
      <c r="W6" s="1011">
        <v>0</v>
      </c>
      <c r="X6" s="1011">
        <v>0</v>
      </c>
      <c r="Y6" s="1008">
        <v>103</v>
      </c>
      <c r="Z6" s="1020">
        <v>0</v>
      </c>
      <c r="AA6" s="1020">
        <v>103</v>
      </c>
      <c r="AB6" s="998">
        <v>0</v>
      </c>
      <c r="AC6" s="998">
        <v>0</v>
      </c>
      <c r="AD6" s="1021">
        <v>0</v>
      </c>
      <c r="AE6" s="998">
        <v>0</v>
      </c>
    </row>
    <row r="7" spans="1:31">
      <c r="A7" s="996" t="s">
        <v>277</v>
      </c>
      <c r="B7" s="1002">
        <v>1278</v>
      </c>
      <c r="C7" s="999">
        <v>1278</v>
      </c>
      <c r="D7" s="1000">
        <v>1049</v>
      </c>
      <c r="E7" s="1001">
        <v>1278</v>
      </c>
      <c r="F7" s="1010">
        <v>57</v>
      </c>
      <c r="G7" s="1011">
        <v>0</v>
      </c>
      <c r="H7" s="1011">
        <v>0</v>
      </c>
      <c r="I7" s="1008">
        <v>1278</v>
      </c>
      <c r="J7" s="1008">
        <v>1278</v>
      </c>
      <c r="K7" s="1008">
        <v>1200</v>
      </c>
      <c r="L7" s="998">
        <v>0</v>
      </c>
      <c r="M7" s="998">
        <v>0</v>
      </c>
      <c r="N7" s="998">
        <v>0</v>
      </c>
      <c r="O7" s="998">
        <v>0</v>
      </c>
      <c r="Q7" s="996" t="s">
        <v>1721</v>
      </c>
      <c r="R7" s="1002">
        <v>439</v>
      </c>
      <c r="S7" s="999">
        <v>439</v>
      </c>
      <c r="T7" s="1000">
        <v>439</v>
      </c>
      <c r="U7" s="1001">
        <v>439</v>
      </c>
      <c r="V7" s="1010">
        <v>0</v>
      </c>
      <c r="W7" s="1011">
        <v>0</v>
      </c>
      <c r="X7" s="1011">
        <v>0</v>
      </c>
      <c r="Y7" s="1008">
        <v>50</v>
      </c>
      <c r="Z7" s="1020">
        <v>439</v>
      </c>
      <c r="AA7" s="1020">
        <v>300</v>
      </c>
      <c r="AB7" s="998">
        <v>0</v>
      </c>
      <c r="AC7" s="998">
        <v>0</v>
      </c>
      <c r="AD7" s="1021">
        <v>0</v>
      </c>
      <c r="AE7" s="998">
        <v>0</v>
      </c>
    </row>
    <row r="8" spans="1:31">
      <c r="A8" s="996" t="s">
        <v>248</v>
      </c>
      <c r="B8" s="1002">
        <v>440</v>
      </c>
      <c r="C8" s="999">
        <v>440</v>
      </c>
      <c r="D8" s="1000">
        <v>308</v>
      </c>
      <c r="E8" s="1001">
        <v>440</v>
      </c>
      <c r="F8" s="1010">
        <v>0</v>
      </c>
      <c r="G8" s="1011">
        <v>435</v>
      </c>
      <c r="H8" s="1011">
        <v>0</v>
      </c>
      <c r="I8" s="1008">
        <v>435</v>
      </c>
      <c r="J8" s="1008">
        <v>440</v>
      </c>
      <c r="K8" s="1008">
        <v>435</v>
      </c>
      <c r="L8" s="998">
        <v>435</v>
      </c>
      <c r="M8" s="998">
        <v>0</v>
      </c>
      <c r="N8" s="998">
        <v>0</v>
      </c>
      <c r="O8" s="998">
        <v>0</v>
      </c>
      <c r="Q8" s="996" t="s">
        <v>555</v>
      </c>
      <c r="R8" s="1002">
        <v>934</v>
      </c>
      <c r="S8" s="999">
        <v>934</v>
      </c>
      <c r="T8" s="1000">
        <v>800</v>
      </c>
      <c r="U8" s="1001">
        <v>934</v>
      </c>
      <c r="V8" s="1010">
        <v>0</v>
      </c>
      <c r="W8" s="1011">
        <v>0</v>
      </c>
      <c r="X8" s="1011">
        <v>0</v>
      </c>
      <c r="Y8" s="1008">
        <v>806</v>
      </c>
      <c r="Z8" s="1020">
        <v>934</v>
      </c>
      <c r="AA8" s="1020">
        <v>100</v>
      </c>
      <c r="AB8" s="998">
        <v>0</v>
      </c>
      <c r="AC8" s="998">
        <v>0</v>
      </c>
      <c r="AD8" s="1021">
        <v>0</v>
      </c>
      <c r="AE8" s="998">
        <v>0</v>
      </c>
    </row>
    <row r="9" spans="1:31">
      <c r="A9" s="996" t="s">
        <v>249</v>
      </c>
      <c r="B9" s="1002">
        <v>72</v>
      </c>
      <c r="C9" s="999">
        <v>72</v>
      </c>
      <c r="D9" s="1000">
        <v>72</v>
      </c>
      <c r="E9" s="1001">
        <v>72</v>
      </c>
      <c r="F9" s="1010">
        <v>0</v>
      </c>
      <c r="G9" s="1011">
        <v>72</v>
      </c>
      <c r="H9" s="1011">
        <v>0</v>
      </c>
      <c r="I9" s="1008">
        <v>72</v>
      </c>
      <c r="J9" s="1008">
        <v>72</v>
      </c>
      <c r="K9" s="1008">
        <v>72</v>
      </c>
      <c r="L9" s="998">
        <v>72</v>
      </c>
      <c r="M9" s="998">
        <v>0</v>
      </c>
      <c r="N9" s="998">
        <v>0</v>
      </c>
      <c r="O9" s="998">
        <v>0</v>
      </c>
      <c r="Q9" s="996" t="s">
        <v>1727</v>
      </c>
      <c r="R9" s="1002">
        <v>130</v>
      </c>
      <c r="S9" s="999">
        <v>130</v>
      </c>
      <c r="T9" s="1000">
        <v>130</v>
      </c>
      <c r="U9" s="1001">
        <v>130</v>
      </c>
      <c r="V9" s="1010">
        <v>0</v>
      </c>
      <c r="W9" s="1011">
        <v>0</v>
      </c>
      <c r="X9" s="1011">
        <v>0</v>
      </c>
      <c r="Y9" s="1008">
        <v>130</v>
      </c>
      <c r="Z9" s="1020">
        <v>130</v>
      </c>
      <c r="AA9" s="1020">
        <v>130</v>
      </c>
      <c r="AB9" s="998">
        <v>0</v>
      </c>
      <c r="AC9" s="998">
        <v>0</v>
      </c>
      <c r="AD9" s="1021">
        <v>0</v>
      </c>
      <c r="AE9" s="998">
        <v>0</v>
      </c>
    </row>
    <row r="10" spans="1:31">
      <c r="A10" s="996" t="s">
        <v>206</v>
      </c>
      <c r="B10" s="1002">
        <v>605</v>
      </c>
      <c r="C10" s="999">
        <v>605</v>
      </c>
      <c r="D10" s="1000">
        <v>560</v>
      </c>
      <c r="E10" s="1001">
        <v>500</v>
      </c>
      <c r="F10" s="1010">
        <v>34</v>
      </c>
      <c r="G10" s="1011">
        <v>0</v>
      </c>
      <c r="H10" s="1011">
        <v>0</v>
      </c>
      <c r="I10" s="1008">
        <v>455</v>
      </c>
      <c r="J10" s="1008">
        <v>500</v>
      </c>
      <c r="K10" s="1008">
        <v>605</v>
      </c>
      <c r="L10" s="998">
        <v>0</v>
      </c>
      <c r="M10" s="998">
        <v>0</v>
      </c>
      <c r="N10" s="998">
        <v>0</v>
      </c>
      <c r="O10" s="998">
        <v>0</v>
      </c>
      <c r="Q10" s="996" t="s">
        <v>541</v>
      </c>
      <c r="R10" s="1002">
        <v>244</v>
      </c>
      <c r="S10" s="999">
        <v>244</v>
      </c>
      <c r="T10" s="1000">
        <v>240</v>
      </c>
      <c r="U10" s="1001">
        <v>244</v>
      </c>
      <c r="V10" s="1010">
        <v>0</v>
      </c>
      <c r="W10" s="1011">
        <v>0</v>
      </c>
      <c r="X10" s="1011">
        <v>0</v>
      </c>
      <c r="Y10" s="1008">
        <v>30</v>
      </c>
      <c r="Z10" s="1020">
        <v>244</v>
      </c>
      <c r="AA10" s="1020">
        <v>244</v>
      </c>
      <c r="AB10" s="998">
        <v>0</v>
      </c>
      <c r="AC10" s="998">
        <v>0</v>
      </c>
      <c r="AD10" s="1021">
        <v>0</v>
      </c>
      <c r="AE10" s="998">
        <v>0</v>
      </c>
    </row>
    <row r="11" spans="1:31">
      <c r="A11" s="996" t="s">
        <v>196</v>
      </c>
      <c r="B11" s="1002">
        <v>222</v>
      </c>
      <c r="C11" s="999">
        <v>222</v>
      </c>
      <c r="D11" s="1000">
        <v>40</v>
      </c>
      <c r="E11" s="1001">
        <v>51</v>
      </c>
      <c r="F11" s="1010">
        <v>5</v>
      </c>
      <c r="G11" s="1011">
        <v>0</v>
      </c>
      <c r="H11" s="1011">
        <v>0</v>
      </c>
      <c r="I11" s="1008">
        <v>51</v>
      </c>
      <c r="J11" s="1008">
        <v>0</v>
      </c>
      <c r="K11" s="1008">
        <v>51</v>
      </c>
      <c r="L11" s="998">
        <v>0</v>
      </c>
      <c r="M11" s="998">
        <v>0</v>
      </c>
      <c r="N11" s="998">
        <v>0</v>
      </c>
      <c r="O11" s="998">
        <v>0</v>
      </c>
      <c r="Q11" s="996" t="s">
        <v>546</v>
      </c>
      <c r="R11" s="1002">
        <v>180</v>
      </c>
      <c r="S11" s="999">
        <v>180</v>
      </c>
      <c r="T11" s="1000">
        <v>180</v>
      </c>
      <c r="U11" s="1001">
        <v>180</v>
      </c>
      <c r="V11" s="1010">
        <v>0</v>
      </c>
      <c r="W11" s="1011">
        <v>0</v>
      </c>
      <c r="X11" s="1011">
        <v>0</v>
      </c>
      <c r="Y11" s="1008">
        <v>180</v>
      </c>
      <c r="Z11" s="1020">
        <v>180</v>
      </c>
      <c r="AA11" s="1020">
        <v>180</v>
      </c>
      <c r="AB11" s="998">
        <v>0</v>
      </c>
      <c r="AC11" s="998">
        <v>0</v>
      </c>
      <c r="AD11" s="1021">
        <v>0</v>
      </c>
      <c r="AE11" s="998">
        <v>0</v>
      </c>
    </row>
    <row r="12" spans="1:31">
      <c r="A12" s="996" t="s">
        <v>250</v>
      </c>
      <c r="B12" s="1002">
        <v>250</v>
      </c>
      <c r="C12" s="999">
        <v>250</v>
      </c>
      <c r="D12" s="1000">
        <v>200</v>
      </c>
      <c r="E12" s="1001">
        <v>250</v>
      </c>
      <c r="F12" s="1010">
        <v>0</v>
      </c>
      <c r="G12" s="1011">
        <v>0</v>
      </c>
      <c r="H12" s="1011">
        <v>0</v>
      </c>
      <c r="I12" s="1008">
        <v>250</v>
      </c>
      <c r="J12" s="1008">
        <v>250</v>
      </c>
      <c r="K12" s="1008">
        <v>250</v>
      </c>
      <c r="L12" s="998">
        <v>0</v>
      </c>
      <c r="M12" s="998">
        <v>0</v>
      </c>
      <c r="N12" s="998">
        <v>0</v>
      </c>
      <c r="O12" s="998">
        <v>0</v>
      </c>
      <c r="Q12" s="996" t="s">
        <v>543</v>
      </c>
      <c r="R12" s="1002">
        <v>270</v>
      </c>
      <c r="S12" s="999">
        <v>270</v>
      </c>
      <c r="T12" s="1000">
        <v>270</v>
      </c>
      <c r="U12" s="1001">
        <v>270</v>
      </c>
      <c r="V12" s="1010">
        <v>0</v>
      </c>
      <c r="W12" s="1011">
        <v>0</v>
      </c>
      <c r="X12" s="1011">
        <v>0</v>
      </c>
      <c r="Y12" s="1008">
        <v>270</v>
      </c>
      <c r="Z12" s="1020">
        <v>270</v>
      </c>
      <c r="AA12" s="1020">
        <v>270</v>
      </c>
      <c r="AB12" s="998">
        <v>0</v>
      </c>
      <c r="AC12" s="998">
        <v>0</v>
      </c>
      <c r="AD12" s="1021">
        <v>0</v>
      </c>
      <c r="AE12" s="998">
        <v>0</v>
      </c>
    </row>
    <row r="13" spans="1:31">
      <c r="A13" s="996" t="s">
        <v>236</v>
      </c>
      <c r="B13" s="1002">
        <v>421</v>
      </c>
      <c r="C13" s="999">
        <v>420</v>
      </c>
      <c r="D13" s="1000">
        <v>421</v>
      </c>
      <c r="E13" s="1001">
        <v>421</v>
      </c>
      <c r="F13" s="1010">
        <v>0</v>
      </c>
      <c r="G13" s="1011">
        <v>0</v>
      </c>
      <c r="H13" s="1011">
        <v>0</v>
      </c>
      <c r="I13" s="1008">
        <v>420</v>
      </c>
      <c r="J13" s="1008">
        <v>421</v>
      </c>
      <c r="K13" s="1008">
        <v>200</v>
      </c>
      <c r="L13" s="998">
        <v>0</v>
      </c>
      <c r="M13" s="998">
        <v>0</v>
      </c>
      <c r="N13" s="998">
        <v>0</v>
      </c>
      <c r="O13" s="998">
        <v>0</v>
      </c>
      <c r="Q13" s="996" t="s">
        <v>544</v>
      </c>
      <c r="R13" s="1002">
        <v>127</v>
      </c>
      <c r="S13" s="999">
        <v>127</v>
      </c>
      <c r="T13" s="1000">
        <v>127</v>
      </c>
      <c r="U13" s="1001">
        <v>127</v>
      </c>
      <c r="V13" s="1010">
        <v>0</v>
      </c>
      <c r="W13" s="1011">
        <v>0</v>
      </c>
      <c r="X13" s="1011">
        <v>0</v>
      </c>
      <c r="Y13" s="1008">
        <v>50</v>
      </c>
      <c r="Z13" s="1020">
        <v>127</v>
      </c>
      <c r="AA13" s="1020">
        <v>127</v>
      </c>
      <c r="AB13" s="998">
        <v>0</v>
      </c>
      <c r="AC13" s="998">
        <v>0</v>
      </c>
      <c r="AD13" s="1021">
        <v>0</v>
      </c>
      <c r="AE13" s="998">
        <v>0</v>
      </c>
    </row>
    <row r="14" spans="1:31">
      <c r="A14" s="996" t="s">
        <v>1490</v>
      </c>
      <c r="B14" s="1002">
        <v>1900</v>
      </c>
      <c r="C14" s="999">
        <v>1900</v>
      </c>
      <c r="D14" s="1000">
        <v>1900</v>
      </c>
      <c r="E14" s="1001">
        <v>1900</v>
      </c>
      <c r="F14" s="1010">
        <v>0</v>
      </c>
      <c r="G14" s="1011">
        <v>1900</v>
      </c>
      <c r="H14" s="1011">
        <v>100</v>
      </c>
      <c r="I14" s="1008">
        <v>30</v>
      </c>
      <c r="J14" s="1008">
        <v>1900</v>
      </c>
      <c r="K14" s="1008">
        <v>300</v>
      </c>
      <c r="L14" s="998">
        <v>1900</v>
      </c>
      <c r="M14" s="998">
        <v>0</v>
      </c>
      <c r="N14" s="998">
        <v>0</v>
      </c>
      <c r="O14" s="998">
        <v>100</v>
      </c>
      <c r="Q14" s="996" t="s">
        <v>1617</v>
      </c>
      <c r="R14" s="1002">
        <v>502</v>
      </c>
      <c r="S14" s="999">
        <v>502</v>
      </c>
      <c r="T14" s="1000">
        <v>502</v>
      </c>
      <c r="U14" s="1001">
        <v>500</v>
      </c>
      <c r="V14" s="1010">
        <v>0</v>
      </c>
      <c r="W14" s="1011">
        <v>502</v>
      </c>
      <c r="X14" s="1011">
        <v>0</v>
      </c>
      <c r="Y14" s="1008">
        <v>205</v>
      </c>
      <c r="Z14" s="1020">
        <v>500</v>
      </c>
      <c r="AA14" s="1020">
        <v>200</v>
      </c>
      <c r="AB14" s="998">
        <v>502</v>
      </c>
      <c r="AC14" s="998">
        <v>0</v>
      </c>
      <c r="AD14" s="1021">
        <v>0</v>
      </c>
      <c r="AE14" s="998">
        <v>0</v>
      </c>
    </row>
    <row r="15" spans="1:31">
      <c r="A15" s="996" t="s">
        <v>251</v>
      </c>
      <c r="B15" s="1002">
        <v>24</v>
      </c>
      <c r="C15" s="999">
        <v>24</v>
      </c>
      <c r="D15" s="1000">
        <v>24</v>
      </c>
      <c r="E15" s="1001">
        <v>24</v>
      </c>
      <c r="F15" s="1010">
        <v>0</v>
      </c>
      <c r="G15" s="1011">
        <v>0</v>
      </c>
      <c r="H15" s="1011">
        <v>0</v>
      </c>
      <c r="I15" s="1008">
        <v>24</v>
      </c>
      <c r="J15" s="1008">
        <v>24</v>
      </c>
      <c r="K15" s="1008">
        <v>24</v>
      </c>
      <c r="L15" s="998">
        <v>0</v>
      </c>
      <c r="M15" s="998">
        <v>0</v>
      </c>
      <c r="N15" s="998">
        <v>0</v>
      </c>
      <c r="O15" s="998">
        <v>0</v>
      </c>
      <c r="Q15" s="996" t="s">
        <v>554</v>
      </c>
      <c r="R15" s="1002">
        <v>104</v>
      </c>
      <c r="S15" s="999">
        <v>104</v>
      </c>
      <c r="T15" s="1000">
        <v>80</v>
      </c>
      <c r="U15" s="1001">
        <v>104</v>
      </c>
      <c r="V15" s="1010">
        <v>0</v>
      </c>
      <c r="W15" s="1011">
        <v>0</v>
      </c>
      <c r="X15" s="1011">
        <v>0</v>
      </c>
      <c r="Y15" s="1008">
        <v>104</v>
      </c>
      <c r="Z15" s="1020">
        <v>0</v>
      </c>
      <c r="AA15" s="1020">
        <v>104</v>
      </c>
      <c r="AB15" s="998">
        <v>0</v>
      </c>
      <c r="AC15" s="998">
        <v>0</v>
      </c>
      <c r="AD15" s="1021">
        <v>0</v>
      </c>
      <c r="AE15" s="998">
        <v>0</v>
      </c>
    </row>
    <row r="16" spans="1:31">
      <c r="A16" s="996" t="s">
        <v>245</v>
      </c>
      <c r="B16" s="1002">
        <v>878</v>
      </c>
      <c r="C16" s="999">
        <v>878</v>
      </c>
      <c r="D16" s="1000">
        <v>640</v>
      </c>
      <c r="E16" s="1001">
        <v>500</v>
      </c>
      <c r="F16" s="1010">
        <v>168</v>
      </c>
      <c r="G16" s="1011">
        <v>0</v>
      </c>
      <c r="H16" s="1011">
        <v>0</v>
      </c>
      <c r="I16" s="1008">
        <v>30</v>
      </c>
      <c r="J16" s="1008">
        <v>500</v>
      </c>
      <c r="K16" s="1008">
        <v>200</v>
      </c>
      <c r="L16" s="998">
        <v>0</v>
      </c>
      <c r="M16" s="998">
        <v>0</v>
      </c>
      <c r="N16" s="998">
        <v>0</v>
      </c>
      <c r="O16" s="998">
        <v>0</v>
      </c>
      <c r="Q16" s="996" t="s">
        <v>548</v>
      </c>
      <c r="R16" s="1002">
        <v>125</v>
      </c>
      <c r="S16" s="999">
        <v>125</v>
      </c>
      <c r="T16" s="1000">
        <v>125</v>
      </c>
      <c r="U16" s="1001">
        <v>125</v>
      </c>
      <c r="V16" s="1010">
        <v>0</v>
      </c>
      <c r="W16" s="1011">
        <v>0</v>
      </c>
      <c r="X16" s="1011">
        <v>0</v>
      </c>
      <c r="Y16" s="1008">
        <v>125</v>
      </c>
      <c r="Z16" s="1020">
        <v>125</v>
      </c>
      <c r="AA16" s="1020">
        <v>125</v>
      </c>
      <c r="AB16" s="998">
        <v>0</v>
      </c>
      <c r="AC16" s="998">
        <v>0</v>
      </c>
      <c r="AD16" s="1021">
        <v>0</v>
      </c>
      <c r="AE16" s="998">
        <v>0</v>
      </c>
    </row>
    <row r="17" spans="1:31">
      <c r="A17" s="996" t="s">
        <v>252</v>
      </c>
      <c r="B17" s="1002">
        <v>443</v>
      </c>
      <c r="C17" s="999">
        <v>443</v>
      </c>
      <c r="D17" s="1000">
        <v>443</v>
      </c>
      <c r="E17" s="1001">
        <v>443</v>
      </c>
      <c r="F17" s="1010">
        <v>0</v>
      </c>
      <c r="G17" s="1011">
        <v>443</v>
      </c>
      <c r="H17" s="1011">
        <v>0</v>
      </c>
      <c r="I17" s="1008">
        <v>443</v>
      </c>
      <c r="J17" s="1008">
        <v>443</v>
      </c>
      <c r="K17" s="1008">
        <v>400</v>
      </c>
      <c r="L17" s="998">
        <v>443</v>
      </c>
      <c r="M17" s="998">
        <v>0</v>
      </c>
      <c r="N17" s="998">
        <v>0</v>
      </c>
      <c r="O17" s="998">
        <v>0</v>
      </c>
      <c r="Q17" s="996" t="s">
        <v>523</v>
      </c>
      <c r="R17" s="1002">
        <v>157</v>
      </c>
      <c r="S17" s="999">
        <v>157</v>
      </c>
      <c r="T17" s="1000">
        <v>157</v>
      </c>
      <c r="U17" s="1001">
        <v>157</v>
      </c>
      <c r="V17" s="1010">
        <v>0</v>
      </c>
      <c r="W17" s="1011">
        <v>0</v>
      </c>
      <c r="X17" s="1011">
        <v>0</v>
      </c>
      <c r="Y17" s="1008">
        <v>157</v>
      </c>
      <c r="Z17" s="1020">
        <v>157</v>
      </c>
      <c r="AA17" s="1020">
        <v>157</v>
      </c>
      <c r="AB17" s="998">
        <v>0</v>
      </c>
      <c r="AC17" s="998">
        <v>0</v>
      </c>
      <c r="AD17" s="1021">
        <v>0</v>
      </c>
      <c r="AE17" s="998">
        <v>0</v>
      </c>
    </row>
    <row r="18" spans="1:31">
      <c r="A18" s="996" t="s">
        <v>160</v>
      </c>
      <c r="B18" s="1002">
        <v>197</v>
      </c>
      <c r="C18" s="999">
        <v>197</v>
      </c>
      <c r="D18" s="1000">
        <v>140</v>
      </c>
      <c r="E18" s="1001">
        <v>197</v>
      </c>
      <c r="F18" s="1010">
        <v>0</v>
      </c>
      <c r="G18" s="1011">
        <v>0</v>
      </c>
      <c r="H18" s="1011">
        <v>0</v>
      </c>
      <c r="I18" s="1008">
        <v>197</v>
      </c>
      <c r="J18" s="1008">
        <v>197</v>
      </c>
      <c r="K18" s="1008">
        <v>193</v>
      </c>
      <c r="L18" s="998">
        <v>0</v>
      </c>
      <c r="M18" s="998">
        <v>0</v>
      </c>
      <c r="N18" s="998">
        <v>0</v>
      </c>
      <c r="O18" s="998">
        <v>0</v>
      </c>
      <c r="Q18" s="996" t="s">
        <v>1618</v>
      </c>
      <c r="R18" s="1002">
        <v>251</v>
      </c>
      <c r="S18" s="999">
        <v>251</v>
      </c>
      <c r="T18" s="1000">
        <v>251</v>
      </c>
      <c r="U18" s="1001">
        <v>251</v>
      </c>
      <c r="V18" s="1010">
        <v>0</v>
      </c>
      <c r="W18" s="1011">
        <v>0</v>
      </c>
      <c r="X18" s="1011">
        <v>0</v>
      </c>
      <c r="Y18" s="1008">
        <v>50</v>
      </c>
      <c r="Z18" s="1020">
        <v>251</v>
      </c>
      <c r="AA18" s="1020">
        <v>251</v>
      </c>
      <c r="AB18" s="998">
        <v>0</v>
      </c>
      <c r="AC18" s="998">
        <v>0</v>
      </c>
      <c r="AD18" s="1021">
        <v>0</v>
      </c>
      <c r="AE18" s="998">
        <v>0</v>
      </c>
    </row>
    <row r="19" spans="1:31">
      <c r="A19" s="996" t="s">
        <v>232</v>
      </c>
      <c r="B19" s="1002">
        <v>406</v>
      </c>
      <c r="C19" s="999">
        <v>406</v>
      </c>
      <c r="D19" s="1000">
        <v>400</v>
      </c>
      <c r="E19" s="1001">
        <v>406</v>
      </c>
      <c r="F19" s="1010">
        <v>0</v>
      </c>
      <c r="G19" s="1011">
        <v>0</v>
      </c>
      <c r="H19" s="1011">
        <v>0</v>
      </c>
      <c r="I19" s="1008">
        <v>406</v>
      </c>
      <c r="J19" s="1008">
        <v>406</v>
      </c>
      <c r="K19" s="1008">
        <v>394</v>
      </c>
      <c r="L19" s="998">
        <v>0</v>
      </c>
      <c r="M19" s="998">
        <v>0</v>
      </c>
      <c r="N19" s="998">
        <v>0</v>
      </c>
      <c r="O19" s="998">
        <v>0</v>
      </c>
      <c r="Q19" s="996" t="s">
        <v>545</v>
      </c>
      <c r="R19" s="1002">
        <v>176</v>
      </c>
      <c r="S19" s="999">
        <v>176</v>
      </c>
      <c r="T19" s="1000">
        <v>176</v>
      </c>
      <c r="U19" s="1001">
        <v>176</v>
      </c>
      <c r="V19" s="1010">
        <v>0</v>
      </c>
      <c r="W19" s="1011">
        <v>0</v>
      </c>
      <c r="X19" s="1011">
        <v>0</v>
      </c>
      <c r="Y19" s="1008">
        <v>176</v>
      </c>
      <c r="Z19" s="1020">
        <v>176</v>
      </c>
      <c r="AA19" s="1020">
        <v>176</v>
      </c>
      <c r="AB19" s="998">
        <v>0</v>
      </c>
      <c r="AC19" s="998">
        <v>0</v>
      </c>
      <c r="AD19" s="1021">
        <v>0</v>
      </c>
      <c r="AE19" s="998">
        <v>0</v>
      </c>
    </row>
    <row r="20" spans="1:31">
      <c r="A20" s="996" t="s">
        <v>771</v>
      </c>
      <c r="B20" s="1002">
        <v>410</v>
      </c>
      <c r="C20" s="999">
        <v>410</v>
      </c>
      <c r="D20" s="1000">
        <v>410</v>
      </c>
      <c r="E20" s="1001">
        <v>381</v>
      </c>
      <c r="F20" s="1010">
        <v>26</v>
      </c>
      <c r="G20" s="1011">
        <v>0</v>
      </c>
      <c r="H20" s="1011">
        <v>0</v>
      </c>
      <c r="I20" s="1008">
        <v>381</v>
      </c>
      <c r="J20" s="1008">
        <v>381</v>
      </c>
      <c r="K20" s="1008">
        <v>300</v>
      </c>
      <c r="L20" s="998">
        <v>0</v>
      </c>
      <c r="M20" s="998">
        <v>0</v>
      </c>
      <c r="N20" s="998">
        <v>0</v>
      </c>
      <c r="O20" s="998">
        <v>0</v>
      </c>
      <c r="Q20" s="996" t="s">
        <v>527</v>
      </c>
      <c r="R20" s="1002">
        <v>396</v>
      </c>
      <c r="S20" s="999">
        <v>396</v>
      </c>
      <c r="T20" s="1000">
        <v>396</v>
      </c>
      <c r="U20" s="1001">
        <v>396</v>
      </c>
      <c r="V20" s="1010">
        <v>0</v>
      </c>
      <c r="W20" s="1011">
        <v>0</v>
      </c>
      <c r="X20" s="1011">
        <v>0</v>
      </c>
      <c r="Y20" s="1008">
        <v>396</v>
      </c>
      <c r="Z20" s="1020">
        <v>396</v>
      </c>
      <c r="AA20" s="1020">
        <v>396</v>
      </c>
      <c r="AB20" s="998">
        <v>0</v>
      </c>
      <c r="AC20" s="998">
        <v>0</v>
      </c>
      <c r="AD20" s="1021">
        <v>0</v>
      </c>
      <c r="AE20" s="998">
        <v>0</v>
      </c>
    </row>
    <row r="21" spans="1:31">
      <c r="A21" s="996" t="s">
        <v>268</v>
      </c>
      <c r="B21" s="1002">
        <v>293</v>
      </c>
      <c r="C21" s="999">
        <v>291</v>
      </c>
      <c r="D21" s="1000">
        <v>291</v>
      </c>
      <c r="E21" s="1001">
        <v>293</v>
      </c>
      <c r="F21" s="1010">
        <v>59</v>
      </c>
      <c r="G21" s="1011">
        <v>293</v>
      </c>
      <c r="H21" s="1011">
        <v>293</v>
      </c>
      <c r="I21" s="1008">
        <v>293</v>
      </c>
      <c r="J21" s="1008">
        <v>291</v>
      </c>
      <c r="K21" s="1008">
        <v>200</v>
      </c>
      <c r="L21" s="998">
        <v>293</v>
      </c>
      <c r="M21" s="998">
        <v>293</v>
      </c>
      <c r="N21" s="998">
        <v>0</v>
      </c>
      <c r="O21" s="998">
        <v>200</v>
      </c>
      <c r="Q21" s="996" t="s">
        <v>562</v>
      </c>
      <c r="R21" s="1002">
        <v>323</v>
      </c>
      <c r="S21" s="999">
        <v>323</v>
      </c>
      <c r="T21" s="1000">
        <v>200</v>
      </c>
      <c r="U21" s="1001">
        <v>323</v>
      </c>
      <c r="V21" s="1010">
        <v>0</v>
      </c>
      <c r="W21" s="1011">
        <v>0</v>
      </c>
      <c r="X21" s="1011">
        <v>0</v>
      </c>
      <c r="Y21" s="1008">
        <v>323</v>
      </c>
      <c r="Z21" s="1020">
        <v>0</v>
      </c>
      <c r="AA21" s="1020">
        <v>323</v>
      </c>
      <c r="AB21" s="998">
        <v>0</v>
      </c>
      <c r="AC21" s="998">
        <v>0</v>
      </c>
      <c r="AD21" s="1021">
        <v>0</v>
      </c>
      <c r="AE21" s="998">
        <v>0</v>
      </c>
    </row>
    <row r="22" spans="1:31">
      <c r="A22" s="996" t="s">
        <v>175</v>
      </c>
      <c r="B22" s="1002">
        <v>966</v>
      </c>
      <c r="C22" s="999">
        <v>933.33333333333337</v>
      </c>
      <c r="D22" s="1000">
        <v>966</v>
      </c>
      <c r="E22" s="1001">
        <v>966</v>
      </c>
      <c r="F22" s="1010">
        <v>0</v>
      </c>
      <c r="G22" s="1011">
        <v>0</v>
      </c>
      <c r="H22" s="1011">
        <v>0</v>
      </c>
      <c r="I22" s="1008">
        <v>455</v>
      </c>
      <c r="J22" s="1008">
        <v>966</v>
      </c>
      <c r="K22" s="1008">
        <v>800</v>
      </c>
      <c r="L22" s="998">
        <v>0</v>
      </c>
      <c r="M22" s="998">
        <v>0</v>
      </c>
      <c r="N22" s="998">
        <v>0</v>
      </c>
      <c r="O22" s="998">
        <v>0</v>
      </c>
      <c r="Q22" s="996" t="s">
        <v>551</v>
      </c>
      <c r="R22" s="1002">
        <v>31</v>
      </c>
      <c r="S22" s="999">
        <v>31</v>
      </c>
      <c r="T22" s="1000">
        <v>31</v>
      </c>
      <c r="U22" s="1001">
        <v>31</v>
      </c>
      <c r="V22" s="1010">
        <v>0</v>
      </c>
      <c r="W22" s="1011">
        <v>0</v>
      </c>
      <c r="X22" s="1011">
        <v>0</v>
      </c>
      <c r="Y22" s="1008">
        <v>31</v>
      </c>
      <c r="Z22" s="1020">
        <v>31</v>
      </c>
      <c r="AA22" s="1020">
        <v>31</v>
      </c>
      <c r="AB22" s="998">
        <v>0</v>
      </c>
      <c r="AC22" s="998">
        <v>0</v>
      </c>
      <c r="AD22" s="1021">
        <v>0</v>
      </c>
      <c r="AE22" s="998">
        <v>0</v>
      </c>
    </row>
    <row r="23" spans="1:31">
      <c r="A23" s="996" t="s">
        <v>149</v>
      </c>
      <c r="B23" s="1002">
        <v>133</v>
      </c>
      <c r="C23" s="999">
        <v>133</v>
      </c>
      <c r="D23" s="1000">
        <v>132</v>
      </c>
      <c r="E23" s="1001">
        <v>132</v>
      </c>
      <c r="F23" s="1010">
        <v>0</v>
      </c>
      <c r="G23" s="1011">
        <v>0</v>
      </c>
      <c r="H23" s="1011">
        <v>0</v>
      </c>
      <c r="I23" s="1008">
        <v>30</v>
      </c>
      <c r="J23" s="1008">
        <v>132</v>
      </c>
      <c r="K23" s="1008">
        <v>100</v>
      </c>
      <c r="L23" s="998">
        <v>0</v>
      </c>
      <c r="M23" s="998">
        <v>0</v>
      </c>
      <c r="N23" s="998">
        <v>0</v>
      </c>
      <c r="O23" s="998">
        <v>0</v>
      </c>
      <c r="Q23" s="996" t="s">
        <v>517</v>
      </c>
      <c r="R23" s="1002">
        <v>213</v>
      </c>
      <c r="S23" s="999">
        <v>213</v>
      </c>
      <c r="T23" s="1000">
        <v>213</v>
      </c>
      <c r="U23" s="1001">
        <v>213</v>
      </c>
      <c r="V23" s="1010">
        <v>0</v>
      </c>
      <c r="W23" s="1011">
        <v>0</v>
      </c>
      <c r="X23" s="1011">
        <v>0</v>
      </c>
      <c r="Y23" s="1008">
        <v>50</v>
      </c>
      <c r="Z23" s="1020">
        <v>213</v>
      </c>
      <c r="AA23" s="1020">
        <v>213</v>
      </c>
      <c r="AB23" s="998">
        <v>0</v>
      </c>
      <c r="AC23" s="998">
        <v>0</v>
      </c>
      <c r="AD23" s="1021">
        <v>0</v>
      </c>
      <c r="AE23" s="998">
        <v>0</v>
      </c>
    </row>
    <row r="24" spans="1:31">
      <c r="A24" s="996" t="s">
        <v>254</v>
      </c>
      <c r="B24" s="1002">
        <v>504</v>
      </c>
      <c r="C24" s="999">
        <v>504</v>
      </c>
      <c r="D24" s="1000">
        <v>504</v>
      </c>
      <c r="E24" s="1001">
        <v>504</v>
      </c>
      <c r="F24" s="1010">
        <v>0</v>
      </c>
      <c r="G24" s="1011">
        <v>504</v>
      </c>
      <c r="H24" s="1011">
        <v>0</v>
      </c>
      <c r="I24" s="1008">
        <v>504</v>
      </c>
      <c r="J24" s="1008">
        <v>504</v>
      </c>
      <c r="K24" s="1008">
        <v>400</v>
      </c>
      <c r="L24" s="998">
        <v>504</v>
      </c>
      <c r="M24" s="998">
        <v>0</v>
      </c>
      <c r="N24" s="998">
        <v>0</v>
      </c>
      <c r="O24" s="998">
        <v>0</v>
      </c>
      <c r="Q24" s="996" t="s">
        <v>531</v>
      </c>
      <c r="R24" s="1002">
        <v>250</v>
      </c>
      <c r="S24" s="999">
        <v>250</v>
      </c>
      <c r="T24" s="1000">
        <v>250</v>
      </c>
      <c r="U24" s="1001">
        <v>250</v>
      </c>
      <c r="V24" s="1010">
        <v>0</v>
      </c>
      <c r="W24" s="1011">
        <v>0</v>
      </c>
      <c r="X24" s="1011">
        <v>0</v>
      </c>
      <c r="Y24" s="1008">
        <v>250</v>
      </c>
      <c r="Z24" s="1020">
        <v>250</v>
      </c>
      <c r="AA24" s="1020">
        <v>250</v>
      </c>
      <c r="AB24" s="998">
        <v>0</v>
      </c>
      <c r="AC24" s="998">
        <v>0</v>
      </c>
      <c r="AD24" s="1021">
        <v>0</v>
      </c>
      <c r="AE24" s="998">
        <v>0</v>
      </c>
    </row>
    <row r="25" spans="1:31">
      <c r="A25" s="996" t="s">
        <v>147</v>
      </c>
      <c r="B25" s="1002">
        <v>936</v>
      </c>
      <c r="C25" s="999">
        <v>0</v>
      </c>
      <c r="D25" s="1000">
        <v>640</v>
      </c>
      <c r="E25" s="1001">
        <v>936</v>
      </c>
      <c r="F25" s="1010">
        <v>0</v>
      </c>
      <c r="G25" s="1011">
        <v>0</v>
      </c>
      <c r="H25" s="1011">
        <v>0</v>
      </c>
      <c r="I25" s="1008">
        <v>455</v>
      </c>
      <c r="J25" s="1008">
        <v>936</v>
      </c>
      <c r="K25" s="1008">
        <v>800</v>
      </c>
      <c r="L25" s="998">
        <v>0</v>
      </c>
      <c r="M25" s="998">
        <v>0</v>
      </c>
      <c r="N25" s="998">
        <v>0</v>
      </c>
      <c r="O25" s="998">
        <v>0</v>
      </c>
      <c r="Q25" s="996" t="s">
        <v>1619</v>
      </c>
      <c r="R25" s="1002">
        <v>158</v>
      </c>
      <c r="S25" s="999">
        <v>158</v>
      </c>
      <c r="T25" s="1000">
        <v>158</v>
      </c>
      <c r="U25" s="1001">
        <v>158</v>
      </c>
      <c r="V25" s="1010">
        <v>0</v>
      </c>
      <c r="W25" s="1011">
        <v>0</v>
      </c>
      <c r="X25" s="1011">
        <v>0</v>
      </c>
      <c r="Y25" s="1008">
        <v>50</v>
      </c>
      <c r="Z25" s="1020">
        <v>158</v>
      </c>
      <c r="AA25" s="1020">
        <v>158</v>
      </c>
      <c r="AB25" s="998">
        <v>0</v>
      </c>
      <c r="AC25" s="998">
        <v>0</v>
      </c>
      <c r="AD25" s="1021">
        <v>0</v>
      </c>
      <c r="AE25" s="998">
        <v>0</v>
      </c>
    </row>
    <row r="26" spans="1:31">
      <c r="A26" s="996" t="s">
        <v>217</v>
      </c>
      <c r="B26" s="1002">
        <v>3789</v>
      </c>
      <c r="C26" s="999">
        <v>1463.1333333333334</v>
      </c>
      <c r="D26" s="1000">
        <v>3789</v>
      </c>
      <c r="E26" s="1001">
        <v>500</v>
      </c>
      <c r="F26" s="1010">
        <v>0</v>
      </c>
      <c r="G26" s="1011">
        <v>1500</v>
      </c>
      <c r="H26" s="1011">
        <v>200</v>
      </c>
      <c r="I26" s="1008">
        <v>30</v>
      </c>
      <c r="J26" s="1008">
        <v>500</v>
      </c>
      <c r="K26" s="1008">
        <v>100</v>
      </c>
      <c r="L26" s="998">
        <v>1500</v>
      </c>
      <c r="M26" s="998">
        <v>0</v>
      </c>
      <c r="N26" s="998">
        <v>0</v>
      </c>
      <c r="O26" s="998">
        <v>200</v>
      </c>
      <c r="Q26" s="996" t="s">
        <v>535</v>
      </c>
      <c r="R26" s="1002">
        <v>206</v>
      </c>
      <c r="S26" s="999">
        <v>206</v>
      </c>
      <c r="T26" s="1000">
        <v>206</v>
      </c>
      <c r="U26" s="1001">
        <v>206</v>
      </c>
      <c r="V26" s="1010">
        <v>0</v>
      </c>
      <c r="W26" s="1011">
        <v>0</v>
      </c>
      <c r="X26" s="1011">
        <v>0</v>
      </c>
      <c r="Y26" s="1008">
        <v>205</v>
      </c>
      <c r="Z26" s="1020">
        <v>206</v>
      </c>
      <c r="AA26" s="1020">
        <v>100</v>
      </c>
      <c r="AB26" s="998">
        <v>0</v>
      </c>
      <c r="AC26" s="998">
        <v>0</v>
      </c>
      <c r="AD26" s="1021">
        <v>0</v>
      </c>
      <c r="AE26" s="998">
        <v>0</v>
      </c>
    </row>
    <row r="27" spans="1:31">
      <c r="A27" s="996" t="s">
        <v>2161</v>
      </c>
      <c r="B27" s="1002">
        <v>16</v>
      </c>
      <c r="C27" s="999">
        <v>16</v>
      </c>
      <c r="D27" s="1000">
        <v>16</v>
      </c>
      <c r="E27" s="1001">
        <v>16</v>
      </c>
      <c r="F27" s="1010">
        <v>14</v>
      </c>
      <c r="G27" s="1011">
        <v>0</v>
      </c>
      <c r="H27" s="1011">
        <v>0</v>
      </c>
      <c r="I27" s="1008">
        <v>16</v>
      </c>
      <c r="J27" s="1008">
        <v>16</v>
      </c>
      <c r="K27" s="1008">
        <v>16</v>
      </c>
      <c r="L27" s="998">
        <v>0</v>
      </c>
      <c r="M27" s="998">
        <v>0</v>
      </c>
      <c r="N27" s="998">
        <v>0</v>
      </c>
      <c r="O27" s="998">
        <v>0</v>
      </c>
      <c r="Q27" s="996" t="s">
        <v>547</v>
      </c>
      <c r="R27" s="1002">
        <v>141</v>
      </c>
      <c r="S27" s="999">
        <v>141</v>
      </c>
      <c r="T27" s="1000">
        <v>141</v>
      </c>
      <c r="U27" s="1001">
        <v>141</v>
      </c>
      <c r="V27" s="1010">
        <v>0</v>
      </c>
      <c r="W27" s="1011">
        <v>0</v>
      </c>
      <c r="X27" s="1011">
        <v>0</v>
      </c>
      <c r="Y27" s="1008">
        <v>30</v>
      </c>
      <c r="Z27" s="1020">
        <v>141</v>
      </c>
      <c r="AA27" s="1020">
        <v>141</v>
      </c>
      <c r="AB27" s="998">
        <v>0</v>
      </c>
      <c r="AC27" s="998">
        <v>0</v>
      </c>
      <c r="AD27" s="1021">
        <v>0</v>
      </c>
      <c r="AE27" s="998">
        <v>0</v>
      </c>
    </row>
    <row r="28" spans="1:31">
      <c r="A28" s="996" t="s">
        <v>198</v>
      </c>
      <c r="B28" s="1002">
        <v>222</v>
      </c>
      <c r="C28" s="999">
        <v>222</v>
      </c>
      <c r="D28" s="1000">
        <v>140</v>
      </c>
      <c r="E28" s="1001">
        <v>222</v>
      </c>
      <c r="F28" s="1010">
        <v>9</v>
      </c>
      <c r="G28" s="1011">
        <v>0</v>
      </c>
      <c r="H28" s="1011">
        <v>0</v>
      </c>
      <c r="I28" s="1008">
        <v>222</v>
      </c>
      <c r="J28" s="1008">
        <v>222</v>
      </c>
      <c r="K28" s="1008">
        <v>222</v>
      </c>
      <c r="L28" s="998">
        <v>0</v>
      </c>
      <c r="M28" s="998">
        <v>0</v>
      </c>
      <c r="N28" s="998">
        <v>0</v>
      </c>
      <c r="O28" s="998">
        <v>0</v>
      </c>
      <c r="Q28" s="996" t="s">
        <v>542</v>
      </c>
      <c r="R28" s="1002">
        <v>664</v>
      </c>
      <c r="S28" s="999">
        <v>533.33333333333337</v>
      </c>
      <c r="T28" s="1000">
        <v>525</v>
      </c>
      <c r="U28" s="1001">
        <v>500</v>
      </c>
      <c r="V28" s="1010">
        <v>0</v>
      </c>
      <c r="W28" s="1011">
        <v>0</v>
      </c>
      <c r="X28" s="1011">
        <v>0</v>
      </c>
      <c r="Y28" s="1008">
        <v>455</v>
      </c>
      <c r="Z28" s="1020">
        <v>500</v>
      </c>
      <c r="AA28" s="1020">
        <v>664</v>
      </c>
      <c r="AB28" s="998">
        <v>0</v>
      </c>
      <c r="AC28" s="998">
        <v>0</v>
      </c>
      <c r="AD28" s="1021">
        <v>0</v>
      </c>
      <c r="AE28" s="998">
        <v>0</v>
      </c>
    </row>
    <row r="29" spans="1:31">
      <c r="A29" s="996" t="s">
        <v>224</v>
      </c>
      <c r="B29" s="1002">
        <v>2131</v>
      </c>
      <c r="C29" s="999">
        <v>177.16296296296298</v>
      </c>
      <c r="D29" s="1000">
        <v>1780</v>
      </c>
      <c r="E29" s="1001">
        <v>440</v>
      </c>
      <c r="F29" s="1010">
        <v>0</v>
      </c>
      <c r="G29" s="1011">
        <v>1000</v>
      </c>
      <c r="H29" s="1011">
        <v>0</v>
      </c>
      <c r="I29" s="1008">
        <v>440</v>
      </c>
      <c r="J29" s="1008">
        <v>0</v>
      </c>
      <c r="K29" s="1008">
        <v>300</v>
      </c>
      <c r="L29" s="998">
        <v>1000</v>
      </c>
      <c r="M29" s="998">
        <v>0</v>
      </c>
      <c r="N29" s="998">
        <v>0</v>
      </c>
      <c r="O29" s="998">
        <v>0</v>
      </c>
      <c r="Q29" s="996" t="s">
        <v>561</v>
      </c>
      <c r="R29" s="1002">
        <v>221</v>
      </c>
      <c r="S29" s="999">
        <v>221</v>
      </c>
      <c r="T29" s="1000">
        <v>221</v>
      </c>
      <c r="U29" s="1001">
        <v>221</v>
      </c>
      <c r="V29" s="1010">
        <v>0</v>
      </c>
      <c r="W29" s="1011">
        <v>221</v>
      </c>
      <c r="X29" s="1011">
        <v>0</v>
      </c>
      <c r="Y29" s="1008">
        <v>221</v>
      </c>
      <c r="Z29" s="1020">
        <v>221</v>
      </c>
      <c r="AA29" s="1020">
        <v>221</v>
      </c>
      <c r="AB29" s="998">
        <v>221</v>
      </c>
      <c r="AC29" s="998">
        <v>0</v>
      </c>
      <c r="AD29" s="1021">
        <v>0</v>
      </c>
      <c r="AE29" s="998">
        <v>0</v>
      </c>
    </row>
    <row r="30" spans="1:31">
      <c r="A30" s="996" t="s">
        <v>161</v>
      </c>
      <c r="B30" s="1002">
        <v>1184</v>
      </c>
      <c r="C30" s="999">
        <v>1184</v>
      </c>
      <c r="D30" s="1000">
        <v>900</v>
      </c>
      <c r="E30" s="1001">
        <v>1124</v>
      </c>
      <c r="F30" s="1010">
        <v>0</v>
      </c>
      <c r="G30" s="1011">
        <v>0</v>
      </c>
      <c r="H30" s="1011">
        <v>0</v>
      </c>
      <c r="I30" s="1008">
        <v>520</v>
      </c>
      <c r="J30" s="1008">
        <v>1124</v>
      </c>
      <c r="K30" s="1008">
        <v>700</v>
      </c>
      <c r="L30" s="998">
        <v>0</v>
      </c>
      <c r="M30" s="998">
        <v>0</v>
      </c>
      <c r="N30" s="998">
        <v>0</v>
      </c>
      <c r="O30" s="998">
        <v>0</v>
      </c>
      <c r="Q30" s="996" t="s">
        <v>537</v>
      </c>
      <c r="R30" s="1002">
        <v>91</v>
      </c>
      <c r="S30" s="999">
        <v>91</v>
      </c>
      <c r="T30" s="1000">
        <v>91</v>
      </c>
      <c r="U30" s="1001">
        <v>91</v>
      </c>
      <c r="V30" s="1010">
        <v>0</v>
      </c>
      <c r="W30" s="1011">
        <v>0</v>
      </c>
      <c r="X30" s="1011">
        <v>0</v>
      </c>
      <c r="Y30" s="1008">
        <v>91</v>
      </c>
      <c r="Z30" s="1020">
        <v>0</v>
      </c>
      <c r="AA30" s="1020">
        <v>91</v>
      </c>
      <c r="AB30" s="998">
        <v>0</v>
      </c>
      <c r="AC30" s="998">
        <v>0</v>
      </c>
      <c r="AD30" s="1021">
        <v>0</v>
      </c>
      <c r="AE30" s="998">
        <v>0</v>
      </c>
    </row>
    <row r="31" spans="1:31">
      <c r="A31" s="996" t="s">
        <v>233</v>
      </c>
      <c r="B31" s="1002">
        <v>398</v>
      </c>
      <c r="C31" s="999">
        <v>398</v>
      </c>
      <c r="D31" s="1000">
        <v>398</v>
      </c>
      <c r="E31" s="1001">
        <v>398</v>
      </c>
      <c r="F31" s="1010">
        <v>0</v>
      </c>
      <c r="G31" s="1011">
        <v>0</v>
      </c>
      <c r="H31" s="1011">
        <v>0</v>
      </c>
      <c r="I31" s="1008">
        <v>398</v>
      </c>
      <c r="J31" s="1008">
        <v>398</v>
      </c>
      <c r="K31" s="1008">
        <v>398</v>
      </c>
      <c r="L31" s="998">
        <v>0</v>
      </c>
      <c r="M31" s="998">
        <v>0</v>
      </c>
      <c r="N31" s="998">
        <v>0</v>
      </c>
      <c r="O31" s="998">
        <v>0</v>
      </c>
      <c r="Q31" s="996" t="s">
        <v>563</v>
      </c>
      <c r="R31" s="1002">
        <v>195</v>
      </c>
      <c r="S31" s="999">
        <v>195</v>
      </c>
      <c r="T31" s="1000">
        <v>195</v>
      </c>
      <c r="U31" s="1001">
        <v>195</v>
      </c>
      <c r="V31" s="1010">
        <v>0</v>
      </c>
      <c r="W31" s="1011">
        <v>0</v>
      </c>
      <c r="X31" s="1011">
        <v>0</v>
      </c>
      <c r="Y31" s="1008">
        <v>195</v>
      </c>
      <c r="Z31" s="1020">
        <v>195</v>
      </c>
      <c r="AA31" s="1020">
        <v>100</v>
      </c>
      <c r="AB31" s="998">
        <v>0</v>
      </c>
      <c r="AC31" s="998">
        <v>0</v>
      </c>
      <c r="AD31" s="1021">
        <v>0</v>
      </c>
      <c r="AE31" s="998">
        <v>0</v>
      </c>
    </row>
    <row r="32" spans="1:31">
      <c r="A32" s="996" t="s">
        <v>1605</v>
      </c>
      <c r="B32" s="1002">
        <v>658</v>
      </c>
      <c r="C32" s="999">
        <v>658</v>
      </c>
      <c r="D32" s="1000">
        <v>320</v>
      </c>
      <c r="E32" s="1001">
        <v>612</v>
      </c>
      <c r="F32" s="1010">
        <v>0</v>
      </c>
      <c r="G32" s="1011">
        <v>0</v>
      </c>
      <c r="H32" s="1011">
        <v>0</v>
      </c>
      <c r="I32" s="1008">
        <v>612</v>
      </c>
      <c r="J32" s="1008">
        <v>612</v>
      </c>
      <c r="K32" s="1008">
        <v>658</v>
      </c>
      <c r="L32" s="998">
        <v>0</v>
      </c>
      <c r="M32" s="998">
        <v>0</v>
      </c>
      <c r="N32" s="998">
        <v>0</v>
      </c>
      <c r="O32" s="998">
        <v>0</v>
      </c>
      <c r="Q32" s="996" t="s">
        <v>538</v>
      </c>
      <c r="R32" s="1002">
        <v>1101</v>
      </c>
      <c r="S32" s="999">
        <v>1101</v>
      </c>
      <c r="T32" s="1000">
        <v>1025</v>
      </c>
      <c r="U32" s="1001">
        <v>620</v>
      </c>
      <c r="V32" s="1010">
        <v>0</v>
      </c>
      <c r="W32" s="1011">
        <v>1000</v>
      </c>
      <c r="X32" s="1011">
        <v>0</v>
      </c>
      <c r="Y32" s="1008">
        <v>620</v>
      </c>
      <c r="Z32" s="1020">
        <v>500</v>
      </c>
      <c r="AA32" s="1020">
        <v>700</v>
      </c>
      <c r="AB32" s="998">
        <v>1000</v>
      </c>
      <c r="AC32" s="998">
        <v>0</v>
      </c>
      <c r="AD32" s="1021">
        <v>0</v>
      </c>
      <c r="AE32" s="998">
        <v>0</v>
      </c>
    </row>
    <row r="33" spans="1:31">
      <c r="A33" s="996" t="s">
        <v>290</v>
      </c>
      <c r="B33" s="1002">
        <v>8486</v>
      </c>
      <c r="C33" s="999">
        <v>2150</v>
      </c>
      <c r="D33" s="1000">
        <v>8486</v>
      </c>
      <c r="E33" s="1001">
        <v>8486</v>
      </c>
      <c r="F33" s="1010">
        <v>0</v>
      </c>
      <c r="G33" s="1011">
        <v>0</v>
      </c>
      <c r="H33" s="1011">
        <v>0</v>
      </c>
      <c r="I33" s="1008">
        <v>7985</v>
      </c>
      <c r="J33" s="1008">
        <v>8486</v>
      </c>
      <c r="K33" s="1008">
        <v>4800</v>
      </c>
      <c r="L33" s="998">
        <v>0</v>
      </c>
      <c r="M33" s="998">
        <v>0</v>
      </c>
      <c r="N33" s="998">
        <v>0</v>
      </c>
      <c r="O33" s="998">
        <v>0</v>
      </c>
      <c r="Q33" s="996" t="s">
        <v>2624</v>
      </c>
      <c r="R33" s="1002">
        <v>1674</v>
      </c>
      <c r="S33" s="999">
        <v>1600</v>
      </c>
      <c r="T33" s="1000">
        <v>280</v>
      </c>
      <c r="U33" s="1001">
        <v>440</v>
      </c>
      <c r="V33" s="1010">
        <v>0</v>
      </c>
      <c r="W33" s="1011">
        <v>500</v>
      </c>
      <c r="X33" s="1011">
        <v>0</v>
      </c>
      <c r="Y33" s="1008">
        <v>440</v>
      </c>
      <c r="Z33" s="1020">
        <v>0</v>
      </c>
      <c r="AA33" s="1020">
        <v>100</v>
      </c>
      <c r="AB33" s="998">
        <v>500</v>
      </c>
      <c r="AC33" s="998">
        <v>0</v>
      </c>
      <c r="AD33" s="1021">
        <v>0</v>
      </c>
      <c r="AE33" s="998">
        <v>0</v>
      </c>
    </row>
    <row r="34" spans="1:31">
      <c r="A34" s="996" t="s">
        <v>828</v>
      </c>
      <c r="B34" s="1002">
        <v>61</v>
      </c>
      <c r="C34" s="999">
        <v>61</v>
      </c>
      <c r="D34" s="1000">
        <v>60</v>
      </c>
      <c r="E34" s="1001">
        <v>61</v>
      </c>
      <c r="F34" s="1010">
        <v>0</v>
      </c>
      <c r="G34" s="1011">
        <v>0</v>
      </c>
      <c r="H34" s="1011">
        <v>0</v>
      </c>
      <c r="I34" s="1008">
        <v>61</v>
      </c>
      <c r="J34" s="1008">
        <v>61</v>
      </c>
      <c r="K34" s="1008">
        <v>61</v>
      </c>
      <c r="L34" s="998">
        <v>0</v>
      </c>
      <c r="M34" s="998">
        <v>0</v>
      </c>
      <c r="N34" s="998">
        <v>0</v>
      </c>
      <c r="O34" s="998">
        <v>0</v>
      </c>
      <c r="Q34" s="996" t="s">
        <v>2625</v>
      </c>
      <c r="R34" s="1002">
        <v>3469</v>
      </c>
      <c r="S34" s="999">
        <v>0</v>
      </c>
      <c r="T34" s="1000">
        <v>3469</v>
      </c>
      <c r="U34" s="1001">
        <v>50</v>
      </c>
      <c r="V34" s="1010">
        <v>0</v>
      </c>
      <c r="W34" s="1011">
        <v>0</v>
      </c>
      <c r="X34" s="1011">
        <v>0</v>
      </c>
      <c r="Y34" s="1008">
        <v>50</v>
      </c>
      <c r="Z34" s="1020">
        <v>0</v>
      </c>
      <c r="AA34" s="1020">
        <v>300</v>
      </c>
      <c r="AB34" s="998">
        <v>0</v>
      </c>
      <c r="AC34" s="998">
        <v>0</v>
      </c>
      <c r="AD34" s="1021">
        <v>0</v>
      </c>
      <c r="AE34" s="998">
        <v>0</v>
      </c>
    </row>
    <row r="35" spans="1:31">
      <c r="A35" s="996" t="s">
        <v>207</v>
      </c>
      <c r="B35" s="1002">
        <v>8250</v>
      </c>
      <c r="C35" s="999">
        <v>400</v>
      </c>
      <c r="D35" s="1000">
        <v>120</v>
      </c>
      <c r="E35" s="1001">
        <v>100</v>
      </c>
      <c r="F35" s="1010">
        <v>8</v>
      </c>
      <c r="G35" s="1011">
        <v>0</v>
      </c>
      <c r="H35" s="1011">
        <v>0</v>
      </c>
      <c r="I35" s="1008">
        <v>50</v>
      </c>
      <c r="J35" s="1008">
        <v>100</v>
      </c>
      <c r="K35" s="1008">
        <v>100</v>
      </c>
      <c r="L35" s="998">
        <v>0</v>
      </c>
      <c r="M35" s="998">
        <v>0</v>
      </c>
      <c r="N35" s="998">
        <v>0</v>
      </c>
      <c r="O35" s="998">
        <v>0</v>
      </c>
      <c r="Q35" s="996" t="s">
        <v>2716</v>
      </c>
      <c r="R35" s="1002">
        <v>60</v>
      </c>
      <c r="S35" s="999">
        <v>0</v>
      </c>
      <c r="T35" s="1000">
        <v>0</v>
      </c>
      <c r="U35" s="1001">
        <v>0</v>
      </c>
      <c r="V35" s="1010">
        <v>0</v>
      </c>
      <c r="W35" s="1011">
        <v>0</v>
      </c>
      <c r="X35" s="1011">
        <v>0</v>
      </c>
      <c r="Y35" s="1008">
        <v>0</v>
      </c>
      <c r="Z35" s="1020">
        <v>0</v>
      </c>
      <c r="AA35" s="1020">
        <v>60</v>
      </c>
      <c r="AB35" s="998">
        <v>0</v>
      </c>
      <c r="AC35" s="998">
        <v>0</v>
      </c>
      <c r="AD35" s="1021">
        <v>0</v>
      </c>
      <c r="AE35" s="998">
        <v>0</v>
      </c>
    </row>
    <row r="36" spans="1:31">
      <c r="A36" s="996" t="s">
        <v>1564</v>
      </c>
      <c r="B36" s="1002">
        <v>52</v>
      </c>
      <c r="C36" s="999">
        <v>52</v>
      </c>
      <c r="D36" s="1000">
        <v>52</v>
      </c>
      <c r="E36" s="1001">
        <v>52</v>
      </c>
      <c r="F36" s="1010">
        <v>0</v>
      </c>
      <c r="G36" s="1011">
        <v>52</v>
      </c>
      <c r="H36" s="1011">
        <v>0</v>
      </c>
      <c r="I36" s="1008">
        <v>52</v>
      </c>
      <c r="J36" s="1008">
        <v>52</v>
      </c>
      <c r="K36" s="1008">
        <v>52</v>
      </c>
      <c r="L36" s="998">
        <v>52</v>
      </c>
      <c r="M36" s="998">
        <v>0</v>
      </c>
      <c r="N36" s="998">
        <v>0</v>
      </c>
      <c r="O36" s="998">
        <v>0</v>
      </c>
      <c r="Q36" s="996" t="s">
        <v>3055</v>
      </c>
      <c r="R36" s="1002">
        <v>162</v>
      </c>
      <c r="S36" s="999">
        <v>0</v>
      </c>
      <c r="T36" s="1000">
        <v>0</v>
      </c>
      <c r="U36" s="1001">
        <v>162</v>
      </c>
      <c r="V36" s="1010">
        <v>0</v>
      </c>
      <c r="W36" s="1011">
        <v>0</v>
      </c>
      <c r="X36" s="1011">
        <v>0</v>
      </c>
      <c r="Y36" s="1008">
        <v>162</v>
      </c>
      <c r="Z36" s="1020">
        <v>0</v>
      </c>
      <c r="AA36" s="1020">
        <v>162</v>
      </c>
      <c r="AB36" s="998">
        <v>0</v>
      </c>
      <c r="AC36" s="998">
        <v>0</v>
      </c>
      <c r="AD36" s="1021">
        <v>0</v>
      </c>
      <c r="AE36" s="998">
        <v>0</v>
      </c>
    </row>
    <row r="37" spans="1:31">
      <c r="A37" s="996" t="s">
        <v>209</v>
      </c>
      <c r="B37" s="1002">
        <v>263</v>
      </c>
      <c r="C37" s="999">
        <v>263</v>
      </c>
      <c r="D37" s="1000">
        <v>100</v>
      </c>
      <c r="E37" s="1001">
        <v>106</v>
      </c>
      <c r="F37" s="1010">
        <v>7</v>
      </c>
      <c r="G37" s="1011">
        <v>0</v>
      </c>
      <c r="H37" s="1011">
        <v>0</v>
      </c>
      <c r="I37" s="1008">
        <v>106</v>
      </c>
      <c r="J37" s="1008">
        <v>106</v>
      </c>
      <c r="K37" s="1008">
        <v>200</v>
      </c>
      <c r="L37" s="998">
        <v>0</v>
      </c>
      <c r="M37" s="998">
        <v>0</v>
      </c>
      <c r="N37" s="998">
        <v>0</v>
      </c>
      <c r="O37" s="998">
        <v>0</v>
      </c>
      <c r="Q37" s="996" t="s">
        <v>3056</v>
      </c>
      <c r="R37" s="1002">
        <v>132</v>
      </c>
      <c r="S37" s="999">
        <v>132</v>
      </c>
      <c r="T37" s="1000">
        <v>132</v>
      </c>
      <c r="U37" s="1001">
        <v>132</v>
      </c>
      <c r="V37" s="1010">
        <v>0</v>
      </c>
      <c r="W37" s="1011">
        <v>0</v>
      </c>
      <c r="X37" s="1011">
        <v>0</v>
      </c>
      <c r="Y37" s="1008">
        <v>132</v>
      </c>
      <c r="Z37" s="1020">
        <v>132</v>
      </c>
      <c r="AA37" s="1020">
        <v>132</v>
      </c>
      <c r="AB37" s="998">
        <v>0</v>
      </c>
      <c r="AC37" s="998">
        <v>0</v>
      </c>
      <c r="AD37" s="1021">
        <v>0</v>
      </c>
      <c r="AE37" s="998">
        <v>0</v>
      </c>
    </row>
    <row r="38" spans="1:31">
      <c r="A38" s="996" t="s">
        <v>153</v>
      </c>
      <c r="B38" s="1002">
        <v>76</v>
      </c>
      <c r="C38" s="999">
        <v>76</v>
      </c>
      <c r="D38" s="1000">
        <v>66</v>
      </c>
      <c r="E38" s="1001">
        <v>66</v>
      </c>
      <c r="F38" s="1010">
        <v>0</v>
      </c>
      <c r="G38" s="1011">
        <v>0</v>
      </c>
      <c r="H38" s="1011">
        <v>0</v>
      </c>
      <c r="I38" s="1008">
        <v>66</v>
      </c>
      <c r="J38" s="1008">
        <v>66</v>
      </c>
      <c r="K38" s="1008">
        <v>76</v>
      </c>
      <c r="L38" s="998">
        <v>0</v>
      </c>
      <c r="M38" s="998">
        <v>0</v>
      </c>
      <c r="N38" s="998">
        <v>0</v>
      </c>
      <c r="O38" s="998">
        <v>0</v>
      </c>
      <c r="Q38" s="996" t="s">
        <v>3004</v>
      </c>
      <c r="R38" s="1002">
        <v>40</v>
      </c>
      <c r="S38" s="999">
        <v>0</v>
      </c>
      <c r="T38" s="1000">
        <v>40</v>
      </c>
      <c r="U38" s="1001">
        <v>0</v>
      </c>
      <c r="V38" s="1010">
        <v>0</v>
      </c>
      <c r="W38" s="1011">
        <v>0</v>
      </c>
      <c r="X38" s="1011">
        <v>0</v>
      </c>
      <c r="Y38" s="1008">
        <v>0</v>
      </c>
      <c r="Z38" s="1020">
        <v>0</v>
      </c>
      <c r="AA38" s="1020">
        <v>0</v>
      </c>
      <c r="AB38" s="998">
        <v>0</v>
      </c>
      <c r="AC38" s="998">
        <v>0</v>
      </c>
      <c r="AD38" s="1021">
        <v>0</v>
      </c>
      <c r="AE38" s="998">
        <v>0</v>
      </c>
    </row>
    <row r="39" spans="1:31">
      <c r="A39" s="996" t="s">
        <v>289</v>
      </c>
      <c r="B39" s="1002">
        <v>2199</v>
      </c>
      <c r="C39" s="999">
        <v>500</v>
      </c>
      <c r="D39" s="1000">
        <v>0</v>
      </c>
      <c r="E39" s="1001">
        <v>440</v>
      </c>
      <c r="F39" s="1010">
        <v>0</v>
      </c>
      <c r="G39" s="1011">
        <v>0</v>
      </c>
      <c r="H39" s="1011">
        <v>0</v>
      </c>
      <c r="I39" s="1008">
        <v>440</v>
      </c>
      <c r="J39" s="1008">
        <v>0</v>
      </c>
      <c r="K39" s="1008">
        <v>300</v>
      </c>
      <c r="L39" s="998">
        <v>0</v>
      </c>
      <c r="M39" s="998">
        <v>0</v>
      </c>
      <c r="N39" s="998">
        <v>0</v>
      </c>
      <c r="O39" s="998">
        <v>0</v>
      </c>
      <c r="Q39" s="996" t="s">
        <v>3005</v>
      </c>
      <c r="R39" s="1002">
        <v>28</v>
      </c>
      <c r="S39" s="999">
        <v>0</v>
      </c>
      <c r="T39" s="1000">
        <v>28</v>
      </c>
      <c r="U39" s="1001">
        <v>0</v>
      </c>
      <c r="V39" s="1010">
        <v>0</v>
      </c>
      <c r="W39" s="1011">
        <v>0</v>
      </c>
      <c r="X39" s="1011">
        <v>0</v>
      </c>
      <c r="Y39" s="1008">
        <v>0</v>
      </c>
      <c r="Z39" s="1020">
        <v>0</v>
      </c>
      <c r="AA39" s="1020">
        <v>0</v>
      </c>
      <c r="AB39" s="998">
        <v>0</v>
      </c>
      <c r="AC39" s="998">
        <v>0</v>
      </c>
      <c r="AD39" s="1021">
        <v>0</v>
      </c>
      <c r="AE39" s="998">
        <v>0</v>
      </c>
    </row>
    <row r="40" spans="1:31">
      <c r="A40" s="996" t="s">
        <v>294</v>
      </c>
      <c r="B40" s="1002">
        <v>2691</v>
      </c>
      <c r="C40" s="999">
        <v>1850</v>
      </c>
      <c r="D40" s="1000">
        <v>2691</v>
      </c>
      <c r="E40" s="1001">
        <v>2691</v>
      </c>
      <c r="F40" s="1010">
        <v>0</v>
      </c>
      <c r="G40" s="1011">
        <v>1000</v>
      </c>
      <c r="H40" s="1011">
        <v>100</v>
      </c>
      <c r="I40" s="1008">
        <v>620</v>
      </c>
      <c r="J40" s="1008">
        <v>2691</v>
      </c>
      <c r="K40" s="1008">
        <v>700</v>
      </c>
      <c r="L40" s="998">
        <v>1000</v>
      </c>
      <c r="M40" s="998">
        <v>0</v>
      </c>
      <c r="N40" s="998">
        <v>0</v>
      </c>
      <c r="O40" s="998">
        <v>100</v>
      </c>
      <c r="Q40" s="996" t="s">
        <v>3006</v>
      </c>
      <c r="R40" s="1002">
        <v>31</v>
      </c>
      <c r="S40" s="999">
        <v>0</v>
      </c>
      <c r="T40" s="1000">
        <v>31</v>
      </c>
      <c r="U40" s="1001">
        <v>0</v>
      </c>
      <c r="V40" s="1010">
        <v>0</v>
      </c>
      <c r="W40" s="1011">
        <v>0</v>
      </c>
      <c r="X40" s="1011">
        <v>0</v>
      </c>
      <c r="Y40" s="1008">
        <v>0</v>
      </c>
      <c r="Z40" s="1020">
        <v>0</v>
      </c>
      <c r="AA40" s="1020">
        <v>0</v>
      </c>
      <c r="AB40" s="998">
        <v>0</v>
      </c>
      <c r="AC40" s="998">
        <v>0</v>
      </c>
      <c r="AD40" s="1021">
        <v>0</v>
      </c>
      <c r="AE40" s="998">
        <v>0</v>
      </c>
    </row>
    <row r="41" spans="1:31">
      <c r="A41" s="996" t="s">
        <v>243</v>
      </c>
      <c r="B41" s="1002">
        <v>633</v>
      </c>
      <c r="C41" s="999">
        <v>633</v>
      </c>
      <c r="D41" s="1000">
        <v>607</v>
      </c>
      <c r="E41" s="1001">
        <v>633</v>
      </c>
      <c r="F41" s="1010">
        <v>0</v>
      </c>
      <c r="G41" s="1011">
        <v>50</v>
      </c>
      <c r="H41" s="1011">
        <v>0</v>
      </c>
      <c r="I41" s="1008">
        <v>633</v>
      </c>
      <c r="J41" s="1008">
        <v>500</v>
      </c>
      <c r="K41" s="1008">
        <v>633</v>
      </c>
      <c r="L41" s="998">
        <v>0</v>
      </c>
      <c r="M41" s="998">
        <v>0</v>
      </c>
      <c r="N41" s="998">
        <v>50</v>
      </c>
      <c r="O41" s="998">
        <v>0</v>
      </c>
      <c r="Q41" s="996" t="s">
        <v>3007</v>
      </c>
      <c r="R41" s="1002">
        <v>179</v>
      </c>
      <c r="S41" s="999">
        <v>179</v>
      </c>
      <c r="T41" s="1000">
        <v>179</v>
      </c>
      <c r="U41" s="1001">
        <v>0</v>
      </c>
      <c r="V41" s="1010">
        <v>0</v>
      </c>
      <c r="W41" s="1011">
        <v>0</v>
      </c>
      <c r="X41" s="1011">
        <v>0</v>
      </c>
      <c r="Y41" s="1008">
        <v>0</v>
      </c>
      <c r="Z41" s="1020">
        <v>0</v>
      </c>
      <c r="AA41" s="1020">
        <v>179</v>
      </c>
      <c r="AB41" s="998">
        <v>0</v>
      </c>
      <c r="AC41" s="998">
        <v>0</v>
      </c>
      <c r="AD41" s="1021">
        <v>0</v>
      </c>
      <c r="AE41" s="998">
        <v>0</v>
      </c>
    </row>
    <row r="42" spans="1:31">
      <c r="A42" s="996" t="s">
        <v>163</v>
      </c>
      <c r="B42" s="1002">
        <v>718</v>
      </c>
      <c r="C42" s="999">
        <v>718</v>
      </c>
      <c r="D42" s="1000">
        <v>160</v>
      </c>
      <c r="E42" s="1001">
        <v>680</v>
      </c>
      <c r="F42" s="1010">
        <v>0</v>
      </c>
      <c r="G42" s="1011">
        <v>0</v>
      </c>
      <c r="H42" s="1011">
        <v>0</v>
      </c>
      <c r="I42" s="1008">
        <v>440</v>
      </c>
      <c r="J42" s="1008">
        <v>680</v>
      </c>
      <c r="K42" s="1008">
        <v>300</v>
      </c>
      <c r="L42" s="998">
        <v>0</v>
      </c>
      <c r="M42" s="998">
        <v>0</v>
      </c>
      <c r="N42" s="998">
        <v>0</v>
      </c>
      <c r="O42" s="998">
        <v>0</v>
      </c>
      <c r="Q42" s="996" t="s">
        <v>3008</v>
      </c>
      <c r="R42" s="1002">
        <v>26</v>
      </c>
      <c r="S42" s="999">
        <v>26</v>
      </c>
      <c r="T42" s="1000">
        <v>26</v>
      </c>
      <c r="U42" s="1001">
        <v>0</v>
      </c>
      <c r="V42" s="1010">
        <v>0</v>
      </c>
      <c r="W42" s="1011">
        <v>0</v>
      </c>
      <c r="X42" s="1011">
        <v>0</v>
      </c>
      <c r="Y42" s="1008">
        <v>0</v>
      </c>
      <c r="Z42" s="1020">
        <v>0</v>
      </c>
      <c r="AA42" s="1020">
        <v>26</v>
      </c>
      <c r="AB42" s="998">
        <v>0</v>
      </c>
      <c r="AC42" s="998">
        <v>0</v>
      </c>
      <c r="AD42" s="1021">
        <v>0</v>
      </c>
      <c r="AE42" s="998">
        <v>0</v>
      </c>
    </row>
    <row r="43" spans="1:31">
      <c r="A43" s="996" t="s">
        <v>164</v>
      </c>
      <c r="B43" s="1002">
        <v>697</v>
      </c>
      <c r="C43" s="999">
        <v>697</v>
      </c>
      <c r="D43" s="1000">
        <v>640</v>
      </c>
      <c r="E43" s="1001">
        <v>676</v>
      </c>
      <c r="F43" s="1010">
        <v>0</v>
      </c>
      <c r="G43" s="1011">
        <v>0</v>
      </c>
      <c r="H43" s="1011">
        <v>0</v>
      </c>
      <c r="I43" s="1008">
        <v>50</v>
      </c>
      <c r="J43" s="1008">
        <v>676</v>
      </c>
      <c r="K43" s="1008">
        <v>300</v>
      </c>
      <c r="L43" s="998">
        <v>0</v>
      </c>
      <c r="M43" s="998">
        <v>0</v>
      </c>
      <c r="N43" s="998">
        <v>0</v>
      </c>
      <c r="O43" s="998">
        <v>0</v>
      </c>
      <c r="Q43" s="996" t="s">
        <v>3009</v>
      </c>
      <c r="R43" s="1002">
        <v>155</v>
      </c>
      <c r="S43" s="999">
        <v>0</v>
      </c>
      <c r="T43" s="1000">
        <v>0</v>
      </c>
      <c r="U43" s="1001">
        <v>0</v>
      </c>
      <c r="V43" s="1010">
        <v>0</v>
      </c>
      <c r="W43" s="1011">
        <v>0</v>
      </c>
      <c r="X43" s="1011">
        <v>0</v>
      </c>
      <c r="Y43" s="1008">
        <v>0</v>
      </c>
      <c r="Z43" s="1020">
        <v>0</v>
      </c>
      <c r="AA43" s="1020">
        <v>0</v>
      </c>
      <c r="AB43" s="998">
        <v>0</v>
      </c>
      <c r="AC43" s="998">
        <v>0</v>
      </c>
      <c r="AD43" s="1021">
        <v>0</v>
      </c>
      <c r="AE43" s="998">
        <v>0</v>
      </c>
    </row>
    <row r="44" spans="1:31">
      <c r="A44" s="996" t="s">
        <v>247</v>
      </c>
      <c r="B44" s="1002">
        <v>884</v>
      </c>
      <c r="C44" s="999">
        <v>884</v>
      </c>
      <c r="D44" s="1000">
        <v>884</v>
      </c>
      <c r="E44" s="1001">
        <v>884</v>
      </c>
      <c r="F44" s="1010">
        <v>204</v>
      </c>
      <c r="G44" s="1011">
        <v>884</v>
      </c>
      <c r="H44" s="1011">
        <v>1550</v>
      </c>
      <c r="I44" s="1008">
        <v>455</v>
      </c>
      <c r="J44" s="1008">
        <v>884</v>
      </c>
      <c r="K44" s="1008">
        <v>800</v>
      </c>
      <c r="L44" s="998">
        <v>884</v>
      </c>
      <c r="M44" s="998">
        <v>0</v>
      </c>
      <c r="N44" s="998">
        <v>270</v>
      </c>
      <c r="O44" s="998">
        <v>1550</v>
      </c>
      <c r="Q44" s="996" t="s">
        <v>2975</v>
      </c>
      <c r="R44" s="1002">
        <v>292</v>
      </c>
      <c r="S44" s="999">
        <v>292</v>
      </c>
      <c r="T44" s="1000">
        <v>275</v>
      </c>
      <c r="U44" s="1001">
        <v>292</v>
      </c>
      <c r="V44" s="1010">
        <v>0</v>
      </c>
      <c r="W44" s="1011">
        <v>0</v>
      </c>
      <c r="X44" s="1011">
        <v>0</v>
      </c>
      <c r="Y44" s="1008">
        <v>30</v>
      </c>
      <c r="Z44" s="1020">
        <v>292</v>
      </c>
      <c r="AA44" s="1020">
        <v>200</v>
      </c>
      <c r="AB44" s="998">
        <v>0</v>
      </c>
      <c r="AC44" s="998">
        <v>0</v>
      </c>
      <c r="AD44" s="1021">
        <v>0</v>
      </c>
      <c r="AE44" s="998">
        <v>0</v>
      </c>
    </row>
    <row r="45" spans="1:31">
      <c r="A45" s="996" t="s">
        <v>255</v>
      </c>
      <c r="B45" s="1002">
        <v>103</v>
      </c>
      <c r="C45" s="999">
        <v>100</v>
      </c>
      <c r="D45" s="1000">
        <v>103</v>
      </c>
      <c r="E45" s="1001">
        <v>103</v>
      </c>
      <c r="F45" s="1010">
        <v>0</v>
      </c>
      <c r="G45" s="1011">
        <v>100</v>
      </c>
      <c r="H45" s="1011">
        <v>0</v>
      </c>
      <c r="I45" s="1008">
        <v>103</v>
      </c>
      <c r="J45" s="1008">
        <v>100</v>
      </c>
      <c r="K45" s="1008">
        <v>103</v>
      </c>
      <c r="L45" s="998">
        <v>100</v>
      </c>
      <c r="M45" s="998">
        <v>0</v>
      </c>
      <c r="N45" s="998">
        <v>0</v>
      </c>
      <c r="O45" s="998">
        <v>0</v>
      </c>
      <c r="Q45" s="996" t="s">
        <v>2976</v>
      </c>
      <c r="R45" s="1002">
        <v>77</v>
      </c>
      <c r="S45" s="999">
        <v>77</v>
      </c>
      <c r="T45" s="1000">
        <v>20</v>
      </c>
      <c r="U45" s="1001">
        <v>77</v>
      </c>
      <c r="V45" s="1010">
        <v>0</v>
      </c>
      <c r="W45" s="1011">
        <v>0</v>
      </c>
      <c r="X45" s="1011">
        <v>0</v>
      </c>
      <c r="Y45" s="1008">
        <v>77</v>
      </c>
      <c r="Z45" s="1020">
        <v>0</v>
      </c>
      <c r="AA45" s="1020">
        <v>77</v>
      </c>
      <c r="AB45" s="998">
        <v>0</v>
      </c>
      <c r="AC45" s="998">
        <v>0</v>
      </c>
      <c r="AD45" s="1021">
        <v>0</v>
      </c>
      <c r="AE45" s="998">
        <v>0</v>
      </c>
    </row>
    <row r="46" spans="1:31">
      <c r="A46" s="996" t="s">
        <v>256</v>
      </c>
      <c r="B46" s="1002">
        <v>54</v>
      </c>
      <c r="C46" s="999">
        <v>54</v>
      </c>
      <c r="D46" s="1000">
        <v>54</v>
      </c>
      <c r="E46" s="1001">
        <v>54</v>
      </c>
      <c r="F46" s="1010">
        <v>0</v>
      </c>
      <c r="G46" s="1011">
        <v>0</v>
      </c>
      <c r="H46" s="1011">
        <v>0</v>
      </c>
      <c r="I46" s="1008">
        <v>54</v>
      </c>
      <c r="J46" s="1008">
        <v>54</v>
      </c>
      <c r="K46" s="1008">
        <v>54</v>
      </c>
      <c r="L46" s="998">
        <v>0</v>
      </c>
      <c r="M46" s="998">
        <v>0</v>
      </c>
      <c r="N46" s="998">
        <v>0</v>
      </c>
      <c r="O46" s="998">
        <v>0</v>
      </c>
    </row>
    <row r="47" spans="1:31">
      <c r="A47" s="996" t="s">
        <v>200</v>
      </c>
      <c r="B47" s="1002">
        <v>689</v>
      </c>
      <c r="C47" s="999">
        <v>689</v>
      </c>
      <c r="D47" s="1000">
        <v>460</v>
      </c>
      <c r="E47" s="1001">
        <v>440</v>
      </c>
      <c r="F47" s="1010">
        <v>30</v>
      </c>
      <c r="G47" s="1011">
        <v>0</v>
      </c>
      <c r="H47" s="1011">
        <v>0</v>
      </c>
      <c r="I47" s="1008">
        <v>440</v>
      </c>
      <c r="J47" s="1008">
        <v>0</v>
      </c>
      <c r="K47" s="1008">
        <v>600</v>
      </c>
      <c r="L47" s="998">
        <v>0</v>
      </c>
      <c r="M47" s="998">
        <v>0</v>
      </c>
      <c r="N47" s="998">
        <v>0</v>
      </c>
      <c r="O47" s="998">
        <v>0</v>
      </c>
    </row>
    <row r="48" spans="1:31">
      <c r="A48" s="996" t="s">
        <v>281</v>
      </c>
      <c r="B48" s="1002">
        <v>239</v>
      </c>
      <c r="C48" s="999">
        <v>239</v>
      </c>
      <c r="D48" s="1000">
        <v>182</v>
      </c>
      <c r="E48" s="1001">
        <v>239</v>
      </c>
      <c r="F48" s="1010">
        <v>10</v>
      </c>
      <c r="G48" s="1011">
        <v>0</v>
      </c>
      <c r="H48" s="1011">
        <v>0</v>
      </c>
      <c r="I48" s="1008">
        <v>175</v>
      </c>
      <c r="J48" s="1008">
        <v>239</v>
      </c>
      <c r="K48" s="1008">
        <v>239</v>
      </c>
      <c r="L48" s="998">
        <v>0</v>
      </c>
      <c r="M48" s="998">
        <v>0</v>
      </c>
      <c r="N48" s="998">
        <v>0</v>
      </c>
      <c r="O48" s="998">
        <v>0</v>
      </c>
    </row>
    <row r="49" spans="1:15">
      <c r="A49" s="996" t="s">
        <v>282</v>
      </c>
      <c r="B49" s="1002">
        <v>426</v>
      </c>
      <c r="C49" s="999">
        <v>426</v>
      </c>
      <c r="D49" s="1000">
        <v>126</v>
      </c>
      <c r="E49" s="1001">
        <v>426</v>
      </c>
      <c r="F49" s="1010">
        <v>8</v>
      </c>
      <c r="G49" s="1011">
        <v>0</v>
      </c>
      <c r="H49" s="1011">
        <v>0</v>
      </c>
      <c r="I49" s="1008">
        <v>310</v>
      </c>
      <c r="J49" s="1008">
        <v>426</v>
      </c>
      <c r="K49" s="1008">
        <v>300</v>
      </c>
      <c r="L49" s="998">
        <v>0</v>
      </c>
      <c r="M49" s="998">
        <v>0</v>
      </c>
      <c r="N49" s="998">
        <v>0</v>
      </c>
      <c r="O49" s="998">
        <v>0</v>
      </c>
    </row>
    <row r="50" spans="1:15">
      <c r="A50" s="996" t="s">
        <v>283</v>
      </c>
      <c r="B50" s="1002">
        <v>1322</v>
      </c>
      <c r="C50" s="999">
        <v>1322</v>
      </c>
      <c r="D50" s="1000">
        <v>943</v>
      </c>
      <c r="E50" s="1001">
        <v>1322</v>
      </c>
      <c r="F50" s="1010">
        <v>52</v>
      </c>
      <c r="G50" s="1011">
        <v>0</v>
      </c>
      <c r="H50" s="1011">
        <v>0</v>
      </c>
      <c r="I50" s="1008">
        <v>1200</v>
      </c>
      <c r="J50" s="1008">
        <v>1322</v>
      </c>
      <c r="K50" s="1008">
        <v>1322</v>
      </c>
      <c r="L50" s="998">
        <v>0</v>
      </c>
      <c r="M50" s="998">
        <v>0</v>
      </c>
      <c r="N50" s="998">
        <v>0</v>
      </c>
      <c r="O50" s="998">
        <v>0</v>
      </c>
    </row>
    <row r="51" spans="1:15">
      <c r="A51" s="996" t="s">
        <v>1592</v>
      </c>
      <c r="B51" s="1002">
        <v>467</v>
      </c>
      <c r="C51" s="999">
        <v>400</v>
      </c>
      <c r="D51" s="1000">
        <v>300</v>
      </c>
      <c r="E51" s="1001">
        <v>467</v>
      </c>
      <c r="F51" s="1010">
        <v>0</v>
      </c>
      <c r="G51" s="1011">
        <v>0</v>
      </c>
      <c r="H51" s="1011">
        <v>0</v>
      </c>
      <c r="I51" s="1008">
        <v>467</v>
      </c>
      <c r="J51" s="1008">
        <v>467</v>
      </c>
      <c r="K51" s="1008">
        <v>100</v>
      </c>
      <c r="L51" s="998">
        <v>0</v>
      </c>
      <c r="M51" s="998">
        <v>0</v>
      </c>
      <c r="N51" s="998">
        <v>0</v>
      </c>
      <c r="O51" s="998">
        <v>0</v>
      </c>
    </row>
    <row r="52" spans="1:15">
      <c r="A52" s="996" t="s">
        <v>174</v>
      </c>
      <c r="B52" s="1002">
        <v>289</v>
      </c>
      <c r="C52" s="999">
        <v>289</v>
      </c>
      <c r="D52" s="1000">
        <v>240</v>
      </c>
      <c r="E52" s="1001">
        <v>289</v>
      </c>
      <c r="F52" s="1010">
        <v>0</v>
      </c>
      <c r="G52" s="1011">
        <v>0</v>
      </c>
      <c r="H52" s="1011">
        <v>0</v>
      </c>
      <c r="I52" s="1008">
        <v>205</v>
      </c>
      <c r="J52" s="1008">
        <v>289</v>
      </c>
      <c r="K52" s="1008">
        <v>100</v>
      </c>
      <c r="L52" s="998">
        <v>0</v>
      </c>
      <c r="M52" s="998">
        <v>0</v>
      </c>
      <c r="N52" s="998">
        <v>0</v>
      </c>
      <c r="O52" s="998">
        <v>0</v>
      </c>
    </row>
    <row r="53" spans="1:15">
      <c r="A53" s="996" t="s">
        <v>288</v>
      </c>
      <c r="B53" s="1002"/>
      <c r="C53" s="999">
        <v>0</v>
      </c>
      <c r="D53" s="1000">
        <v>0</v>
      </c>
      <c r="E53" s="1001">
        <v>0</v>
      </c>
      <c r="F53" s="1010">
        <v>0</v>
      </c>
      <c r="G53" s="1011">
        <v>0</v>
      </c>
      <c r="H53" s="1011">
        <v>0</v>
      </c>
      <c r="I53" s="1008">
        <v>0</v>
      </c>
      <c r="J53" s="1008">
        <v>0</v>
      </c>
      <c r="K53" s="1008">
        <v>0</v>
      </c>
      <c r="L53" s="998">
        <v>0</v>
      </c>
      <c r="M53" s="998">
        <v>0</v>
      </c>
      <c r="N53" s="998">
        <v>0</v>
      </c>
      <c r="O53" s="998">
        <v>0</v>
      </c>
    </row>
    <row r="54" spans="1:15">
      <c r="A54" s="996" t="s">
        <v>1614</v>
      </c>
      <c r="B54" s="1002">
        <v>78</v>
      </c>
      <c r="C54" s="999">
        <v>78</v>
      </c>
      <c r="D54" s="1000">
        <v>60</v>
      </c>
      <c r="E54" s="1001">
        <v>78</v>
      </c>
      <c r="F54" s="1010">
        <v>0</v>
      </c>
      <c r="G54" s="1011">
        <v>0</v>
      </c>
      <c r="H54" s="1011">
        <v>0</v>
      </c>
      <c r="I54" s="1008">
        <v>30</v>
      </c>
      <c r="J54" s="1008">
        <v>78</v>
      </c>
      <c r="K54" s="1008">
        <v>78</v>
      </c>
      <c r="L54" s="998">
        <v>0</v>
      </c>
      <c r="M54" s="998">
        <v>0</v>
      </c>
      <c r="N54" s="998">
        <v>0</v>
      </c>
      <c r="O54" s="998">
        <v>0</v>
      </c>
    </row>
    <row r="55" spans="1:15">
      <c r="A55" s="996" t="s">
        <v>176</v>
      </c>
      <c r="B55" s="1002">
        <v>238</v>
      </c>
      <c r="C55" s="999">
        <v>238</v>
      </c>
      <c r="D55" s="1000">
        <v>120</v>
      </c>
      <c r="E55" s="1001">
        <v>238</v>
      </c>
      <c r="F55" s="1010">
        <v>0</v>
      </c>
      <c r="G55" s="1011">
        <v>0</v>
      </c>
      <c r="H55" s="1011">
        <v>0</v>
      </c>
      <c r="I55" s="1008">
        <v>159</v>
      </c>
      <c r="J55" s="1008">
        <v>238</v>
      </c>
      <c r="K55" s="1008">
        <v>238</v>
      </c>
      <c r="L55" s="998">
        <v>0</v>
      </c>
      <c r="M55" s="998">
        <v>0</v>
      </c>
      <c r="N55" s="998">
        <v>0</v>
      </c>
      <c r="O55" s="998">
        <v>0</v>
      </c>
    </row>
    <row r="56" spans="1:15">
      <c r="A56" s="996" t="s">
        <v>177</v>
      </c>
      <c r="B56" s="1002">
        <v>1736</v>
      </c>
      <c r="C56" s="999">
        <v>400</v>
      </c>
      <c r="D56" s="1000">
        <v>1736</v>
      </c>
      <c r="E56" s="1001">
        <v>1736</v>
      </c>
      <c r="F56" s="1010">
        <v>0</v>
      </c>
      <c r="G56" s="1011">
        <v>0</v>
      </c>
      <c r="H56" s="1011">
        <v>0</v>
      </c>
      <c r="I56" s="1008">
        <v>50</v>
      </c>
      <c r="J56" s="1008">
        <v>1736</v>
      </c>
      <c r="K56" s="1008">
        <v>1469</v>
      </c>
      <c r="L56" s="998">
        <v>0</v>
      </c>
      <c r="M56" s="998">
        <v>0</v>
      </c>
      <c r="N56" s="998">
        <v>0</v>
      </c>
      <c r="O56" s="998">
        <v>0</v>
      </c>
    </row>
    <row r="57" spans="1:15">
      <c r="A57" s="996" t="s">
        <v>269</v>
      </c>
      <c r="B57" s="1002">
        <v>2166</v>
      </c>
      <c r="C57" s="999">
        <v>1200</v>
      </c>
      <c r="D57" s="1000">
        <v>480</v>
      </c>
      <c r="E57" s="1001">
        <v>1780</v>
      </c>
      <c r="F57" s="1010">
        <v>0</v>
      </c>
      <c r="G57" s="1011">
        <v>60</v>
      </c>
      <c r="H57" s="1011">
        <v>900</v>
      </c>
      <c r="I57" s="1008">
        <v>1780</v>
      </c>
      <c r="J57" s="1008">
        <v>1000</v>
      </c>
      <c r="K57" s="1008">
        <v>1300</v>
      </c>
      <c r="L57" s="998">
        <v>0</v>
      </c>
      <c r="M57" s="998">
        <v>0</v>
      </c>
      <c r="N57" s="998">
        <v>60</v>
      </c>
      <c r="O57" s="998">
        <v>900</v>
      </c>
    </row>
    <row r="58" spans="1:15">
      <c r="A58" s="996" t="s">
        <v>237</v>
      </c>
      <c r="B58" s="1002">
        <v>1776</v>
      </c>
      <c r="C58" s="999">
        <v>1776</v>
      </c>
      <c r="D58" s="1000">
        <v>1776</v>
      </c>
      <c r="E58" s="1001">
        <v>1494</v>
      </c>
      <c r="F58" s="1010">
        <v>0</v>
      </c>
      <c r="G58" s="1011">
        <v>0</v>
      </c>
      <c r="H58" s="1011">
        <v>0</v>
      </c>
      <c r="I58" s="1008">
        <v>1494</v>
      </c>
      <c r="J58" s="1008">
        <v>1000</v>
      </c>
      <c r="K58" s="1008">
        <v>100</v>
      </c>
      <c r="L58" s="998">
        <v>0</v>
      </c>
      <c r="M58" s="998">
        <v>0</v>
      </c>
      <c r="N58" s="998">
        <v>0</v>
      </c>
      <c r="O58" s="998">
        <v>0</v>
      </c>
    </row>
    <row r="59" spans="1:15">
      <c r="A59" s="996" t="s">
        <v>178</v>
      </c>
      <c r="B59" s="1002">
        <v>2920</v>
      </c>
      <c r="C59" s="999">
        <v>2920</v>
      </c>
      <c r="D59" s="1000">
        <v>2600</v>
      </c>
      <c r="E59" s="1001">
        <v>2920</v>
      </c>
      <c r="F59" s="1010">
        <v>0</v>
      </c>
      <c r="G59" s="1011">
        <v>0</v>
      </c>
      <c r="H59" s="1011">
        <v>0</v>
      </c>
      <c r="I59" s="1008">
        <v>520</v>
      </c>
      <c r="J59" s="1008">
        <v>2920</v>
      </c>
      <c r="K59" s="1008">
        <v>700</v>
      </c>
      <c r="L59" s="998">
        <v>0</v>
      </c>
      <c r="M59" s="998">
        <v>0</v>
      </c>
      <c r="N59" s="998">
        <v>0</v>
      </c>
      <c r="O59" s="998">
        <v>0</v>
      </c>
    </row>
    <row r="60" spans="1:15">
      <c r="A60" s="996" t="s">
        <v>179</v>
      </c>
      <c r="B60" s="1002">
        <v>283</v>
      </c>
      <c r="C60" s="999">
        <v>283</v>
      </c>
      <c r="D60" s="1000">
        <v>200</v>
      </c>
      <c r="E60" s="1001">
        <v>283</v>
      </c>
      <c r="F60" s="1010">
        <v>0</v>
      </c>
      <c r="G60" s="1011">
        <v>0</v>
      </c>
      <c r="H60" s="1011">
        <v>0</v>
      </c>
      <c r="I60" s="1008">
        <v>191</v>
      </c>
      <c r="J60" s="1008">
        <v>283</v>
      </c>
      <c r="K60" s="1008">
        <v>283</v>
      </c>
      <c r="L60" s="998">
        <v>0</v>
      </c>
      <c r="M60" s="998">
        <v>0</v>
      </c>
      <c r="N60" s="998">
        <v>0</v>
      </c>
      <c r="O60" s="998">
        <v>0</v>
      </c>
    </row>
    <row r="61" spans="1:15">
      <c r="A61" s="996" t="s">
        <v>183</v>
      </c>
      <c r="B61" s="1002">
        <v>1759</v>
      </c>
      <c r="C61" s="999">
        <v>1599</v>
      </c>
      <c r="D61" s="1000">
        <v>1759</v>
      </c>
      <c r="E61" s="1001">
        <v>1759</v>
      </c>
      <c r="F61" s="1010">
        <v>17</v>
      </c>
      <c r="G61" s="1011">
        <v>1500</v>
      </c>
      <c r="H61" s="1011">
        <v>0</v>
      </c>
      <c r="I61" s="1008">
        <v>1759</v>
      </c>
      <c r="J61" s="1008">
        <v>1759</v>
      </c>
      <c r="K61" s="1008">
        <v>1759</v>
      </c>
      <c r="L61" s="998">
        <v>1500</v>
      </c>
      <c r="M61" s="998">
        <v>0</v>
      </c>
      <c r="N61" s="998">
        <v>200</v>
      </c>
      <c r="O61" s="998">
        <v>0</v>
      </c>
    </row>
    <row r="62" spans="1:15">
      <c r="A62" s="996" t="s">
        <v>39</v>
      </c>
      <c r="B62" s="1002">
        <v>694</v>
      </c>
      <c r="C62" s="999">
        <v>694</v>
      </c>
      <c r="D62" s="1000">
        <v>694</v>
      </c>
      <c r="E62" s="1001">
        <v>694</v>
      </c>
      <c r="F62" s="1010">
        <v>0</v>
      </c>
      <c r="G62" s="1011">
        <v>0</v>
      </c>
      <c r="H62" s="1011">
        <v>0</v>
      </c>
      <c r="I62" s="1008">
        <v>694</v>
      </c>
      <c r="J62" s="1008">
        <v>694</v>
      </c>
      <c r="K62" s="1008">
        <v>694</v>
      </c>
      <c r="L62" s="998">
        <v>0</v>
      </c>
      <c r="M62" s="998">
        <v>0</v>
      </c>
      <c r="N62" s="998">
        <v>0</v>
      </c>
      <c r="O62" s="998">
        <v>0</v>
      </c>
    </row>
    <row r="63" spans="1:15">
      <c r="A63" s="996" t="s">
        <v>165</v>
      </c>
      <c r="B63" s="1002">
        <v>327</v>
      </c>
      <c r="C63" s="999">
        <v>327</v>
      </c>
      <c r="D63" s="1000">
        <v>140</v>
      </c>
      <c r="E63" s="1001">
        <v>290</v>
      </c>
      <c r="F63" s="1010">
        <v>0</v>
      </c>
      <c r="G63" s="1011">
        <v>0</v>
      </c>
      <c r="H63" s="1011">
        <v>0</v>
      </c>
      <c r="I63" s="1008">
        <v>290</v>
      </c>
      <c r="J63" s="1008">
        <v>290</v>
      </c>
      <c r="K63" s="1008">
        <v>300</v>
      </c>
      <c r="L63" s="998">
        <v>0</v>
      </c>
      <c r="M63" s="998">
        <v>0</v>
      </c>
      <c r="N63" s="998">
        <v>0</v>
      </c>
      <c r="O63" s="998">
        <v>0</v>
      </c>
    </row>
    <row r="64" spans="1:15">
      <c r="A64" s="996" t="s">
        <v>210</v>
      </c>
      <c r="B64" s="1002">
        <v>741</v>
      </c>
      <c r="C64" s="999">
        <v>741</v>
      </c>
      <c r="D64" s="1000">
        <v>741</v>
      </c>
      <c r="E64" s="1001">
        <v>500</v>
      </c>
      <c r="F64" s="1010">
        <v>57</v>
      </c>
      <c r="G64" s="1011">
        <v>0</v>
      </c>
      <c r="H64" s="1011">
        <v>0</v>
      </c>
      <c r="I64" s="1008">
        <v>30</v>
      </c>
      <c r="J64" s="1008">
        <v>500</v>
      </c>
      <c r="K64" s="1008">
        <v>741</v>
      </c>
      <c r="L64" s="998">
        <v>0</v>
      </c>
      <c r="M64" s="998">
        <v>0</v>
      </c>
      <c r="N64" s="998">
        <v>0</v>
      </c>
      <c r="O64" s="998">
        <v>0</v>
      </c>
    </row>
    <row r="65" spans="1:15">
      <c r="A65" s="996" t="s">
        <v>287</v>
      </c>
      <c r="B65" s="1002">
        <v>590</v>
      </c>
      <c r="C65" s="999">
        <v>590</v>
      </c>
      <c r="D65" s="1000">
        <v>563</v>
      </c>
      <c r="E65" s="1001">
        <v>590</v>
      </c>
      <c r="F65" s="1010">
        <v>32</v>
      </c>
      <c r="G65" s="1011">
        <v>0</v>
      </c>
      <c r="H65" s="1011">
        <v>0</v>
      </c>
      <c r="I65" s="1008">
        <v>586</v>
      </c>
      <c r="J65" s="1008">
        <v>590</v>
      </c>
      <c r="K65" s="1008">
        <v>590</v>
      </c>
      <c r="L65" s="998">
        <v>0</v>
      </c>
      <c r="M65" s="998">
        <v>0</v>
      </c>
      <c r="N65" s="998">
        <v>0</v>
      </c>
      <c r="O65" s="998">
        <v>0</v>
      </c>
    </row>
    <row r="66" spans="1:15">
      <c r="A66" s="996" t="s">
        <v>166</v>
      </c>
      <c r="B66" s="1002">
        <v>622</v>
      </c>
      <c r="C66" s="999">
        <v>622</v>
      </c>
      <c r="D66" s="1000">
        <v>622</v>
      </c>
      <c r="E66" s="1001">
        <v>547</v>
      </c>
      <c r="F66" s="1010">
        <v>0</v>
      </c>
      <c r="G66" s="1011">
        <v>0</v>
      </c>
      <c r="H66" s="1011">
        <v>0</v>
      </c>
      <c r="I66" s="1008">
        <v>50</v>
      </c>
      <c r="J66" s="1008">
        <v>547</v>
      </c>
      <c r="K66" s="1008">
        <v>300</v>
      </c>
      <c r="L66" s="998">
        <v>0</v>
      </c>
      <c r="M66" s="998">
        <v>0</v>
      </c>
      <c r="N66" s="998">
        <v>0</v>
      </c>
      <c r="O66" s="998">
        <v>0</v>
      </c>
    </row>
    <row r="67" spans="1:15">
      <c r="A67" s="996" t="s">
        <v>298</v>
      </c>
      <c r="B67" s="1002">
        <v>655</v>
      </c>
      <c r="C67" s="999">
        <v>655</v>
      </c>
      <c r="D67" s="1000">
        <v>360</v>
      </c>
      <c r="E67" s="1001">
        <v>655</v>
      </c>
      <c r="F67" s="1010">
        <v>0</v>
      </c>
      <c r="G67" s="1011">
        <v>0</v>
      </c>
      <c r="H67" s="1011">
        <v>0</v>
      </c>
      <c r="I67" s="1008">
        <v>655</v>
      </c>
      <c r="J67" s="1008">
        <v>655</v>
      </c>
      <c r="K67" s="1008">
        <v>300</v>
      </c>
      <c r="L67" s="998">
        <v>0</v>
      </c>
      <c r="M67" s="998">
        <v>0</v>
      </c>
      <c r="N67" s="998">
        <v>0</v>
      </c>
      <c r="O67" s="998">
        <v>0</v>
      </c>
    </row>
    <row r="68" spans="1:15">
      <c r="A68" s="996" t="s">
        <v>300</v>
      </c>
      <c r="B68" s="1002">
        <v>538</v>
      </c>
      <c r="C68" s="999">
        <v>538</v>
      </c>
      <c r="D68" s="1000">
        <v>538</v>
      </c>
      <c r="E68" s="1001">
        <v>538</v>
      </c>
      <c r="F68" s="1010">
        <v>0</v>
      </c>
      <c r="G68" s="1011">
        <v>538</v>
      </c>
      <c r="H68" s="1011">
        <v>0</v>
      </c>
      <c r="I68" s="1008">
        <v>538</v>
      </c>
      <c r="J68" s="1008">
        <v>538</v>
      </c>
      <c r="K68" s="1008">
        <v>300</v>
      </c>
      <c r="L68" s="998">
        <v>538</v>
      </c>
      <c r="M68" s="998">
        <v>0</v>
      </c>
      <c r="N68" s="998">
        <v>0</v>
      </c>
      <c r="O68" s="998">
        <v>0</v>
      </c>
    </row>
    <row r="69" spans="1:15">
      <c r="A69" s="996" t="s">
        <v>301</v>
      </c>
      <c r="B69" s="1002">
        <v>2354</v>
      </c>
      <c r="C69" s="999">
        <v>966.66666666666663</v>
      </c>
      <c r="D69" s="1000">
        <v>2354</v>
      </c>
      <c r="E69" s="1001">
        <v>2354</v>
      </c>
      <c r="F69" s="1010">
        <v>0</v>
      </c>
      <c r="G69" s="1011">
        <v>2354</v>
      </c>
      <c r="H69" s="1011">
        <v>0</v>
      </c>
      <c r="I69" s="1008">
        <v>2354</v>
      </c>
      <c r="J69" s="1008">
        <v>1000</v>
      </c>
      <c r="K69" s="1008">
        <v>100</v>
      </c>
      <c r="L69" s="998">
        <v>2354</v>
      </c>
      <c r="M69" s="998">
        <v>0</v>
      </c>
      <c r="N69" s="998">
        <v>0</v>
      </c>
      <c r="O69" s="998">
        <v>0</v>
      </c>
    </row>
    <row r="70" spans="1:15">
      <c r="A70" s="996" t="s">
        <v>302</v>
      </c>
      <c r="B70" s="1002">
        <v>737</v>
      </c>
      <c r="C70" s="999">
        <v>737</v>
      </c>
      <c r="D70" s="1000">
        <v>737</v>
      </c>
      <c r="E70" s="1001">
        <v>737</v>
      </c>
      <c r="F70" s="1010">
        <v>0</v>
      </c>
      <c r="G70" s="1011">
        <v>0</v>
      </c>
      <c r="H70" s="1011">
        <v>0</v>
      </c>
      <c r="I70" s="1008">
        <v>737</v>
      </c>
      <c r="J70" s="1008">
        <v>737</v>
      </c>
      <c r="K70" s="1008">
        <v>100</v>
      </c>
      <c r="L70" s="998">
        <v>0</v>
      </c>
      <c r="M70" s="998">
        <v>0</v>
      </c>
      <c r="N70" s="998">
        <v>0</v>
      </c>
      <c r="O70" s="998">
        <v>0</v>
      </c>
    </row>
    <row r="71" spans="1:15">
      <c r="A71" s="996" t="s">
        <v>193</v>
      </c>
      <c r="B71" s="1002">
        <v>789</v>
      </c>
      <c r="C71" s="999">
        <v>789</v>
      </c>
      <c r="D71" s="1000">
        <v>789</v>
      </c>
      <c r="E71" s="1001">
        <v>789</v>
      </c>
      <c r="F71" s="1010">
        <v>49</v>
      </c>
      <c r="G71" s="1011">
        <v>0</v>
      </c>
      <c r="H71" s="1011">
        <v>0</v>
      </c>
      <c r="I71" s="1008">
        <v>440</v>
      </c>
      <c r="J71" s="1008">
        <v>789</v>
      </c>
      <c r="K71" s="1008">
        <v>400</v>
      </c>
      <c r="L71" s="998">
        <v>0</v>
      </c>
      <c r="M71" s="998">
        <v>0</v>
      </c>
      <c r="N71" s="998">
        <v>0</v>
      </c>
      <c r="O71" s="998">
        <v>0</v>
      </c>
    </row>
    <row r="72" spans="1:15">
      <c r="A72" s="996" t="s">
        <v>263</v>
      </c>
      <c r="B72" s="1002">
        <v>90</v>
      </c>
      <c r="C72" s="999">
        <v>90</v>
      </c>
      <c r="D72" s="1000">
        <v>84</v>
      </c>
      <c r="E72" s="1001">
        <v>90</v>
      </c>
      <c r="F72" s="1010">
        <v>2</v>
      </c>
      <c r="G72" s="1011">
        <v>0</v>
      </c>
      <c r="H72" s="1011">
        <v>0</v>
      </c>
      <c r="I72" s="1008">
        <v>90</v>
      </c>
      <c r="J72" s="1008">
        <v>90</v>
      </c>
      <c r="K72" s="1008">
        <v>90</v>
      </c>
      <c r="L72" s="998">
        <v>0</v>
      </c>
      <c r="M72" s="998">
        <v>0</v>
      </c>
      <c r="N72" s="998">
        <v>0</v>
      </c>
      <c r="O72" s="998">
        <v>0</v>
      </c>
    </row>
    <row r="73" spans="1:15">
      <c r="A73" s="996" t="s">
        <v>264</v>
      </c>
      <c r="B73" s="1002">
        <v>174</v>
      </c>
      <c r="C73" s="999">
        <v>174</v>
      </c>
      <c r="D73" s="1000">
        <v>120</v>
      </c>
      <c r="E73" s="1001">
        <v>174</v>
      </c>
      <c r="F73" s="1010">
        <v>0</v>
      </c>
      <c r="G73" s="1011">
        <v>0</v>
      </c>
      <c r="H73" s="1011">
        <v>0</v>
      </c>
      <c r="I73" s="1008">
        <v>174</v>
      </c>
      <c r="J73" s="1008">
        <v>174</v>
      </c>
      <c r="K73" s="1008">
        <v>174</v>
      </c>
      <c r="L73" s="998">
        <v>0</v>
      </c>
      <c r="M73" s="998">
        <v>0</v>
      </c>
      <c r="N73" s="998">
        <v>0</v>
      </c>
      <c r="O73" s="998">
        <v>0</v>
      </c>
    </row>
    <row r="74" spans="1:15">
      <c r="A74" s="996" t="s">
        <v>213</v>
      </c>
      <c r="B74" s="1002">
        <v>424</v>
      </c>
      <c r="C74" s="999">
        <v>424</v>
      </c>
      <c r="D74" s="1000">
        <v>424</v>
      </c>
      <c r="E74" s="1001">
        <v>424</v>
      </c>
      <c r="F74" s="1010">
        <v>7</v>
      </c>
      <c r="G74" s="1011">
        <v>0</v>
      </c>
      <c r="H74" s="1011">
        <v>0</v>
      </c>
      <c r="I74" s="1008">
        <v>205</v>
      </c>
      <c r="J74" s="1008">
        <v>424</v>
      </c>
      <c r="K74" s="1008">
        <v>100</v>
      </c>
      <c r="L74" s="998">
        <v>0</v>
      </c>
      <c r="M74" s="998">
        <v>0</v>
      </c>
      <c r="N74" s="998">
        <v>0</v>
      </c>
      <c r="O74" s="998">
        <v>0</v>
      </c>
    </row>
    <row r="75" spans="1:15">
      <c r="A75" s="996" t="s">
        <v>2242</v>
      </c>
      <c r="B75" s="1002">
        <v>267</v>
      </c>
      <c r="C75" s="999">
        <v>267</v>
      </c>
      <c r="D75" s="1000">
        <v>144</v>
      </c>
      <c r="E75" s="1001">
        <v>267</v>
      </c>
      <c r="F75" s="1010">
        <v>0</v>
      </c>
      <c r="G75" s="1011">
        <v>0</v>
      </c>
      <c r="H75" s="1011">
        <v>0</v>
      </c>
      <c r="I75" s="1008">
        <v>205</v>
      </c>
      <c r="J75" s="1008">
        <v>267</v>
      </c>
      <c r="K75" s="1008">
        <v>200</v>
      </c>
      <c r="L75" s="998">
        <v>0</v>
      </c>
      <c r="M75" s="998">
        <v>0</v>
      </c>
      <c r="N75" s="998">
        <v>0</v>
      </c>
      <c r="O75" s="998">
        <v>0</v>
      </c>
    </row>
    <row r="76" spans="1:15">
      <c r="A76" s="996" t="s">
        <v>190</v>
      </c>
      <c r="B76" s="1002">
        <v>18</v>
      </c>
      <c r="C76" s="999">
        <v>18</v>
      </c>
      <c r="D76" s="1000">
        <v>0</v>
      </c>
      <c r="E76" s="1001">
        <v>18</v>
      </c>
      <c r="F76" s="1010">
        <v>0</v>
      </c>
      <c r="G76" s="1011">
        <v>0</v>
      </c>
      <c r="H76" s="1011">
        <v>0</v>
      </c>
      <c r="I76" s="1008">
        <v>18</v>
      </c>
      <c r="J76" s="1008">
        <v>0</v>
      </c>
      <c r="K76" s="1008">
        <v>18</v>
      </c>
      <c r="L76" s="998">
        <v>0</v>
      </c>
      <c r="M76" s="998">
        <v>0</v>
      </c>
      <c r="N76" s="998">
        <v>0</v>
      </c>
      <c r="O76" s="998">
        <v>0</v>
      </c>
    </row>
    <row r="77" spans="1:15">
      <c r="A77" s="996" t="s">
        <v>258</v>
      </c>
      <c r="B77" s="1002">
        <v>24</v>
      </c>
      <c r="C77" s="999">
        <v>24</v>
      </c>
      <c r="D77" s="1000">
        <v>24</v>
      </c>
      <c r="E77" s="1001">
        <v>24</v>
      </c>
      <c r="F77" s="1010">
        <v>0</v>
      </c>
      <c r="G77" s="1011">
        <v>0</v>
      </c>
      <c r="H77" s="1011">
        <v>0</v>
      </c>
      <c r="I77" s="1008">
        <v>24</v>
      </c>
      <c r="J77" s="1008">
        <v>24</v>
      </c>
      <c r="K77" s="1008">
        <v>24</v>
      </c>
      <c r="L77" s="998">
        <v>0</v>
      </c>
      <c r="M77" s="998">
        <v>0</v>
      </c>
      <c r="N77" s="998">
        <v>0</v>
      </c>
      <c r="O77" s="998">
        <v>0</v>
      </c>
    </row>
    <row r="78" spans="1:15">
      <c r="A78" s="996" t="s">
        <v>2646</v>
      </c>
      <c r="B78" s="1002">
        <v>36</v>
      </c>
      <c r="C78" s="999">
        <v>36</v>
      </c>
      <c r="D78" s="1000">
        <v>36</v>
      </c>
      <c r="E78" s="1001">
        <v>36</v>
      </c>
      <c r="F78" s="1010">
        <v>0</v>
      </c>
      <c r="G78" s="1011">
        <v>0</v>
      </c>
      <c r="H78" s="1011">
        <v>0</v>
      </c>
      <c r="I78" s="1008">
        <v>36</v>
      </c>
      <c r="J78" s="1008">
        <v>36</v>
      </c>
      <c r="K78" s="1008">
        <v>36</v>
      </c>
      <c r="L78" s="998">
        <v>0</v>
      </c>
      <c r="M78" s="998">
        <v>0</v>
      </c>
      <c r="N78" s="998">
        <v>0</v>
      </c>
      <c r="O78" s="998">
        <v>0</v>
      </c>
    </row>
    <row r="79" spans="1:15">
      <c r="A79" s="996" t="s">
        <v>1613</v>
      </c>
      <c r="B79" s="1002">
        <v>611</v>
      </c>
      <c r="C79" s="999">
        <v>611</v>
      </c>
      <c r="D79" s="1000">
        <v>360</v>
      </c>
      <c r="E79" s="1001">
        <v>611</v>
      </c>
      <c r="F79" s="1010">
        <v>0</v>
      </c>
      <c r="G79" s="1011">
        <v>0</v>
      </c>
      <c r="H79" s="1011">
        <v>0</v>
      </c>
      <c r="I79" s="1008">
        <v>474</v>
      </c>
      <c r="J79" s="1008">
        <v>611</v>
      </c>
      <c r="K79" s="1008">
        <v>474</v>
      </c>
      <c r="L79" s="998">
        <v>0</v>
      </c>
      <c r="M79" s="998">
        <v>0</v>
      </c>
      <c r="N79" s="998">
        <v>0</v>
      </c>
      <c r="O79" s="998">
        <v>0</v>
      </c>
    </row>
    <row r="80" spans="1:15">
      <c r="A80" s="996" t="s">
        <v>234</v>
      </c>
      <c r="B80" s="1002">
        <v>309</v>
      </c>
      <c r="C80" s="999">
        <v>309</v>
      </c>
      <c r="D80" s="1000">
        <v>309</v>
      </c>
      <c r="E80" s="1001">
        <v>309</v>
      </c>
      <c r="F80" s="1010">
        <v>0</v>
      </c>
      <c r="G80" s="1011">
        <v>0</v>
      </c>
      <c r="H80" s="1011">
        <v>0</v>
      </c>
      <c r="I80" s="1008">
        <v>309</v>
      </c>
      <c r="J80" s="1008">
        <v>309</v>
      </c>
      <c r="K80" s="1008">
        <v>309</v>
      </c>
      <c r="L80" s="998">
        <v>0</v>
      </c>
      <c r="M80" s="998">
        <v>0</v>
      </c>
      <c r="N80" s="998">
        <v>0</v>
      </c>
      <c r="O80" s="998">
        <v>0</v>
      </c>
    </row>
    <row r="81" spans="1:15">
      <c r="A81" s="996" t="s">
        <v>231</v>
      </c>
      <c r="B81" s="1002">
        <v>218</v>
      </c>
      <c r="C81" s="999">
        <v>218</v>
      </c>
      <c r="D81" s="1000">
        <v>218</v>
      </c>
      <c r="E81" s="1001">
        <v>218</v>
      </c>
      <c r="F81" s="1010">
        <v>0</v>
      </c>
      <c r="G81" s="1011">
        <v>0</v>
      </c>
      <c r="H81" s="1011">
        <v>0</v>
      </c>
      <c r="I81" s="1008">
        <v>218</v>
      </c>
      <c r="J81" s="1008">
        <v>218</v>
      </c>
      <c r="K81" s="1008">
        <v>218</v>
      </c>
      <c r="L81" s="998">
        <v>0</v>
      </c>
      <c r="M81" s="998">
        <v>0</v>
      </c>
      <c r="N81" s="998">
        <v>0</v>
      </c>
      <c r="O81" s="998">
        <v>0</v>
      </c>
    </row>
    <row r="82" spans="1:15">
      <c r="A82" s="996" t="s">
        <v>155</v>
      </c>
      <c r="B82" s="1002">
        <v>48</v>
      </c>
      <c r="C82" s="999">
        <v>48</v>
      </c>
      <c r="D82" s="1000">
        <v>48</v>
      </c>
      <c r="E82" s="1001">
        <v>41</v>
      </c>
      <c r="F82" s="1010">
        <v>0</v>
      </c>
      <c r="G82" s="1011">
        <v>0</v>
      </c>
      <c r="H82" s="1011">
        <v>0</v>
      </c>
      <c r="I82" s="1008">
        <v>41</v>
      </c>
      <c r="J82" s="1008">
        <v>41</v>
      </c>
      <c r="K82" s="1008">
        <v>48</v>
      </c>
      <c r="L82" s="998">
        <v>0</v>
      </c>
      <c r="M82" s="998">
        <v>0</v>
      </c>
      <c r="N82" s="998">
        <v>0</v>
      </c>
      <c r="O82" s="998">
        <v>0</v>
      </c>
    </row>
    <row r="83" spans="1:15">
      <c r="A83" s="996" t="s">
        <v>270</v>
      </c>
      <c r="B83" s="1002">
        <v>85</v>
      </c>
      <c r="C83" s="999">
        <v>85</v>
      </c>
      <c r="D83" s="1000">
        <v>80</v>
      </c>
      <c r="E83" s="1001">
        <v>85</v>
      </c>
      <c r="F83" s="1010">
        <v>0</v>
      </c>
      <c r="G83" s="1011">
        <v>0</v>
      </c>
      <c r="H83" s="1011">
        <v>0</v>
      </c>
      <c r="I83" s="1008">
        <v>85</v>
      </c>
      <c r="J83" s="1008">
        <v>85</v>
      </c>
      <c r="K83" s="1008">
        <v>85</v>
      </c>
      <c r="L83" s="998">
        <v>0</v>
      </c>
      <c r="M83" s="998">
        <v>0</v>
      </c>
      <c r="N83" s="998">
        <v>0</v>
      </c>
      <c r="O83" s="998">
        <v>0</v>
      </c>
    </row>
    <row r="84" spans="1:15">
      <c r="A84" s="996" t="s">
        <v>158</v>
      </c>
      <c r="B84" s="1002">
        <v>130</v>
      </c>
      <c r="C84" s="999">
        <v>130</v>
      </c>
      <c r="D84" s="1000">
        <v>100</v>
      </c>
      <c r="E84" s="1001">
        <v>113</v>
      </c>
      <c r="F84" s="1010">
        <v>0</v>
      </c>
      <c r="G84" s="1011">
        <v>0</v>
      </c>
      <c r="H84" s="1011">
        <v>0</v>
      </c>
      <c r="I84" s="1008">
        <v>113</v>
      </c>
      <c r="J84" s="1008">
        <v>113</v>
      </c>
      <c r="K84" s="1008">
        <v>130</v>
      </c>
      <c r="L84" s="998">
        <v>0</v>
      </c>
      <c r="M84" s="998">
        <v>0</v>
      </c>
      <c r="N84" s="998">
        <v>0</v>
      </c>
      <c r="O84" s="998">
        <v>0</v>
      </c>
    </row>
    <row r="85" spans="1:15">
      <c r="A85" s="996" t="s">
        <v>185</v>
      </c>
      <c r="B85" s="1002">
        <v>547</v>
      </c>
      <c r="C85" s="999">
        <v>323</v>
      </c>
      <c r="D85" s="1000">
        <v>547</v>
      </c>
      <c r="E85" s="1001">
        <v>547</v>
      </c>
      <c r="F85" s="1010">
        <v>0</v>
      </c>
      <c r="G85" s="1011">
        <v>0</v>
      </c>
      <c r="H85" s="1011">
        <v>0</v>
      </c>
      <c r="I85" s="1008">
        <v>50</v>
      </c>
      <c r="J85" s="1008">
        <v>547</v>
      </c>
      <c r="K85" s="1008">
        <v>300</v>
      </c>
      <c r="L85" s="998">
        <v>0</v>
      </c>
      <c r="M85" s="998">
        <v>0</v>
      </c>
      <c r="N85" s="998">
        <v>0</v>
      </c>
      <c r="O85" s="998">
        <v>0</v>
      </c>
    </row>
    <row r="86" spans="1:15">
      <c r="A86" s="996" t="s">
        <v>295</v>
      </c>
      <c r="B86" s="1002">
        <v>1675</v>
      </c>
      <c r="C86" s="999">
        <v>1500</v>
      </c>
      <c r="D86" s="1000">
        <v>1675</v>
      </c>
      <c r="E86" s="1001">
        <v>1675</v>
      </c>
      <c r="F86" s="1010">
        <v>0</v>
      </c>
      <c r="G86" s="1011">
        <v>1000</v>
      </c>
      <c r="H86" s="1011">
        <v>100</v>
      </c>
      <c r="I86" s="1008">
        <v>455</v>
      </c>
      <c r="J86" s="1008">
        <v>1675</v>
      </c>
      <c r="K86" s="1008">
        <v>800</v>
      </c>
      <c r="L86" s="998">
        <v>1000</v>
      </c>
      <c r="M86" s="998">
        <v>0</v>
      </c>
      <c r="N86" s="998">
        <v>0</v>
      </c>
      <c r="O86" s="998">
        <v>100</v>
      </c>
    </row>
    <row r="87" spans="1:15">
      <c r="A87" s="996" t="s">
        <v>167</v>
      </c>
      <c r="B87" s="1002">
        <v>323</v>
      </c>
      <c r="C87" s="999">
        <v>323</v>
      </c>
      <c r="D87" s="1000">
        <v>300</v>
      </c>
      <c r="E87" s="1001">
        <v>299</v>
      </c>
      <c r="F87" s="1010">
        <v>0</v>
      </c>
      <c r="G87" s="1011">
        <v>0</v>
      </c>
      <c r="H87" s="1011">
        <v>0</v>
      </c>
      <c r="I87" s="1008">
        <v>30</v>
      </c>
      <c r="J87" s="1008">
        <v>299</v>
      </c>
      <c r="K87" s="1008">
        <v>100</v>
      </c>
      <c r="L87" s="998">
        <v>0</v>
      </c>
      <c r="M87" s="998">
        <v>0</v>
      </c>
      <c r="N87" s="998">
        <v>0</v>
      </c>
      <c r="O87" s="998">
        <v>0</v>
      </c>
    </row>
    <row r="88" spans="1:15">
      <c r="A88" s="996" t="s">
        <v>284</v>
      </c>
      <c r="B88" s="1002">
        <v>299</v>
      </c>
      <c r="C88" s="999">
        <v>299</v>
      </c>
      <c r="D88" s="1000">
        <v>263</v>
      </c>
      <c r="E88" s="1001">
        <v>299</v>
      </c>
      <c r="F88" s="1010">
        <v>0</v>
      </c>
      <c r="G88" s="1011">
        <v>0</v>
      </c>
      <c r="H88" s="1011">
        <v>0</v>
      </c>
      <c r="I88" s="1008">
        <v>230</v>
      </c>
      <c r="J88" s="1008">
        <v>299</v>
      </c>
      <c r="K88" s="1008">
        <v>299</v>
      </c>
      <c r="L88" s="998">
        <v>0</v>
      </c>
      <c r="M88" s="998">
        <v>0</v>
      </c>
      <c r="N88" s="998">
        <v>0</v>
      </c>
      <c r="O88" s="998">
        <v>0</v>
      </c>
    </row>
    <row r="89" spans="1:15">
      <c r="A89" s="996" t="s">
        <v>235</v>
      </c>
      <c r="B89" s="1002">
        <v>924</v>
      </c>
      <c r="C89" s="999">
        <v>924</v>
      </c>
      <c r="D89" s="1000">
        <v>680</v>
      </c>
      <c r="E89" s="1001">
        <v>924</v>
      </c>
      <c r="F89" s="1010">
        <v>0</v>
      </c>
      <c r="G89" s="1011">
        <v>0</v>
      </c>
      <c r="H89" s="1011">
        <v>0</v>
      </c>
      <c r="I89" s="1008">
        <v>924</v>
      </c>
      <c r="J89" s="1008">
        <v>924</v>
      </c>
      <c r="K89" s="1008">
        <v>800</v>
      </c>
      <c r="L89" s="998">
        <v>0</v>
      </c>
      <c r="M89" s="998">
        <v>0</v>
      </c>
      <c r="N89" s="998">
        <v>0</v>
      </c>
      <c r="O89" s="998">
        <v>0</v>
      </c>
    </row>
    <row r="90" spans="1:15">
      <c r="A90" s="996" t="s">
        <v>1606</v>
      </c>
      <c r="B90" s="1002">
        <v>1365</v>
      </c>
      <c r="C90" s="999">
        <v>1365</v>
      </c>
      <c r="D90" s="1000">
        <v>1340</v>
      </c>
      <c r="E90" s="1001">
        <v>1187</v>
      </c>
      <c r="F90" s="1010">
        <v>0</v>
      </c>
      <c r="G90" s="1011">
        <v>0</v>
      </c>
      <c r="H90" s="1011">
        <v>0</v>
      </c>
      <c r="I90" s="1008">
        <v>1187</v>
      </c>
      <c r="J90" s="1008">
        <v>500</v>
      </c>
      <c r="K90" s="1008">
        <v>400</v>
      </c>
      <c r="L90" s="998">
        <v>0</v>
      </c>
      <c r="M90" s="998">
        <v>0</v>
      </c>
      <c r="N90" s="998">
        <v>0</v>
      </c>
      <c r="O90" s="998">
        <v>0</v>
      </c>
    </row>
    <row r="91" spans="1:15">
      <c r="A91" s="996" t="s">
        <v>296</v>
      </c>
      <c r="B91" s="1002">
        <v>3682</v>
      </c>
      <c r="C91" s="999">
        <v>250.00000000000003</v>
      </c>
      <c r="D91" s="1000">
        <v>3120</v>
      </c>
      <c r="E91" s="1001">
        <v>3000</v>
      </c>
      <c r="F91" s="1010">
        <v>0</v>
      </c>
      <c r="G91" s="1011">
        <v>3000</v>
      </c>
      <c r="H91" s="1011">
        <v>100</v>
      </c>
      <c r="I91" s="1008">
        <v>520</v>
      </c>
      <c r="J91" s="1008">
        <v>3000</v>
      </c>
      <c r="K91" s="1008">
        <v>700</v>
      </c>
      <c r="L91" s="998">
        <v>3000</v>
      </c>
      <c r="M91" s="998">
        <v>0</v>
      </c>
      <c r="N91" s="998">
        <v>0</v>
      </c>
      <c r="O91" s="998">
        <v>100</v>
      </c>
    </row>
    <row r="92" spans="1:15">
      <c r="A92" s="996" t="s">
        <v>180</v>
      </c>
      <c r="B92" s="1002">
        <v>966</v>
      </c>
      <c r="C92" s="999">
        <v>933.33333333333337</v>
      </c>
      <c r="D92" s="1000">
        <v>850</v>
      </c>
      <c r="E92" s="1001">
        <v>966</v>
      </c>
      <c r="F92" s="1010">
        <v>0</v>
      </c>
      <c r="G92" s="1011">
        <v>0</v>
      </c>
      <c r="H92" s="1011">
        <v>0</v>
      </c>
      <c r="I92" s="1008">
        <v>455</v>
      </c>
      <c r="J92" s="1008">
        <v>966</v>
      </c>
      <c r="K92" s="1008">
        <v>966</v>
      </c>
      <c r="L92" s="998">
        <v>0</v>
      </c>
      <c r="M92" s="998">
        <v>0</v>
      </c>
      <c r="N92" s="998">
        <v>0</v>
      </c>
      <c r="O92" s="998">
        <v>0</v>
      </c>
    </row>
    <row r="93" spans="1:15">
      <c r="A93" s="996" t="s">
        <v>2207</v>
      </c>
      <c r="B93" s="1002">
        <v>143</v>
      </c>
      <c r="C93" s="999">
        <v>143</v>
      </c>
      <c r="D93" s="1000">
        <v>120</v>
      </c>
      <c r="E93" s="1001">
        <v>143</v>
      </c>
      <c r="F93" s="1010">
        <v>0</v>
      </c>
      <c r="G93" s="1011">
        <v>0</v>
      </c>
      <c r="H93" s="1011">
        <v>0</v>
      </c>
      <c r="I93" s="1008">
        <v>143</v>
      </c>
      <c r="J93" s="1008">
        <v>143</v>
      </c>
      <c r="K93" s="1008">
        <v>134</v>
      </c>
      <c r="L93" s="998">
        <v>0</v>
      </c>
      <c r="M93" s="998">
        <v>0</v>
      </c>
      <c r="N93" s="998">
        <v>0</v>
      </c>
      <c r="O93" s="998">
        <v>0</v>
      </c>
    </row>
    <row r="94" spans="1:15">
      <c r="A94" s="996" t="s">
        <v>1591</v>
      </c>
      <c r="B94" s="1002">
        <v>1397</v>
      </c>
      <c r="C94" s="999">
        <v>1397</v>
      </c>
      <c r="D94" s="1000">
        <v>100</v>
      </c>
      <c r="E94" s="1001">
        <v>205</v>
      </c>
      <c r="F94" s="1010">
        <v>0</v>
      </c>
      <c r="G94" s="1011">
        <v>0</v>
      </c>
      <c r="H94" s="1011">
        <v>0</v>
      </c>
      <c r="I94" s="1008">
        <v>205</v>
      </c>
      <c r="J94" s="1008">
        <v>0</v>
      </c>
      <c r="K94" s="1008">
        <v>100</v>
      </c>
      <c r="L94" s="998">
        <v>0</v>
      </c>
      <c r="M94" s="998">
        <v>0</v>
      </c>
      <c r="N94" s="998">
        <v>0</v>
      </c>
      <c r="O94" s="998">
        <v>0</v>
      </c>
    </row>
    <row r="95" spans="1:15">
      <c r="A95" s="996" t="s">
        <v>279</v>
      </c>
      <c r="B95" s="1002">
        <v>334</v>
      </c>
      <c r="C95" s="999">
        <v>334</v>
      </c>
      <c r="D95" s="1000">
        <v>334</v>
      </c>
      <c r="E95" s="1001">
        <v>334</v>
      </c>
      <c r="F95" s="1010">
        <v>40</v>
      </c>
      <c r="G95" s="1011">
        <v>0</v>
      </c>
      <c r="H95" s="1011">
        <v>0</v>
      </c>
      <c r="I95" s="1008">
        <v>334</v>
      </c>
      <c r="J95" s="1008">
        <v>334</v>
      </c>
      <c r="K95" s="1008">
        <v>334</v>
      </c>
      <c r="L95" s="998">
        <v>0</v>
      </c>
      <c r="M95" s="998">
        <v>0</v>
      </c>
      <c r="N95" s="998">
        <v>0</v>
      </c>
      <c r="O95" s="998">
        <v>0</v>
      </c>
    </row>
    <row r="96" spans="1:15">
      <c r="A96" s="996" t="s">
        <v>271</v>
      </c>
      <c r="B96" s="1002">
        <v>506</v>
      </c>
      <c r="C96" s="999">
        <v>506</v>
      </c>
      <c r="D96" s="1000">
        <v>420</v>
      </c>
      <c r="E96" s="1001">
        <v>506</v>
      </c>
      <c r="F96" s="1010">
        <v>111</v>
      </c>
      <c r="G96" s="1011">
        <v>70</v>
      </c>
      <c r="H96" s="1011">
        <v>300</v>
      </c>
      <c r="I96" s="1008">
        <v>506</v>
      </c>
      <c r="J96" s="1008">
        <v>506</v>
      </c>
      <c r="K96" s="1008">
        <v>506</v>
      </c>
      <c r="L96" s="998">
        <v>0</v>
      </c>
      <c r="M96" s="998">
        <v>0</v>
      </c>
      <c r="N96" s="998">
        <v>70</v>
      </c>
      <c r="O96" s="998">
        <v>300</v>
      </c>
    </row>
    <row r="97" spans="1:15">
      <c r="A97" s="996" t="s">
        <v>181</v>
      </c>
      <c r="B97" s="1002">
        <v>396</v>
      </c>
      <c r="C97" s="999">
        <v>396</v>
      </c>
      <c r="D97" s="1000">
        <v>280</v>
      </c>
      <c r="E97" s="1001">
        <v>396</v>
      </c>
      <c r="F97" s="1010">
        <v>0</v>
      </c>
      <c r="G97" s="1011">
        <v>0</v>
      </c>
      <c r="H97" s="1011">
        <v>0</v>
      </c>
      <c r="I97" s="1008">
        <v>205</v>
      </c>
      <c r="J97" s="1008">
        <v>396</v>
      </c>
      <c r="K97" s="1008">
        <v>100</v>
      </c>
      <c r="L97" s="998">
        <v>0</v>
      </c>
      <c r="M97" s="998">
        <v>0</v>
      </c>
      <c r="N97" s="998">
        <v>0</v>
      </c>
      <c r="O97" s="998">
        <v>0</v>
      </c>
    </row>
    <row r="98" spans="1:15">
      <c r="A98" s="996" t="s">
        <v>259</v>
      </c>
      <c r="B98" s="1002">
        <v>70</v>
      </c>
      <c r="C98" s="999">
        <v>70</v>
      </c>
      <c r="D98" s="1000">
        <v>40</v>
      </c>
      <c r="E98" s="1001">
        <v>70</v>
      </c>
      <c r="F98" s="1010">
        <v>0</v>
      </c>
      <c r="G98" s="1011">
        <v>0</v>
      </c>
      <c r="H98" s="1011">
        <v>0</v>
      </c>
      <c r="I98" s="1008">
        <v>70</v>
      </c>
      <c r="J98" s="1008">
        <v>70</v>
      </c>
      <c r="K98" s="1008">
        <v>70</v>
      </c>
      <c r="L98" s="998">
        <v>0</v>
      </c>
      <c r="M98" s="998">
        <v>0</v>
      </c>
      <c r="N98" s="998">
        <v>0</v>
      </c>
      <c r="O98" s="998">
        <v>0</v>
      </c>
    </row>
    <row r="99" spans="1:15">
      <c r="A99" s="996" t="s">
        <v>280</v>
      </c>
      <c r="B99" s="1002">
        <v>3860</v>
      </c>
      <c r="C99" s="999">
        <v>3860</v>
      </c>
      <c r="D99" s="1000">
        <v>3003</v>
      </c>
      <c r="E99" s="1001">
        <v>3030</v>
      </c>
      <c r="F99" s="1010">
        <v>163</v>
      </c>
      <c r="G99" s="1011">
        <v>0</v>
      </c>
      <c r="H99" s="1011">
        <v>0</v>
      </c>
      <c r="I99" s="1008">
        <v>3030</v>
      </c>
      <c r="J99" s="1008">
        <v>3000</v>
      </c>
      <c r="K99" s="1008">
        <v>3200</v>
      </c>
      <c r="L99" s="998">
        <v>0</v>
      </c>
      <c r="M99" s="998">
        <v>0</v>
      </c>
      <c r="N99" s="998">
        <v>0</v>
      </c>
      <c r="O99" s="998">
        <v>0</v>
      </c>
    </row>
    <row r="100" spans="1:15">
      <c r="A100" s="996" t="s">
        <v>2204</v>
      </c>
      <c r="B100" s="1002"/>
      <c r="C100" s="999">
        <v>0</v>
      </c>
      <c r="D100" s="1000">
        <v>0</v>
      </c>
      <c r="E100" s="1001">
        <v>0</v>
      </c>
      <c r="F100" s="1010">
        <v>0</v>
      </c>
      <c r="G100" s="1011">
        <v>0</v>
      </c>
      <c r="H100" s="1011">
        <v>0</v>
      </c>
      <c r="I100" s="1008">
        <v>0</v>
      </c>
      <c r="J100" s="1008">
        <v>0</v>
      </c>
      <c r="K100" s="1008">
        <v>0</v>
      </c>
      <c r="L100" s="998">
        <v>0</v>
      </c>
      <c r="M100" s="998">
        <v>0</v>
      </c>
      <c r="N100" s="998">
        <v>0</v>
      </c>
      <c r="O100" s="998">
        <v>0</v>
      </c>
    </row>
    <row r="101" spans="1:15">
      <c r="A101" s="996" t="s">
        <v>187</v>
      </c>
      <c r="B101" s="1002">
        <v>353</v>
      </c>
      <c r="C101" s="999">
        <v>353</v>
      </c>
      <c r="D101" s="1000">
        <v>353</v>
      </c>
      <c r="E101" s="1001">
        <v>325</v>
      </c>
      <c r="F101" s="1010">
        <v>0</v>
      </c>
      <c r="G101" s="1011">
        <v>0</v>
      </c>
      <c r="H101" s="1011">
        <v>250</v>
      </c>
      <c r="I101" s="1008">
        <v>30</v>
      </c>
      <c r="J101" s="1008">
        <v>325</v>
      </c>
      <c r="K101" s="1008">
        <v>100</v>
      </c>
      <c r="L101" s="998">
        <v>0</v>
      </c>
      <c r="M101" s="998">
        <v>0</v>
      </c>
      <c r="N101" s="998">
        <v>0</v>
      </c>
      <c r="O101" s="998">
        <v>250</v>
      </c>
    </row>
    <row r="102" spans="1:15">
      <c r="A102" s="996" t="s">
        <v>156</v>
      </c>
      <c r="B102" s="1002">
        <v>136</v>
      </c>
      <c r="C102" s="999">
        <v>136</v>
      </c>
      <c r="D102" s="1000">
        <v>136</v>
      </c>
      <c r="E102" s="1001">
        <v>136</v>
      </c>
      <c r="F102" s="1010">
        <v>0</v>
      </c>
      <c r="G102" s="1011">
        <v>0</v>
      </c>
      <c r="H102" s="1011">
        <v>0</v>
      </c>
      <c r="I102" s="1008">
        <v>136</v>
      </c>
      <c r="J102" s="1008">
        <v>136</v>
      </c>
      <c r="K102" s="1008">
        <v>136</v>
      </c>
      <c r="L102" s="998">
        <v>0</v>
      </c>
      <c r="M102" s="998">
        <v>0</v>
      </c>
      <c r="N102" s="998">
        <v>0</v>
      </c>
      <c r="O102" s="998">
        <v>0</v>
      </c>
    </row>
    <row r="103" spans="1:15">
      <c r="A103" s="996" t="s">
        <v>286</v>
      </c>
      <c r="B103" s="1002">
        <v>255</v>
      </c>
      <c r="C103" s="999">
        <v>255</v>
      </c>
      <c r="D103" s="1000">
        <v>255</v>
      </c>
      <c r="E103" s="1001">
        <v>255</v>
      </c>
      <c r="F103" s="1010">
        <v>18</v>
      </c>
      <c r="G103" s="1011">
        <v>0</v>
      </c>
      <c r="H103" s="1011">
        <v>0</v>
      </c>
      <c r="I103" s="1008">
        <v>205</v>
      </c>
      <c r="J103" s="1008">
        <v>255</v>
      </c>
      <c r="K103" s="1008">
        <v>255</v>
      </c>
      <c r="L103" s="998">
        <v>0</v>
      </c>
      <c r="M103" s="998">
        <v>0</v>
      </c>
      <c r="N103" s="998">
        <v>0</v>
      </c>
      <c r="O103" s="998">
        <v>0</v>
      </c>
    </row>
    <row r="104" spans="1:15">
      <c r="A104" s="996" t="s">
        <v>143</v>
      </c>
      <c r="B104" s="1002">
        <v>1881</v>
      </c>
      <c r="C104" s="999">
        <v>1881</v>
      </c>
      <c r="D104" s="1000">
        <v>1881</v>
      </c>
      <c r="E104" s="1001">
        <v>1881</v>
      </c>
      <c r="F104" s="1010">
        <v>0</v>
      </c>
      <c r="G104" s="1011">
        <v>0</v>
      </c>
      <c r="H104" s="1011">
        <v>0</v>
      </c>
      <c r="I104" s="1008">
        <v>520</v>
      </c>
      <c r="J104" s="1008">
        <v>1881</v>
      </c>
      <c r="K104" s="1008">
        <v>700</v>
      </c>
      <c r="L104" s="998">
        <v>0</v>
      </c>
      <c r="M104" s="998">
        <v>0</v>
      </c>
      <c r="N104" s="998">
        <v>0</v>
      </c>
      <c r="O104" s="998">
        <v>0</v>
      </c>
    </row>
    <row r="105" spans="1:15">
      <c r="A105" s="996" t="s">
        <v>188</v>
      </c>
      <c r="B105" s="1002">
        <v>103</v>
      </c>
      <c r="C105" s="999">
        <v>103</v>
      </c>
      <c r="D105" s="1000">
        <v>103</v>
      </c>
      <c r="E105" s="1001">
        <v>103</v>
      </c>
      <c r="F105" s="1010">
        <v>0</v>
      </c>
      <c r="G105" s="1011">
        <v>0</v>
      </c>
      <c r="H105" s="1011">
        <v>0</v>
      </c>
      <c r="I105" s="1008">
        <v>103</v>
      </c>
      <c r="J105" s="1008">
        <v>103</v>
      </c>
      <c r="K105" s="1008">
        <v>103</v>
      </c>
      <c r="L105" s="998">
        <v>0</v>
      </c>
      <c r="M105" s="998">
        <v>0</v>
      </c>
      <c r="N105" s="998">
        <v>0</v>
      </c>
      <c r="O105" s="998">
        <v>0</v>
      </c>
    </row>
    <row r="106" spans="1:15">
      <c r="A106" s="996" t="s">
        <v>168</v>
      </c>
      <c r="B106" s="1002">
        <v>583</v>
      </c>
      <c r="C106" s="999">
        <v>583</v>
      </c>
      <c r="D106" s="1000">
        <v>260</v>
      </c>
      <c r="E106" s="1001">
        <v>583</v>
      </c>
      <c r="F106" s="1010">
        <v>0</v>
      </c>
      <c r="G106" s="1011">
        <v>0</v>
      </c>
      <c r="H106" s="1011">
        <v>0</v>
      </c>
      <c r="I106" s="1008">
        <v>583</v>
      </c>
      <c r="J106" s="1008">
        <v>583</v>
      </c>
      <c r="K106" s="1008">
        <v>583</v>
      </c>
      <c r="L106" s="998">
        <v>0</v>
      </c>
      <c r="M106" s="998">
        <v>0</v>
      </c>
      <c r="N106" s="998">
        <v>0</v>
      </c>
      <c r="O106" s="998">
        <v>0</v>
      </c>
    </row>
    <row r="107" spans="1:15">
      <c r="A107" s="996" t="s">
        <v>265</v>
      </c>
      <c r="B107" s="1002">
        <v>120</v>
      </c>
      <c r="C107" s="999">
        <v>120</v>
      </c>
      <c r="D107" s="1000">
        <v>120</v>
      </c>
      <c r="E107" s="1001">
        <v>119</v>
      </c>
      <c r="F107" s="1010">
        <v>0</v>
      </c>
      <c r="G107" s="1011">
        <v>120</v>
      </c>
      <c r="H107" s="1011">
        <v>0</v>
      </c>
      <c r="I107" s="1008">
        <v>119</v>
      </c>
      <c r="J107" s="1008">
        <v>119</v>
      </c>
      <c r="K107" s="1008">
        <v>120</v>
      </c>
      <c r="L107" s="998">
        <v>120</v>
      </c>
      <c r="M107" s="998">
        <v>0</v>
      </c>
      <c r="N107" s="998">
        <v>0</v>
      </c>
      <c r="O107" s="998">
        <v>0</v>
      </c>
    </row>
    <row r="108" spans="1:15">
      <c r="A108" s="996" t="s">
        <v>182</v>
      </c>
      <c r="B108" s="1002">
        <v>1176</v>
      </c>
      <c r="C108" s="999">
        <v>0</v>
      </c>
      <c r="D108" s="1000">
        <v>1176</v>
      </c>
      <c r="E108" s="1001">
        <v>1176</v>
      </c>
      <c r="F108" s="1010">
        <v>0</v>
      </c>
      <c r="G108" s="1011">
        <v>0</v>
      </c>
      <c r="H108" s="1011">
        <v>0</v>
      </c>
      <c r="I108" s="1008">
        <v>620</v>
      </c>
      <c r="J108" s="1008">
        <v>1176</v>
      </c>
      <c r="K108" s="1008">
        <v>700</v>
      </c>
      <c r="L108" s="998">
        <v>0</v>
      </c>
      <c r="M108" s="998">
        <v>0</v>
      </c>
      <c r="N108" s="998">
        <v>0</v>
      </c>
      <c r="O108" s="998">
        <v>0</v>
      </c>
    </row>
    <row r="109" spans="1:15">
      <c r="A109" s="996" t="s">
        <v>215</v>
      </c>
      <c r="B109" s="1002">
        <v>300</v>
      </c>
      <c r="C109" s="999">
        <v>300</v>
      </c>
      <c r="D109" s="1000">
        <v>264</v>
      </c>
      <c r="E109" s="1001">
        <v>300</v>
      </c>
      <c r="F109" s="1010">
        <v>0</v>
      </c>
      <c r="G109" s="1011">
        <v>95</v>
      </c>
      <c r="H109" s="1011">
        <v>0</v>
      </c>
      <c r="I109" s="1008">
        <v>230</v>
      </c>
      <c r="J109" s="1008">
        <v>300</v>
      </c>
      <c r="K109" s="1008">
        <v>300</v>
      </c>
      <c r="L109" s="998">
        <v>0</v>
      </c>
      <c r="M109" s="998">
        <v>0</v>
      </c>
      <c r="N109" s="998">
        <v>95</v>
      </c>
      <c r="O109" s="998">
        <v>0</v>
      </c>
    </row>
    <row r="110" spans="1:15">
      <c r="A110" s="996" t="s">
        <v>216</v>
      </c>
      <c r="B110" s="1002">
        <v>182</v>
      </c>
      <c r="C110" s="999">
        <v>182</v>
      </c>
      <c r="D110" s="1000">
        <v>180</v>
      </c>
      <c r="E110" s="1001">
        <v>182</v>
      </c>
      <c r="F110" s="1010">
        <v>11</v>
      </c>
      <c r="G110" s="1011">
        <v>0</v>
      </c>
      <c r="H110" s="1011">
        <v>0</v>
      </c>
      <c r="I110" s="1008">
        <v>50</v>
      </c>
      <c r="J110" s="1008">
        <v>182</v>
      </c>
      <c r="K110" s="1008">
        <v>182</v>
      </c>
      <c r="L110" s="998">
        <v>0</v>
      </c>
      <c r="M110" s="998">
        <v>0</v>
      </c>
      <c r="N110" s="998">
        <v>0</v>
      </c>
      <c r="O110" s="998">
        <v>0</v>
      </c>
    </row>
    <row r="111" spans="1:15">
      <c r="A111" s="996" t="s">
        <v>169</v>
      </c>
      <c r="B111" s="1002">
        <v>629</v>
      </c>
      <c r="C111" s="999">
        <v>629</v>
      </c>
      <c r="D111" s="1000">
        <v>340</v>
      </c>
      <c r="E111" s="1001">
        <v>499</v>
      </c>
      <c r="F111" s="1010">
        <v>0</v>
      </c>
      <c r="G111" s="1011">
        <v>0</v>
      </c>
      <c r="H111" s="1011">
        <v>0</v>
      </c>
      <c r="I111" s="1008">
        <v>440</v>
      </c>
      <c r="J111" s="1008">
        <v>499</v>
      </c>
      <c r="K111" s="1008">
        <v>300</v>
      </c>
      <c r="L111" s="998">
        <v>0</v>
      </c>
      <c r="M111" s="998">
        <v>0</v>
      </c>
      <c r="N111" s="998">
        <v>0</v>
      </c>
      <c r="O111" s="998">
        <v>0</v>
      </c>
    </row>
    <row r="112" spans="1:15">
      <c r="A112" s="996" t="s">
        <v>1718</v>
      </c>
      <c r="B112" s="1002">
        <v>624</v>
      </c>
      <c r="C112" s="999">
        <v>622</v>
      </c>
      <c r="D112" s="1000">
        <v>0</v>
      </c>
      <c r="E112" s="1001">
        <v>624</v>
      </c>
      <c r="F112" s="1010">
        <v>0</v>
      </c>
      <c r="G112" s="1011">
        <v>0</v>
      </c>
      <c r="H112" s="1011">
        <v>0</v>
      </c>
      <c r="I112" s="1008">
        <v>624</v>
      </c>
      <c r="J112" s="1008">
        <v>500</v>
      </c>
      <c r="K112" s="1008">
        <v>622</v>
      </c>
      <c r="L112" s="998">
        <v>0</v>
      </c>
      <c r="M112" s="998">
        <v>0</v>
      </c>
      <c r="N112" s="998">
        <v>0</v>
      </c>
      <c r="O112" s="998">
        <v>0</v>
      </c>
    </row>
    <row r="113" spans="1:15">
      <c r="A113" s="996" t="s">
        <v>239</v>
      </c>
      <c r="B113" s="1002">
        <v>68</v>
      </c>
      <c r="C113" s="999">
        <v>68</v>
      </c>
      <c r="D113" s="1000">
        <v>68</v>
      </c>
      <c r="E113" s="1001">
        <v>68</v>
      </c>
      <c r="F113" s="1010">
        <v>0</v>
      </c>
      <c r="G113" s="1011">
        <v>0</v>
      </c>
      <c r="H113" s="1011">
        <v>0</v>
      </c>
      <c r="I113" s="1008">
        <v>68</v>
      </c>
      <c r="J113" s="1008">
        <v>68</v>
      </c>
      <c r="K113" s="1008">
        <v>68</v>
      </c>
      <c r="L113" s="998">
        <v>0</v>
      </c>
      <c r="M113" s="998">
        <v>0</v>
      </c>
      <c r="N113" s="998">
        <v>0</v>
      </c>
      <c r="O113" s="998">
        <v>0</v>
      </c>
    </row>
    <row r="114" spans="1:15">
      <c r="A114" s="996" t="s">
        <v>865</v>
      </c>
      <c r="B114" s="1002">
        <v>169</v>
      </c>
      <c r="C114" s="999">
        <v>169</v>
      </c>
      <c r="D114" s="1000">
        <v>0</v>
      </c>
      <c r="E114" s="1001">
        <v>169</v>
      </c>
      <c r="F114" s="1010">
        <v>0</v>
      </c>
      <c r="G114" s="1011">
        <v>0</v>
      </c>
      <c r="H114" s="1011">
        <v>0</v>
      </c>
      <c r="I114" s="1008">
        <v>169</v>
      </c>
      <c r="J114" s="1008">
        <v>169</v>
      </c>
      <c r="K114" s="1008">
        <v>169</v>
      </c>
      <c r="L114" s="998">
        <v>0</v>
      </c>
      <c r="M114" s="998">
        <v>0</v>
      </c>
      <c r="N114" s="998">
        <v>0</v>
      </c>
      <c r="O114" s="998">
        <v>0</v>
      </c>
    </row>
    <row r="115" spans="1:15">
      <c r="A115" s="996" t="s">
        <v>1616</v>
      </c>
      <c r="B115" s="1002">
        <v>483</v>
      </c>
      <c r="C115" s="999">
        <v>483</v>
      </c>
      <c r="D115" s="1000">
        <v>483</v>
      </c>
      <c r="E115" s="1001">
        <v>468</v>
      </c>
      <c r="F115" s="1010">
        <v>0</v>
      </c>
      <c r="G115" s="1011">
        <v>0</v>
      </c>
      <c r="H115" s="1011">
        <v>0</v>
      </c>
      <c r="I115" s="1008">
        <v>205</v>
      </c>
      <c r="J115" s="1008">
        <v>468</v>
      </c>
      <c r="K115" s="1008">
        <v>100</v>
      </c>
      <c r="L115" s="998">
        <v>0</v>
      </c>
      <c r="M115" s="998">
        <v>0</v>
      </c>
      <c r="N115" s="998">
        <v>0</v>
      </c>
      <c r="O115" s="998">
        <v>0</v>
      </c>
    </row>
    <row r="116" spans="1:15">
      <c r="A116" s="996" t="s">
        <v>170</v>
      </c>
      <c r="B116" s="1002">
        <v>531</v>
      </c>
      <c r="C116" s="999">
        <v>531</v>
      </c>
      <c r="D116" s="1000">
        <v>220</v>
      </c>
      <c r="E116" s="1001">
        <v>500</v>
      </c>
      <c r="F116" s="1010">
        <v>0</v>
      </c>
      <c r="G116" s="1011">
        <v>0</v>
      </c>
      <c r="H116" s="1011">
        <v>0</v>
      </c>
      <c r="I116" s="1008">
        <v>50</v>
      </c>
      <c r="J116" s="1008">
        <v>500</v>
      </c>
      <c r="K116" s="1008">
        <v>300</v>
      </c>
      <c r="L116" s="998">
        <v>0</v>
      </c>
      <c r="M116" s="998">
        <v>0</v>
      </c>
      <c r="N116" s="998">
        <v>0</v>
      </c>
      <c r="O116" s="998">
        <v>0</v>
      </c>
    </row>
    <row r="117" spans="1:15">
      <c r="A117" s="996" t="s">
        <v>266</v>
      </c>
      <c r="B117" s="1002">
        <v>262</v>
      </c>
      <c r="C117" s="999">
        <v>262</v>
      </c>
      <c r="D117" s="1000">
        <v>262</v>
      </c>
      <c r="E117" s="1001">
        <v>262</v>
      </c>
      <c r="F117" s="1010">
        <v>0</v>
      </c>
      <c r="G117" s="1011">
        <v>262</v>
      </c>
      <c r="H117" s="1011">
        <v>0</v>
      </c>
      <c r="I117" s="1008">
        <v>262</v>
      </c>
      <c r="J117" s="1008">
        <v>262</v>
      </c>
      <c r="K117" s="1008">
        <v>262</v>
      </c>
      <c r="L117" s="998">
        <v>262</v>
      </c>
      <c r="M117" s="998">
        <v>0</v>
      </c>
      <c r="N117" s="998">
        <v>0</v>
      </c>
      <c r="O117" s="998">
        <v>0</v>
      </c>
    </row>
    <row r="118" spans="1:15">
      <c r="A118" s="996" t="s">
        <v>171</v>
      </c>
      <c r="B118" s="1002">
        <v>197</v>
      </c>
      <c r="C118" s="999">
        <v>197</v>
      </c>
      <c r="D118" s="1000">
        <v>100</v>
      </c>
      <c r="E118" s="1001">
        <v>165</v>
      </c>
      <c r="F118" s="1010">
        <v>0</v>
      </c>
      <c r="G118" s="1011">
        <v>0</v>
      </c>
      <c r="H118" s="1011">
        <v>0</v>
      </c>
      <c r="I118" s="1008">
        <v>165</v>
      </c>
      <c r="J118" s="1008">
        <v>165</v>
      </c>
      <c r="K118" s="1008">
        <v>100</v>
      </c>
      <c r="L118" s="998">
        <v>0</v>
      </c>
      <c r="M118" s="998">
        <v>0</v>
      </c>
      <c r="N118" s="998">
        <v>0</v>
      </c>
      <c r="O118" s="998">
        <v>0</v>
      </c>
    </row>
    <row r="119" spans="1:15">
      <c r="A119" s="996" t="s">
        <v>172</v>
      </c>
      <c r="B119" s="1002">
        <v>239</v>
      </c>
      <c r="C119" s="999">
        <v>239</v>
      </c>
      <c r="D119" s="1000">
        <v>239</v>
      </c>
      <c r="E119" s="1001">
        <v>219</v>
      </c>
      <c r="F119" s="1010">
        <v>0</v>
      </c>
      <c r="G119" s="1011">
        <v>0</v>
      </c>
      <c r="H119" s="1011">
        <v>0</v>
      </c>
      <c r="I119" s="1008">
        <v>30</v>
      </c>
      <c r="J119" s="1008">
        <v>219</v>
      </c>
      <c r="K119" s="1008">
        <v>100</v>
      </c>
      <c r="L119" s="998">
        <v>0</v>
      </c>
      <c r="M119" s="998">
        <v>0</v>
      </c>
      <c r="N119" s="998">
        <v>0</v>
      </c>
      <c r="O119" s="998">
        <v>0</v>
      </c>
    </row>
    <row r="120" spans="1:15">
      <c r="A120" s="996" t="s">
        <v>274</v>
      </c>
      <c r="B120" s="1002">
        <v>192</v>
      </c>
      <c r="C120" s="999">
        <v>192</v>
      </c>
      <c r="D120" s="1000">
        <v>120</v>
      </c>
      <c r="E120" s="1001">
        <v>192</v>
      </c>
      <c r="F120" s="1010">
        <v>0</v>
      </c>
      <c r="G120" s="1011">
        <v>0</v>
      </c>
      <c r="H120" s="1011">
        <v>0</v>
      </c>
      <c r="I120" s="1008">
        <v>192</v>
      </c>
      <c r="J120" s="1008">
        <v>192</v>
      </c>
      <c r="K120" s="1008">
        <v>192</v>
      </c>
      <c r="L120" s="998">
        <v>0</v>
      </c>
      <c r="M120" s="998">
        <v>0</v>
      </c>
      <c r="N120" s="998">
        <v>0</v>
      </c>
      <c r="O120" s="998">
        <v>0</v>
      </c>
    </row>
    <row r="121" spans="1:15">
      <c r="A121" s="996" t="s">
        <v>1615</v>
      </c>
      <c r="B121" s="1002">
        <v>975</v>
      </c>
      <c r="C121" s="999">
        <v>975</v>
      </c>
      <c r="D121" s="1000">
        <v>560</v>
      </c>
      <c r="E121" s="1001">
        <v>866</v>
      </c>
      <c r="F121" s="1010">
        <v>0</v>
      </c>
      <c r="G121" s="1011">
        <v>0</v>
      </c>
      <c r="H121" s="1011">
        <v>0</v>
      </c>
      <c r="I121" s="1008">
        <v>440</v>
      </c>
      <c r="J121" s="1008">
        <v>866</v>
      </c>
      <c r="K121" s="1008">
        <v>300</v>
      </c>
      <c r="L121" s="998">
        <v>0</v>
      </c>
      <c r="M121" s="998">
        <v>0</v>
      </c>
      <c r="N121" s="998">
        <v>0</v>
      </c>
      <c r="O121" s="998">
        <v>0</v>
      </c>
    </row>
    <row r="122" spans="1:15">
      <c r="A122" s="996" t="s">
        <v>1612</v>
      </c>
      <c r="B122" s="1002">
        <v>387</v>
      </c>
      <c r="C122" s="999">
        <v>387</v>
      </c>
      <c r="D122" s="1000">
        <v>160</v>
      </c>
      <c r="E122" s="1001">
        <v>387</v>
      </c>
      <c r="F122" s="1010">
        <v>0</v>
      </c>
      <c r="G122" s="1011">
        <v>0</v>
      </c>
      <c r="H122" s="1011">
        <v>0</v>
      </c>
      <c r="I122" s="1008">
        <v>50</v>
      </c>
      <c r="J122" s="1008">
        <v>387</v>
      </c>
      <c r="K122" s="1008">
        <v>300</v>
      </c>
      <c r="L122" s="998">
        <v>0</v>
      </c>
      <c r="M122" s="998">
        <v>0</v>
      </c>
      <c r="N122" s="998">
        <v>0</v>
      </c>
      <c r="O122" s="998">
        <v>0</v>
      </c>
    </row>
    <row r="123" spans="1:15">
      <c r="A123" s="996" t="s">
        <v>275</v>
      </c>
      <c r="B123" s="1002">
        <v>293</v>
      </c>
      <c r="C123" s="999">
        <v>293</v>
      </c>
      <c r="D123" s="1000">
        <v>180</v>
      </c>
      <c r="E123" s="1001">
        <v>293</v>
      </c>
      <c r="F123" s="1010">
        <v>72</v>
      </c>
      <c r="G123" s="1011">
        <v>0</v>
      </c>
      <c r="H123" s="1011">
        <v>0</v>
      </c>
      <c r="I123" s="1008">
        <v>193</v>
      </c>
      <c r="J123" s="1008">
        <v>293</v>
      </c>
      <c r="K123" s="1008">
        <v>293</v>
      </c>
      <c r="L123" s="998">
        <v>0</v>
      </c>
      <c r="M123" s="998">
        <v>0</v>
      </c>
      <c r="N123" s="998">
        <v>0</v>
      </c>
      <c r="O123" s="998">
        <v>0</v>
      </c>
    </row>
    <row r="124" spans="1:15">
      <c r="A124" s="996" t="s">
        <v>261</v>
      </c>
      <c r="B124" s="1002">
        <v>133</v>
      </c>
      <c r="C124" s="999">
        <v>133</v>
      </c>
      <c r="D124" s="1000">
        <v>133</v>
      </c>
      <c r="E124" s="1001">
        <v>133</v>
      </c>
      <c r="F124" s="1010">
        <v>0</v>
      </c>
      <c r="G124" s="1011">
        <v>133</v>
      </c>
      <c r="H124" s="1011">
        <v>0</v>
      </c>
      <c r="I124" s="1008">
        <v>133</v>
      </c>
      <c r="J124" s="1008">
        <v>133</v>
      </c>
      <c r="K124" s="1008">
        <v>133</v>
      </c>
      <c r="L124" s="998">
        <v>133</v>
      </c>
      <c r="M124" s="998">
        <v>0</v>
      </c>
      <c r="N124" s="998">
        <v>0</v>
      </c>
      <c r="O124" s="998">
        <v>0</v>
      </c>
    </row>
    <row r="125" spans="1:15">
      <c r="A125" s="996" t="s">
        <v>221</v>
      </c>
      <c r="B125" s="1002">
        <v>6861</v>
      </c>
      <c r="C125" s="999">
        <v>422.42222222222222</v>
      </c>
      <c r="D125" s="1000">
        <v>4920</v>
      </c>
      <c r="E125" s="1001">
        <v>1500</v>
      </c>
      <c r="F125" s="1010">
        <v>0</v>
      </c>
      <c r="G125" s="1011">
        <v>1500</v>
      </c>
      <c r="H125" s="1011">
        <v>0</v>
      </c>
      <c r="I125" s="1008">
        <v>30</v>
      </c>
      <c r="J125" s="1008">
        <v>1500</v>
      </c>
      <c r="K125" s="1008">
        <v>100</v>
      </c>
      <c r="L125" s="998">
        <v>1500</v>
      </c>
      <c r="M125" s="998">
        <v>0</v>
      </c>
      <c r="N125" s="998">
        <v>0</v>
      </c>
      <c r="O125" s="998">
        <v>0</v>
      </c>
    </row>
    <row r="126" spans="1:15">
      <c r="A126" s="996" t="s">
        <v>223</v>
      </c>
      <c r="B126" s="1002">
        <v>709</v>
      </c>
      <c r="C126" s="999">
        <v>0</v>
      </c>
      <c r="D126" s="1000">
        <v>0</v>
      </c>
      <c r="E126" s="1001">
        <v>455</v>
      </c>
      <c r="F126" s="1010">
        <v>0</v>
      </c>
      <c r="G126" s="1011">
        <v>0</v>
      </c>
      <c r="H126" s="1011">
        <v>0</v>
      </c>
      <c r="I126" s="1008">
        <v>455</v>
      </c>
      <c r="J126" s="1008">
        <v>0</v>
      </c>
      <c r="K126" s="1008">
        <v>709</v>
      </c>
      <c r="L126" s="998">
        <v>0</v>
      </c>
      <c r="M126" s="998">
        <v>0</v>
      </c>
      <c r="N126" s="998">
        <v>0</v>
      </c>
      <c r="O126" s="998">
        <v>0</v>
      </c>
    </row>
    <row r="127" spans="1:15">
      <c r="A127" s="996" t="s">
        <v>222</v>
      </c>
      <c r="B127" s="1002">
        <v>2550</v>
      </c>
      <c r="C127" s="999">
        <v>0</v>
      </c>
      <c r="D127" s="1000">
        <v>0</v>
      </c>
      <c r="E127" s="1001">
        <v>520</v>
      </c>
      <c r="F127" s="1010">
        <v>0</v>
      </c>
      <c r="G127" s="1011">
        <v>0</v>
      </c>
      <c r="H127" s="1011">
        <v>0</v>
      </c>
      <c r="I127" s="1008">
        <v>520</v>
      </c>
      <c r="J127" s="1008">
        <v>0</v>
      </c>
      <c r="K127" s="1008">
        <v>700</v>
      </c>
      <c r="L127" s="998">
        <v>0</v>
      </c>
      <c r="M127" s="998">
        <v>0</v>
      </c>
      <c r="N127" s="998">
        <v>0</v>
      </c>
      <c r="O127" s="998">
        <v>0</v>
      </c>
    </row>
    <row r="128" spans="1:15">
      <c r="A128" s="996" t="s">
        <v>262</v>
      </c>
      <c r="B128" s="1002">
        <v>66</v>
      </c>
      <c r="C128" s="999">
        <v>66</v>
      </c>
      <c r="D128" s="1000">
        <v>66</v>
      </c>
      <c r="E128" s="1001">
        <v>66</v>
      </c>
      <c r="F128" s="1010">
        <v>0</v>
      </c>
      <c r="G128" s="1011">
        <v>30</v>
      </c>
      <c r="H128" s="1011">
        <v>0</v>
      </c>
      <c r="I128" s="1008">
        <v>66</v>
      </c>
      <c r="J128" s="1008">
        <v>66</v>
      </c>
      <c r="K128" s="1008">
        <v>66</v>
      </c>
      <c r="L128" s="998">
        <v>0</v>
      </c>
      <c r="M128" s="998">
        <v>0</v>
      </c>
      <c r="N128" s="998">
        <v>30</v>
      </c>
      <c r="O128" s="998">
        <v>0</v>
      </c>
    </row>
    <row r="129" spans="1:15">
      <c r="A129" s="996" t="s">
        <v>2715</v>
      </c>
      <c r="B129" s="1002">
        <v>591</v>
      </c>
      <c r="C129" s="999">
        <v>591</v>
      </c>
      <c r="D129" s="1000">
        <v>591</v>
      </c>
      <c r="E129" s="1001">
        <v>591</v>
      </c>
      <c r="F129" s="1010">
        <v>58</v>
      </c>
      <c r="G129" s="1011">
        <v>0</v>
      </c>
      <c r="H129" s="1011">
        <v>0</v>
      </c>
      <c r="I129" s="1008">
        <v>591</v>
      </c>
      <c r="J129" s="1008">
        <v>591</v>
      </c>
      <c r="K129" s="1008">
        <v>591</v>
      </c>
      <c r="L129" s="998">
        <v>0</v>
      </c>
      <c r="M129" s="998">
        <v>0</v>
      </c>
      <c r="N129" s="998">
        <v>0</v>
      </c>
      <c r="O129" s="998">
        <v>0</v>
      </c>
    </row>
    <row r="130" spans="1:15">
      <c r="A130" s="996" t="s">
        <v>2795</v>
      </c>
      <c r="B130" s="1002">
        <v>168</v>
      </c>
      <c r="C130" s="999">
        <v>168</v>
      </c>
      <c r="D130" s="1000">
        <v>147</v>
      </c>
      <c r="E130" s="1001">
        <v>168</v>
      </c>
      <c r="F130" s="1010">
        <v>11</v>
      </c>
      <c r="G130" s="1011">
        <v>0</v>
      </c>
      <c r="H130" s="1011">
        <v>0</v>
      </c>
      <c r="I130" s="1008">
        <v>168</v>
      </c>
      <c r="J130" s="1008">
        <v>0</v>
      </c>
      <c r="K130" s="1008">
        <v>168</v>
      </c>
      <c r="L130" s="998">
        <v>0</v>
      </c>
      <c r="M130" s="998">
        <v>0</v>
      </c>
      <c r="N130" s="998">
        <v>0</v>
      </c>
      <c r="O130" s="998">
        <v>0</v>
      </c>
    </row>
    <row r="131" spans="1:15">
      <c r="A131" s="996" t="s">
        <v>1535</v>
      </c>
      <c r="B131" s="1002">
        <v>1340</v>
      </c>
      <c r="C131" s="999">
        <v>1200</v>
      </c>
      <c r="D131" s="1000">
        <v>380</v>
      </c>
      <c r="E131" s="1001">
        <v>1340</v>
      </c>
      <c r="F131" s="1010">
        <v>0</v>
      </c>
      <c r="G131" s="1011">
        <v>0</v>
      </c>
      <c r="H131" s="1011">
        <v>0</v>
      </c>
      <c r="I131" s="1008">
        <v>1340</v>
      </c>
      <c r="J131" s="1008">
        <v>1340</v>
      </c>
      <c r="K131" s="1008">
        <v>1340</v>
      </c>
      <c r="L131" s="998">
        <v>0</v>
      </c>
      <c r="M131" s="998">
        <v>0</v>
      </c>
      <c r="N131" s="998">
        <v>0</v>
      </c>
      <c r="O131" s="998">
        <v>0</v>
      </c>
    </row>
    <row r="132" spans="1:15">
      <c r="A132" s="996" t="s">
        <v>3052</v>
      </c>
      <c r="B132" s="1002">
        <v>270</v>
      </c>
      <c r="C132" s="999">
        <v>270</v>
      </c>
      <c r="D132" s="1000">
        <v>270</v>
      </c>
      <c r="E132" s="1001">
        <v>270</v>
      </c>
      <c r="F132" s="1010">
        <v>0</v>
      </c>
      <c r="G132" s="1011">
        <v>0</v>
      </c>
      <c r="H132" s="1011">
        <v>0</v>
      </c>
      <c r="I132" s="1008">
        <v>270</v>
      </c>
      <c r="J132" s="1008">
        <v>270</v>
      </c>
      <c r="K132" s="1008">
        <v>270</v>
      </c>
      <c r="L132" s="998">
        <v>0</v>
      </c>
      <c r="M132" s="998">
        <v>0</v>
      </c>
      <c r="N132" s="998">
        <v>0</v>
      </c>
      <c r="O132" s="998">
        <v>0</v>
      </c>
    </row>
    <row r="133" spans="1:15">
      <c r="A133" s="996" t="s">
        <v>3053</v>
      </c>
      <c r="B133" s="1002">
        <v>424</v>
      </c>
      <c r="C133" s="999">
        <v>424</v>
      </c>
      <c r="D133" s="1000">
        <v>360</v>
      </c>
      <c r="E133" s="1001">
        <v>424</v>
      </c>
      <c r="F133" s="1010">
        <v>0</v>
      </c>
      <c r="G133" s="1011">
        <v>0</v>
      </c>
      <c r="H133" s="1011">
        <v>0</v>
      </c>
      <c r="I133" s="1008">
        <v>424</v>
      </c>
      <c r="J133" s="1008">
        <v>424</v>
      </c>
      <c r="K133" s="1008">
        <v>424</v>
      </c>
      <c r="L133" s="998">
        <v>0</v>
      </c>
      <c r="M133" s="998">
        <v>0</v>
      </c>
      <c r="N133" s="998">
        <v>0</v>
      </c>
      <c r="O133" s="998">
        <v>0</v>
      </c>
    </row>
    <row r="134" spans="1:15">
      <c r="A134" s="996" t="s">
        <v>3048</v>
      </c>
      <c r="B134" s="1002">
        <v>544</v>
      </c>
      <c r="C134" s="999">
        <v>544</v>
      </c>
      <c r="D134" s="1000">
        <v>0</v>
      </c>
      <c r="E134" s="1001">
        <v>520</v>
      </c>
      <c r="F134" s="1010">
        <v>0</v>
      </c>
      <c r="G134" s="1011">
        <v>0</v>
      </c>
      <c r="H134" s="1011">
        <v>0</v>
      </c>
      <c r="I134" s="1008">
        <v>520</v>
      </c>
      <c r="J134" s="1008">
        <v>0</v>
      </c>
      <c r="K134" s="1008">
        <v>544</v>
      </c>
      <c r="L134" s="998">
        <v>0</v>
      </c>
      <c r="M134" s="998">
        <v>0</v>
      </c>
      <c r="N134" s="998">
        <v>0</v>
      </c>
      <c r="O134" s="998">
        <v>0</v>
      </c>
    </row>
    <row r="135" spans="1:15">
      <c r="A135" s="996" t="s">
        <v>3042</v>
      </c>
      <c r="B135" s="1002">
        <v>85</v>
      </c>
      <c r="C135" s="999">
        <v>85</v>
      </c>
      <c r="D135" s="1000">
        <v>85</v>
      </c>
      <c r="E135" s="1001">
        <v>85</v>
      </c>
      <c r="F135" s="1010">
        <v>0</v>
      </c>
      <c r="G135" s="1011">
        <v>85</v>
      </c>
      <c r="H135" s="1011">
        <v>0</v>
      </c>
      <c r="I135" s="1008">
        <v>85</v>
      </c>
      <c r="J135" s="1008">
        <v>85</v>
      </c>
      <c r="K135" s="1008">
        <v>85</v>
      </c>
      <c r="L135" s="998">
        <v>85</v>
      </c>
      <c r="M135" s="998">
        <v>0</v>
      </c>
      <c r="N135" s="998">
        <v>20</v>
      </c>
      <c r="O135" s="998">
        <v>0</v>
      </c>
    </row>
    <row r="136" spans="1:15">
      <c r="A136" s="996" t="s">
        <v>3032</v>
      </c>
      <c r="B136" s="1002">
        <v>189</v>
      </c>
      <c r="C136" s="999">
        <v>189</v>
      </c>
      <c r="D136" s="1000">
        <v>164</v>
      </c>
      <c r="E136" s="1001">
        <v>0</v>
      </c>
      <c r="F136" s="1010">
        <v>0</v>
      </c>
      <c r="G136" s="1011">
        <v>0</v>
      </c>
      <c r="H136" s="1011">
        <v>0</v>
      </c>
      <c r="I136" s="1008">
        <v>0</v>
      </c>
      <c r="J136" s="1008">
        <v>0</v>
      </c>
      <c r="K136" s="1008">
        <v>0</v>
      </c>
      <c r="L136" s="998">
        <v>0</v>
      </c>
      <c r="M136" s="998">
        <v>0</v>
      </c>
      <c r="N136" s="998">
        <v>0</v>
      </c>
      <c r="O136" s="998">
        <v>0</v>
      </c>
    </row>
    <row r="137" spans="1:15">
      <c r="A137" s="996" t="s">
        <v>3024</v>
      </c>
      <c r="B137" s="1002">
        <v>344</v>
      </c>
      <c r="C137" s="999">
        <v>344</v>
      </c>
      <c r="D137" s="1000">
        <v>344</v>
      </c>
      <c r="E137" s="1001">
        <v>344</v>
      </c>
      <c r="F137" s="1010">
        <v>0</v>
      </c>
      <c r="G137" s="1011">
        <v>0</v>
      </c>
      <c r="H137" s="1011">
        <v>0</v>
      </c>
      <c r="I137" s="1008">
        <v>344</v>
      </c>
      <c r="J137" s="1008">
        <v>344</v>
      </c>
      <c r="K137" s="1008">
        <v>100</v>
      </c>
      <c r="L137" s="998">
        <v>0</v>
      </c>
      <c r="M137" s="998">
        <v>0</v>
      </c>
      <c r="N137" s="998">
        <v>0</v>
      </c>
      <c r="O137" s="998">
        <v>0</v>
      </c>
    </row>
    <row r="138" spans="1:15">
      <c r="A138" s="996" t="s">
        <v>3025</v>
      </c>
      <c r="B138" s="1002">
        <v>221</v>
      </c>
      <c r="C138" s="999">
        <v>221</v>
      </c>
      <c r="D138" s="1000">
        <v>160</v>
      </c>
      <c r="E138" s="1001">
        <v>221</v>
      </c>
      <c r="F138" s="1010">
        <v>0</v>
      </c>
      <c r="G138" s="1011">
        <v>0</v>
      </c>
      <c r="H138" s="1011">
        <v>0</v>
      </c>
      <c r="I138" s="1008">
        <v>221</v>
      </c>
      <c r="J138" s="1008">
        <v>221</v>
      </c>
      <c r="K138" s="1008">
        <v>221</v>
      </c>
      <c r="L138" s="998">
        <v>0</v>
      </c>
      <c r="M138" s="998">
        <v>0</v>
      </c>
      <c r="N138" s="998">
        <v>0</v>
      </c>
      <c r="O138" s="998">
        <v>0</v>
      </c>
    </row>
    <row r="139" spans="1:15">
      <c r="N139"/>
      <c r="O139"/>
    </row>
    <row r="140" spans="1:15">
      <c r="N140"/>
      <c r="O140"/>
    </row>
  </sheetData>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Guide</vt:lpstr>
      <vt:lpstr>HWS</vt:lpstr>
      <vt:lpstr>DATABASE</vt:lpstr>
      <vt:lpstr>Site_DB</vt:lpstr>
      <vt:lpstr>Indicator Summary  Eng</vt:lpstr>
      <vt:lpstr>Indicator Summary  MM</vt:lpstr>
      <vt:lpstr>HRP Calculations</vt:lpstr>
      <vt:lpstr>HRP</vt:lpstr>
      <vt:lpstr>HRP ref</vt:lpstr>
      <vt:lpstr>Analysis</vt:lpstr>
      <vt:lpstr>Sheet2</vt:lpstr>
      <vt:lpstr>partners_Q1</vt:lpstr>
      <vt:lpstr>partners_Q2</vt:lpstr>
      <vt:lpstr>Kachin</vt:lpstr>
      <vt:lpstr>Shan(n)</vt:lpstr>
      <vt:lpstr>AAP-community Feedback</vt:lpstr>
      <vt:lpstr>Quarterly Dashboard</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'Shan(n)'!Township_list</vt:lpstr>
      <vt:lpstr>Township_list</vt:lpstr>
      <vt:lpstr>Kachin!Township_start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2022-08-04T09:11:59Z</cp:lastPrinted>
  <dcterms:created xsi:type="dcterms:W3CDTF">2016-05-30T15:30:45Z</dcterms:created>
  <dcterms:modified xsi:type="dcterms:W3CDTF">2022-10-07T08:22:39Z</dcterms:modified>
  <cp:category/>
  <cp:contentStatus/>
</cp:coreProperties>
</file>